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460" windowHeight="11925" tabRatio="899" firstSheet="16"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典型户型修正" sheetId="31" r:id="rId20"/>
    <sheet name="收益法" sheetId="15" r:id="rId21"/>
    <sheet name="成本法" sheetId="68" state="hidden" r:id="rId22"/>
    <sheet name="成本法 (元)" sheetId="80" state="hidden" r:id="rId23"/>
    <sheet name="成本法 (元)-fei" sheetId="69" state="hidden" r:id="rId24"/>
    <sheet name="收益法 (元)" sheetId="81" state="hidden" r:id="rId25"/>
    <sheet name="收益法 (元)fei"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清单" sheetId="84" r:id="rId50"/>
    <sheet name="租赁情况" sheetId="85" r:id="rId51"/>
    <sheet name="案例" sheetId="87" r:id="rId52"/>
    <sheet name="建安" sheetId="88" r:id="rId53"/>
  </sheets>
  <externalReferences>
    <externalReference r:id="rId55"/>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<sst xmlns="http://schemas.openxmlformats.org/spreadsheetml/2006/main" count="9260" uniqueCount="3259">
  <si>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</si>
  <si>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</si>
  <si>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</si>
  <si>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</si>
  <si>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</si>
  <si>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</si>
  <si>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</si>
  <si>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</si>
  <si>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</si>
  <si>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</si>
  <si>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</si>
  <si>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</si>
  <si>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</si>
  <si>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</si>
  <si>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</si>
  <si>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</si>
  <si>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</si>
  <si>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</si>
  <si>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</si>
  <si>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</si>
  <si>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</si>
  <si>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</si>
  <si>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</si>
  <si>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</si>
  <si>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</si>
  <si>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</si>
  <si>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</si>
  <si>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</si>
  <si>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</si>
  <si>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</si>
  <si>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</si>
  <si>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</si>
  <si>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</si>
  <si>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</si>
  <si>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</si>
  <si>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</si>
  <si>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</si>
  <si>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</si>
  <si>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</si>
  <si>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</si>
  <si>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</si>
  <si>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</si>
  <si>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</si>
  <si>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</si>
  <si>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</si>
  <si>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</si>
  <si>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</si>
  <si>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</si>
  <si>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</si>
  <si>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</si>
  <si>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</si>
  <si>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</si>
  <si>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</si>
  <si>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</si>
  <si>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</si>
  <si>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</si>
  <si>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</si>
  <si>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</si>
  <si>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</si>
  <si>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</si>
  <si>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</si>
  <si>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</si>
  <si>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</si>
  <si>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</si>
  <si>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</si>
  <si>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</si>
  <si>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</si>
  <si>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</si>
  <si>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</si>
  <si>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</si>
  <si>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</si>
  <si>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</si>
  <si>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</si>
  <si>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</si>
  <si>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</si>
  <si>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</si>
  <si>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</si>
  <si>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</si>
  <si>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</si>
  <si>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</si>
  <si>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</si>
  <si>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</si>
  <si>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</si>
  <si>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</si>
  <si>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</si>
  <si>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</si>
  <si>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</si>
  <si>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</si>
  <si>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</si>
  <si>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</si>
  <si>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</si>
  <si>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</si>
  <si>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</si>
  <si>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</si>
  <si>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</si>
  <si>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</si>
  <si>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</si>
  <si>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</si>
  <si>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</si>
  <si>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</si>
  <si>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</si>
  <si>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</si>
  <si>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</si>
  <si>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</si>
  <si>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</si>
  <si>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</si>
  <si>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</si>
  <si>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</si>
  <si>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</si>
  <si>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</si>
  <si>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</si>
  <si>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</si>
  <si>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</si>
  <si>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</si>
  <si>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</si>
  <si>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</si>
  <si>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</si>
  <si>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</si>
  <si>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</si>
  <si>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</si>
  <si>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</si>
  <si>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</si>
  <si>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</si>
  <si>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</si>
  <si>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</si>
  <si>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</si>
  <si>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</si>
  <si>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</si>
  <si>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</si>
  <si>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</si>
  <si>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</si>
  <si>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</si>
  <si>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</si>
  <si>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</si>
  <si>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</si>
  <si>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</si>
  <si>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</si>
  <si>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</si>
  <si>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</si>
  <si>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</si>
  <si>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</si>
  <si>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</si>
  <si>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</si>
  <si>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</si>
  <si>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</si>
  <si>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</si>
  <si>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</si>
  <si>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</si>
  <si>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</si>
  <si>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</si>
  <si>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</si>
  <si>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</si>
  <si>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</si>
  <si>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</si>
  <si>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</si>
  <si>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</si>
  <si>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</si>
  <si>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</si>
  <si>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</si>
  <si>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</si>
  <si>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</si>
  <si>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</si>
  <si>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</si>
  <si>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</si>
  <si>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</si>
  <si>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</si>
  <si>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</si>
  <si>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</si>
  <si>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</si>
  <si>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</si>
  <si>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</si>
  <si>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</si>
  <si>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</si>
  <si>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</si>
  <si>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</si>
  <si>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</si>
  <si>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</si>
  <si>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</si>
  <si>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</si>
  <si>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</si>
  <si>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</si>
  <si>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</si>
  <si>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</si>
  <si>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</si>
  <si>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</si>
  <si>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</si>
  <si>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</si>
  <si>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</si>
  <si>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</si>
  <si>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</si>
  <si>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</si>
  <si>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</si>
  <si>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</si>
  <si>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</si>
  <si>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</si>
  <si>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</si>
  <si>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</si>
  <si>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</si>
  <si>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</si>
  <si>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</si>
  <si>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</si>
  <si>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</si>
  <si>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</si>
  <si>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</si>
  <si>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</si>
  <si>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</si>
  <si>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</si>
  <si>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</si>
  <si>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</si>
  <si>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</si>
  <si>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</si>
  <si>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</si>
  <si>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</si>
  <si>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</si>
  <si>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</si>
  <si>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</si>
  <si>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</si>
  <si>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</si>
  <si>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</si>
  <si>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</si>
  <si>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</si>
  <si>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</si>
  <si>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</si>
  <si>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</si>
  <si>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</si>
  <si>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</si>
  <si>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</si>
  <si>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</si>
  <si>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</si>
  <si>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</si>
  <si>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</si>
  <si>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</si>
  <si>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</si>
  <si>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</si>
  <si>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</si>
  <si>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</si>
  <si>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</si>
  <si>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</si>
  <si>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</si>
  <si>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</si>
  <si>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</si>
  <si>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</si>
  <si>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</si>
  <si>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</si>
  <si>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</si>
  <si>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</si>
  <si>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</si>
  <si>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</si>
  <si>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</si>
  <si>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</si>
  <si>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</si>
  <si>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</si>
  <si>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</si>
  <si>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</si>
  <si>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</si>
  <si>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</si>
  <si>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</si>
  <si>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</si>
  <si>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</si>
  <si>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</si>
  <si>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</si>
  <si>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</si>
  <si>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</si>
  <si>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</si>
  <si>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</si>
  <si>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</si>
  <si>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</si>
  <si>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</si>
  <si>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</si>
  <si>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</si>
  <si>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</si>
  <si>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</si>
  <si>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</si>
  <si>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</si>
  <si>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</si>
  <si>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</si>
  <si>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</si>
  <si>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</si>
  <si>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</si>
  <si>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</si>
  <si>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</si>
  <si>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</si>
  <si>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</si>
  <si>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</si>
  <si>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</si>
  <si>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</si>
  <si>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</si>
  <si>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</si>
  <si>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</si>
  <si>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</si>
  <si>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</si>
  <si>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</si>
  <si>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</si>
  <si>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</si>
  <si>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</si>
  <si>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</si>
  <si>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</si>
  <si>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</si>
  <si>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</si>
  <si>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</si>
  <si>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</si>
  <si>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</si>
  <si>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</si>
  <si>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</si>
  <si>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</si>
  <si>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</si>
  <si>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</si>
  <si>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</si>
  <si>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</si>
  <si>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</si>
  <si>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</si>
  <si>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</si>
  <si>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</si>
  <si>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</si>
  <si>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</si>
  <si>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</si>
  <si>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</si>
  <si>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</si>
  <si>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</si>
  <si>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</si>
  <si>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</si>
  <si>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</si>
  <si>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</si>
  <si>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</si>
  <si>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</si>
  <si>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</si>
  <si>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</si>
  <si>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</si>
  <si>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</si>
  <si>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</si>
  <si>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</si>
  <si>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</si>
  <si>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</si>
  <si>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</si>
  <si>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</si>
  <si>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</si>
  <si>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</si>
  <si>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</si>
  <si>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</si>
  <si>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</si>
  <si>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</si>
  <si>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</si>
  <si>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</si>
  <si>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</si>
  <si>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</si>
  <si>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</si>
  <si>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</si>
  <si>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</si>
  <si>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</si>
  <si>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</si>
  <si>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</si>
  <si>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</si>
  <si>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</si>
  <si>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</si>
  <si>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</si>
  <si>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</si>
  <si>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</si>
  <si>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</si>
  <si>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</si>
  <si>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</si>
  <si>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</si>
  <si>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</si>
  <si>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</si>
  <si>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</si>
  <si>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</si>
  <si>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</si>
  <si>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</si>
  <si>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</si>
  <si>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</si>
  <si>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</si>
  <si>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</si>
  <si>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</si>
  <si>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</si>
  <si>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</si>
  <si>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</si>
  <si>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</si>
  <si>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</si>
  <si>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</si>
  <si>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</si>
  <si>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</si>
  <si>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</si>
  <si>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</si>
  <si>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</si>
  <si>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</si>
  <si>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</si>
  <si>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</si>
  <si>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</si>
  <si>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</si>
  <si>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</si>
  <si>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</si>
  <si>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</si>
  <si>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</si>
  <si>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</si>
  <si>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</si>
  <si>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</si>
  <si>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</si>
  <si>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</si>
  <si>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</si>
  <si>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</si>
  <si>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</si>
  <si>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</si>
  <si>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</si>
  <si>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</si>
  <si>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</si>
  <si>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</si>
  <si>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</si>
  <si>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</si>
  <si>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</si>
  <si>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</si>
  <si>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</si>
  <si>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</si>
  <si>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</si>
  <si>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</si>
  <si>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</si>
  <si>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</si>
  <si>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</si>
  <si>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</si>
  <si>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</si>
  <si>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</si>
  <si>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</si>
  <si>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</si>
  <si>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</si>
  <si>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</si>
  <si>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</si>
  <si>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</si>
  <si>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</si>
  <si>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</si>
  <si>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</si>
  <si>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</si>
  <si>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</si>
  <si>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</si>
  <si>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</si>
  <si>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</si>
  <si>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</si>
  <si>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</si>
  <si>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</si>
  <si>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</si>
  <si>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</si>
  <si>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</si>
  <si>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</si>
  <si>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</si>
  <si>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</si>
  <si>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</si>
  <si>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</si>
  <si>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</si>
  <si>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</si>
  <si>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</si>
  <si>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</si>
  <si>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</si>
  <si>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</si>
  <si>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</si>
  <si>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</si>
  <si>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</si>
  <si>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</si>
  <si>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</si>
  <si>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</si>
  <si>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</si>
  <si>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</si>
  <si>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</si>
  <si>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</si>
  <si>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</si>
  <si>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</si>
  <si>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</si>
  <si>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</si>
  <si>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</si>
  <si>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</si>
  <si>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</si>
  <si>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</si>
  <si>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</si>
  <si>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</si>
  <si>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</si>
  <si>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</si>
  <si>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</si>
  <si>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</si>
  <si>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</si>
  <si>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</si>
  <si>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</si>
  <si>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</si>
  <si>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</si>
  <si>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</si>
  <si>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</si>
  <si>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</si>
  <si>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</si>
  <si>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</si>
  <si>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</si>
  <si>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</si>
  <si>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</si>
  <si>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</si>
  <si>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</si>
  <si>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</si>
  <si>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</si>
  <si>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</si>
  <si>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</si>
  <si>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</si>
  <si>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</si>
  <si>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</si>
  <si>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</si>
  <si>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</si>
  <si>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</si>
  <si>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</si>
  <si>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</si>
  <si>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</si>
  <si>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</si>
  <si>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</si>
  <si>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</si>
  <si>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</si>
  <si>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</si>
  <si>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</si>
  <si>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</si>
  <si>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</si>
  <si>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</si>
  <si>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</si>
  <si>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</si>
  <si>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</si>
  <si>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</si>
  <si>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</si>
  <si>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</si>
  <si>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</si>
  <si>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</si>
  <si>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</si>
  <si>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</si>
  <si>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</si>
  <si>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</si>
  <si>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</si>
  <si>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</si>
  <si>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</si>
  <si>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</si>
  <si>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</si>
  <si>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</si>
  <si>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</si>
  <si>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</si>
  <si>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</si>
  <si>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</si>
  <si>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</si>
  <si>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</si>
  <si>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</si>
  <si>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</si>
  <si>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</si>
  <si>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</si>
  <si>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</si>
  <si>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</si>
  <si>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</si>
  <si>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</si>
  <si>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</si>
  <si>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</si>
  <si>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</si>
  <si>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</si>
  <si>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</si>
  <si>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</si>
  <si>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</si>
  <si>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</si>
  <si>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</si>
  <si>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</si>
  <si>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</si>
  <si>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</si>
  <si>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</si>
  <si>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</si>
  <si>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</si>
  <si>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</si>
  <si>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</si>
  <si>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</si>
  <si>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</si>
  <si>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</si>
  <si>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</si>
  <si>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</si>
  <si>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</si>
  <si>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</si>
  <si>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</si>
  <si>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</si>
  <si>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</si>
  <si>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</si>
  <si>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</si>
  <si>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</si>
  <si>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</si>
  <si>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</si>
  <si>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</si>
  <si>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</si>
  <si>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</si>
  <si>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</si>
  <si>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</si>
  <si>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</si>
  <si>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</si>
  <si>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</si>
  <si>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</si>
  <si>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</si>
  <si>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</si>
  <si>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</si>
  <si>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</si>
  <si>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</si>
  <si>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</si>
  <si>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</si>
  <si>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</si>
  <si>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</si>
  <si>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</si>
  <si>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</si>
  <si>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</si>
  <si>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</si>
  <si>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</si>
  <si>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</si>
  <si>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</si>
  <si>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</si>
  <si>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</si>
  <si>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</si>
  <si>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</si>
  <si>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</si>
  <si>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</si>
  <si>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</si>
  <si>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</si>
  <si>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</si>
  <si>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</si>
  <si>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</si>
  <si>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</si>
  <si>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</si>
  <si>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</si>
  <si>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</si>
  <si>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</si>
  <si>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</si>
  <si>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</si>
  <si>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</si>
  <si>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</si>
  <si>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</si>
  <si>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</si>
  <si>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</si>
  <si>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</si>
  <si>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</si>
  <si>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</si>
  <si>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</si>
  <si>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</si>
  <si>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</si>
  <si>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</si>
  <si>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</si>
  <si>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</si>
  <si>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</si>
  <si>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</si>
  <si>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</si>
  <si>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</si>
  <si>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</si>
  <si>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</si>
  <si>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</si>
  <si>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</si>
  <si>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</si>
  <si>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</si>
  <si>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</si>
  <si>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</si>
  <si>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</si>
  <si>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</si>
  <si>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</si>
  <si>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</si>
  <si>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</si>
  <si>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</si>
  <si>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</si>
  <si>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</si>
  <si>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</si>
  <si>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</si>
  <si>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</si>
  <si>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</si>
  <si>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</si>
  <si>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</si>
  <si>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</si>
  <si>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</si>
  <si>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</si>
  <si>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</si>
  <si>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</si>
  <si>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</si>
  <si>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</si>
  <si>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</si>
  <si>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</si>
  <si>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</si>
  <si>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</si>
  <si>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</si>
  <si>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</si>
  <si>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</si>
  <si>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</si>
  <si>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</si>
  <si>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</si>
  <si>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</si>
  <si>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</si>
  <si>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</si>
  <si>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</si>
  <si>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</si>
  <si>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</si>
  <si>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北工大软件园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</si>
  <si>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</si>
  <si>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</si>
  <si>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</si>
  <si>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</si>
  <si>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</si>
  <si>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</si>
  <si>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</si>
  <si>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</si>
  <si>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</si>
  <si>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</si>
  <si>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</si>
  <si>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</si>
  <si>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</si>
  <si>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</si>
  <si>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</si>
  <si>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</si>
  <si>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</si>
  <si>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</si>
  <si>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</si>
  <si>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</si>
  <si>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</si>
  <si>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</si>
  <si>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</si>
  <si>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</si>
  <si>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</si>
  <si>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</si>
  <si>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</si>
  <si>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</si>
  <si>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</si>
  <si>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</si>
  <si>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</si>
  <si>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</si>
  <si>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</si>
  <si>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</si>
  <si>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</si>
  <si>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</si>
  <si>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</si>
  <si>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</si>
  <si>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</si>
  <si>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</si>
  <si>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</si>
  <si>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</si>
  <si>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</si>
  <si>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</si>
  <si>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</si>
  <si>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</si>
  <si>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</si>
  <si>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</si>
  <si>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</si>
  <si>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</si>
  <si>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</si>
  <si>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</si>
  <si>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</si>
  <si>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</si>
  <si>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</si>
  <si>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</si>
  <si>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</si>
  <si>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</si>
  <si>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</si>
  <si>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</si>
  <si>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</si>
  <si>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</si>
  <si>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</si>
  <si>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</si>
  <si>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</si>
  <si>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</si>
  <si>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</si>
  <si>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</si>
  <si>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</si>
  <si>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</si>
  <si>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</si>
  <si>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</si>
  <si>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</si>
  <si>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</si>
  <si>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</si>
  <si>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</si>
  <si>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</si>
  <si>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</si>
  <si>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</si>
  <si>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</si>
  <si>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</si>
  <si>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</si>
  <si>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</si>
  <si>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</si>
  <si>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</si>
  <si>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</si>
  <si>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</si>
  <si>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</si>
  <si>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</si>
  <si>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</si>
  <si>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</si>
  <si>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</si>
  <si>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</si>
  <si>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</si>
  <si>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</si>
  <si>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</si>
  <si>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</si>
  <si>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</si>
  <si>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</si>
  <si>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</si>
  <si>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</si>
  <si>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</si>
  <si>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</si>
  <si>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</si>
  <si>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</si>
  <si>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</si>
  <si>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</si>
  <si>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</si>
  <si>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</si>
  <si>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</si>
  <si>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</si>
  <si>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</si>
  <si>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</si>
  <si>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</si>
  <si>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</si>
  <si>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</si>
  <si>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</si>
  <si>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</si>
  <si>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</si>
  <si>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</si>
  <si>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</si>
  <si>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</si>
  <si>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</si>
  <si>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</si>
  <si>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</si>
  <si>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</si>
  <si>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</si>
  <si>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</si>
  <si>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</si>
  <si>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</si>
  <si>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</si>
  <si>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</si>
  <si>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</si>
  <si>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</si>
  <si>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</si>
  <si>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</si>
  <si>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</si>
  <si>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</si>
  <si>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</si>
  <si>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</si>
  <si>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</si>
  <si>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</si>
  <si>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</si>
  <si>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</si>
  <si>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</si>
  <si>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</si>
  <si>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</si>
  <si>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</si>
  <si>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</si>
  <si>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</si>
  <si>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</si>
  <si>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</si>
  <si>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</si>
  <si>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</si>
  <si>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</si>
  <si>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</si>
  <si>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</si>
  <si>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</si>
  <si>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</si>
  <si>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</si>
  <si>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</si>
  <si>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</si>
  <si>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</si>
  <si>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</si>
  <si>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</si>
  <si>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</si>
  <si>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</si>
  <si>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</si>
  <si>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</si>
  <si>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</si>
  <si>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</si>
  <si>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</si>
  <si>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</si>
  <si>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</si>
  <si>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</si>
  <si>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</si>
  <si>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</si>
  <si>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</si>
  <si>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</si>
  <si>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</si>
  <si>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</si>
  <si>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</si>
  <si>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</si>
  <si>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</si>
  <si>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</si>
  <si>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</si>
  <si>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</si>
  <si>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</si>
  <si>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</si>
  <si>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</si>
  <si>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</si>
  <si>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</si>
  <si>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</si>
  <si>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</si>
  <si>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</si>
  <si>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</si>
  <si>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</si>
  <si>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</si>
  <si>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</si>
  <si>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</si>
  <si>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</si>
  <si>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</si>
  <si>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</si>
  <si>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</si>
  <si>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</si>
  <si>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</si>
  <si>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</si>
  <si>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</si>
  <si>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</si>
  <si>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</si>
  <si>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</si>
  <si>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</si>
  <si>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</si>
  <si>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</si>
  <si>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</si>
  <si>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</si>
  <si>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</si>
  <si>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</si>
  <si>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</si>
  <si>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</si>
  <si>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</si>
  <si>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</si>
  <si>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</si>
  <si>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</si>
  <si>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</si>
  <si>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</si>
  <si>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</si>
  <si>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</si>
  <si>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</si>
  <si>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</si>
  <si>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</si>
  <si>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</si>
  <si>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</si>
  <si>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</si>
  <si>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</si>
  <si>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</si>
  <si>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</si>
  <si>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</si>
  <si>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</si>
  <si>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</si>
  <si>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</si>
  <si>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</si>
  <si>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</si>
  <si>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</si>
  <si>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</si>
  <si>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</si>
  <si>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</si>
  <si>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</si>
  <si>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</si>
  <si>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</si>
  <si>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</si>
  <si>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</si>
  <si>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</si>
  <si>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</si>
  <si>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</si>
  <si>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</si>
  <si>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</si>
  <si>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</si>
  <si>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</si>
  <si>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</si>
  <si>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</si>
  <si>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</si>
  <si>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</si>
  <si>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</si>
  <si>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</si>
  <si>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</si>
  <si>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</si>
  <si>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</si>
  <si>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</si>
  <si>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</si>
  <si>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</si>
  <si>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</si>
  <si>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</si>
  <si>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</si>
  <si>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</si>
  <si>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</si>
  <si>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</si>
  <si>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</si>
  <si>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</si>
  <si>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</si>
  <si>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</si>
  <si>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</si>
  <si>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</si>
  <si>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</si>
  <si>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</si>
  <si>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</si>
  <si>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</si>
  <si>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</si>
  <si>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</si>
  <si>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</si>
  <si>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</si>
  <si>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</si>
  <si>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</si>
  <si>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</si>
  <si>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</si>
  <si>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</si>
  <si>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</si>
  <si>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</si>
  <si>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</si>
  <si>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</si>
  <si>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</si>
  <si>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</si>
  <si>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</si>
  <si>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</si>
  <si>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</si>
  <si>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</si>
  <si>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</si>
  <si>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</si>
  <si>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</si>
  <si>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</si>
  <si>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</si>
  <si>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</si>
  <si>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</si>
  <si>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</si>
  <si>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</si>
  <si>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</si>
  <si>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</si>
  <si>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</si>
  <si>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</si>
  <si>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</si>
  <si>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</si>
  <si>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</si>
  <si>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</si>
  <si>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</si>
  <si>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</si>
  <si>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</si>
  <si>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</si>
  <si>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</si>
  <si>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</si>
  <si>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</si>
  <si>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</si>
  <si>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</si>
  <si>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</si>
  <si>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</si>
  <si>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</si>
  <si>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</si>
  <si>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</si>
  <si>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</si>
  <si>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</si>
  <si>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</si>
  <si>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</si>
  <si>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</si>
  <si>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</si>
  <si>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</si>
  <si>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</si>
  <si>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</si>
  <si>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</si>
  <si>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</si>
  <si>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</si>
  <si>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</si>
  <si>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</si>
  <si>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</si>
  <si>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</si>
  <si>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</si>
  <si>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</si>
  <si>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</si>
  <si>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</si>
  <si>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</si>
  <si>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</si>
  <si>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</si>
  <si>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</si>
  <si>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</si>
  <si>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</si>
  <si>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</si>
  <si>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</si>
  <si>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</si>
  <si>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</si>
  <si>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</si>
  <si>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</si>
  <si>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</si>
  <si>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</si>
  <si>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</si>
  <si>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</si>
  <si>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</si>
  <si>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</si>
  <si>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</si>
  <si>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</si>
  <si>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</si>
  <si>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</si>
  <si>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</si>
  <si>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</si>
  <si>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</si>
  <si>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</si>
  <si>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</si>
  <si>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</si>
  <si>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</si>
  <si>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</si>
  <si>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</si>
  <si>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</si>
  <si>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</si>
  <si>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</si>
  <si>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</si>
  <si>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</si>
  <si>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</si>
  <si>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</si>
  <si>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</si>
  <si>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</si>
  <si>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</si>
  <si>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</si>
  <si>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</si>
  <si>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</si>
  <si>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</si>
  <si>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</si>
  <si>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</si>
  <si>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</si>
  <si>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</si>
  <si>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</si>
  <si>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</si>
  <si>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</si>
  <si>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</si>
  <si>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</si>
  <si>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</si>
  <si>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</si>
  <si>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</si>
  <si>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</si>
  <si>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</si>
  <si>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</si>
  <si>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</si>
  <si>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</si>
  <si>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</si>
  <si>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</si>
  <si>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</si>
  <si>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</si>
  <si>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</si>
  <si>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</si>
  <si>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</si>
  <si>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</si>
  <si>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</si>
  <si>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</si>
  <si>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</si>
  <si>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</si>
  <si>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</si>
  <si>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</si>
  <si>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</si>
  <si>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</si>
  <si>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</si>
  <si>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</si>
  <si>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</si>
  <si>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</si>
  <si>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</si>
  <si>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</si>
  <si>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</si>
  <si>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</si>
  <si>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</si>
  <si>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</si>
  <si>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</si>
  <si>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</si>
  <si>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</si>
  <si>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</si>
  <si>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</si>
  <si>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</si>
  <si>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</si>
  <si>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</si>
  <si>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</si>
  <si>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汇龙森科技园</t>
  </si>
  <si>
    <t>锋创科技园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</si>
  <si>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</si>
  <si>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</si>
  <si>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</si>
  <si>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</si>
  <si>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</si>
  <si>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</si>
  <si>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</si>
  <si>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</si>
  <si>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</si>
  <si>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</si>
  <si>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</si>
  <si>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</si>
  <si>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</si>
  <si>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</si>
  <si>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</si>
  <si>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</si>
  <si>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</si>
  <si>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</si>
  <si>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</si>
  <si>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</si>
  <si>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</si>
  <si>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</si>
  <si>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</si>
  <si>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</si>
  <si>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</si>
  <si>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</si>
  <si>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</si>
  <si>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整栋</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</si>
  <si>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</si>
  <si>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</si>
  <si>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</si>
  <si>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</si>
  <si>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</si>
  <si>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</si>
  <si>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</si>
  <si>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</si>
  <si>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</si>
  <si>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</si>
  <si>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</si>
  <si>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</si>
  <si>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</si>
  <si>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普通装修</t>
  </si>
  <si>
    <r>
      <rPr>
        <sz val="11"/>
        <color indexed="8"/>
        <rFont val="宋体"/>
        <charset val="134"/>
      </rPr>
      <t>内部装修状况</t>
    </r>
  </si>
  <si>
    <t>地下面积占比</t>
  </si>
  <si>
    <r>
      <rPr>
        <sz val="11"/>
        <color rgb="FF000000"/>
        <rFont val="Arial"/>
        <charset val="134"/>
      </rPr>
      <t>0</t>
    </r>
    <r>
      <rPr>
        <sz val="11"/>
        <color rgb="FF000000"/>
        <rFont val="宋体"/>
        <charset val="134"/>
      </rPr>
      <t>（含）</t>
    </r>
    <r>
      <rPr>
        <sz val="11"/>
        <color rgb="FF000000"/>
        <rFont val="Arial"/>
        <charset val="134"/>
      </rPr>
      <t>-10%</t>
    </r>
  </si>
  <si>
    <r>
      <rPr>
        <sz val="11"/>
        <rFont val="Arial"/>
        <charset val="134"/>
      </rPr>
      <t>10%</t>
    </r>
    <r>
      <rPr>
        <sz val="11"/>
        <rFont val="宋体"/>
        <charset val="134"/>
      </rPr>
      <t>（含）</t>
    </r>
    <r>
      <rPr>
        <sz val="11"/>
        <rFont val="Arial"/>
        <charset val="134"/>
      </rPr>
      <t>-20%</t>
    </r>
  </si>
  <si>
    <r>
      <rPr>
        <sz val="11"/>
        <color rgb="FF000000"/>
        <rFont val="Arial"/>
        <charset val="134"/>
      </rPr>
      <t>10%</t>
    </r>
    <r>
      <rPr>
        <sz val="11"/>
        <color rgb="FF000000"/>
        <rFont val="宋体"/>
        <charset val="134"/>
      </rPr>
      <t>（含）</t>
    </r>
    <r>
      <rPr>
        <sz val="11"/>
        <color rgb="FF000000"/>
        <rFont val="Arial"/>
        <charset val="134"/>
      </rPr>
      <t>-20%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</si>
  <si>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</si>
  <si>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</si>
  <si>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</si>
  <si>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</si>
  <si>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</si>
  <si>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</si>
  <si>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</si>
  <si>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</si>
  <si>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</si>
  <si>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</si>
  <si>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</si>
  <si>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</si>
  <si>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</si>
  <si>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</si>
  <si>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</si>
  <si>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</si>
  <si>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</si>
  <si>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</si>
  <si>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</si>
  <si>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</si>
  <si>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</si>
  <si>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</si>
  <si>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</si>
  <si>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</si>
  <si>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</si>
  <si>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</si>
  <si>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</si>
  <si>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低区</t>
  </si>
  <si>
    <t>简单装修</t>
  </si>
  <si>
    <r>
      <rPr>
        <sz val="11"/>
        <rFont val="宋体"/>
        <charset val="134"/>
      </rPr>
      <t>内部装修维护状况</t>
    </r>
  </si>
  <si>
    <r>
      <rPr>
        <sz val="11"/>
        <color rgb="FF000000"/>
        <rFont val="Arial"/>
        <charset val="134"/>
      </rPr>
      <t>20%</t>
    </r>
    <r>
      <rPr>
        <sz val="11"/>
        <color rgb="FF000000"/>
        <rFont val="宋体"/>
        <charset val="134"/>
      </rPr>
      <t>（含）</t>
    </r>
    <r>
      <rPr>
        <sz val="11"/>
        <color rgb="FF000000"/>
        <rFont val="Arial"/>
        <charset val="134"/>
      </rPr>
      <t>-30%</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</si>
  <si>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</si>
  <si>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</si>
  <si>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</si>
  <si>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</si>
  <si>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</si>
  <si>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</si>
  <si>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</si>
  <si>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</si>
  <si>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</si>
  <si>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</si>
  <si>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整层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</si>
  <si>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</si>
  <si>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</si>
  <si>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</si>
  <si>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</si>
  <si>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</si>
  <si>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</si>
  <si>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</si>
  <si>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</si>
  <si>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t>0（含）-10%</t>
  </si>
  <si>
    <r>
      <rPr>
        <sz val="10"/>
        <color rgb="FF000000"/>
        <rFont val="Arial"/>
        <charset val="134"/>
      </rPr>
      <t>3</t>
    </r>
    <r>
      <rPr>
        <sz val="10"/>
        <color rgb="FF000000"/>
        <rFont val="宋体"/>
        <charset val="134"/>
      </rPr>
      <t>号楼</t>
    </r>
  </si>
  <si>
    <r>
      <rPr>
        <sz val="10"/>
        <color rgb="FF000000"/>
        <rFont val="Arial"/>
        <charset val="134"/>
      </rPr>
      <t>1</t>
    </r>
    <r>
      <rPr>
        <sz val="10"/>
        <color rgb="FF000000"/>
        <rFont val="宋体"/>
        <charset val="134"/>
      </rPr>
      <t>号楼</t>
    </r>
  </si>
  <si>
    <r>
      <rPr>
        <sz val="10"/>
        <color rgb="FF000000"/>
        <rFont val="Arial"/>
        <charset val="134"/>
      </rPr>
      <t>5</t>
    </r>
    <r>
      <rPr>
        <sz val="10"/>
        <color rgb="FF000000"/>
        <rFont val="宋体"/>
        <charset val="134"/>
      </rPr>
      <t>号楼</t>
    </r>
  </si>
  <si>
    <t>20%（含）-30%</t>
  </si>
  <si>
    <r>
      <rPr>
        <sz val="10"/>
        <color rgb="FF000000"/>
        <rFont val="Arial"/>
        <charset val="134"/>
      </rPr>
      <t>8</t>
    </r>
    <r>
      <rPr>
        <sz val="10"/>
        <color rgb="FF000000"/>
        <rFont val="宋体"/>
        <charset val="134"/>
      </rPr>
      <t>号楼</t>
    </r>
  </si>
  <si>
    <r>
      <rPr>
        <sz val="10"/>
        <color rgb="FF000000"/>
        <rFont val="Arial"/>
        <charset val="134"/>
      </rPr>
      <t>9</t>
    </r>
    <r>
      <rPr>
        <sz val="10"/>
        <color rgb="FF000000"/>
        <rFont val="宋体"/>
        <charset val="134"/>
      </rPr>
      <t>号楼</t>
    </r>
  </si>
  <si>
    <r>
      <rPr>
        <sz val="10"/>
        <color rgb="FF000000"/>
        <rFont val="Arial"/>
        <charset val="134"/>
      </rPr>
      <t>10</t>
    </r>
    <r>
      <rPr>
        <sz val="10"/>
        <color rgb="FF000000"/>
        <rFont val="宋体"/>
        <charset val="134"/>
      </rPr>
      <t>号楼</t>
    </r>
  </si>
  <si>
    <r>
      <rPr>
        <sz val="10"/>
        <color rgb="FF000000"/>
        <rFont val="Arial"/>
        <charset val="134"/>
      </rPr>
      <t>15</t>
    </r>
    <r>
      <rPr>
        <sz val="10"/>
        <color rgb="FF000000"/>
        <rFont val="宋体"/>
        <charset val="134"/>
      </rPr>
      <t>号楼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</si>
  <si>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</si>
  <si>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</si>
  <si>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</si>
  <si>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</si>
  <si>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</si>
  <si>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</si>
  <si>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</si>
  <si>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</si>
  <si>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</si>
  <si>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</si>
  <si>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</si>
  <si>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</si>
  <si>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</si>
  <si>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</si>
  <si>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</si>
  <si>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</si>
  <si>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</si>
  <si>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</si>
  <si>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</si>
  <si>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</si>
  <si>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</si>
  <si>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</si>
  <si>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</si>
  <si>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</si>
  <si>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</si>
  <si>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</si>
  <si>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</si>
  <si>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</si>
  <si>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</si>
  <si>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</si>
  <si>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</si>
  <si>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</si>
  <si>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</si>
  <si>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</si>
  <si>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</si>
  <si>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</si>
  <si>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</si>
  <si>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</si>
  <si>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</si>
  <si>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</si>
  <si>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</si>
  <si>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</si>
  <si>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</si>
  <si>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</si>
  <si>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</si>
  <si>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</si>
  <si>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</si>
  <si>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</si>
  <si>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</si>
  <si>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</si>
  <si>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</si>
  <si>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</si>
  <si>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</si>
  <si>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</si>
  <si>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</si>
  <si>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</si>
  <si>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</si>
  <si>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</si>
  <si>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</si>
  <si>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</si>
  <si>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</si>
  <si>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</si>
  <si>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</si>
  <si>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</si>
  <si>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</si>
  <si>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</si>
  <si>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</si>
  <si>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</si>
  <si>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</si>
  <si>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</si>
  <si>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</si>
  <si>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</si>
  <si>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</si>
  <si>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</si>
  <si>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</si>
  <si>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</si>
  <si>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</si>
  <si>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</si>
  <si>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</si>
  <si>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</si>
  <si>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</si>
  <si>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</si>
  <si>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</si>
  <si>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</si>
  <si>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</si>
  <si>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</si>
  <si>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</si>
  <si>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</si>
  <si>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</si>
  <si>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</si>
  <si>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</si>
  <si>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</si>
  <si>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</si>
  <si>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</si>
  <si>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</si>
  <si>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</si>
  <si>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</si>
  <si>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</si>
  <si>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</si>
  <si>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</si>
  <si>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</si>
  <si>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</si>
  <si>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</si>
  <si>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</si>
  <si>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</si>
  <si>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</si>
  <si>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</si>
  <si>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</si>
  <si>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</si>
  <si>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</si>
  <si>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</si>
  <si>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</si>
  <si>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</si>
  <si>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</si>
  <si>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</si>
  <si>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</si>
  <si>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</si>
  <si>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</si>
  <si>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</si>
  <si>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</si>
  <si>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</si>
  <si>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</si>
  <si>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</si>
  <si>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</si>
  <si>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</si>
  <si>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</si>
  <si>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</si>
  <si>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</si>
  <si>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</si>
  <si>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</si>
  <si>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</si>
  <si>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</si>
  <si>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</si>
  <si>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</si>
  <si>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</si>
  <si>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</si>
  <si>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</si>
  <si>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</si>
  <si>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</si>
  <si>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</si>
  <si>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</si>
  <si>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</si>
  <si>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</si>
  <si>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</si>
  <si>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</si>
  <si>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</si>
  <si>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</si>
  <si>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</si>
  <si>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</si>
  <si>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</si>
  <si>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</si>
  <si>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</si>
  <si>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</si>
  <si>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</si>
  <si>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</si>
  <si>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</si>
  <si>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</si>
  <si>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</si>
  <si>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</si>
  <si>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</si>
  <si>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</si>
  <si>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</si>
  <si>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</si>
  <si>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</si>
  <si>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</si>
  <si>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</si>
  <si>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</si>
  <si>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</si>
  <si>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</si>
  <si>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</si>
  <si>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</si>
  <si>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</si>
  <si>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</si>
  <si>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</si>
  <si>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</si>
  <si>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</si>
  <si>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</si>
  <si>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</si>
  <si>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</si>
  <si>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</si>
  <si>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</si>
  <si>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</si>
  <si>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</si>
  <si>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</si>
  <si>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</si>
  <si>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</si>
  <si>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</si>
  <si>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</si>
  <si>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</si>
  <si>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</si>
  <si>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</si>
  <si>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</si>
  <si>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</si>
  <si>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</si>
  <si>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</si>
  <si>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</si>
  <si>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</si>
  <si>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</si>
  <si>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</si>
  <si>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</si>
  <si>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</si>
  <si>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</si>
  <si>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</si>
  <si>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</si>
  <si>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</si>
  <si>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</si>
  <si>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</si>
  <si>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</si>
  <si>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</si>
  <si>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</si>
  <si>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</si>
  <si>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</si>
  <si>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</si>
  <si>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</si>
  <si>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</si>
  <si>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</si>
  <si>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</si>
  <si>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</si>
  <si>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</si>
  <si>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</si>
  <si>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</si>
  <si>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</si>
  <si>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</si>
  <si>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</si>
  <si>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</si>
  <si>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</si>
  <si>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</si>
  <si>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</si>
  <si>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</si>
  <si>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</si>
  <si>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</si>
  <si>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</si>
  <si>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</si>
  <si>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</si>
  <si>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</si>
  <si>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</si>
  <si>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</si>
  <si>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</si>
  <si>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</si>
  <si>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</si>
  <si>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</si>
  <si>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</si>
  <si>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</si>
  <si>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</si>
  <si>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</si>
  <si>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</si>
  <si>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</si>
  <si>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</si>
  <si>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</si>
  <si>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</si>
  <si>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</si>
  <si>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</si>
  <si>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</si>
  <si>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</si>
  <si>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</si>
  <si>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</si>
  <si>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</si>
  <si>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</si>
  <si>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</si>
  <si>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</si>
  <si>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</si>
  <si>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</si>
  <si>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</si>
  <si>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</si>
  <si>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</si>
  <si>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</si>
  <si>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</si>
  <si>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</si>
  <si>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</si>
  <si>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</si>
  <si>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</si>
  <si>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</si>
  <si>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</si>
  <si>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</si>
  <si>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</si>
  <si>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</si>
  <si>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</si>
  <si>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</si>
  <si>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</si>
  <si>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</si>
  <si>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</si>
  <si>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</si>
  <si>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</si>
  <si>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</si>
  <si>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</si>
  <si>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</si>
  <si>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</si>
  <si>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</si>
  <si>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</si>
  <si>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</si>
  <si>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</si>
  <si>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</si>
  <si>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</si>
  <si>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</si>
  <si>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</si>
  <si>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</si>
  <si>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</si>
  <si>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</si>
  <si>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</si>
  <si>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</si>
  <si>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</si>
  <si>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</si>
  <si>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</si>
  <si>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</si>
  <si>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</si>
  <si>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</si>
  <si>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</si>
  <si>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</si>
  <si>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</si>
  <si>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</si>
  <si>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</si>
  <si>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</si>
  <si>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</si>
  <si>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</si>
  <si>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</si>
  <si>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</si>
  <si>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</si>
  <si>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</si>
  <si>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</si>
  <si>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</si>
  <si>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</si>
  <si>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</si>
  <si>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</si>
  <si>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</si>
  <si>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</si>
  <si>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</si>
  <si>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</si>
  <si>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</si>
  <si>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</si>
  <si>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</si>
  <si>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</si>
  <si>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</si>
  <si>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</si>
  <si>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</si>
  <si>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</si>
  <si>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</si>
  <si>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</si>
  <si>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</si>
  <si>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</si>
  <si>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</si>
  <si>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</si>
  <si>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</si>
  <si>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</si>
  <si>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</si>
  <si>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</si>
  <si>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</si>
  <si>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</si>
  <si>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</si>
  <si>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</si>
  <si>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</si>
  <si>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</si>
  <si>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</si>
  <si>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</si>
  <si>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</si>
  <si>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</si>
  <si>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</si>
  <si>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</si>
  <si>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</si>
  <si>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</si>
  <si>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</si>
  <si>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</si>
  <si>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</si>
  <si>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</si>
  <si>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</si>
  <si>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</si>
  <si>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</si>
  <si>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</si>
  <si>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</si>
  <si>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</si>
  <si>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</si>
  <si>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</si>
  <si>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</si>
  <si>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</si>
  <si>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</si>
  <si>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</si>
  <si>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</si>
  <si>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</si>
  <si>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</si>
  <si>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</si>
  <si>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</si>
  <si>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</si>
  <si>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</si>
  <si>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</si>
  <si>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</si>
  <si>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</si>
  <si>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</si>
  <si>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</si>
  <si>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</si>
  <si>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</si>
  <si>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</si>
  <si>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</si>
  <si>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</si>
  <si>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</si>
  <si>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</si>
  <si>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</si>
  <si>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</si>
  <si>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</si>
  <si>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</si>
  <si>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</si>
  <si>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</si>
  <si>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</si>
  <si>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</si>
  <si>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</si>
  <si>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</si>
  <si>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</si>
  <si>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</si>
  <si>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</si>
  <si>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</si>
  <si>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</si>
  <si>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</si>
  <si>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</si>
  <si>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</si>
  <si>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</si>
  <si>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</si>
  <si>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</si>
  <si>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</si>
  <si>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</si>
  <si>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</si>
  <si>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</si>
  <si>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</si>
  <si>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</si>
  <si>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</si>
  <si>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</si>
  <si>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</si>
  <si>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</si>
  <si>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</si>
  <si>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</si>
  <si>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</si>
  <si>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</si>
  <si>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</si>
  <si>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</si>
  <si>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</si>
  <si>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</si>
  <si>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</si>
  <si>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</si>
  <si>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</si>
  <si>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</si>
  <si>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</si>
  <si>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</si>
  <si>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</si>
  <si>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</si>
  <si>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</si>
  <si>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</si>
  <si>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</si>
  <si>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</si>
  <si>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</si>
  <si>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</si>
  <si>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</si>
  <si>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</si>
  <si>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</si>
  <si>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</si>
  <si>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</si>
  <si>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</si>
  <si>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</si>
  <si>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</si>
  <si>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</si>
  <si>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</si>
  <si>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</si>
  <si>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</si>
  <si>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</si>
  <si>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</si>
  <si>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</si>
  <si>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</si>
  <si>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</si>
  <si>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</si>
  <si>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</si>
  <si>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</si>
  <si>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</si>
  <si>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</si>
  <si>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</si>
  <si>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</si>
  <si>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</si>
  <si>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</si>
  <si>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</si>
  <si>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</si>
  <si>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</si>
  <si>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</si>
  <si>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</si>
  <si>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</si>
  <si>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</si>
  <si>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</si>
  <si>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</si>
  <si>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</si>
  <si>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</si>
  <si>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</si>
  <si>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</si>
  <si>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</si>
  <si>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</si>
  <si>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</si>
  <si>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</si>
  <si>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</si>
  <si>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</si>
  <si>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</si>
  <si>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</si>
  <si>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</si>
  <si>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</si>
  <si>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</si>
  <si>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</si>
  <si>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</si>
  <si>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</si>
  <si>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</si>
  <si>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</si>
  <si>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</si>
  <si>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</si>
  <si>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</si>
  <si>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</si>
  <si>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</si>
  <si>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</si>
  <si>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</si>
  <si>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</si>
  <si>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</si>
  <si>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</si>
  <si>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</si>
  <si>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</si>
  <si>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</si>
  <si>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</si>
  <si>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</si>
  <si>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</si>
  <si>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</si>
  <si>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</si>
  <si>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</si>
  <si>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</si>
  <si>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</si>
  <si>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</si>
  <si>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</si>
  <si>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</si>
  <si>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</si>
  <si>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</si>
  <si>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</si>
  <si>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</si>
  <si>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</si>
  <si>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</si>
  <si>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</si>
  <si>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</si>
  <si>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</si>
  <si>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</si>
  <si>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</si>
  <si>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</si>
  <si>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</si>
  <si>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</si>
  <si>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</si>
  <si>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</si>
  <si>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</si>
  <si>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</si>
  <si>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</si>
  <si>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</si>
  <si>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</si>
  <si>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</si>
  <si>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</si>
  <si>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</si>
  <si>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</si>
  <si>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</si>
  <si>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</si>
  <si>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</si>
  <si>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</si>
  <si>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</si>
  <si>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</si>
  <si>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</si>
  <si>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</si>
  <si>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</si>
  <si>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</si>
  <si>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</si>
  <si>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</si>
  <si>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</si>
  <si>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</si>
  <si>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</si>
  <si>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</si>
  <si>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</si>
  <si>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</si>
  <si>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</si>
  <si>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</si>
  <si>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</si>
  <si>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</si>
  <si>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</si>
  <si>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</si>
  <si>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</si>
  <si>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</si>
  <si>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</si>
  <si>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</si>
  <si>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</si>
  <si>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</si>
  <si>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</si>
  <si>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</si>
  <si>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</si>
  <si>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</si>
  <si>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</si>
  <si>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</si>
  <si>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</si>
  <si>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</si>
  <si>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</si>
  <si>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</si>
  <si>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</si>
  <si>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</si>
  <si>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</si>
  <si>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</si>
  <si>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</si>
  <si>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</si>
  <si>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</si>
  <si>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</si>
  <si>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</si>
  <si>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</si>
  <si>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</si>
  <si>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</si>
  <si>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</si>
  <si>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</si>
  <si>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</si>
  <si>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</si>
  <si>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</si>
  <si>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</si>
  <si>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</si>
  <si>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</si>
  <si>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</si>
  <si>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</si>
  <si>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</si>
  <si>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</si>
  <si>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</si>
  <si>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</si>
  <si>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</si>
  <si>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</si>
  <si>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</si>
  <si>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</si>
  <si>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</si>
  <si>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</si>
  <si>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</si>
  <si>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</si>
  <si>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</si>
  <si>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</si>
  <si>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</si>
  <si>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</si>
  <si>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</si>
  <si>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</si>
  <si>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</si>
  <si>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</si>
  <si>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</si>
  <si>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</si>
  <si>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</si>
  <si>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</si>
  <si>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</si>
  <si>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</si>
  <si>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</si>
  <si>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</si>
  <si>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</si>
  <si>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</si>
  <si>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</si>
  <si>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</si>
  <si>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</si>
  <si>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</si>
  <si>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</si>
  <si>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</si>
  <si>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</si>
  <si>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</si>
  <si>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</si>
  <si>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</si>
  <si>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</si>
  <si>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</si>
  <si>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</si>
  <si>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</si>
  <si>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</si>
  <si>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</si>
  <si>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</si>
  <si>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</si>
  <si>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</si>
  <si>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</si>
  <si>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</si>
  <si>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</si>
  <si>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</si>
  <si>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</si>
  <si>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</si>
  <si>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</si>
  <si>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</si>
  <si>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</si>
  <si>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</si>
  <si>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</si>
  <si>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</si>
  <si>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</si>
  <si>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</si>
  <si>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</si>
  <si>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</si>
  <si>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</si>
  <si>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</si>
  <si>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</si>
  <si>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</si>
  <si>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</si>
  <si>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</si>
  <si>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</si>
  <si>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</si>
  <si>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</si>
  <si>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</si>
  <si>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</si>
  <si>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</si>
  <si>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</si>
  <si>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</si>
  <si>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</si>
  <si>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</si>
  <si>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</si>
  <si>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</si>
  <si>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</si>
  <si>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</si>
  <si>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</si>
  <si>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</si>
  <si>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</si>
  <si>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</si>
  <si>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</si>
  <si>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</si>
  <si>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</si>
  <si>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</si>
  <si>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</si>
  <si>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</si>
  <si>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</si>
  <si>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</si>
  <si>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</si>
  <si>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</si>
  <si>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</si>
  <si>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</si>
  <si>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</si>
  <si>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</si>
  <si>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</si>
  <si>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</si>
  <si>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</si>
  <si>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</si>
  <si>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</si>
  <si>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</si>
  <si>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</si>
  <si>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</si>
  <si>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</si>
  <si>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</si>
  <si>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</si>
  <si>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</si>
  <si>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</si>
  <si>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</si>
  <si>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</si>
  <si>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</si>
  <si>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</si>
  <si>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</si>
  <si>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</si>
  <si>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</si>
  <si>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</si>
  <si>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</si>
  <si>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</si>
  <si>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</si>
  <si>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</si>
  <si>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</si>
  <si>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</si>
  <si>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</si>
  <si>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</si>
  <si>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</si>
  <si>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</si>
  <si>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</si>
  <si>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</si>
  <si>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</si>
  <si>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</si>
  <si>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</si>
  <si>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</si>
  <si>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</si>
  <si>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</si>
  <si>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</si>
  <si>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</si>
  <si>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</si>
  <si>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</si>
  <si>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</si>
  <si>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</si>
  <si>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</si>
  <si>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</si>
  <si>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</si>
  <si>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</si>
  <si>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</si>
  <si>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</si>
  <si>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</si>
  <si>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</si>
  <si>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</si>
  <si>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</si>
  <si>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</si>
  <si>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</si>
  <si>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</si>
  <si>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</si>
  <si>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</si>
  <si>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</si>
  <si>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</si>
  <si>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</si>
  <si>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</si>
  <si>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</si>
  <si>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</si>
  <si>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</si>
  <si>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</si>
  <si>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</si>
  <si>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</si>
  <si>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</si>
  <si>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</si>
  <si>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</si>
  <si>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</si>
  <si>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</si>
  <si>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</si>
  <si>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</si>
  <si>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</si>
  <si>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</si>
  <si>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</si>
  <si>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</si>
  <si>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</si>
  <si>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</si>
  <si>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</si>
  <si>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</si>
  <si>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</si>
  <si>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</si>
  <si>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</si>
  <si>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</si>
  <si>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</si>
  <si>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</si>
  <si>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</si>
  <si>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</si>
  <si>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</si>
  <si>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</si>
  <si>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</si>
  <si>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</si>
  <si>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</si>
  <si>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</si>
  <si>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</si>
  <si>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</si>
  <si>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</si>
  <si>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</si>
  <si>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</si>
  <si>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</si>
  <si>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</si>
  <si>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</si>
  <si>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</si>
  <si>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</si>
  <si>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</si>
  <si>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</si>
  <si>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</si>
  <si>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</si>
  <si>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</si>
  <si>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</si>
  <si>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</si>
  <si>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</si>
  <si>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</si>
  <si>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</si>
  <si>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</si>
  <si>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</si>
  <si>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</si>
  <si>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</si>
  <si>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</si>
  <si>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</si>
  <si>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</si>
  <si>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</si>
  <si>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</si>
  <si>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</si>
  <si>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</si>
  <si>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</si>
  <si>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</si>
  <si>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</si>
  <si>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</si>
  <si>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</si>
  <si>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</si>
  <si>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</si>
  <si>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</si>
  <si>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</si>
  <si>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</si>
  <si>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</si>
  <si>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</si>
  <si>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</si>
  <si>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</si>
  <si>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</si>
  <si>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</si>
  <si>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</si>
  <si>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</si>
  <si>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</si>
  <si>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</si>
  <si>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</si>
  <si>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</si>
  <si>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</si>
  <si>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</si>
  <si>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</si>
  <si>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</si>
  <si>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</si>
  <si>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</si>
  <si>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</si>
  <si>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</si>
  <si>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</si>
  <si>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</si>
  <si>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</si>
  <si>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</si>
  <si>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</si>
  <si>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</si>
  <si>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</si>
  <si>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</si>
  <si>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</si>
  <si>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</si>
  <si>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</si>
  <si>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</si>
  <si>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</si>
  <si>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</si>
  <si>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</si>
  <si>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</si>
  <si>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</si>
  <si>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</si>
  <si>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</si>
  <si>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</si>
  <si>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</si>
  <si>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</si>
  <si>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</si>
  <si>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</si>
  <si>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</si>
  <si>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</si>
  <si>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</si>
  <si>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</si>
  <si>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</si>
  <si>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</si>
  <si>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</si>
  <si>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</si>
  <si>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</si>
  <si>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</si>
  <si>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</si>
  <si>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</si>
  <si>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</si>
  <si>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</si>
  <si>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</si>
  <si>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</si>
  <si>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</si>
  <si>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</si>
  <si>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</si>
  <si>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</si>
  <si>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</si>
  <si>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</si>
  <si>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</si>
  <si>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</si>
  <si>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</si>
  <si>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</si>
  <si>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</si>
  <si>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</si>
  <si>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</si>
  <si>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</si>
  <si>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</si>
  <si>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</si>
  <si>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</si>
  <si>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</si>
  <si>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</si>
  <si>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</si>
  <si>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</si>
  <si>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</si>
  <si>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</si>
  <si>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</si>
  <si>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</si>
  <si>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</si>
  <si>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</si>
  <si>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</si>
  <si>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</si>
  <si>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</si>
  <si>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</si>
  <si>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</si>
  <si>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</si>
  <si>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</si>
  <si>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</si>
  <si>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</si>
  <si>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</si>
  <si>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</si>
  <si>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</si>
  <si>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</si>
  <si>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</si>
  <si>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</si>
  <si>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</si>
  <si>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</si>
  <si>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</si>
  <si>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</si>
  <si>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</si>
  <si>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</si>
  <si>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</si>
  <si>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</si>
  <si>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</si>
  <si>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</si>
  <si>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</si>
  <si>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</si>
  <si>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</si>
  <si>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</si>
  <si>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</si>
  <si>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</si>
  <si>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</si>
  <si>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</si>
  <si>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</si>
  <si>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</si>
  <si>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</si>
  <si>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</si>
  <si>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</si>
  <si>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</si>
  <si>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</si>
  <si>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</si>
  <si>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</si>
  <si>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</si>
  <si>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</si>
  <si>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</si>
  <si>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</si>
  <si>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</si>
  <si>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</si>
  <si>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</si>
  <si>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</si>
  <si>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</si>
  <si>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</si>
  <si>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</si>
  <si>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</si>
  <si>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</si>
  <si>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</si>
  <si>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</si>
  <si>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</si>
  <si>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</si>
  <si>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</si>
  <si>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</si>
  <si>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</si>
  <si>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</si>
  <si>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</si>
  <si>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</si>
  <si>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</si>
  <si>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</si>
  <si>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</si>
  <si>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</si>
  <si>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</si>
  <si>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</si>
  <si>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</si>
  <si>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</si>
  <si>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</si>
  <si>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</si>
  <si>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</si>
  <si>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</si>
  <si>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</si>
  <si>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</si>
  <si>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</si>
  <si>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</si>
  <si>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</si>
  <si>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</si>
  <si>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</si>
  <si>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</si>
  <si>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</si>
  <si>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</si>
  <si>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</si>
  <si>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</si>
  <si>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</si>
  <si>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</si>
  <si>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</si>
  <si>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</si>
  <si>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</si>
  <si>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</si>
  <si>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</si>
  <si>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</si>
  <si>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</si>
  <si>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</si>
  <si>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</si>
  <si>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</si>
  <si>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</si>
  <si>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</si>
  <si>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</si>
  <si>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</si>
  <si>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</si>
  <si>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</si>
  <si>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</si>
  <si>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</si>
  <si>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</si>
  <si>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</si>
  <si>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</si>
  <si>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</si>
  <si>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</si>
  <si>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</si>
  <si>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</si>
  <si>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</si>
  <si>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</si>
  <si>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</si>
  <si>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</si>
  <si>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</si>
  <si>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</si>
  <si>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</si>
  <si>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</si>
  <si>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</si>
  <si>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</si>
  <si>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</si>
  <si>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</si>
  <si>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</si>
  <si>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</si>
  <si>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</si>
  <si>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</si>
  <si>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</si>
  <si>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</si>
  <si>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</si>
  <si>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</si>
  <si>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</si>
  <si>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</si>
  <si>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</si>
  <si>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</si>
  <si>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</si>
  <si>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</si>
  <si>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</si>
  <si>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</si>
  <si>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</si>
  <si>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</si>
  <si>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</si>
  <si>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</si>
  <si>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</si>
  <si>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</si>
  <si>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</si>
  <si>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</si>
  <si>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</si>
  <si>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</si>
  <si>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</si>
  <si>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</si>
  <si>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</si>
  <si>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</si>
  <si>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</si>
  <si>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</si>
  <si>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</si>
  <si>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</si>
  <si>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</si>
  <si>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</si>
  <si>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</si>
  <si>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</si>
  <si>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</si>
  <si>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</si>
  <si>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</si>
  <si>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</si>
  <si>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</si>
  <si>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</si>
  <si>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</si>
  <si>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</si>
  <si>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</si>
  <si>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</si>
  <si>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</si>
  <si>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</si>
  <si>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</si>
  <si>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</si>
  <si>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</si>
  <si>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</si>
  <si>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</si>
  <si>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</si>
  <si>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</si>
  <si>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</si>
  <si>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</si>
  <si>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</si>
  <si>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</si>
  <si>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</si>
  <si>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</si>
  <si>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</si>
  <si>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</si>
  <si>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</si>
  <si>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</si>
  <si>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</si>
  <si>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</si>
  <si>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</si>
  <si>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</si>
  <si>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</si>
  <si>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</si>
  <si>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</si>
  <si>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</si>
  <si>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</si>
  <si>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</si>
  <si>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</si>
  <si>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</si>
  <si>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</si>
  <si>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</si>
  <si>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</si>
  <si>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</si>
  <si>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</si>
  <si>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</si>
  <si>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</si>
  <si>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</si>
  <si>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</si>
  <si>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</si>
  <si>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</si>
  <si>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</si>
  <si>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</si>
  <si>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</si>
  <si>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</si>
  <si>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</si>
  <si>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</si>
  <si>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</si>
  <si>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</si>
  <si>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</si>
  <si>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</si>
  <si>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</si>
  <si>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</si>
  <si>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</si>
  <si>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</si>
  <si>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</si>
  <si>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</si>
  <si>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</si>
  <si>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</si>
  <si>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</si>
  <si>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</si>
  <si>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</si>
  <si>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</si>
  <si>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</si>
  <si>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</si>
  <si>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</si>
  <si>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</si>
  <si>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</si>
  <si>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</si>
  <si>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</si>
  <si>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</si>
  <si>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</si>
  <si>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</si>
  <si>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</si>
  <si>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</si>
  <si>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</si>
  <si>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</si>
  <si>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</si>
  <si>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</si>
  <si>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</si>
  <si>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</si>
  <si>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</si>
  <si>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</si>
  <si>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</si>
  <si>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</si>
  <si>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</si>
  <si>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</si>
  <si>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</si>
  <si>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</si>
  <si>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</si>
  <si>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</si>
  <si>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</si>
  <si>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</si>
  <si>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</si>
  <si>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</si>
  <si>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</si>
  <si>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</si>
  <si>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</si>
  <si>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</si>
  <si>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</si>
  <si>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</si>
  <si>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</si>
  <si>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</si>
  <si>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</si>
  <si>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</si>
  <si>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</si>
  <si>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</si>
  <si>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</si>
  <si>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</si>
  <si>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</si>
  <si>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</si>
  <si>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</si>
  <si>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</si>
  <si>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</si>
  <si>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</si>
  <si>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</si>
  <si>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</si>
  <si>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</si>
  <si>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</si>
  <si>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</si>
  <si>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</si>
  <si>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</si>
  <si>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</si>
  <si>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</si>
  <si>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</si>
  <si>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</si>
  <si>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</si>
  <si>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</si>
  <si>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</si>
  <si>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</si>
  <si>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</si>
  <si>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</si>
  <si>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</si>
  <si>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</si>
  <si>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</si>
  <si>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</si>
  <si>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</si>
  <si>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</si>
  <si>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</si>
  <si>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</si>
  <si>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</si>
  <si>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</si>
  <si>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</si>
  <si>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</si>
  <si>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</si>
  <si>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</si>
  <si>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</si>
  <si>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</si>
  <si>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</si>
  <si>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</si>
  <si>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</si>
  <si>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</si>
  <si>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</si>
  <si>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</si>
  <si>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</si>
  <si>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</si>
  <si>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</si>
  <si>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</si>
  <si>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</si>
  <si>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</si>
  <si>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</si>
  <si>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</si>
  <si>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</si>
  <si>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</si>
  <si>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</si>
  <si>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</si>
  <si>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</si>
  <si>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</si>
  <si>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</si>
  <si>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</si>
  <si>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</si>
  <si>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</si>
  <si>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</si>
  <si>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</si>
  <si>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</si>
  <si>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</si>
  <si>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</si>
  <si>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</si>
  <si>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</si>
  <si>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</si>
  <si>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</si>
  <si>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</si>
  <si>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</si>
  <si>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</si>
  <si>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</si>
  <si>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</si>
  <si>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</si>
  <si>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</si>
  <si>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</si>
  <si>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</si>
  <si>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</si>
  <si>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</si>
  <si>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</si>
  <si>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</si>
  <si>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</si>
  <si>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</si>
  <si>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</si>
  <si>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</si>
  <si>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</si>
  <si>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</si>
  <si>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</si>
  <si>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</si>
  <si>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</si>
  <si>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</si>
  <si>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</si>
  <si>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</si>
  <si>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</si>
  <si>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</si>
  <si>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</si>
  <si>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</si>
  <si>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</si>
  <si>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</si>
  <si>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</si>
  <si>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</si>
  <si>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</si>
  <si>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</si>
  <si>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</si>
  <si>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</si>
  <si>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</si>
  <si>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</si>
  <si>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</si>
  <si>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</si>
  <si>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</si>
  <si>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</si>
  <si>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</si>
  <si>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</si>
  <si>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</si>
  <si>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</si>
  <si>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</si>
  <si>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</si>
  <si>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</si>
  <si>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</si>
  <si>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</si>
  <si>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</si>
  <si>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</si>
  <si>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</si>
  <si>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</si>
  <si>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</si>
  <si>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</si>
  <si>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</si>
  <si>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</si>
  <si>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</si>
  <si>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</si>
  <si>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</si>
  <si>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</si>
  <si>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</si>
  <si>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</si>
  <si>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</si>
  <si>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</si>
  <si>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</si>
  <si>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</si>
  <si>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</si>
  <si>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</si>
  <si>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</si>
  <si>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</si>
  <si>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</si>
  <si>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</si>
  <si>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</si>
  <si>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</si>
  <si>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</si>
  <si>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</si>
  <si>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</si>
  <si>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</si>
  <si>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</si>
  <si>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</si>
  <si>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</si>
  <si>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</si>
  <si>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</si>
  <si>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</si>
  <si>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</si>
  <si>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</si>
  <si>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</si>
  <si>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</si>
  <si>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</si>
  <si>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</si>
  <si>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</si>
  <si>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</si>
  <si>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</si>
  <si>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</si>
  <si>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</si>
  <si>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</si>
  <si>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</si>
  <si>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</si>
  <si>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</si>
  <si>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</si>
  <si>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</si>
  <si>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</si>
  <si>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</si>
  <si>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</si>
  <si>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</si>
  <si>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</si>
  <si>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</si>
  <si>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</si>
  <si>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</si>
  <si>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</si>
  <si>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</si>
  <si>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</si>
  <si>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</si>
  <si>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</si>
  <si>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</si>
  <si>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</si>
  <si>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</si>
  <si>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</si>
  <si>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</si>
  <si>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</si>
  <si>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</si>
  <si>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</si>
  <si>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</si>
  <si>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</si>
  <si>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</si>
  <si>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</si>
  <si>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</si>
  <si>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</si>
  <si>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</si>
  <si>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</si>
  <si>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</si>
  <si>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</si>
  <si>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</si>
  <si>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</si>
  <si>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</si>
  <si>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</si>
  <si>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</si>
  <si>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</si>
  <si>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</si>
  <si>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</si>
  <si>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</si>
  <si>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</si>
  <si>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</si>
  <si>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</si>
  <si>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</si>
  <si>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</si>
  <si>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</si>
  <si>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</si>
  <si>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</si>
  <si>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</si>
  <si>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</si>
  <si>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</si>
  <si>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</si>
  <si>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</si>
  <si>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</si>
  <si>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</si>
  <si>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</si>
  <si>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</si>
  <si>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</si>
  <si>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</si>
  <si>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</si>
  <si>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</si>
  <si>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</si>
  <si>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</si>
  <si>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</si>
  <si>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</si>
  <si>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</si>
  <si>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</si>
  <si>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</si>
  <si>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</si>
  <si>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</si>
  <si>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</si>
  <si>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</si>
  <si>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</si>
  <si>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</si>
  <si>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</si>
  <si>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</si>
  <si>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</si>
  <si>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</si>
  <si>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</si>
  <si>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</si>
  <si>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</si>
  <si>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</si>
  <si>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</si>
  <si>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</si>
  <si>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</si>
  <si>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</si>
  <si>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</si>
  <si>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</si>
  <si>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</si>
  <si>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</si>
  <si>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</si>
  <si>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</si>
  <si>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</si>
  <si>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</si>
  <si>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</si>
  <si>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</si>
  <si>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</si>
  <si>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</si>
  <si>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</si>
  <si>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</si>
  <si>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</si>
  <si>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</si>
  <si>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</si>
  <si>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</si>
  <si>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</si>
  <si>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</si>
  <si>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</si>
  <si>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</si>
  <si>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</si>
  <si>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</si>
  <si>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</si>
  <si>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</si>
  <si>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</si>
  <si>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</si>
  <si>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</si>
  <si>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</si>
  <si>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</si>
  <si>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</si>
  <si>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</si>
  <si>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</si>
  <si>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</si>
  <si>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</si>
  <si>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</si>
  <si>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</si>
  <si>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</si>
  <si>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</si>
  <si>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</si>
  <si>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</si>
  <si>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</si>
  <si>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</si>
  <si>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</si>
  <si>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</si>
  <si>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</si>
  <si>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</si>
  <si>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</si>
  <si>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</si>
  <si>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</si>
  <si>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</si>
  <si>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</si>
  <si>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</si>
  <si>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</si>
  <si>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</si>
  <si>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</si>
  <si>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</si>
  <si>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</si>
  <si>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</si>
  <si>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</si>
  <si>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</si>
  <si>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</si>
  <si>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</si>
  <si>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</si>
  <si>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</si>
  <si>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</si>
  <si>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</si>
  <si>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</si>
  <si>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</si>
  <si>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</si>
  <si>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</si>
  <si>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</si>
  <si>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</si>
  <si>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</si>
  <si>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</si>
  <si>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</si>
  <si>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</si>
  <si>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</si>
  <si>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</si>
  <si>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</si>
  <si>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</si>
  <si>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</si>
  <si>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</si>
  <si>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</si>
  <si>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</si>
  <si>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</si>
  <si>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</si>
  <si>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</si>
  <si>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</si>
  <si>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</si>
  <si>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</si>
  <si>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</si>
  <si>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</si>
  <si>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</si>
  <si>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</si>
  <si>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</si>
  <si>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</si>
  <si>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</si>
  <si>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</si>
  <si>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</si>
  <si>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</si>
  <si>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</si>
  <si>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</si>
  <si>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</si>
  <si>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</si>
  <si>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</si>
  <si>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</si>
  <si>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</si>
  <si>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</si>
  <si>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</si>
  <si>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</si>
  <si>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</si>
  <si>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</si>
  <si>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</si>
  <si>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</si>
  <si>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</si>
  <si>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</si>
  <si>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</si>
  <si>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</si>
  <si>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</si>
  <si>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</si>
  <si>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</si>
  <si>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</si>
  <si>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</si>
  <si>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</si>
  <si>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</si>
  <si>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</si>
  <si>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</si>
  <si>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</si>
  <si>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</si>
  <si>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</si>
  <si>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</si>
  <si>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</si>
  <si>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</si>
  <si>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</si>
  <si>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</si>
  <si>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</si>
  <si>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</si>
  <si>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</si>
  <si>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</si>
  <si>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</si>
  <si>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</si>
  <si>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</si>
  <si>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</si>
  <si>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</si>
  <si>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</si>
  <si>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</si>
  <si>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</si>
  <si>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</si>
  <si>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</si>
  <si>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</si>
  <si>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</si>
  <si>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</si>
  <si>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</si>
  <si>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</si>
  <si>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</si>
  <si>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</si>
  <si>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</si>
  <si>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</si>
  <si>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</si>
  <si>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</si>
  <si>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</si>
  <si>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</si>
  <si>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</si>
  <si>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</si>
  <si>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</si>
  <si>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</si>
  <si>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</si>
  <si>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</si>
  <si>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</si>
  <si>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</si>
  <si>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</si>
  <si>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</si>
  <si>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</si>
  <si>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</si>
  <si>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</si>
  <si>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</si>
  <si>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</si>
  <si>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</si>
  <si>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</si>
  <si>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</si>
  <si>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</si>
  <si>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</si>
  <si>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</si>
  <si>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</si>
  <si>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</si>
  <si>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</si>
  <si>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</si>
  <si>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</si>
  <si>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</si>
  <si>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</si>
  <si>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</si>
  <si>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</si>
  <si>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</si>
  <si>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</si>
  <si>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</si>
  <si>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</si>
  <si>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</si>
  <si>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</si>
  <si>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</si>
  <si>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</si>
  <si>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</si>
  <si>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</si>
  <si>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</si>
  <si>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</si>
  <si>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</si>
  <si>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</si>
  <si>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</si>
  <si>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</si>
  <si>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</si>
  <si>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</si>
  <si>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</si>
  <si>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</si>
  <si>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</si>
  <si>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</si>
  <si>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</si>
  <si>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</si>
  <si>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</si>
  <si>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</si>
  <si>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</si>
  <si>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</si>
  <si>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</si>
  <si>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</si>
  <si>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</si>
  <si>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</si>
  <si>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</si>
  <si>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</si>
  <si>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</si>
  <si>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</si>
  <si>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</si>
  <si>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</si>
  <si>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</si>
  <si>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</si>
  <si>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</si>
  <si>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</si>
  <si>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</si>
  <si>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</si>
  <si>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</si>
  <si>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</si>
  <si>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</si>
  <si>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</si>
  <si>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</si>
  <si>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</si>
  <si>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</si>
  <si>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</si>
  <si>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</si>
  <si>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</si>
  <si>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</si>
  <si>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</si>
  <si>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</si>
  <si>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</si>
  <si>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</si>
  <si>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</si>
  <si>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</si>
  <si>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</si>
  <si>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</si>
  <si>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</si>
  <si>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</si>
  <si>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</si>
  <si>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</si>
  <si>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</si>
  <si>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</si>
  <si>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</si>
  <si>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</si>
  <si>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</si>
  <si>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</si>
  <si>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</si>
  <si>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</si>
  <si>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</si>
  <si>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</si>
  <si>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</si>
  <si>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</si>
  <si>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</si>
  <si>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</si>
  <si>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</si>
  <si>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</si>
  <si>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</si>
  <si>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</si>
  <si>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</si>
  <si>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</si>
  <si>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</si>
  <si>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</si>
  <si>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</si>
  <si>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</si>
  <si>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</si>
  <si>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</si>
  <si>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</si>
  <si>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</si>
  <si>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</si>
  <si>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</si>
  <si>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</si>
  <si>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</si>
  <si>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</si>
  <si>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</si>
  <si>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</si>
  <si>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</si>
  <si>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</si>
  <si>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</si>
  <si>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</si>
  <si>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</si>
  <si>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</si>
  <si>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</si>
  <si>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</si>
  <si>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</si>
  <si>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</si>
  <si>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</si>
  <si>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</si>
  <si>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</si>
  <si>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</si>
  <si>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</si>
  <si>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</si>
  <si>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</si>
  <si>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</si>
  <si>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</si>
  <si>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</si>
  <si>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</si>
  <si>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</si>
  <si>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</si>
  <si>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</si>
  <si>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</si>
  <si>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</si>
  <si>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</si>
  <si>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</si>
  <si>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</si>
  <si>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</si>
  <si>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</si>
  <si>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</si>
  <si>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</si>
  <si>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</si>
  <si>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</si>
  <si>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</si>
  <si>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</si>
  <si>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</si>
  <si>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</si>
  <si>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</si>
  <si>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</si>
  <si>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</si>
  <si>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</si>
  <si>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</si>
  <si>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</si>
  <si>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</si>
  <si>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</si>
  <si>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</si>
  <si>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</si>
  <si>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</si>
  <si>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</si>
  <si>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</si>
  <si>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</si>
  <si>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</si>
  <si>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</si>
  <si>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</si>
  <si>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</si>
  <si>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</si>
  <si>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</si>
  <si>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</si>
  <si>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</si>
  <si>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</si>
  <si>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</si>
  <si>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</si>
  <si>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</si>
  <si>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</si>
  <si>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</si>
  <si>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</si>
  <si>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</si>
  <si>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</si>
  <si>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</si>
  <si>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</si>
  <si>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</si>
  <si>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</si>
  <si>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</si>
  <si>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</si>
  <si>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</si>
  <si>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</si>
  <si>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</si>
  <si>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</si>
  <si>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</si>
  <si>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</si>
  <si>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</si>
  <si>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</si>
  <si>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</si>
  <si>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</si>
  <si>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</si>
  <si>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</si>
  <si>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</si>
  <si>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</si>
  <si>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</si>
  <si>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</si>
  <si>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</si>
  <si>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</si>
  <si>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</si>
  <si>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</si>
  <si>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</si>
  <si>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</si>
  <si>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</si>
  <si>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</si>
  <si>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</si>
  <si>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</si>
  <si>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</si>
  <si>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</si>
  <si>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</si>
  <si>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</si>
  <si>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</si>
  <si>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</si>
  <si>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</si>
  <si>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</si>
  <si>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</si>
  <si>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</si>
  <si>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</si>
  <si>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</si>
  <si>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</si>
  <si>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</si>
  <si>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</si>
  <si>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</si>
  <si>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</si>
  <si>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</si>
  <si>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</si>
  <si>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</si>
  <si>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</si>
  <si>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</si>
  <si>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</si>
  <si>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</si>
  <si>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</si>
  <si>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</si>
  <si>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</si>
  <si>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</si>
  <si>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</si>
  <si>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</si>
  <si>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</si>
  <si>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</si>
  <si>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</si>
  <si>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</si>
  <si>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</si>
  <si>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</si>
  <si>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</si>
  <si>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</si>
  <si>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</si>
  <si>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</si>
  <si>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</si>
  <si>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</si>
  <si>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</si>
  <si>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</si>
  <si>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</si>
  <si>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</si>
  <si>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</si>
  <si>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</si>
  <si>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</si>
  <si>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</si>
  <si>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</si>
  <si>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</si>
  <si>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</si>
  <si>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</si>
  <si>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</si>
  <si>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</si>
  <si>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</si>
  <si>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</si>
  <si>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</si>
  <si>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</si>
  <si>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</si>
  <si>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</si>
  <si>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</si>
  <si>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登记时间</t>
  </si>
  <si>
    <t>房屋所有权证号</t>
  </si>
  <si>
    <t>房屋坐落</t>
  </si>
  <si>
    <t>规划用途</t>
  </si>
  <si>
    <t>结构</t>
  </si>
  <si>
    <t>建成年代</t>
  </si>
  <si>
    <t>总楼层</t>
  </si>
  <si>
    <t>所在楼层</t>
  </si>
  <si>
    <t>X京房权证开字第013323号</t>
  </si>
  <si>
    <t>北京经济技术开发区地盛北街1号4号楼1至3层</t>
  </si>
  <si>
    <t>1-3层</t>
  </si>
  <si>
    <t>X京房权证开字第013356号</t>
  </si>
  <si>
    <t>北京经济技术开发区地盛北街1号3号楼1至3层</t>
  </si>
  <si>
    <t>原证2004-12-14登记</t>
  </si>
  <si>
    <t>京（2023）开不动产权第0002780号</t>
  </si>
  <si>
    <t>北京经济技术开发区地盛北街1号1号楼1至3层等[6]套</t>
  </si>
  <si>
    <t>工业用房</t>
  </si>
  <si>
    <t>北京经济技术开发区地盛北街1号1号楼1至3层</t>
  </si>
  <si>
    <t>3层</t>
  </si>
  <si>
    <t>北京经济技术开发区地盛北街1号5号楼-1至3层</t>
  </si>
  <si>
    <t>3（-1）层</t>
  </si>
  <si>
    <t>-1-3层</t>
  </si>
  <si>
    <t>北京经济技术开发区地盛北街1号8号楼1至4层</t>
  </si>
  <si>
    <t>4层</t>
  </si>
  <si>
    <t>1-4层</t>
  </si>
  <si>
    <t>北京经济技术开发区地盛北街1号9号楼1至3层</t>
  </si>
  <si>
    <t>北京经济技术开发区地盛北街1号10号楼3至4层B</t>
  </si>
  <si>
    <t>3-4层</t>
  </si>
  <si>
    <t>北京经济技术开发区地盛北街1号15号楼1至3层</t>
  </si>
  <si>
    <t>产权证号</t>
  </si>
  <si>
    <t>面积（平方米）</t>
  </si>
  <si>
    <t>租赁人</t>
  </si>
  <si>
    <t>租期</t>
  </si>
  <si>
    <t>租金（元/月/平方米）</t>
  </si>
  <si>
    <t>年租金（元）</t>
  </si>
  <si>
    <t>物业费（元/月/平方米）</t>
  </si>
  <si>
    <t>X房权证开字第013323号</t>
  </si>
  <si>
    <t>办公研发</t>
  </si>
  <si>
    <t>北京海思特医学检验实验室有限公司</t>
  </si>
  <si>
    <t>2024.4.20-2027.4.19</t>
  </si>
  <si>
    <t>X房权证开字第013356号</t>
  </si>
  <si>
    <t>3号楼</t>
  </si>
  <si>
    <t>1号楼</t>
  </si>
  <si>
    <t>北京经开投资开发股份有限公司</t>
  </si>
  <si>
    <t>2026.1.1-2026.12.31</t>
  </si>
  <si>
    <t>5号楼</t>
  </si>
  <si>
    <t>食堂</t>
  </si>
  <si>
    <t>8号楼</t>
  </si>
  <si>
    <t>北京市大兴区荣华街道办事处</t>
  </si>
  <si>
    <t>2026.1.1-2030.12.31</t>
  </si>
  <si>
    <t>前3年</t>
  </si>
  <si>
    <t>9号楼</t>
  </si>
  <si>
    <t>租金含物业费</t>
  </si>
  <si>
    <t>后两年</t>
  </si>
  <si>
    <t>10号楼（3-4B层）</t>
  </si>
  <si>
    <t>灵智燎原（北京）节能环保技术研究院</t>
  </si>
  <si>
    <t>2024.5.1-2026.4.30</t>
  </si>
  <si>
    <t>15号楼</t>
  </si>
  <si>
    <t>北京市化工职业病防治院</t>
  </si>
  <si>
    <t>租赁面积与房本面积不一致</t>
  </si>
  <si>
    <t>前合同免交物业费，7个车位免费使用，原租金75</t>
  </si>
  <si>
    <t>房产证面积合计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</si>
</sst>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2">
    <font>
      <sz val="11"/>
      <color theme="1"/>
      <name val="宋体"/>
      <charset val="134"/>
      <scheme val="minor"/>
    </font>
    <font>
      <b/>
      <sz val="11"/>
      <color theme="1"/>
      <name val="宋体"/>
      <charset val="134"/>
      <scheme val="minor"/>
    </font>
    <font>
      <sz val="12"/>
      <name val="宋体"/>
      <charset val="134"/>
    </font>
    <font>
      <sz val="12"/>
      <color rgb="FFFF0000"/>
      <name val="宋体"/>
      <charset val="134"/>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10"/>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i/>
      <sz val="10"/>
      <name val="楷体_GB2312"/>
      <charset val="134"/>
    </font>
    <font>
      <sz val="14"/>
      <color theme="1"/>
      <name val="宋体"/>
      <charset val="134"/>
    </font>
    <font>
      <sz val="14"/>
      <color rgb="FF000000"/>
      <name val="宋体"/>
      <charset val="134"/>
    </font>
    <font>
      <b/>
      <sz val="10"/>
      <color indexed="53"/>
      <name val="宋体"/>
      <charset val="134"/>
    </font>
    <font>
      <sz val="10"/>
      <color indexed="53"/>
      <name val="宋体"/>
      <charset val="134"/>
    </font>
    <font>
      <b/>
      <i/>
      <sz val="14"/>
      <color theme="3" tint="0.399975585192419"/>
      <name val="宋体"/>
      <charset val="134"/>
    </font>
    <font>
      <i/>
      <sz val="14"/>
      <color theme="3" tint="0.399975585192419"/>
      <name val="宋体"/>
      <charset val="134"/>
    </font>
    <font>
      <sz val="12"/>
      <color indexed="8"/>
      <name val="宋体"/>
      <charset val="134"/>
    </font>
    <font>
      <b/>
      <vertAlign val="subscript"/>
      <sz val="10"/>
      <color theme="1"/>
      <name val="Arial"/>
      <charset val="134"/>
    </font>
    <font>
      <b/>
      <sz val="14"/>
      <color theme="1"/>
      <name val="宋体"/>
      <charset val="134"/>
    </font>
    <font>
      <sz val="8"/>
      <color indexed="8"/>
      <name val="宋体"/>
      <charset val="134"/>
    </font>
    <font>
      <b/>
      <vertAlign val="subscript"/>
      <sz val="10"/>
      <name val="楷体_GB2312"/>
      <charset val="134"/>
    </font>
    <font>
      <sz val="10"/>
      <color rgb="FF707070"/>
      <name val="宋体"/>
      <charset val="134"/>
    </font>
    <font>
      <b/>
      <vertAlign val="subscript"/>
      <sz val="10"/>
      <name val="宋体"/>
      <charset val="134"/>
    </font>
    <font>
      <sz val="10"/>
      <color indexed="10"/>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sz val="12"/>
      <color theme="1"/>
      <name val="宋体"/>
      <charset val="134"/>
    </font>
    <font>
      <sz val="10"/>
      <color rgb="FF0070C0"/>
      <name val="Arial"/>
      <charset val="134"/>
    </font>
    <font>
      <b/>
      <vertAlign val="subscript"/>
      <sz val="10"/>
      <color indexed="8"/>
      <name val="宋体"/>
      <charset val="134"/>
    </font>
    <font>
      <b/>
      <sz val="11"/>
      <name val="仿宋_GB2312"/>
      <charset val="134"/>
    </font>
    <font>
      <sz val="10"/>
      <color rgb="FF0070C0"/>
      <name val="楷体_GB2312"/>
      <charset val="134"/>
    </font>
    <font>
      <sz val="12"/>
      <color theme="9" tint="-0.249977111117893"/>
      <name val="宋体"/>
      <charset val="134"/>
    </font>
    <font>
      <vertAlign val="subscript"/>
      <sz val="10"/>
      <color indexed="8"/>
      <name val="宋体"/>
      <charset val="134"/>
    </font>
    <font>
      <i/>
      <sz val="11"/>
      <color theme="1"/>
      <name val="宋体"/>
      <charset val="134"/>
    </font>
    <font>
      <vertAlign val="superscript"/>
      <sz val="10"/>
      <color theme="1"/>
      <name val="宋体"/>
      <charset val="134"/>
    </font>
    <font>
      <b/>
      <sz val="18"/>
      <color indexed="10"/>
      <name val="΢ȭхڬˎ̥"/>
      <charset val="134"/>
    </font>
    <font>
      <sz val="8"/>
      <color indexed="8"/>
      <name val="仿宋_GB2312"/>
      <charset val="134"/>
    </font>
    <font>
      <sz val="11"/>
      <color indexed="8"/>
      <name val="仿宋_GB2312"/>
      <charset val="134"/>
    </font>
    <font>
      <b/>
      <vertAlign val="subscript"/>
      <sz val="11"/>
      <name val="宋体"/>
      <charset val="134"/>
    </font>
    <font>
      <b/>
      <vertAlign val="subscript"/>
      <sz val="11"/>
      <name val="Arial"/>
      <charset val="134"/>
    </font>
    <font>
      <sz val="10"/>
      <color indexed="8"/>
      <name val="楷体_GB2312"/>
      <charset val="134"/>
    </font>
    <font>
      <sz val="12"/>
      <color rgb="FF000000"/>
      <name val="宋体"/>
      <charset val="134"/>
    </font>
    <font>
      <vertAlign val="subscript"/>
      <sz val="10"/>
      <color theme="1"/>
      <name val="Arial"/>
      <charset val="134"/>
    </font>
    <font>
      <vertAlign val="superscript"/>
      <sz val="10"/>
      <color theme="1"/>
      <name val="Arial"/>
      <charset val="134"/>
    </font>
    <font>
      <sz val="10"/>
      <color theme="4"/>
      <name val="宋体"/>
      <charset val="134"/>
    </font>
    <font>
      <b/>
      <sz val="16"/>
      <color indexed="10"/>
      <name val="楷体_GB2312"/>
      <charset val="134"/>
    </font>
    <font>
      <b/>
      <sz val="12"/>
      <color rgb="FF000000"/>
      <name val="宋体"/>
      <charset val="134"/>
    </font>
    <font>
      <b/>
      <vertAlign val="subscript"/>
      <sz val="10"/>
      <name val="Arial"/>
      <charset val="134"/>
    </font>
    <font>
      <b/>
      <sz val="14"/>
      <color indexed="10"/>
      <name val="宋体"/>
      <charset val="134"/>
      <scheme val="minor"/>
    </font>
    <font>
      <sz val="9"/>
      <color indexed="8"/>
      <name val="宋体"/>
      <charset val="134"/>
    </font>
    <font>
      <b/>
      <sz val="10"/>
      <color indexed="10"/>
      <name val="楷体_GB2312"/>
      <charset val="134"/>
    </font>
    <font>
      <b/>
      <sz val="12"/>
      <color indexed="8"/>
      <name val="仿宋_GB2312"/>
      <charset val="134"/>
    </font>
    <font>
      <b/>
      <i/>
      <sz val="11"/>
      <color theme="3" tint="0.399975585192419"/>
      <name val="宋体"/>
      <charset val="134"/>
    </font>
    <font>
      <b/>
      <vertAlign val="superscript"/>
      <sz val="10"/>
      <color theme="1"/>
      <name val="宋体"/>
      <charset val="134"/>
    </font>
    <font>
      <b/>
      <sz val="18"/>
      <color theme="1"/>
      <name val="宋体"/>
      <charset val="134"/>
    </font>
    <font>
      <vertAlign val="superscript"/>
      <sz val="10"/>
      <color indexed="8"/>
      <name val="Arial"/>
      <charset val="134"/>
    </font>
    <font>
      <sz val="11"/>
      <color indexed="53"/>
      <name val="宋体"/>
      <charset val="134"/>
    </font>
    <font>
      <i/>
      <sz val="11"/>
      <color theme="3" tint="0.399975585192419"/>
      <name val="宋体"/>
      <charset val="134"/>
    </font>
    <font>
      <sz val="14"/>
      <color theme="9" tint="-0.249977111117893"/>
      <name val="宋体"/>
      <charset val="134"/>
    </font>
    <font>
      <sz val="12"/>
      <name val="仿宋_GB2312"/>
      <charset val="134"/>
    </font>
    <font>
      <b/>
      <sz val="8"/>
      <name val="宋体"/>
      <charset val="134"/>
    </font>
    <font>
      <sz val="16"/>
      <name val="宋体"/>
      <charset val="134"/>
    </font>
    <font>
      <sz val="12"/>
      <name val="宋体"/>
      <charset val="0"/>
      <scheme val="minor"/>
    </font>
    <font>
      <sz val="9"/>
      <name val="宋体"/>
      <charset val="134"/>
    </font>
    <font>
      <sz val="10"/>
      <name val="宋体"/>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8"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74">
    <xf numFmtId="0" fontId="0" fillId="0" borderId="0" xfId="0">
      <alignment vertical="center"/>
    </xf>
    <xf numFmtId="0" fontId="1" fillId="0" borderId="0" xfId="0" applyFo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176" fontId="2" fillId="0" borderId="3" xfId="0" applyNumberFormat="1" applyFont="1" applyFill="1" applyBorder="1" applyAlignment="1">
      <alignment horizontal="center" vertical="center" wrapText="1"/>
    </xf>
    <xf numFmtId="0" fontId="2" fillId="0" borderId="2"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1" xfId="0" applyFont="1" applyFill="1" applyBorder="1" applyAlignment="1">
      <alignment vertical="center"/>
    </xf>
    <xf numFmtId="176" fontId="2" fillId="0" borderId="1" xfId="0" applyNumberFormat="1" applyFont="1" applyFill="1" applyBorder="1" applyAlignment="1">
      <alignment vertical="center"/>
    </xf>
    <xf numFmtId="0" fontId="4" fillId="0" borderId="0" xfId="0" applyFont="1" applyAlignment="1">
      <alignment horizontal="left" vertical="center"/>
    </xf>
    <xf numFmtId="14" fontId="4" fillId="0" borderId="0" xfId="0" applyNumberFormat="1" applyFont="1" applyAlignment="1">
      <alignment horizontal="left" vertical="center"/>
    </xf>
    <xf numFmtId="0" fontId="4" fillId="0" borderId="0" xfId="0" applyNumberFormat="1" applyFont="1" applyAlignment="1">
      <alignment horizontal="lef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5" xfId="55" applyFont="1" applyFill="1" applyBorder="1"/>
    <xf numFmtId="0" fontId="8" fillId="2" borderId="6" xfId="55" applyFont="1" applyFill="1" applyBorder="1" applyAlignment="1">
      <alignment horizontal="center"/>
    </xf>
    <xf numFmtId="14" fontId="7" fillId="2" borderId="6" xfId="55" applyNumberFormat="1" applyFont="1" applyFill="1" applyBorder="1" applyAlignment="1" applyProtection="1">
      <alignment horizontal="center"/>
    </xf>
    <xf numFmtId="177" fontId="7" fillId="2" borderId="6" xfId="55" applyNumberFormat="1" applyFont="1" applyFill="1" applyBorder="1" applyAlignment="1" applyProtection="1">
      <alignment horizontal="center"/>
    </xf>
    <xf numFmtId="10" fontId="7" fillId="2" borderId="6" xfId="55" applyNumberFormat="1" applyFont="1" applyFill="1" applyBorder="1" applyAlignment="1">
      <alignment horizontal="center"/>
    </xf>
    <xf numFmtId="178" fontId="8" fillId="2" borderId="5" xfId="55" applyNumberFormat="1" applyFont="1" applyFill="1" applyBorder="1" applyAlignment="1">
      <alignment horizontal="center"/>
    </xf>
    <xf numFmtId="0" fontId="7" fillId="0" borderId="5" xfId="55" applyFont="1" applyBorder="1"/>
    <xf numFmtId="0" fontId="5" fillId="0" borderId="5" xfId="0" applyFont="1" applyBorder="1" applyAlignment="1"/>
    <xf numFmtId="0" fontId="1" fillId="2" borderId="0" xfId="0" applyFont="1" applyFill="1" applyAlignment="1"/>
    <xf numFmtId="0" fontId="9" fillId="2" borderId="0" xfId="55" applyFont="1" applyFill="1"/>
    <xf numFmtId="0" fontId="6" fillId="2" borderId="7" xfId="55" applyFont="1" applyFill="1" applyBorder="1"/>
    <xf numFmtId="177" fontId="10" fillId="2" borderId="8" xfId="55" applyNumberFormat="1" applyFont="1" applyFill="1" applyBorder="1" applyAlignment="1">
      <alignment horizontal="center" vertical="center" wrapText="1"/>
    </xf>
    <xf numFmtId="177" fontId="6" fillId="2" borderId="9" xfId="55" applyNumberFormat="1" applyFont="1" applyFill="1" applyBorder="1" applyAlignment="1">
      <alignment horizontal="center"/>
    </xf>
    <xf numFmtId="177" fontId="10" fillId="2" borderId="7" xfId="55" applyNumberFormat="1" applyFont="1" applyFill="1" applyBorder="1" applyAlignment="1">
      <alignment horizontal="center" vertical="center" wrapText="1"/>
    </xf>
    <xf numFmtId="177" fontId="6" fillId="2" borderId="8" xfId="55" applyNumberFormat="1" applyFont="1" applyFill="1" applyBorder="1" applyAlignment="1">
      <alignment horizontal="center"/>
    </xf>
    <xf numFmtId="0" fontId="6" fillId="2" borderId="10" xfId="55" applyFont="1" applyFill="1" applyBorder="1"/>
    <xf numFmtId="177" fontId="10" fillId="2" borderId="1" xfId="55" applyNumberFormat="1" applyFont="1" applyFill="1" applyBorder="1" applyAlignment="1">
      <alignment horizontal="center" vertical="center" wrapText="1"/>
    </xf>
    <xf numFmtId="177" fontId="6" fillId="2" borderId="11" xfId="55" applyNumberFormat="1" applyFont="1" applyFill="1" applyBorder="1" applyAlignment="1">
      <alignment horizontal="center"/>
    </xf>
    <xf numFmtId="177" fontId="10" fillId="2" borderId="10" xfId="55" applyNumberFormat="1" applyFont="1" applyFill="1" applyBorder="1" applyAlignment="1">
      <alignment horizontal="center" vertical="center" wrapText="1"/>
    </xf>
    <xf numFmtId="177" fontId="6" fillId="2" borderId="1" xfId="55" applyNumberFormat="1" applyFont="1" applyFill="1" applyBorder="1" applyAlignment="1">
      <alignment horizontal="center"/>
    </xf>
    <xf numFmtId="0" fontId="6" fillId="2" borderId="12" xfId="55" applyFont="1" applyFill="1" applyBorder="1"/>
    <xf numFmtId="177" fontId="10" fillId="2" borderId="13" xfId="55" applyNumberFormat="1" applyFont="1" applyFill="1" applyBorder="1" applyAlignment="1">
      <alignment horizontal="center" vertical="center" wrapText="1"/>
    </xf>
    <xf numFmtId="177" fontId="6" fillId="2" borderId="14" xfId="55" applyNumberFormat="1" applyFont="1" applyFill="1" applyBorder="1" applyAlignment="1">
      <alignment horizontal="center"/>
    </xf>
    <xf numFmtId="177" fontId="10" fillId="2" borderId="12" xfId="55" applyNumberFormat="1" applyFont="1" applyFill="1" applyBorder="1" applyAlignment="1">
      <alignment horizontal="center" vertical="center" wrapText="1"/>
    </xf>
    <xf numFmtId="177" fontId="6" fillId="2" borderId="13" xfId="55" applyNumberFormat="1"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6" fillId="2" borderId="0" xfId="55" applyNumberFormat="1" applyFont="1" applyFill="1"/>
    <xf numFmtId="0" fontId="11" fillId="2" borderId="0" xfId="55" applyFont="1" applyFill="1" applyAlignment="1">
      <alignment horizontal="center"/>
    </xf>
    <xf numFmtId="0" fontId="12" fillId="2" borderId="0" xfId="55" applyFont="1" applyFill="1" applyAlignment="1">
      <alignment horizontal="left"/>
    </xf>
    <xf numFmtId="14" fontId="11" fillId="2" borderId="0" xfId="55" applyNumberFormat="1" applyFont="1" applyFill="1" applyAlignment="1">
      <alignment horizontal="center"/>
    </xf>
    <xf numFmtId="0" fontId="11" fillId="2" borderId="0" xfId="55" applyFont="1" applyFill="1"/>
    <xf numFmtId="0" fontId="11" fillId="0" borderId="0" xfId="55" applyFont="1"/>
    <xf numFmtId="0" fontId="11" fillId="0" borderId="0" xfId="0" applyFont="1" applyAlignment="1"/>
    <xf numFmtId="0" fontId="13" fillId="2" borderId="0" xfId="55" applyFont="1" applyFill="1"/>
    <xf numFmtId="0" fontId="14" fillId="2" borderId="0" xfId="55" applyFont="1" applyFill="1"/>
    <xf numFmtId="0" fontId="13" fillId="0" borderId="0" xfId="55" applyFont="1"/>
    <xf numFmtId="0" fontId="10" fillId="2" borderId="0" xfId="55" applyFont="1" applyFill="1" applyAlignment="1"/>
    <xf numFmtId="0" fontId="8" fillId="2" borderId="2" xfId="55" applyFont="1" applyFill="1" applyBorder="1" applyAlignment="1">
      <alignment horizontal="center" vertical="center"/>
    </xf>
    <xf numFmtId="0" fontId="8" fillId="2" borderId="2"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10" fillId="0" borderId="0" xfId="55" applyFont="1" applyAlignment="1"/>
    <xf numFmtId="0" fontId="10" fillId="2" borderId="0" xfId="55" applyFont="1" applyFill="1"/>
    <xf numFmtId="0" fontId="8" fillId="2" borderId="3" xfId="55" applyFont="1" applyFill="1" applyBorder="1" applyAlignment="1">
      <alignment horizontal="center" vertical="center" wrapText="1"/>
    </xf>
    <xf numFmtId="0" fontId="8" fillId="2" borderId="3" xfId="55" applyFont="1" applyFill="1" applyBorder="1" applyAlignment="1">
      <alignment vertical="center" wrapText="1"/>
    </xf>
    <xf numFmtId="0" fontId="6" fillId="2" borderId="1" xfId="55" applyFont="1" applyFill="1" applyBorder="1"/>
    <xf numFmtId="0" fontId="8" fillId="2" borderId="1" xfId="55" applyFont="1" applyFill="1" applyBorder="1" applyAlignment="1">
      <alignment horizontal="center" vertical="center" wrapText="1"/>
    </xf>
    <xf numFmtId="0" fontId="10" fillId="0" borderId="0" xfId="55" applyFont="1"/>
    <xf numFmtId="0" fontId="15" fillId="2" borderId="0" xfId="55" applyFont="1" applyFill="1" applyAlignment="1">
      <alignment vertical="center"/>
    </xf>
    <xf numFmtId="0" fontId="15" fillId="2" borderId="1" xfId="55" applyFont="1" applyFill="1" applyBorder="1" applyAlignment="1">
      <alignment horizontal="left" vertical="center" wrapText="1"/>
    </xf>
    <xf numFmtId="179" fontId="15" fillId="2" borderId="1" xfId="55" applyNumberFormat="1" applyFont="1" applyFill="1" applyBorder="1" applyAlignment="1">
      <alignment horizontal="center" vertical="center" wrapText="1"/>
    </xf>
    <xf numFmtId="177" fontId="15" fillId="2" borderId="1" xfId="55" applyNumberFormat="1" applyFont="1" applyFill="1" applyBorder="1" applyAlignment="1">
      <alignment horizontal="center" vertical="center" wrapText="1"/>
    </xf>
    <xf numFmtId="14" fontId="15" fillId="2" borderId="1" xfId="55" applyNumberFormat="1" applyFont="1" applyFill="1" applyBorder="1" applyAlignment="1">
      <alignment horizontal="center" vertical="center" wrapText="1"/>
    </xf>
    <xf numFmtId="0" fontId="15" fillId="3" borderId="0" xfId="55" applyFont="1" applyFill="1" applyAlignment="1">
      <alignment vertical="center"/>
    </xf>
    <xf numFmtId="0" fontId="3" fillId="0" borderId="0" xfId="0" applyFont="1" applyAlignment="1"/>
    <xf numFmtId="14" fontId="6" fillId="2" borderId="1" xfId="55" applyNumberFormat="1" applyFont="1" applyFill="1" applyBorder="1" applyAlignment="1">
      <alignment horizontal="center" wrapText="1"/>
    </xf>
    <xf numFmtId="177"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10" fillId="2" borderId="1" xfId="55" applyFont="1" applyFill="1" applyBorder="1" applyAlignment="1">
      <alignment horizontal="center" wrapText="1"/>
    </xf>
    <xf numFmtId="14" fontId="10" fillId="2" borderId="1" xfId="55" applyNumberFormat="1" applyFont="1" applyFill="1" applyBorder="1" applyAlignment="1">
      <alignment horizontal="center" wrapText="1"/>
    </xf>
    <xf numFmtId="177" fontId="10" fillId="2" borderId="1" xfId="55" applyNumberFormat="1" applyFont="1" applyFill="1" applyBorder="1" applyAlignment="1">
      <alignment horizontal="center" wrapText="1"/>
    </xf>
    <xf numFmtId="177" fontId="16" fillId="2" borderId="1" xfId="55" applyNumberFormat="1" applyFont="1" applyFill="1" applyBorder="1" applyAlignment="1">
      <alignment horizontal="center"/>
    </xf>
    <xf numFmtId="0" fontId="17" fillId="2" borderId="0" xfId="55" applyFont="1" applyFill="1" applyAlignment="1">
      <alignment vertical="center"/>
    </xf>
    <xf numFmtId="14" fontId="18" fillId="2" borderId="1" xfId="55" applyNumberFormat="1" applyFont="1" applyFill="1" applyBorder="1" applyAlignment="1">
      <alignment horizontal="center" wrapText="1"/>
    </xf>
    <xf numFmtId="177" fontId="18" fillId="2" borderId="1" xfId="55" applyNumberFormat="1" applyFont="1" applyFill="1" applyBorder="1" applyAlignment="1">
      <alignment horizontal="center" wrapText="1"/>
    </xf>
    <xf numFmtId="0" fontId="17" fillId="2" borderId="1" xfId="55" applyFont="1" applyFill="1" applyBorder="1" applyAlignment="1">
      <alignment horizontal="left" vertical="center" wrapText="1"/>
    </xf>
    <xf numFmtId="0" fontId="6" fillId="2" borderId="0" xfId="55" applyFont="1" applyFill="1" applyBorder="1" applyAlignment="1">
      <alignment horizontal="center" wrapText="1"/>
    </xf>
    <xf numFmtId="14" fontId="6" fillId="2" borderId="0" xfId="55"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8"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19" xfId="0" applyFont="1" applyFill="1" applyBorder="1" applyAlignment="1" applyProtection="1">
      <alignment horizontal="center"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0" fillId="2" borderId="22" xfId="0" applyFont="1" applyFill="1" applyBorder="1" applyAlignment="1" applyProtection="1">
      <alignment horizontal="left" vertical="center"/>
    </xf>
    <xf numFmtId="0" fontId="22" fillId="2" borderId="23" xfId="0" applyFont="1" applyFill="1" applyBorder="1" applyAlignment="1" applyProtection="1">
      <alignment vertical="center"/>
    </xf>
    <xf numFmtId="0" fontId="22" fillId="2" borderId="24" xfId="0" applyFont="1" applyFill="1" applyBorder="1" applyAlignment="1" applyProtection="1">
      <alignment horizontal="right" vertical="center"/>
    </xf>
    <xf numFmtId="0" fontId="22" fillId="2" borderId="8"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19" fillId="2" borderId="25"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3" xfId="0" applyFont="1" applyFill="1" applyBorder="1" applyAlignment="1" applyProtection="1">
      <alignment horizontal="left" vertical="center"/>
    </xf>
    <xf numFmtId="0" fontId="21" fillId="2" borderId="27" xfId="0" applyFont="1" applyFill="1" applyBorder="1" applyAlignment="1" applyProtection="1">
      <alignment horizontal="left" vertical="center"/>
    </xf>
    <xf numFmtId="0" fontId="22" fillId="2" borderId="20"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left" vertical="center" wrapText="1"/>
    </xf>
    <xf numFmtId="180" fontId="22" fillId="2" borderId="1" xfId="0" applyNumberFormat="1"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0" fontId="22" fillId="2" borderId="13" xfId="0"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80" fontId="22" fillId="2" borderId="13" xfId="0" applyNumberFormat="1" applyFont="1" applyFill="1" applyBorder="1" applyAlignment="1" applyProtection="1">
      <alignment horizontal="left" vertical="center" wrapText="1"/>
    </xf>
    <xf numFmtId="0" fontId="22" fillId="2" borderId="1" xfId="5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180" fontId="22" fillId="2" borderId="2" xfId="0" applyNumberFormat="1" applyFont="1" applyFill="1" applyBorder="1" applyAlignment="1" applyProtection="1">
      <alignment horizontal="left" vertical="center" wrapText="1"/>
    </xf>
    <xf numFmtId="180" fontId="22" fillId="2" borderId="9" xfId="0" applyNumberFormat="1" applyFont="1" applyFill="1" applyBorder="1" applyAlignment="1" applyProtection="1">
      <alignment horizontal="left" vertical="center" wrapText="1"/>
    </xf>
    <xf numFmtId="180" fontId="22" fillId="2" borderId="11"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180" fontId="22" fillId="2" borderId="31" xfId="0" applyNumberFormat="1"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3" fillId="0" borderId="0" xfId="60" applyFont="1" applyAlignment="1">
      <alignment horizontal="left" vertical="center"/>
    </xf>
    <xf numFmtId="0" fontId="23" fillId="0" borderId="32" xfId="60" applyFont="1" applyBorder="1" applyAlignment="1">
      <alignment horizontal="left" vertical="center"/>
    </xf>
    <xf numFmtId="0" fontId="23" fillId="4" borderId="0" xfId="60" applyFont="1" applyFill="1" applyAlignment="1">
      <alignment horizontal="left" vertical="center"/>
    </xf>
    <xf numFmtId="0" fontId="23" fillId="0" borderId="0" xfId="60" applyFont="1" applyFill="1" applyAlignment="1">
      <alignment horizontal="left" vertical="center"/>
    </xf>
    <xf numFmtId="0" fontId="24" fillId="5" borderId="0" xfId="60" applyFont="1" applyFill="1" applyAlignment="1">
      <alignment horizontal="left" vertical="center"/>
    </xf>
    <xf numFmtId="0" fontId="23" fillId="5" borderId="0" xfId="60" applyFont="1" applyFill="1" applyAlignment="1">
      <alignment horizontal="left" vertical="center"/>
    </xf>
    <xf numFmtId="0" fontId="25" fillId="3" borderId="0" xfId="60" applyFont="1" applyFill="1" applyAlignment="1">
      <alignment horizontal="left" vertical="center"/>
    </xf>
    <xf numFmtId="0" fontId="25" fillId="0" borderId="23" xfId="60" applyFont="1" applyBorder="1" applyAlignment="1">
      <alignment horizontal="left" vertical="center"/>
    </xf>
    <xf numFmtId="0" fontId="26" fillId="0" borderId="0" xfId="60" applyFont="1" applyAlignment="1">
      <alignment horizontal="left" vertical="center"/>
    </xf>
    <xf numFmtId="0" fontId="25" fillId="0" borderId="0" xfId="60" applyFont="1" applyAlignment="1">
      <alignment horizontal="left" vertical="center"/>
    </xf>
    <xf numFmtId="0" fontId="25" fillId="0" borderId="33" xfId="60" applyFont="1" applyBorder="1" applyAlignment="1">
      <alignment horizontal="left" vertical="center"/>
    </xf>
    <xf numFmtId="0" fontId="27" fillId="0" borderId="0" xfId="60" applyFont="1" applyAlignment="1">
      <alignment horizontal="left" vertical="center"/>
    </xf>
    <xf numFmtId="0" fontId="8" fillId="0" borderId="0" xfId="60" applyFont="1" applyAlignment="1">
      <alignment horizontal="left" vertical="center"/>
    </xf>
    <xf numFmtId="0" fontId="28" fillId="2" borderId="32" xfId="51" applyFont="1" applyFill="1" applyBorder="1" applyAlignment="1" applyProtection="1">
      <alignment horizontal="left" vertical="center"/>
    </xf>
    <xf numFmtId="0" fontId="29" fillId="2" borderId="32" xfId="51" applyFont="1" applyFill="1" applyBorder="1" applyAlignment="1" applyProtection="1">
      <alignment horizontal="left" vertical="center"/>
    </xf>
    <xf numFmtId="0" fontId="23" fillId="0" borderId="34" xfId="60" applyFont="1" applyBorder="1" applyAlignment="1">
      <alignment horizontal="left" vertical="center"/>
    </xf>
    <xf numFmtId="0" fontId="7" fillId="4" borderId="0" xfId="60" applyFont="1" applyFill="1" applyAlignment="1">
      <alignment horizontal="left" vertical="center"/>
    </xf>
    <xf numFmtId="0" fontId="30" fillId="4" borderId="0" xfId="51" applyFont="1" applyFill="1" applyAlignment="1" applyProtection="1">
      <alignment horizontal="left" vertical="center"/>
    </xf>
    <xf numFmtId="0" fontId="29" fillId="4" borderId="0" xfId="51" applyFont="1" applyFill="1" applyAlignment="1" applyProtection="1">
      <alignment horizontal="left" vertical="center"/>
    </xf>
    <xf numFmtId="0" fontId="23" fillId="4" borderId="33" xfId="60" applyFont="1" applyFill="1" applyBorder="1" applyAlignment="1">
      <alignment horizontal="left" vertical="center"/>
    </xf>
    <xf numFmtId="0" fontId="23" fillId="4" borderId="0" xfId="60" applyFont="1" applyFill="1" applyBorder="1" applyAlignment="1">
      <alignment horizontal="left" vertical="center"/>
    </xf>
    <xf numFmtId="177" fontId="24" fillId="4" borderId="0" xfId="60" applyNumberFormat="1" applyFont="1" applyFill="1" applyBorder="1" applyAlignment="1" applyProtection="1">
      <alignment horizontal="left" vertical="center"/>
      <protection locked="0"/>
    </xf>
    <xf numFmtId="0" fontId="8" fillId="4" borderId="0" xfId="60" applyFont="1" applyFill="1" applyAlignment="1">
      <alignment horizontal="left" vertical="center"/>
    </xf>
    <xf numFmtId="181" fontId="25" fillId="4" borderId="0" xfId="60" applyNumberFormat="1" applyFont="1" applyFill="1" applyAlignment="1">
      <alignment horizontal="left" vertical="center"/>
    </xf>
    <xf numFmtId="10" fontId="25" fillId="4" borderId="0" xfId="60" applyNumberFormat="1" applyFont="1" applyFill="1" applyAlignment="1">
      <alignment horizontal="left" vertical="center"/>
    </xf>
    <xf numFmtId="0" fontId="30" fillId="0" borderId="0" xfId="51" applyFont="1" applyFill="1" applyAlignment="1" applyProtection="1">
      <alignment horizontal="left" vertical="center"/>
    </xf>
    <xf numFmtId="0" fontId="29" fillId="0" borderId="0" xfId="51" applyFont="1" applyFill="1" applyAlignment="1" applyProtection="1">
      <alignment horizontal="left" vertical="center"/>
    </xf>
    <xf numFmtId="0" fontId="23" fillId="0" borderId="33" xfId="60" applyFont="1" applyFill="1" applyBorder="1" applyAlignment="1">
      <alignment horizontal="left" vertical="center"/>
    </xf>
    <xf numFmtId="0" fontId="23" fillId="0" borderId="0" xfId="60" applyFont="1" applyFill="1" applyBorder="1" applyAlignment="1">
      <alignment horizontal="left" vertical="center"/>
    </xf>
    <xf numFmtId="0" fontId="23" fillId="0" borderId="0" xfId="60" applyFont="1" applyFill="1" applyBorder="1" applyAlignment="1" applyProtection="1">
      <alignment horizontal="left" vertical="center"/>
      <protection locked="0"/>
    </xf>
    <xf numFmtId="10" fontId="25" fillId="0" borderId="0" xfId="60" applyNumberFormat="1" applyFont="1" applyAlignment="1">
      <alignment horizontal="left" vertical="center"/>
    </xf>
    <xf numFmtId="49" fontId="31" fillId="2" borderId="1" xfId="60" applyNumberFormat="1" applyFont="1" applyFill="1" applyBorder="1" applyAlignment="1" applyProtection="1">
      <alignment horizontal="left" vertical="center" wrapText="1"/>
    </xf>
    <xf numFmtId="180" fontId="25" fillId="0" borderId="0" xfId="60" applyNumberFormat="1" applyFont="1" applyAlignment="1">
      <alignment horizontal="left" vertical="center"/>
    </xf>
    <xf numFmtId="180" fontId="32" fillId="6" borderId="35" xfId="60" applyNumberFormat="1" applyFont="1" applyFill="1" applyBorder="1" applyAlignment="1" applyProtection="1">
      <alignment horizontal="left" vertical="center" wrapText="1"/>
    </xf>
    <xf numFmtId="180" fontId="32" fillId="7" borderId="36" xfId="60" applyNumberFormat="1" applyFont="1" applyFill="1" applyBorder="1" applyAlignment="1" applyProtection="1">
      <alignment horizontal="left" vertical="center" wrapText="1"/>
    </xf>
    <xf numFmtId="177" fontId="32" fillId="7" borderId="36" xfId="61" applyNumberFormat="1" applyFont="1" applyFill="1" applyBorder="1" applyAlignment="1" applyProtection="1">
      <alignment horizontal="left" vertical="center" wrapText="1"/>
    </xf>
    <xf numFmtId="177" fontId="32" fillId="7" borderId="37" xfId="61" applyNumberFormat="1" applyFont="1" applyFill="1" applyBorder="1" applyAlignment="1" applyProtection="1">
      <alignment horizontal="left" vertical="center" wrapText="1"/>
    </xf>
    <xf numFmtId="10" fontId="25" fillId="0" borderId="33" xfId="60" applyNumberFormat="1" applyFont="1" applyBorder="1" applyAlignment="1">
      <alignment horizontal="left" vertical="center"/>
    </xf>
    <xf numFmtId="178" fontId="25" fillId="0" borderId="0" xfId="60" applyNumberFormat="1" applyFont="1" applyAlignment="1">
      <alignment horizontal="left" vertical="center"/>
    </xf>
    <xf numFmtId="0" fontId="25" fillId="0" borderId="0" xfId="60" applyFont="1" applyFill="1" applyAlignment="1">
      <alignment horizontal="left" vertical="center"/>
    </xf>
    <xf numFmtId="181" fontId="25" fillId="0" borderId="0" xfId="60" applyNumberFormat="1" applyFont="1" applyFill="1" applyAlignment="1">
      <alignment horizontal="left" vertical="center"/>
    </xf>
    <xf numFmtId="10" fontId="25" fillId="0" borderId="0" xfId="60" applyNumberFormat="1" applyFont="1" applyFill="1" applyAlignment="1">
      <alignment horizontal="left" vertical="center"/>
    </xf>
    <xf numFmtId="49" fontId="31" fillId="5" borderId="1" xfId="60" applyNumberFormat="1" applyFont="1" applyFill="1" applyBorder="1" applyAlignment="1" applyProtection="1">
      <alignment horizontal="left" vertical="center" wrapText="1"/>
    </xf>
    <xf numFmtId="180" fontId="24" fillId="5" borderId="0" xfId="60" applyNumberFormat="1" applyFont="1" applyFill="1" applyAlignment="1">
      <alignment horizontal="left" vertical="center"/>
    </xf>
    <xf numFmtId="180" fontId="32" fillId="5" borderId="36" xfId="60" applyNumberFormat="1" applyFont="1" applyFill="1" applyBorder="1" applyAlignment="1" applyProtection="1">
      <alignment horizontal="left" vertical="center" wrapText="1"/>
    </xf>
    <xf numFmtId="177" fontId="24" fillId="5" borderId="0" xfId="60" applyNumberFormat="1" applyFont="1" applyFill="1" applyBorder="1" applyAlignment="1" applyProtection="1">
      <alignment horizontal="left" vertical="center"/>
      <protection locked="0"/>
    </xf>
    <xf numFmtId="10" fontId="24" fillId="5" borderId="38" xfId="60" applyNumberFormat="1" applyFont="1" applyFill="1" applyBorder="1" applyAlignment="1">
      <alignment horizontal="left" vertical="center"/>
    </xf>
    <xf numFmtId="0" fontId="23" fillId="5" borderId="33" xfId="60" applyFont="1" applyFill="1" applyBorder="1" applyAlignment="1">
      <alignment horizontal="left" vertical="center"/>
    </xf>
    <xf numFmtId="0" fontId="26" fillId="3" borderId="0" xfId="60" applyFont="1" applyFill="1" applyAlignment="1">
      <alignment horizontal="left" vertical="center"/>
    </xf>
    <xf numFmtId="181" fontId="25" fillId="5" borderId="0" xfId="60" applyNumberFormat="1" applyFont="1" applyFill="1" applyAlignment="1">
      <alignment horizontal="left" vertical="center"/>
    </xf>
    <xf numFmtId="10" fontId="25" fillId="5" borderId="0" xfId="60" applyNumberFormat="1" applyFont="1" applyFill="1" applyAlignment="1">
      <alignment horizontal="left" vertical="center"/>
    </xf>
    <xf numFmtId="177" fontId="32" fillId="7" borderId="36" xfId="60" applyNumberFormat="1" applyFont="1" applyFill="1" applyBorder="1" applyAlignment="1" applyProtection="1">
      <alignment horizontal="left" vertical="center" wrapText="1"/>
    </xf>
    <xf numFmtId="177" fontId="32" fillId="7" borderId="37" xfId="60" applyNumberFormat="1" applyFont="1" applyFill="1" applyBorder="1" applyAlignment="1" applyProtection="1">
      <alignment horizontal="left" vertical="center" wrapText="1"/>
    </xf>
    <xf numFmtId="180" fontId="32" fillId="6" borderId="39" xfId="60" applyNumberFormat="1" applyFont="1" applyFill="1" applyBorder="1" applyAlignment="1" applyProtection="1">
      <alignment horizontal="left" vertical="center" wrapText="1"/>
    </xf>
    <xf numFmtId="177" fontId="32" fillId="6" borderId="39" xfId="60" applyNumberFormat="1" applyFont="1" applyFill="1" applyBorder="1" applyAlignment="1" applyProtection="1">
      <alignment horizontal="left" vertical="center" wrapText="1"/>
    </xf>
    <xf numFmtId="177" fontId="32" fillId="6" borderId="40" xfId="60" applyNumberFormat="1" applyFont="1" applyFill="1" applyBorder="1" applyAlignment="1" applyProtection="1">
      <alignment horizontal="left" vertical="center" wrapText="1"/>
    </xf>
    <xf numFmtId="180" fontId="23" fillId="6" borderId="39" xfId="60" applyNumberFormat="1" applyFont="1" applyFill="1" applyBorder="1" applyAlignment="1" applyProtection="1">
      <alignment horizontal="left" vertical="center" wrapText="1"/>
    </xf>
    <xf numFmtId="180" fontId="23" fillId="6" borderId="41" xfId="60" applyNumberFormat="1" applyFont="1" applyFill="1" applyBorder="1" applyAlignment="1" applyProtection="1">
      <alignment horizontal="left" vertical="center" wrapText="1"/>
    </xf>
    <xf numFmtId="180" fontId="32" fillId="6" borderId="36" xfId="60" applyNumberFormat="1" applyFont="1" applyFill="1" applyBorder="1" applyAlignment="1" applyProtection="1">
      <alignment horizontal="left" vertical="center" wrapText="1"/>
    </xf>
    <xf numFmtId="177" fontId="32" fillId="6" borderId="36" xfId="60" applyNumberFormat="1" applyFont="1" applyFill="1" applyBorder="1" applyAlignment="1" applyProtection="1">
      <alignment horizontal="left" vertical="center" wrapText="1"/>
    </xf>
    <xf numFmtId="177" fontId="32" fillId="6" borderId="37" xfId="60" applyNumberFormat="1" applyFont="1" applyFill="1" applyBorder="1" applyAlignment="1" applyProtection="1">
      <alignment horizontal="left" vertical="center" wrapText="1"/>
    </xf>
    <xf numFmtId="180" fontId="32" fillId="6" borderId="42" xfId="60" applyNumberFormat="1" applyFont="1" applyFill="1" applyBorder="1" applyAlignment="1" applyProtection="1">
      <alignment horizontal="left" vertical="center" wrapText="1"/>
    </xf>
    <xf numFmtId="180" fontId="23" fillId="6" borderId="39" xfId="60" applyNumberFormat="1" applyFont="1" applyFill="1" applyBorder="1" applyAlignment="1">
      <alignment horizontal="left" vertical="center" wrapText="1"/>
    </xf>
    <xf numFmtId="180" fontId="23" fillId="6" borderId="41" xfId="60" applyNumberFormat="1" applyFont="1" applyFill="1" applyBorder="1" applyAlignment="1">
      <alignment horizontal="left" vertical="center" wrapText="1"/>
    </xf>
    <xf numFmtId="180" fontId="32" fillId="6" borderId="43" xfId="60" applyNumberFormat="1" applyFont="1" applyFill="1" applyBorder="1" applyAlignment="1" applyProtection="1">
      <alignment horizontal="left" vertical="center" wrapText="1"/>
    </xf>
    <xf numFmtId="182" fontId="25" fillId="0" borderId="33" xfId="60" applyNumberFormat="1" applyFont="1" applyBorder="1" applyAlignment="1">
      <alignment horizontal="left" vertical="center"/>
    </xf>
    <xf numFmtId="182" fontId="25" fillId="0" borderId="0" xfId="60" applyNumberFormat="1" applyFont="1" applyAlignment="1">
      <alignment horizontal="left" vertical="center"/>
    </xf>
    <xf numFmtId="181" fontId="25" fillId="0" borderId="0" xfId="60" applyNumberFormat="1" applyFont="1" applyAlignment="1">
      <alignment horizontal="left" vertical="center"/>
    </xf>
    <xf numFmtId="180" fontId="32" fillId="6" borderId="44" xfId="60" applyNumberFormat="1" applyFont="1" applyFill="1" applyBorder="1" applyAlignment="1" applyProtection="1">
      <alignment horizontal="left" vertical="center" wrapText="1"/>
    </xf>
    <xf numFmtId="10" fontId="25" fillId="0" borderId="38" xfId="60" applyNumberFormat="1" applyFont="1" applyBorder="1" applyAlignment="1">
      <alignment horizontal="left" vertical="center"/>
    </xf>
    <xf numFmtId="10" fontId="25" fillId="0" borderId="45" xfId="60" applyNumberFormat="1" applyFont="1" applyBorder="1" applyAlignment="1">
      <alignment horizontal="left" vertical="center"/>
    </xf>
    <xf numFmtId="180" fontId="32" fillId="6" borderId="46" xfId="60" applyNumberFormat="1" applyFont="1" applyFill="1" applyBorder="1" applyAlignment="1" applyProtection="1">
      <alignment horizontal="left" vertical="center" wrapText="1"/>
    </xf>
    <xf numFmtId="180" fontId="32" fillId="6" borderId="47" xfId="60" applyNumberFormat="1" applyFont="1" applyFill="1" applyBorder="1" applyAlignment="1" applyProtection="1">
      <alignment horizontal="left" vertical="center" wrapText="1"/>
    </xf>
    <xf numFmtId="177" fontId="32" fillId="6" borderId="47" xfId="60" applyNumberFormat="1" applyFont="1" applyFill="1" applyBorder="1" applyAlignment="1" applyProtection="1">
      <alignment horizontal="left" vertical="center" wrapText="1"/>
    </xf>
    <xf numFmtId="177" fontId="32" fillId="6" borderId="48" xfId="60" applyNumberFormat="1" applyFont="1" applyFill="1" applyBorder="1" applyAlignment="1" applyProtection="1">
      <alignment horizontal="left" vertical="center" wrapText="1"/>
    </xf>
    <xf numFmtId="10" fontId="25" fillId="0" borderId="49" xfId="60" applyNumberFormat="1" applyFont="1" applyBorder="1" applyAlignment="1">
      <alignment horizontal="left" vertical="center"/>
    </xf>
    <xf numFmtId="10" fontId="25" fillId="0" borderId="50" xfId="60" applyNumberFormat="1" applyFont="1" applyBorder="1" applyAlignment="1">
      <alignment horizontal="left" vertical="center"/>
    </xf>
    <xf numFmtId="180" fontId="32" fillId="7" borderId="39" xfId="60" applyNumberFormat="1" applyFont="1" applyFill="1" applyBorder="1" applyAlignment="1" applyProtection="1">
      <alignment horizontal="left" vertical="center" wrapText="1"/>
    </xf>
    <xf numFmtId="177" fontId="32" fillId="7" borderId="39" xfId="60" applyNumberFormat="1" applyFont="1" applyFill="1" applyBorder="1" applyAlignment="1" applyProtection="1">
      <alignment horizontal="left" vertical="center" wrapText="1"/>
    </xf>
    <xf numFmtId="177" fontId="32" fillId="7" borderId="40" xfId="60" applyNumberFormat="1"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80" fontId="23" fillId="6" borderId="36" xfId="60" applyNumberFormat="1" applyFont="1" applyFill="1" applyBorder="1" applyAlignment="1">
      <alignment horizontal="left" vertical="center" wrapText="1"/>
    </xf>
    <xf numFmtId="180" fontId="23" fillId="6" borderId="51" xfId="60" applyNumberFormat="1" applyFont="1" applyFill="1" applyBorder="1" applyAlignment="1">
      <alignment horizontal="left" vertical="center" wrapText="1"/>
    </xf>
    <xf numFmtId="180" fontId="25" fillId="7" borderId="39" xfId="60" applyNumberFormat="1" applyFont="1" applyFill="1" applyBorder="1" applyAlignment="1" applyProtection="1">
      <alignment horizontal="left" vertical="center" wrapText="1"/>
    </xf>
    <xf numFmtId="177" fontId="25" fillId="7" borderId="39" xfId="60" applyNumberFormat="1" applyFont="1" applyFill="1" applyBorder="1" applyAlignment="1" applyProtection="1">
      <alignment horizontal="left" vertical="center" wrapText="1"/>
    </xf>
    <xf numFmtId="177" fontId="25" fillId="7" borderId="40" xfId="60" applyNumberFormat="1" applyFont="1" applyFill="1" applyBorder="1" applyAlignment="1" applyProtection="1">
      <alignment horizontal="left" vertical="center" wrapText="1"/>
    </xf>
    <xf numFmtId="49" fontId="31" fillId="3" borderId="1" xfId="60" applyNumberFormat="1" applyFont="1" applyFill="1" applyBorder="1" applyAlignment="1" applyProtection="1">
      <alignment horizontal="left" vertical="center" wrapText="1"/>
    </xf>
    <xf numFmtId="180" fontId="25" fillId="3" borderId="0" xfId="60" applyNumberFormat="1" applyFont="1" applyFill="1" applyAlignment="1">
      <alignment horizontal="left" vertical="center"/>
    </xf>
    <xf numFmtId="180" fontId="25" fillId="3" borderId="36" xfId="60" applyNumberFormat="1" applyFont="1" applyFill="1" applyBorder="1" applyAlignment="1" applyProtection="1">
      <alignment horizontal="left" vertical="center" wrapText="1"/>
    </xf>
    <xf numFmtId="177" fontId="25" fillId="3" borderId="36" xfId="60" applyNumberFormat="1" applyFont="1" applyFill="1" applyBorder="1" applyAlignment="1" applyProtection="1">
      <alignment horizontal="left" vertical="center" wrapText="1"/>
    </xf>
    <xf numFmtId="177" fontId="25" fillId="3" borderId="37" xfId="60" applyNumberFormat="1" applyFont="1" applyFill="1" applyBorder="1" applyAlignment="1" applyProtection="1">
      <alignment horizontal="left" vertical="center" wrapText="1"/>
    </xf>
    <xf numFmtId="10" fontId="25" fillId="3" borderId="33" xfId="60" applyNumberFormat="1" applyFont="1" applyFill="1" applyBorder="1" applyAlignment="1">
      <alignment horizontal="left" vertical="center"/>
    </xf>
    <xf numFmtId="10" fontId="25" fillId="3" borderId="0" xfId="60" applyNumberFormat="1" applyFont="1" applyFill="1" applyAlignment="1">
      <alignment horizontal="left" vertical="center"/>
    </xf>
    <xf numFmtId="178" fontId="25" fillId="3" borderId="0" xfId="60" applyNumberFormat="1" applyFont="1" applyFill="1" applyAlignment="1">
      <alignment horizontal="left" vertical="center"/>
    </xf>
    <xf numFmtId="10" fontId="25" fillId="3" borderId="38" xfId="60" applyNumberFormat="1" applyFont="1" applyFill="1" applyBorder="1" applyAlignment="1">
      <alignment horizontal="left" vertical="center"/>
    </xf>
    <xf numFmtId="10" fontId="25" fillId="3" borderId="45" xfId="60" applyNumberFormat="1" applyFont="1" applyFill="1" applyBorder="1" applyAlignment="1">
      <alignment horizontal="left" vertical="center"/>
    </xf>
    <xf numFmtId="0" fontId="10" fillId="3" borderId="0" xfId="60" applyFont="1" applyFill="1" applyAlignment="1">
      <alignment horizontal="left" vertical="center"/>
    </xf>
    <xf numFmtId="181" fontId="25" fillId="3" borderId="0" xfId="60" applyNumberFormat="1" applyFont="1" applyFill="1" applyAlignment="1">
      <alignment horizontal="left" vertical="center"/>
    </xf>
    <xf numFmtId="180" fontId="25" fillId="6" borderId="46" xfId="60" applyNumberFormat="1" applyFont="1" applyFill="1" applyBorder="1" applyAlignment="1" applyProtection="1">
      <alignment horizontal="left" vertical="center" wrapText="1"/>
    </xf>
    <xf numFmtId="180" fontId="25" fillId="6" borderId="47" xfId="60" applyNumberFormat="1" applyFont="1" applyFill="1" applyBorder="1" applyAlignment="1" applyProtection="1">
      <alignment horizontal="left" vertical="center" wrapText="1"/>
    </xf>
    <xf numFmtId="177" fontId="25" fillId="6" borderId="47" xfId="60" applyNumberFormat="1" applyFont="1" applyFill="1" applyBorder="1" applyAlignment="1" applyProtection="1">
      <alignment horizontal="left" vertical="center" wrapText="1"/>
    </xf>
    <xf numFmtId="177" fontId="25" fillId="6" borderId="48" xfId="60" applyNumberFormat="1" applyFont="1" applyFill="1" applyBorder="1" applyAlignment="1" applyProtection="1">
      <alignment horizontal="left" vertical="center" wrapText="1"/>
    </xf>
    <xf numFmtId="180" fontId="25" fillId="6" borderId="35" xfId="60" applyNumberFormat="1" applyFont="1" applyFill="1" applyBorder="1" applyAlignment="1" applyProtection="1">
      <alignment horizontal="left" vertical="center" wrapText="1"/>
    </xf>
    <xf numFmtId="14" fontId="25" fillId="0" borderId="0" xfId="60" applyNumberFormat="1" applyFont="1" applyAlignment="1">
      <alignment horizontal="left" vertical="center"/>
    </xf>
    <xf numFmtId="0" fontId="10" fillId="0" borderId="0" xfId="60" applyFont="1" applyAlignment="1">
      <alignment horizontal="left" vertical="center"/>
    </xf>
    <xf numFmtId="180" fontId="25" fillId="6" borderId="44" xfId="60" applyNumberFormat="1" applyFont="1" applyFill="1" applyBorder="1" applyAlignment="1" applyProtection="1">
      <alignment horizontal="left" vertical="center" wrapText="1"/>
    </xf>
    <xf numFmtId="180" fontId="23" fillId="6" borderId="47" xfId="60" applyNumberFormat="1" applyFont="1" applyFill="1" applyBorder="1" applyAlignment="1">
      <alignment horizontal="left" vertical="center" wrapText="1"/>
    </xf>
    <xf numFmtId="180" fontId="23" fillId="6" borderId="52" xfId="60" applyNumberFormat="1" applyFont="1" applyFill="1" applyBorder="1" applyAlignment="1">
      <alignment horizontal="left" vertical="center" wrapText="1"/>
    </xf>
    <xf numFmtId="180" fontId="25" fillId="5" borderId="0" xfId="60" applyNumberFormat="1" applyFont="1" applyFill="1" applyAlignment="1">
      <alignment horizontal="left" vertical="center"/>
    </xf>
    <xf numFmtId="180" fontId="25" fillId="0" borderId="23" xfId="60" applyNumberFormat="1" applyFont="1" applyBorder="1" applyAlignment="1">
      <alignment horizontal="left" vertical="center"/>
    </xf>
    <xf numFmtId="180" fontId="32" fillId="7" borderId="53" xfId="60" applyNumberFormat="1" applyFont="1" applyFill="1" applyBorder="1" applyAlignment="1" applyProtection="1">
      <alignment horizontal="left" vertical="center" wrapText="1"/>
    </xf>
    <xf numFmtId="177" fontId="32" fillId="7" borderId="53" xfId="60" applyNumberFormat="1" applyFont="1" applyFill="1" applyBorder="1" applyAlignment="1" applyProtection="1">
      <alignment horizontal="left" vertical="center" wrapText="1"/>
    </xf>
    <xf numFmtId="177" fontId="32" fillId="7" borderId="54" xfId="60" applyNumberFormat="1" applyFont="1" applyFill="1" applyBorder="1" applyAlignment="1" applyProtection="1">
      <alignment horizontal="left" vertical="center" wrapText="1"/>
    </xf>
    <xf numFmtId="10" fontId="25" fillId="0" borderId="55" xfId="60" applyNumberFormat="1" applyFont="1" applyBorder="1" applyAlignment="1">
      <alignment horizontal="left" vertical="center"/>
    </xf>
    <xf numFmtId="10" fontId="25" fillId="0" borderId="23" xfId="60" applyNumberFormat="1" applyFont="1" applyBorder="1" applyAlignment="1">
      <alignment horizontal="left" vertical="center"/>
    </xf>
    <xf numFmtId="178" fontId="25" fillId="0" borderId="23" xfId="60" applyNumberFormat="1" applyFont="1" applyBorder="1" applyAlignment="1">
      <alignment horizontal="left" vertical="center"/>
    </xf>
    <xf numFmtId="180" fontId="32" fillId="6" borderId="56" xfId="60" applyNumberFormat="1" applyFont="1" applyFill="1" applyBorder="1" applyAlignment="1" applyProtection="1">
      <alignment horizontal="left" vertical="center" wrapText="1"/>
    </xf>
    <xf numFmtId="177" fontId="32" fillId="6" borderId="56" xfId="60" applyNumberFormat="1" applyFont="1" applyFill="1" applyBorder="1" applyAlignment="1" applyProtection="1">
      <alignment horizontal="left" vertical="center" wrapText="1"/>
    </xf>
    <xf numFmtId="177" fontId="32" fillId="6" borderId="57" xfId="60" applyNumberFormat="1" applyFont="1" applyFill="1" applyBorder="1" applyAlignment="1" applyProtection="1">
      <alignment horizontal="left" vertical="center" wrapText="1"/>
    </xf>
    <xf numFmtId="10" fontId="25" fillId="8" borderId="33" xfId="60" applyNumberFormat="1" applyFont="1" applyFill="1" applyBorder="1" applyAlignment="1">
      <alignment horizontal="left" vertical="center"/>
    </xf>
    <xf numFmtId="10" fontId="25" fillId="8" borderId="0" xfId="60" applyNumberFormat="1" applyFont="1" applyFill="1" applyAlignment="1">
      <alignment horizontal="left" vertical="center"/>
    </xf>
    <xf numFmtId="183" fontId="25" fillId="0" borderId="0" xfId="60" applyNumberFormat="1" applyFont="1" applyAlignment="1">
      <alignment horizontal="left" vertical="center"/>
    </xf>
    <xf numFmtId="10" fontId="25" fillId="8" borderId="38" xfId="60" applyNumberFormat="1" applyFont="1" applyFill="1" applyBorder="1" applyAlignment="1">
      <alignment horizontal="left" vertical="center"/>
    </xf>
    <xf numFmtId="10" fontId="25" fillId="8" borderId="45" xfId="60" applyNumberFormat="1" applyFont="1" applyFill="1" applyBorder="1" applyAlignment="1">
      <alignment horizontal="left" vertical="center"/>
    </xf>
    <xf numFmtId="10" fontId="25" fillId="8" borderId="55" xfId="60" applyNumberFormat="1" applyFont="1" applyFill="1" applyBorder="1" applyAlignment="1">
      <alignment horizontal="left" vertical="center"/>
    </xf>
    <xf numFmtId="10" fontId="25" fillId="8" borderId="23" xfId="60" applyNumberFormat="1" applyFont="1" applyFill="1" applyBorder="1" applyAlignment="1">
      <alignment horizontal="left" vertical="center"/>
    </xf>
    <xf numFmtId="183" fontId="25" fillId="0" borderId="23" xfId="60" applyNumberFormat="1" applyFont="1" applyBorder="1" applyAlignment="1">
      <alignment horizontal="left" vertical="center"/>
    </xf>
    <xf numFmtId="0" fontId="23" fillId="7" borderId="58" xfId="60" applyFont="1" applyFill="1" applyBorder="1" applyAlignment="1">
      <alignment horizontal="left" vertical="center" wrapText="1"/>
    </xf>
    <xf numFmtId="0" fontId="23" fillId="7" borderId="59" xfId="60" applyFont="1" applyFill="1" applyBorder="1" applyAlignment="1">
      <alignment horizontal="left" vertical="center" wrapText="1"/>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178" fontId="25" fillId="8" borderId="0" xfId="60" applyNumberFormat="1" applyFont="1" applyFill="1" applyAlignment="1">
      <alignment horizontal="left" vertical="center"/>
    </xf>
    <xf numFmtId="180" fontId="32" fillId="7" borderId="47" xfId="60" applyNumberFormat="1" applyFont="1" applyFill="1" applyBorder="1" applyAlignment="1" applyProtection="1">
      <alignment horizontal="left" vertical="center" wrapText="1"/>
    </xf>
    <xf numFmtId="0" fontId="23" fillId="6" borderId="47" xfId="60" applyFont="1" applyFill="1" applyBorder="1" applyAlignment="1">
      <alignment horizontal="left" vertical="center" wrapText="1"/>
    </xf>
    <xf numFmtId="0" fontId="23" fillId="6" borderId="52" xfId="60" applyFont="1" applyFill="1" applyBorder="1" applyAlignment="1">
      <alignment horizontal="left" vertical="center" wrapText="1"/>
    </xf>
    <xf numFmtId="180" fontId="32" fillId="3" borderId="36" xfId="60" applyNumberFormat="1" applyFont="1" applyFill="1" applyBorder="1" applyAlignment="1" applyProtection="1">
      <alignment horizontal="left" vertical="center" wrapText="1"/>
    </xf>
    <xf numFmtId="184" fontId="25" fillId="3" borderId="0" xfId="60" applyNumberFormat="1" applyFont="1" applyFill="1" applyAlignment="1">
      <alignment horizontal="left" vertical="center"/>
    </xf>
    <xf numFmtId="0" fontId="25" fillId="3" borderId="33" xfId="60" applyFont="1" applyFill="1" applyBorder="1" applyAlignment="1">
      <alignment horizontal="left" vertical="center"/>
    </xf>
    <xf numFmtId="183" fontId="25" fillId="3" borderId="0" xfId="60" applyNumberFormat="1" applyFont="1" applyFill="1" applyAlignment="1">
      <alignment horizontal="left" vertical="center"/>
    </xf>
    <xf numFmtId="0" fontId="23" fillId="6" borderId="60" xfId="60" applyFont="1" applyFill="1" applyBorder="1" applyAlignment="1">
      <alignment horizontal="left" vertical="center" wrapText="1"/>
    </xf>
    <xf numFmtId="0" fontId="23" fillId="6" borderId="61" xfId="60" applyFont="1" applyFill="1" applyBorder="1" applyAlignment="1">
      <alignment horizontal="left" vertical="center" wrapText="1"/>
    </xf>
    <xf numFmtId="0" fontId="23" fillId="6" borderId="62" xfId="60" applyFont="1" applyFill="1" applyBorder="1" applyAlignment="1">
      <alignment horizontal="left" vertical="center" wrapText="1"/>
    </xf>
    <xf numFmtId="0" fontId="18" fillId="0" borderId="0" xfId="60" applyFont="1" applyAlignment="1">
      <alignment horizontal="left" vertical="center"/>
    </xf>
    <xf numFmtId="0" fontId="26" fillId="0" borderId="33" xfId="60" applyFont="1" applyBorder="1" applyAlignment="1">
      <alignment horizontal="left" vertical="center"/>
    </xf>
    <xf numFmtId="184" fontId="26" fillId="0" borderId="0" xfId="60" applyNumberFormat="1" applyFont="1" applyAlignment="1">
      <alignment horizontal="left" vertical="center"/>
    </xf>
    <xf numFmtId="184" fontId="26" fillId="0" borderId="33" xfId="60" applyNumberFormat="1" applyFont="1" applyBorder="1" applyAlignment="1">
      <alignment horizontal="left" vertical="center"/>
    </xf>
    <xf numFmtId="0" fontId="32" fillId="7" borderId="63" xfId="60" applyFont="1" applyFill="1" applyBorder="1" applyAlignment="1">
      <alignment horizontal="left" vertical="center" wrapText="1"/>
    </xf>
    <xf numFmtId="0" fontId="32" fillId="7" borderId="39" xfId="60" applyFont="1" applyFill="1" applyBorder="1" applyAlignment="1">
      <alignment horizontal="left" vertical="center" wrapText="1"/>
    </xf>
    <xf numFmtId="0" fontId="32" fillId="6" borderId="64" xfId="60" applyFont="1" applyFill="1" applyBorder="1" applyAlignment="1">
      <alignment horizontal="left" vertical="center" wrapText="1"/>
    </xf>
    <xf numFmtId="0" fontId="32" fillId="6" borderId="36" xfId="60" applyFont="1" applyFill="1" applyBorder="1" applyAlignment="1">
      <alignment horizontal="left" vertical="center" wrapText="1"/>
    </xf>
    <xf numFmtId="0" fontId="32" fillId="7" borderId="64" xfId="60" applyFont="1" applyFill="1" applyBorder="1" applyAlignment="1">
      <alignment horizontal="left" vertical="center" wrapText="1"/>
    </xf>
    <xf numFmtId="0" fontId="32" fillId="7" borderId="36" xfId="60" applyFont="1" applyFill="1" applyBorder="1" applyAlignment="1">
      <alignment horizontal="left" vertical="center" wrapText="1"/>
    </xf>
    <xf numFmtId="0" fontId="32" fillId="6" borderId="65" xfId="60" applyFont="1" applyFill="1" applyBorder="1" applyAlignment="1">
      <alignment horizontal="left" vertical="center" wrapText="1"/>
    </xf>
    <xf numFmtId="0" fontId="32" fillId="6" borderId="47" xfId="60" applyFont="1" applyFill="1" applyBorder="1" applyAlignment="1">
      <alignment horizontal="left" vertical="center" wrapText="1"/>
    </xf>
    <xf numFmtId="0" fontId="23" fillId="0" borderId="32" xfId="60" applyFont="1" applyBorder="1" applyAlignment="1" applyProtection="1">
      <alignment horizontal="left" vertical="center"/>
    </xf>
    <xf numFmtId="0" fontId="33" fillId="4" borderId="0" xfId="60" applyFont="1" applyFill="1" applyAlignment="1" applyProtection="1">
      <alignment horizontal="left" vertical="center"/>
    </xf>
    <xf numFmtId="0" fontId="23" fillId="0" borderId="0" xfId="60" applyFont="1" applyFill="1" applyAlignment="1" applyProtection="1">
      <alignment horizontal="left" vertical="center"/>
    </xf>
    <xf numFmtId="0" fontId="24" fillId="5" borderId="0" xfId="60" applyFont="1" applyFill="1" applyAlignment="1" applyProtection="1">
      <alignment horizontal="left" vertical="center"/>
    </xf>
    <xf numFmtId="0" fontId="24" fillId="9" borderId="0" xfId="60" applyFont="1" applyFill="1" applyAlignment="1" applyProtection="1">
      <alignment horizontal="left" vertical="center"/>
    </xf>
    <xf numFmtId="0" fontId="24" fillId="10" borderId="66" xfId="60" applyFont="1" applyFill="1" applyBorder="1" applyAlignment="1" applyProtection="1">
      <alignment horizontal="left" vertical="center"/>
    </xf>
    <xf numFmtId="0" fontId="23" fillId="0" borderId="0" xfId="60" applyFont="1" applyAlignment="1" applyProtection="1">
      <alignment horizontal="left" vertical="center"/>
    </xf>
    <xf numFmtId="14" fontId="0" fillId="2" borderId="0" xfId="0" applyNumberFormat="1" applyFill="1" applyAlignment="1">
      <alignment horizontal="left" vertical="center"/>
    </xf>
    <xf numFmtId="0" fontId="27" fillId="0" borderId="0" xfId="60" applyFont="1" applyAlignment="1" applyProtection="1">
      <alignment vertical="center"/>
    </xf>
    <xf numFmtId="0" fontId="23" fillId="0" borderId="0" xfId="60" applyFont="1" applyAlignment="1" applyProtection="1">
      <alignment vertical="center"/>
    </xf>
    <xf numFmtId="0" fontId="23" fillId="11" borderId="0" xfId="60" applyFont="1" applyFill="1" applyAlignment="1" applyProtection="1">
      <alignment horizontal="left" vertical="center"/>
    </xf>
    <xf numFmtId="0" fontId="8" fillId="0" borderId="0" xfId="60" applyFont="1" applyAlignment="1" applyProtection="1">
      <alignment horizontal="left" vertical="center"/>
    </xf>
    <xf numFmtId="0" fontId="23" fillId="2" borderId="34" xfId="60" applyFont="1" applyFill="1" applyBorder="1" applyAlignment="1" applyProtection="1">
      <alignment horizontal="left" vertical="center"/>
    </xf>
    <xf numFmtId="0" fontId="23" fillId="2" borderId="32" xfId="60" applyFont="1" applyFill="1" applyBorder="1" applyAlignment="1" applyProtection="1">
      <alignment horizontal="left" vertical="center"/>
    </xf>
    <xf numFmtId="0" fontId="23" fillId="11" borderId="32" xfId="60" applyFont="1" applyFill="1" applyBorder="1" applyAlignment="1" applyProtection="1">
      <alignment horizontal="left" vertical="center"/>
    </xf>
    <xf numFmtId="0" fontId="34" fillId="4" borderId="0" xfId="60" applyFont="1" applyFill="1" applyAlignment="1" applyProtection="1">
      <alignment horizontal="left" vertical="center"/>
    </xf>
    <xf numFmtId="0" fontId="33" fillId="4" borderId="33" xfId="60" applyFont="1" applyFill="1" applyBorder="1" applyAlignment="1" applyProtection="1">
      <alignment horizontal="left" vertical="center"/>
    </xf>
    <xf numFmtId="0" fontId="33" fillId="4" borderId="0" xfId="60" applyFont="1" applyFill="1" applyBorder="1" applyAlignment="1" applyProtection="1">
      <alignment horizontal="left" vertical="center"/>
    </xf>
    <xf numFmtId="177" fontId="33" fillId="4" borderId="0" xfId="60" applyNumberFormat="1" applyFont="1" applyFill="1" applyBorder="1" applyAlignment="1" applyProtection="1">
      <alignment horizontal="left" vertical="center"/>
    </xf>
    <xf numFmtId="0" fontId="33" fillId="11" borderId="0" xfId="60" applyFont="1" applyFill="1" applyAlignment="1" applyProtection="1">
      <alignment horizontal="left" vertical="center"/>
    </xf>
    <xf numFmtId="10" fontId="33" fillId="4" borderId="33"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81" fontId="35" fillId="4" borderId="0" xfId="60" applyNumberFormat="1" applyFont="1" applyFill="1" applyAlignment="1" applyProtection="1">
      <alignment horizontal="left" vertical="center"/>
    </xf>
    <xf numFmtId="181" fontId="35" fillId="4" borderId="67"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0" fontId="35" fillId="4" borderId="67" xfId="60" applyNumberFormat="1" applyFont="1" applyFill="1" applyBorder="1" applyAlignment="1" applyProtection="1">
      <alignment horizontal="left" vertical="center"/>
    </xf>
    <xf numFmtId="10" fontId="35" fillId="4" borderId="68" xfId="60" applyNumberFormat="1" applyFont="1" applyFill="1" applyBorder="1" applyAlignment="1" applyProtection="1">
      <alignment horizontal="left" vertical="center"/>
    </xf>
    <xf numFmtId="10" fontId="35" fillId="4" borderId="69" xfId="60" applyNumberFormat="1" applyFont="1" applyFill="1" applyBorder="1" applyAlignment="1" applyProtection="1">
      <alignment horizontal="left" vertical="center"/>
    </xf>
    <xf numFmtId="0" fontId="23" fillId="0" borderId="33" xfId="60" applyFont="1" applyFill="1" applyBorder="1" applyAlignment="1" applyProtection="1">
      <alignment horizontal="left" vertical="center"/>
    </xf>
    <xf numFmtId="0" fontId="23" fillId="0" borderId="0" xfId="60" applyFont="1" applyFill="1" applyBorder="1" applyAlignment="1" applyProtection="1">
      <alignment horizontal="left" vertical="center"/>
    </xf>
    <xf numFmtId="10" fontId="23" fillId="0" borderId="33" xfId="60" applyNumberFormat="1" applyFont="1" applyFill="1" applyBorder="1" applyAlignment="1" applyProtection="1">
      <alignment horizontal="left" vertical="center"/>
    </xf>
    <xf numFmtId="10" fontId="23" fillId="0" borderId="0" xfId="60" applyNumberFormat="1" applyFont="1" applyFill="1" applyAlignment="1" applyProtection="1">
      <alignment horizontal="left" vertical="center"/>
    </xf>
    <xf numFmtId="0" fontId="25" fillId="0" borderId="0" xfId="60" applyFont="1" applyAlignment="1" applyProtection="1">
      <alignment horizontal="left" vertical="center"/>
    </xf>
    <xf numFmtId="0" fontId="25" fillId="0" borderId="67" xfId="60" applyFont="1" applyBorder="1" applyAlignment="1" applyProtection="1">
      <alignment horizontal="left" vertical="center"/>
    </xf>
    <xf numFmtId="0" fontId="25" fillId="0" borderId="68" xfId="60" applyFont="1" applyBorder="1" applyAlignment="1" applyProtection="1">
      <alignment horizontal="left" vertical="center"/>
    </xf>
    <xf numFmtId="0" fontId="25" fillId="0" borderId="69" xfId="60" applyFont="1" applyBorder="1" applyAlignment="1" applyProtection="1">
      <alignment horizontal="left" vertical="center"/>
    </xf>
    <xf numFmtId="10" fontId="25" fillId="0" borderId="0" xfId="60" applyNumberFormat="1" applyFont="1" applyAlignment="1" applyProtection="1">
      <alignment horizontal="left" vertical="center"/>
    </xf>
    <xf numFmtId="10" fontId="25" fillId="0" borderId="67" xfId="60" applyNumberFormat="1" applyFont="1" applyBorder="1" applyAlignment="1" applyProtection="1">
      <alignment horizontal="left" vertical="center"/>
    </xf>
    <xf numFmtId="10" fontId="25" fillId="0" borderId="68" xfId="60" applyNumberFormat="1" applyFont="1" applyBorder="1" applyAlignment="1" applyProtection="1">
      <alignment horizontal="left" vertical="center"/>
    </xf>
    <xf numFmtId="10" fontId="25" fillId="0" borderId="69" xfId="60" applyNumberFormat="1" applyFont="1" applyBorder="1" applyAlignment="1" applyProtection="1">
      <alignment horizontal="left" vertical="center"/>
    </xf>
    <xf numFmtId="0" fontId="25" fillId="11" borderId="0" xfId="60" applyFont="1" applyFill="1" applyAlignment="1" applyProtection="1">
      <alignment horizontal="left" vertical="center"/>
    </xf>
    <xf numFmtId="10" fontId="25" fillId="0" borderId="33" xfId="60" applyNumberFormat="1" applyFont="1" applyBorder="1" applyAlignment="1" applyProtection="1">
      <alignment horizontal="left" vertical="center"/>
    </xf>
    <xf numFmtId="181" fontId="25" fillId="0" borderId="0" xfId="60" applyNumberFormat="1" applyFont="1" applyFill="1" applyAlignment="1" applyProtection="1">
      <alignment horizontal="left" vertical="center"/>
    </xf>
    <xf numFmtId="10" fontId="25" fillId="0" borderId="0" xfId="60" applyNumberFormat="1" applyFont="1" applyFill="1" applyAlignment="1" applyProtection="1">
      <alignment horizontal="left" vertical="center"/>
    </xf>
    <xf numFmtId="177" fontId="24"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6" fillId="9" borderId="1" xfId="60" applyFont="1" applyFill="1" applyBorder="1" applyAlignment="1" applyProtection="1">
      <alignment horizontal="left" vertical="center" wrapText="1"/>
    </xf>
    <xf numFmtId="180" fontId="37" fillId="9" borderId="35" xfId="60" applyNumberFormat="1" applyFont="1" applyFill="1" applyBorder="1" applyAlignment="1" applyProtection="1">
      <alignment horizontal="left" vertical="center" wrapText="1"/>
    </xf>
    <xf numFmtId="180" fontId="37" fillId="9" borderId="36" xfId="60" applyNumberFormat="1" applyFont="1" applyFill="1" applyBorder="1" applyAlignment="1" applyProtection="1">
      <alignment horizontal="left" vertical="center" wrapText="1"/>
    </xf>
    <xf numFmtId="177" fontId="37" fillId="9" borderId="36" xfId="61" applyNumberFormat="1" applyFont="1" applyFill="1" applyBorder="1" applyAlignment="1" applyProtection="1">
      <alignment horizontal="left" vertical="center" wrapText="1"/>
    </xf>
    <xf numFmtId="177" fontId="37" fillId="9" borderId="51" xfId="61" applyNumberFormat="1" applyFont="1" applyFill="1" applyBorder="1" applyAlignment="1" applyProtection="1">
      <alignment horizontal="left" vertical="center" wrapText="1"/>
    </xf>
    <xf numFmtId="177" fontId="37" fillId="9" borderId="37" xfId="61" applyNumberFormat="1" applyFont="1" applyFill="1" applyBorder="1" applyAlignment="1" applyProtection="1">
      <alignment horizontal="left" vertical="center" wrapText="1"/>
    </xf>
    <xf numFmtId="0" fontId="23" fillId="9" borderId="0" xfId="60" applyFont="1" applyFill="1" applyAlignment="1" applyProtection="1">
      <alignment horizontal="left" vertical="center"/>
    </xf>
    <xf numFmtId="10" fontId="23" fillId="9" borderId="33" xfId="60" applyNumberFormat="1" applyFont="1" applyFill="1" applyBorder="1" applyAlignment="1" applyProtection="1">
      <alignment horizontal="left" vertical="center"/>
    </xf>
    <xf numFmtId="10" fontId="23" fillId="9" borderId="0" xfId="60" applyNumberFormat="1" applyFont="1" applyFill="1" applyAlignment="1" applyProtection="1">
      <alignment horizontal="left" vertical="center"/>
    </xf>
    <xf numFmtId="181" fontId="23" fillId="9" borderId="0" xfId="60" applyNumberFormat="1" applyFont="1" applyFill="1" applyAlignment="1" applyProtection="1">
      <alignment horizontal="left" vertical="center"/>
    </xf>
    <xf numFmtId="177" fontId="24" fillId="9" borderId="0" xfId="60" applyNumberFormat="1" applyFont="1" applyFill="1" applyAlignment="1" applyProtection="1">
      <alignment horizontal="right" vertical="center"/>
    </xf>
    <xf numFmtId="0" fontId="31" fillId="2" borderId="1" xfId="60" applyFont="1" applyFill="1" applyBorder="1" applyAlignment="1" applyProtection="1">
      <alignment horizontal="left" vertical="center" wrapText="1"/>
    </xf>
    <xf numFmtId="177" fontId="32" fillId="7" borderId="51" xfId="61" applyNumberFormat="1" applyFont="1" applyFill="1" applyBorder="1" applyAlignment="1" applyProtection="1">
      <alignment horizontal="left" vertical="center" wrapText="1"/>
    </xf>
    <xf numFmtId="0" fontId="31" fillId="10" borderId="70" xfId="60" applyFont="1" applyFill="1" applyBorder="1" applyAlignment="1" applyProtection="1">
      <alignment horizontal="left" vertical="center" wrapText="1"/>
    </xf>
    <xf numFmtId="180" fontId="32" fillId="10" borderId="71" xfId="60" applyNumberFormat="1" applyFont="1" applyFill="1" applyBorder="1" applyAlignment="1" applyProtection="1">
      <alignment horizontal="left" vertical="center" wrapText="1"/>
    </xf>
    <xf numFmtId="180" fontId="32" fillId="10" borderId="72" xfId="60" applyNumberFormat="1" applyFont="1" applyFill="1" applyBorder="1" applyAlignment="1" applyProtection="1">
      <alignment horizontal="left" vertical="center" wrapText="1"/>
    </xf>
    <xf numFmtId="177" fontId="32" fillId="10" borderId="72" xfId="61" applyNumberFormat="1" applyFont="1" applyFill="1" applyBorder="1" applyAlignment="1" applyProtection="1">
      <alignment horizontal="left" vertical="center" wrapText="1"/>
    </xf>
    <xf numFmtId="177" fontId="32" fillId="10" borderId="73" xfId="61" applyNumberFormat="1" applyFont="1" applyFill="1" applyBorder="1" applyAlignment="1" applyProtection="1">
      <alignment horizontal="left" vertical="center" wrapText="1"/>
    </xf>
    <xf numFmtId="177" fontId="32" fillId="10" borderId="74" xfId="61" applyNumberFormat="1" applyFont="1" applyFill="1" applyBorder="1" applyAlignment="1" applyProtection="1">
      <alignment horizontal="left" vertical="center" wrapText="1"/>
    </xf>
    <xf numFmtId="0" fontId="25" fillId="11" borderId="66" xfId="60" applyFont="1" applyFill="1" applyBorder="1" applyAlignment="1" applyProtection="1">
      <alignment horizontal="left" vertical="center"/>
    </xf>
    <xf numFmtId="10" fontId="25" fillId="10" borderId="75" xfId="60" applyNumberFormat="1" applyFont="1" applyFill="1" applyBorder="1" applyAlignment="1" applyProtection="1">
      <alignment horizontal="left" vertical="center"/>
    </xf>
    <xf numFmtId="10" fontId="25" fillId="10" borderId="66" xfId="60" applyNumberFormat="1" applyFont="1" applyFill="1" applyBorder="1" applyAlignment="1" applyProtection="1">
      <alignment horizontal="left" vertical="center"/>
    </xf>
    <xf numFmtId="181" fontId="25"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4" fillId="10" borderId="66" xfId="60" applyNumberFormat="1" applyFont="1" applyFill="1" applyBorder="1" applyAlignment="1" applyProtection="1">
      <alignment horizontal="right" vertical="center"/>
    </xf>
    <xf numFmtId="0" fontId="38" fillId="0" borderId="0" xfId="60" applyFont="1" applyAlignment="1" applyProtection="1">
      <alignment vertical="center"/>
    </xf>
    <xf numFmtId="0" fontId="0" fillId="0" borderId="0" xfId="0" applyFont="1">
      <alignment vertical="center"/>
    </xf>
    <xf numFmtId="0" fontId="35" fillId="4" borderId="0" xfId="60" applyFont="1" applyFill="1" applyAlignment="1" applyProtection="1">
      <alignment horizontal="left" vertical="center"/>
    </xf>
    <xf numFmtId="0" fontId="32" fillId="7" borderId="36" xfId="61" applyFont="1" applyFill="1" applyBorder="1" applyAlignment="1" applyProtection="1">
      <alignment horizontal="left" vertical="center" wrapText="1"/>
    </xf>
    <xf numFmtId="0" fontId="25" fillId="0" borderId="0" xfId="60" applyFont="1" applyFill="1" applyAlignment="1" applyProtection="1">
      <alignment horizontal="left" vertical="center"/>
    </xf>
    <xf numFmtId="10" fontId="25" fillId="0" borderId="67" xfId="60" applyNumberFormat="1" applyFont="1" applyFill="1" applyBorder="1" applyAlignment="1" applyProtection="1">
      <alignment horizontal="left" vertical="center"/>
    </xf>
    <xf numFmtId="10" fontId="25" fillId="0" borderId="69" xfId="60" applyNumberFormat="1" applyFont="1" applyFill="1" applyBorder="1" applyAlignment="1" applyProtection="1">
      <alignment horizontal="left" vertical="center"/>
    </xf>
    <xf numFmtId="10" fontId="25" fillId="0" borderId="0" xfId="60" applyNumberFormat="1" applyFont="1" applyFill="1" applyBorder="1" applyAlignment="1" applyProtection="1">
      <alignment horizontal="left" vertical="center"/>
    </xf>
    <xf numFmtId="0" fontId="37" fillId="9" borderId="36" xfId="61" applyFont="1" applyFill="1" applyBorder="1" applyAlignment="1" applyProtection="1">
      <alignment horizontal="left" vertical="center" wrapText="1"/>
    </xf>
    <xf numFmtId="10" fontId="23" fillId="9" borderId="67" xfId="60" applyNumberFormat="1" applyFont="1" applyFill="1" applyBorder="1" applyAlignment="1" applyProtection="1">
      <alignment horizontal="left" vertical="center"/>
    </xf>
    <xf numFmtId="10" fontId="23" fillId="9" borderId="68" xfId="60" applyNumberFormat="1" applyFont="1" applyFill="1" applyBorder="1" applyAlignment="1" applyProtection="1">
      <alignment horizontal="left" vertical="center"/>
    </xf>
    <xf numFmtId="10" fontId="23" fillId="9" borderId="69" xfId="60" applyNumberFormat="1" applyFont="1" applyFill="1" applyBorder="1" applyAlignment="1" applyProtection="1">
      <alignment horizontal="left" vertical="center"/>
    </xf>
    <xf numFmtId="10" fontId="25" fillId="0" borderId="68" xfId="60" applyNumberFormat="1" applyFont="1" applyFill="1" applyBorder="1" applyAlignment="1" applyProtection="1">
      <alignment horizontal="left" vertical="center"/>
    </xf>
    <xf numFmtId="0" fontId="32" fillId="10" borderId="72" xfId="61" applyFont="1" applyFill="1" applyBorder="1" applyAlignment="1" applyProtection="1">
      <alignment horizontal="left" vertical="center" wrapText="1"/>
    </xf>
    <xf numFmtId="0" fontId="25" fillId="10" borderId="66" xfId="60" applyFont="1" applyFill="1" applyBorder="1" applyAlignment="1" applyProtection="1">
      <alignment horizontal="left" vertical="center"/>
    </xf>
    <xf numFmtId="10" fontId="25" fillId="10" borderId="76" xfId="60" applyNumberFormat="1" applyFont="1" applyFill="1" applyBorder="1" applyAlignment="1" applyProtection="1">
      <alignment horizontal="left" vertical="center"/>
    </xf>
    <xf numFmtId="10" fontId="25" fillId="10" borderId="77" xfId="60" applyNumberFormat="1" applyFont="1" applyFill="1" applyBorder="1" applyAlignment="1" applyProtection="1">
      <alignment horizontal="left" vertical="center"/>
    </xf>
    <xf numFmtId="10" fontId="25"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9" fillId="0" borderId="0" xfId="0" applyFont="1" applyFill="1" applyAlignment="1">
      <alignment horizontal="center" vertical="center"/>
    </xf>
    <xf numFmtId="0" fontId="39" fillId="0" borderId="79" xfId="0" applyFont="1" applyFill="1" applyBorder="1" applyAlignment="1">
      <alignment horizontal="center"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40" fillId="0" borderId="1" xfId="0" applyFont="1" applyFill="1" applyBorder="1" applyAlignment="1">
      <alignment horizontal="left" vertical="center"/>
    </xf>
    <xf numFmtId="0" fontId="40" fillId="0" borderId="1" xfId="0" applyFont="1" applyFill="1" applyBorder="1" applyAlignment="1">
      <alignment horizontal="left" vertical="center" wrapText="1"/>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80" xfId="0" applyFont="1" applyFill="1" applyBorder="1" applyAlignment="1" applyProtection="1">
      <alignment horizontal="left" vertical="center"/>
    </xf>
    <xf numFmtId="0" fontId="44" fillId="2" borderId="20"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xf>
    <xf numFmtId="0" fontId="45" fillId="2" borderId="7"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10" fontId="47" fillId="2" borderId="8" xfId="0" applyNumberFormat="1" applyFont="1" applyFill="1" applyBorder="1" applyAlignment="1">
      <alignment horizontal="left" vertical="center" wrapText="1"/>
    </xf>
    <xf numFmtId="10" fontId="47" fillId="2" borderId="9" xfId="0" applyNumberFormat="1" applyFont="1" applyFill="1" applyBorder="1" applyAlignment="1">
      <alignment horizontal="left" vertical="center" wrapText="1"/>
    </xf>
    <xf numFmtId="0" fontId="45" fillId="2" borderId="10"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10" fontId="47" fillId="2" borderId="1"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5" fillId="2" borderId="81" xfId="0" applyFont="1" applyFill="1" applyBorder="1" applyAlignment="1" applyProtection="1">
      <alignment horizontal="left" vertical="center" wrapText="1"/>
    </xf>
    <xf numFmtId="0" fontId="46" fillId="2" borderId="2" xfId="0" applyFont="1" applyFill="1" applyBorder="1" applyAlignment="1" applyProtection="1">
      <alignment horizontal="left" vertical="center" wrapText="1"/>
    </xf>
    <xf numFmtId="10" fontId="47"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1" xfId="0" applyFont="1" applyFill="1" applyBorder="1" applyAlignment="1">
      <alignment horizontal="left" vertical="center" wrapText="1"/>
    </xf>
    <xf numFmtId="0" fontId="48" fillId="2" borderId="2" xfId="0" applyFont="1" applyFill="1" applyBorder="1" applyAlignment="1">
      <alignment horizontal="left" vertical="center" wrapText="1"/>
    </xf>
    <xf numFmtId="0" fontId="46" fillId="2" borderId="7"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1" xfId="0" applyNumberFormat="1" applyFill="1" applyBorder="1" applyAlignment="1">
      <alignment horizontal="left" vertical="center"/>
    </xf>
    <xf numFmtId="0" fontId="46" fillId="2" borderId="81"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11"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1" xfId="5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10" fontId="47" fillId="2" borderId="13" xfId="0" applyNumberFormat="1" applyFont="1" applyFill="1" applyBorder="1" applyAlignment="1">
      <alignment horizontal="left" vertical="center" wrapText="1"/>
    </xf>
    <xf numFmtId="10" fontId="47" fillId="2" borderId="14"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2" xfId="52" applyFont="1" applyFill="1" applyBorder="1" applyAlignment="1" applyProtection="1">
      <alignment vertical="center"/>
    </xf>
    <xf numFmtId="0" fontId="50" fillId="2" borderId="83" xfId="52" applyFont="1" applyFill="1" applyBorder="1" applyAlignment="1" applyProtection="1">
      <alignment vertical="center"/>
    </xf>
    <xf numFmtId="0" fontId="50" fillId="2" borderId="25" xfId="52" applyFont="1" applyFill="1" applyBorder="1" applyAlignment="1" applyProtection="1">
      <alignment vertical="center"/>
    </xf>
    <xf numFmtId="0" fontId="50" fillId="2" borderId="0" xfId="52" applyFont="1" applyFill="1" applyBorder="1" applyAlignment="1" applyProtection="1">
      <alignment vertical="center"/>
    </xf>
    <xf numFmtId="0" fontId="50" fillId="2" borderId="1" xfId="52" applyFont="1" applyFill="1" applyBorder="1" applyAlignment="1" applyProtection="1">
      <alignment vertical="center"/>
    </xf>
    <xf numFmtId="178" fontId="50" fillId="2" borderId="1" xfId="52" applyNumberFormat="1" applyFont="1" applyFill="1" applyBorder="1" applyAlignment="1" applyProtection="1">
      <alignment horizontal="right" vertical="center"/>
    </xf>
    <xf numFmtId="0" fontId="52" fillId="2" borderId="0" xfId="52" applyFont="1" applyFill="1" applyBorder="1" applyAlignment="1" applyProtection="1">
      <alignment vertical="center"/>
    </xf>
    <xf numFmtId="0" fontId="50" fillId="2" borderId="2" xfId="52" applyFont="1" applyFill="1" applyBorder="1" applyAlignment="1" applyProtection="1">
      <alignment vertical="center"/>
    </xf>
    <xf numFmtId="0" fontId="50" fillId="2" borderId="2" xfId="52" applyFont="1" applyFill="1" applyBorder="1" applyAlignment="1" applyProtection="1">
      <alignment horizontal="right" vertical="center"/>
    </xf>
    <xf numFmtId="49" fontId="50" fillId="2" borderId="82" xfId="52" applyNumberFormat="1" applyFont="1" applyFill="1" applyBorder="1" applyAlignment="1" applyProtection="1"/>
    <xf numFmtId="49" fontId="50" fillId="2" borderId="83" xfId="52" applyNumberFormat="1" applyFont="1" applyFill="1" applyBorder="1" applyAlignment="1" applyProtection="1"/>
    <xf numFmtId="49" fontId="50" fillId="2" borderId="84" xfId="52" applyNumberFormat="1" applyFont="1" applyFill="1" applyBorder="1" applyAlignment="1" applyProtection="1"/>
    <xf numFmtId="49" fontId="36" fillId="2" borderId="10" xfId="52" applyNumberFormat="1" applyFont="1" applyFill="1" applyBorder="1" applyAlignment="1" applyProtection="1">
      <alignment horizontal="left"/>
    </xf>
    <xf numFmtId="0" fontId="36" fillId="2" borderId="15" xfId="52" applyFont="1" applyFill="1" applyBorder="1" applyAlignment="1" applyProtection="1"/>
    <xf numFmtId="178" fontId="36" fillId="2" borderId="1" xfId="52" applyNumberFormat="1" applyFont="1" applyFill="1" applyBorder="1" applyAlignment="1" applyProtection="1">
      <alignment horizontal="center"/>
    </xf>
    <xf numFmtId="0" fontId="36" fillId="2" borderId="1" xfId="52" applyFont="1" applyFill="1" applyBorder="1" applyAlignment="1" applyProtection="1">
      <alignment horizontal="center"/>
    </xf>
    <xf numFmtId="0" fontId="36" fillId="2" borderId="11" xfId="52" applyFont="1" applyFill="1" applyBorder="1" applyAlignment="1" applyProtection="1">
      <alignment horizontal="left"/>
    </xf>
    <xf numFmtId="49" fontId="31" fillId="2" borderId="10" xfId="52" applyNumberFormat="1" applyFont="1" applyFill="1" applyBorder="1" applyAlignment="1" applyProtection="1">
      <alignment horizontal="center"/>
    </xf>
    <xf numFmtId="0" fontId="31" fillId="2" borderId="15" xfId="52" applyFont="1" applyFill="1" applyBorder="1" applyAlignment="1" applyProtection="1"/>
    <xf numFmtId="178" fontId="31" fillId="0" borderId="1" xfId="52" applyNumberFormat="1" applyFont="1" applyFill="1" applyBorder="1" applyAlignment="1" applyProtection="1">
      <alignment horizontal="center"/>
      <protection locked="0"/>
    </xf>
    <xf numFmtId="185" fontId="31" fillId="2" borderId="1" xfId="52" applyNumberFormat="1" applyFont="1" applyFill="1" applyBorder="1" applyAlignment="1" applyProtection="1">
      <alignment horizontal="center"/>
    </xf>
    <xf numFmtId="0" fontId="31" fillId="2" borderId="1" xfId="52" applyFont="1" applyFill="1" applyBorder="1" applyAlignment="1" applyProtection="1">
      <alignment horizontal="center"/>
    </xf>
    <xf numFmtId="0" fontId="31" fillId="2" borderId="11" xfId="52" applyFont="1" applyFill="1" applyBorder="1" applyAlignment="1" applyProtection="1">
      <alignment horizontal="left"/>
    </xf>
    <xf numFmtId="178" fontId="31" fillId="2" borderId="1" xfId="52" applyNumberFormat="1" applyFont="1" applyFill="1" applyBorder="1" applyAlignment="1" applyProtection="1">
      <alignment horizontal="center"/>
    </xf>
    <xf numFmtId="10" fontId="31" fillId="2" borderId="1" xfId="52" applyNumberFormat="1" applyFont="1" applyFill="1" applyBorder="1" applyAlignment="1" applyProtection="1">
      <alignment horizontal="center"/>
    </xf>
    <xf numFmtId="178" fontId="31" fillId="2" borderId="1" xfId="52" applyNumberFormat="1" applyFont="1" applyFill="1" applyBorder="1" applyAlignment="1" applyProtection="1"/>
    <xf numFmtId="0" fontId="53" fillId="3" borderId="11" xfId="52" applyFont="1" applyFill="1" applyBorder="1" applyAlignment="1" applyProtection="1">
      <alignment horizontal="left" vertical="center"/>
      <protection locked="0"/>
    </xf>
    <xf numFmtId="0" fontId="54" fillId="2" borderId="10" xfId="52" applyFont="1" applyFill="1" applyBorder="1" applyAlignment="1" applyProtection="1">
      <alignment horizontal="right"/>
    </xf>
    <xf numFmtId="0" fontId="54" fillId="2" borderId="15" xfId="52" applyFont="1" applyFill="1" applyBorder="1" applyAlignment="1" applyProtection="1"/>
    <xf numFmtId="178" fontId="54" fillId="2" borderId="1" xfId="52" applyNumberFormat="1" applyFont="1" applyFill="1" applyBorder="1" applyAlignment="1" applyProtection="1">
      <alignment horizontal="center"/>
    </xf>
    <xf numFmtId="0" fontId="54" fillId="2" borderId="1" xfId="52" applyFont="1" applyFill="1" applyBorder="1" applyAlignment="1" applyProtection="1"/>
    <xf numFmtId="0" fontId="31" fillId="2" borderId="11" xfId="52" applyFont="1" applyFill="1" applyBorder="1" applyAlignment="1" applyProtection="1">
      <alignment vertical="center" wrapText="1"/>
    </xf>
    <xf numFmtId="0" fontId="31" fillId="2" borderId="10" xfId="52" applyFont="1" applyFill="1" applyBorder="1" applyAlignment="1" applyProtection="1">
      <alignment horizontal="left"/>
    </xf>
    <xf numFmtId="0" fontId="31" fillId="2" borderId="0" xfId="52" applyFont="1" applyFill="1" applyBorder="1" applyAlignment="1" applyProtection="1">
      <alignment horizontal="center"/>
    </xf>
    <xf numFmtId="0" fontId="31" fillId="2" borderId="1" xfId="0" applyFont="1" applyFill="1" applyBorder="1" applyProtection="1">
      <alignment vertical="center"/>
    </xf>
    <xf numFmtId="49" fontId="9" fillId="2" borderId="10" xfId="52" applyNumberFormat="1" applyFont="1" applyFill="1" applyBorder="1" applyAlignment="1" applyProtection="1">
      <alignment horizontal="left"/>
    </xf>
    <xf numFmtId="9" fontId="36" fillId="2" borderId="15" xfId="52"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10" fontId="36" fillId="2" borderId="15" xfId="52" applyNumberFormat="1" applyFont="1" applyFill="1" applyBorder="1" applyAlignment="1" applyProtection="1">
      <alignment horizontal="center"/>
    </xf>
    <xf numFmtId="0" fontId="53" fillId="2" borderId="11" xfId="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1" xfId="0" applyFont="1" applyFill="1" applyBorder="1" applyAlignment="1" applyProtection="1">
      <alignment horizontal="left" vertical="center"/>
    </xf>
    <xf numFmtId="0" fontId="36" fillId="2" borderId="11" xfId="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0" fontId="36" fillId="2" borderId="15" xfId="5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5" fontId="31" fillId="2" borderId="15" xfId="5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6" fillId="2" borderId="1"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5" xfId="0" applyFont="1" applyFill="1" applyBorder="1" applyAlignment="1" applyProtection="1">
      <alignment vertical="center"/>
    </xf>
    <xf numFmtId="0" fontId="36" fillId="2" borderId="15" xfId="52" applyFont="1" applyFill="1" applyBorder="1" applyAlignment="1" applyProtection="1">
      <alignment vertical="center"/>
    </xf>
    <xf numFmtId="178" fontId="36" fillId="2" borderId="1" xfId="52" applyNumberFormat="1" applyFont="1" applyFill="1" applyBorder="1" applyAlignment="1" applyProtection="1">
      <alignment horizontal="center" vertical="center"/>
    </xf>
    <xf numFmtId="9" fontId="36" fillId="2" borderId="15" xfId="52" applyNumberFormat="1" applyFont="1" applyFill="1" applyBorder="1" applyAlignment="1" applyProtection="1">
      <alignment horizontal="center" vertical="center"/>
    </xf>
    <xf numFmtId="0" fontId="36" fillId="2" borderId="11" xfId="0" applyFont="1" applyFill="1" applyBorder="1" applyAlignment="1" applyProtection="1">
      <alignment vertical="center" wrapText="1"/>
    </xf>
    <xf numFmtId="0" fontId="31" fillId="2" borderId="15" xfId="52" applyFont="1" applyFill="1" applyBorder="1" applyAlignment="1" applyProtection="1">
      <alignment horizontal="left"/>
    </xf>
    <xf numFmtId="178" fontId="31" fillId="2" borderId="1" xfId="52" applyNumberFormat="1" applyFont="1" applyFill="1" applyBorder="1" applyAlignment="1" applyProtection="1">
      <alignment horizontal="center" vertical="center"/>
    </xf>
    <xf numFmtId="0" fontId="36" fillId="2" borderId="10" xfId="52" applyFont="1" applyFill="1" applyBorder="1" applyAlignment="1" applyProtection="1">
      <alignment horizontal="left"/>
    </xf>
    <xf numFmtId="185" fontId="36" fillId="2" borderId="1" xfId="52" applyNumberFormat="1" applyFont="1" applyFill="1" applyBorder="1" applyAlignment="1" applyProtection="1">
      <alignment horizontal="center"/>
    </xf>
    <xf numFmtId="9" fontId="36" fillId="2" borderId="1" xfId="52" applyNumberFormat="1" applyFont="1" applyFill="1" applyBorder="1" applyAlignment="1" applyProtection="1">
      <alignment horizontal="center"/>
    </xf>
    <xf numFmtId="49" fontId="50" fillId="2" borderId="86" xfId="52" applyNumberFormat="1" applyFont="1" applyFill="1" applyBorder="1" applyAlignment="1" applyProtection="1"/>
    <xf numFmtId="49" fontId="50" fillId="2" borderId="17" xfId="52" applyNumberFormat="1" applyFont="1" applyFill="1" applyBorder="1" applyAlignment="1" applyProtection="1"/>
    <xf numFmtId="49" fontId="50" fillId="2" borderId="87" xfId="52" applyNumberFormat="1" applyFont="1" applyFill="1" applyBorder="1" applyAlignment="1" applyProtection="1"/>
    <xf numFmtId="178" fontId="36" fillId="2" borderId="1" xfId="0" applyNumberFormat="1" applyFont="1" applyFill="1" applyBorder="1" applyAlignment="1" applyProtection="1">
      <alignment horizontal="center" vertical="center"/>
    </xf>
    <xf numFmtId="182" fontId="36" fillId="2" borderId="15" xfId="52" applyNumberFormat="1" applyFont="1" applyFill="1" applyBorder="1" applyAlignment="1" applyProtection="1">
      <alignment horizontal="center"/>
    </xf>
    <xf numFmtId="10" fontId="31" fillId="2" borderId="15" xfId="5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2" applyFont="1" applyFill="1" applyBorder="1" applyAlignment="1" applyProtection="1">
      <alignment horizontal="left" vertical="center"/>
    </xf>
    <xf numFmtId="10" fontId="36" fillId="2" borderId="1" xfId="0" applyNumberFormat="1" applyFont="1" applyFill="1" applyBorder="1" applyAlignment="1" applyProtection="1">
      <alignment horizontal="right" vertical="center"/>
    </xf>
    <xf numFmtId="0" fontId="31" fillId="2" borderId="31"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186" fontId="36" fillId="2" borderId="1" xfId="0" applyNumberFormat="1" applyFont="1" applyFill="1" applyBorder="1" applyAlignment="1" applyProtection="1">
      <alignment horizontal="right" vertical="center"/>
    </xf>
    <xf numFmtId="10" fontId="36" fillId="2" borderId="1" xfId="52" applyNumberFormat="1" applyFont="1" applyFill="1" applyBorder="1" applyAlignment="1" applyProtection="1">
      <alignment horizontal="center" vertical="center"/>
    </xf>
    <xf numFmtId="49" fontId="50" fillId="2" borderId="89" xfId="52" applyNumberFormat="1" applyFont="1" applyFill="1" applyBorder="1" applyAlignment="1" applyProtection="1"/>
    <xf numFmtId="49" fontId="50" fillId="2" borderId="90" xfId="52" applyNumberFormat="1" applyFont="1" applyFill="1" applyBorder="1" applyAlignment="1" applyProtection="1"/>
    <xf numFmtId="178" fontId="36" fillId="2" borderId="13" xfId="0" applyNumberFormat="1" applyFont="1" applyFill="1" applyBorder="1" applyAlignment="1" applyProtection="1">
      <alignment horizontal="center" vertical="center"/>
    </xf>
    <xf numFmtId="49" fontId="50" fillId="2" borderId="91" xfId="5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2" fontId="31" fillId="2" borderId="1" xfId="0" applyNumberFormat="1" applyFont="1" applyFill="1" applyBorder="1" applyAlignment="1" applyProtection="1">
      <alignment horizontal="center"/>
    </xf>
    <xf numFmtId="182" fontId="56" fillId="2" borderId="1" xfId="0" applyNumberFormat="1" applyFont="1" applyFill="1" applyBorder="1" applyAlignment="1" applyProtection="1">
      <alignment horizontal="center"/>
    </xf>
    <xf numFmtId="177" fontId="20" fillId="0" borderId="0" xfId="0" applyNumberFormat="1" applyFont="1" applyAlignment="1" applyProtection="1">
      <alignment horizontal="left" vertical="center"/>
    </xf>
    <xf numFmtId="0" fontId="0" fillId="0" borderId="0" xfId="0" applyProtection="1">
      <alignment vertical="center"/>
    </xf>
    <xf numFmtId="177" fontId="57" fillId="0" borderId="0" xfId="56" applyNumberFormat="1" applyFont="1" applyBorder="1" applyAlignment="1" applyProtection="1">
      <alignment horizontal="left" vertical="center"/>
    </xf>
    <xf numFmtId="0" fontId="58" fillId="0" borderId="45" xfId="56" applyFont="1" applyBorder="1" applyAlignment="1" applyProtection="1">
      <alignmen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wrapText="1"/>
    </xf>
    <xf numFmtId="177" fontId="59" fillId="2" borderId="21" xfId="56" applyNumberFormat="1" applyFont="1" applyFill="1" applyBorder="1" applyAlignment="1" applyProtection="1">
      <alignment horizontal="left" vertical="center"/>
    </xf>
    <xf numFmtId="177" fontId="59" fillId="2" borderId="22" xfId="56" applyNumberFormat="1" applyFont="1" applyFill="1" applyBorder="1" applyAlignment="1" applyProtection="1">
      <alignment horizontal="left" vertical="center"/>
    </xf>
    <xf numFmtId="177" fontId="20" fillId="2" borderId="1" xfId="0" applyNumberFormat="1" applyFont="1" applyFill="1" applyBorder="1" applyAlignment="1" applyProtection="1">
      <alignment horizontal="left" vertical="center"/>
    </xf>
    <xf numFmtId="177" fontId="59" fillId="2" borderId="10" xfId="56" applyNumberFormat="1" applyFont="1" applyFill="1" applyBorder="1" applyAlignment="1" applyProtection="1">
      <alignment horizontal="left" vertical="center"/>
    </xf>
    <xf numFmtId="177" fontId="60" fillId="2" borderId="1" xfId="56" applyNumberFormat="1" applyFont="1" applyFill="1" applyBorder="1" applyAlignment="1" applyProtection="1">
      <alignment horizontal="left" vertical="center"/>
    </xf>
    <xf numFmtId="177" fontId="60" fillId="2" borderId="11" xfId="56" applyNumberFormat="1" applyFont="1" applyFill="1" applyBorder="1" applyAlignment="1" applyProtection="1">
      <alignment horizontal="left" vertical="center"/>
    </xf>
    <xf numFmtId="0" fontId="0" fillId="0" borderId="0" xfId="0" applyFont="1" applyProtection="1">
      <alignment vertical="center"/>
    </xf>
    <xf numFmtId="177" fontId="59" fillId="2" borderId="10" xfId="56" applyNumberFormat="1" applyFont="1" applyFill="1" applyBorder="1" applyAlignment="1" applyProtection="1">
      <alignment horizontal="left" vertical="center" wrapText="1"/>
    </xf>
    <xf numFmtId="177" fontId="59" fillId="2" borderId="12" xfId="56" applyNumberFormat="1" applyFont="1" applyFill="1" applyBorder="1" applyAlignment="1" applyProtection="1">
      <alignment horizontal="left" vertical="center" wrapText="1"/>
    </xf>
    <xf numFmtId="177" fontId="60" fillId="2" borderId="13" xfId="56" applyNumberFormat="1" applyFont="1" applyFill="1" applyBorder="1" applyAlignment="1" applyProtection="1">
      <alignment horizontal="left" vertical="center"/>
    </xf>
    <xf numFmtId="177" fontId="60" fillId="2" borderId="14" xfId="56" applyNumberFormat="1" applyFont="1" applyFill="1" applyBorder="1" applyAlignment="1" applyProtection="1">
      <alignment horizontal="left" vertical="center"/>
    </xf>
    <xf numFmtId="177"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22" xfId="0" applyFill="1" applyBorder="1" applyAlignment="1" applyProtection="1">
      <alignment horizontal="left" vertical="center"/>
    </xf>
    <xf numFmtId="0" fontId="0" fillId="2" borderId="7" xfId="0"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9"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15"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7" fontId="0" fillId="2" borderId="2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62" fillId="2" borderId="7" xfId="0" applyFont="1" applyFill="1" applyBorder="1" applyAlignment="1" applyProtection="1">
      <alignment horizontal="left" vertical="center" wrapText="1"/>
    </xf>
    <xf numFmtId="180" fontId="62" fillId="2" borderId="8" xfId="0" applyNumberFormat="1" applyFont="1" applyFill="1" applyBorder="1" applyAlignment="1" applyProtection="1">
      <alignment horizontal="left" vertical="center" wrapText="1"/>
    </xf>
    <xf numFmtId="180" fontId="62" fillId="2" borderId="9" xfId="0" applyNumberFormat="1"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80" fontId="62" fillId="2" borderId="1" xfId="0" applyNumberFormat="1" applyFont="1" applyFill="1" applyBorder="1" applyAlignment="1" applyProtection="1">
      <alignment horizontal="left" vertical="center" wrapText="1"/>
    </xf>
    <xf numFmtId="180" fontId="62" fillId="2" borderId="11" xfId="0" applyNumberFormat="1" applyFont="1" applyFill="1" applyBorder="1" applyAlignment="1" applyProtection="1">
      <alignment horizontal="left" vertical="center" wrapText="1"/>
    </xf>
    <xf numFmtId="0" fontId="62" fillId="2" borderId="81" xfId="0" applyFont="1" applyFill="1" applyBorder="1" applyAlignment="1" applyProtection="1">
      <alignment horizontal="left" vertical="center" wrapText="1"/>
    </xf>
    <xf numFmtId="180" fontId="62" fillId="2" borderId="2" xfId="0" applyNumberFormat="1" applyFont="1" applyFill="1" applyBorder="1" applyAlignment="1" applyProtection="1">
      <alignment horizontal="left" vertical="center" wrapText="1"/>
    </xf>
    <xf numFmtId="180" fontId="62" fillId="2" borderId="31" xfId="0" applyNumberFormat="1"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80" fontId="0" fillId="2" borderId="1"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2" xfId="0" applyFont="1" applyFill="1" applyBorder="1" applyAlignment="1" applyProtection="1">
      <alignment horizontal="left" vertical="center" wrapText="1"/>
    </xf>
    <xf numFmtId="0" fontId="62" fillId="2" borderId="93" xfId="0" applyFont="1" applyFill="1" applyBorder="1" applyAlignment="1" applyProtection="1">
      <alignment horizontal="left" vertical="center" wrapText="1"/>
    </xf>
    <xf numFmtId="0" fontId="62" fillId="2" borderId="94"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1" fontId="62" fillId="2" borderId="9"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181" fontId="62" fillId="2" borderId="11" xfId="0" applyNumberFormat="1"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181" fontId="62" fillId="2" borderId="14"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9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181" fontId="62" fillId="2" borderId="97" xfId="0" applyNumberFormat="1"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1"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15" xfId="0"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2" borderId="2"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103" xfId="0" applyFont="1" applyFill="1" applyBorder="1" applyAlignment="1" applyProtection="1">
      <alignment horizontal="left" vertical="center"/>
    </xf>
    <xf numFmtId="181" fontId="62" fillId="2" borderId="104" xfId="0" applyNumberFormat="1" applyFont="1" applyFill="1" applyBorder="1" applyAlignment="1" applyProtection="1">
      <alignment horizontal="left" vertical="center"/>
    </xf>
    <xf numFmtId="0" fontId="62" fillId="2" borderId="3"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5"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106"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177" fontId="62" fillId="2" borderId="1" xfId="0" applyNumberFormat="1" applyFont="1" applyFill="1" applyBorder="1" applyAlignment="1" applyProtection="1">
      <alignment horizontal="left" vertical="center" wrapText="1"/>
    </xf>
    <xf numFmtId="177" fontId="62" fillId="2" borderId="16"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7" fontId="62" fillId="2" borderId="1" xfId="0" applyNumberFormat="1" applyFont="1" applyFill="1" applyBorder="1" applyAlignment="1" applyProtection="1">
      <alignment horizontal="left" vertical="center"/>
    </xf>
    <xf numFmtId="180" fontId="62" fillId="2" borderId="1"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2" xfId="52"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7" xfId="0" applyNumberFormat="1" applyFont="1" applyFill="1" applyBorder="1" applyAlignment="1" applyProtection="1">
      <alignment horizontal="left" vertical="center"/>
      <protection locked="0"/>
    </xf>
    <xf numFmtId="49" fontId="50" fillId="2" borderId="0" xfId="52" applyNumberFormat="1" applyFont="1" applyFill="1" applyBorder="1" applyAlignment="1" applyProtection="1">
      <alignment horizontal="right" vertical="center"/>
    </xf>
    <xf numFmtId="180" fontId="50" fillId="2" borderId="1" xfId="52" applyNumberFormat="1" applyFont="1" applyFill="1" applyBorder="1" applyAlignment="1" applyProtection="1">
      <alignment horizontal="right" vertical="center"/>
    </xf>
    <xf numFmtId="0" fontId="50" fillId="2" borderId="0" xfId="52" applyFont="1" applyFill="1" applyBorder="1" applyAlignment="1" applyProtection="1">
      <alignment horizontal="left" vertical="center"/>
    </xf>
    <xf numFmtId="180" fontId="50" fillId="2" borderId="2" xfId="52" applyNumberFormat="1" applyFont="1" applyFill="1" applyBorder="1" applyAlignment="1" applyProtection="1">
      <alignment horizontal="right" vertical="center"/>
    </xf>
    <xf numFmtId="0" fontId="50" fillId="2" borderId="93" xfId="0" applyFont="1" applyFill="1" applyBorder="1" applyAlignment="1" applyProtection="1">
      <alignment vertical="center"/>
    </xf>
    <xf numFmtId="180" fontId="50" fillId="2" borderId="13" xfId="52" applyNumberFormat="1" applyFont="1" applyFill="1" applyBorder="1" applyAlignment="1" applyProtection="1">
      <alignment horizontal="right" vertical="center"/>
    </xf>
    <xf numFmtId="0" fontId="50" fillId="2" borderId="13" xfId="52"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49" fontId="68" fillId="2" borderId="8" xfId="52" applyNumberFormat="1"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178" fontId="50" fillId="2" borderId="8" xfId="52" applyNumberFormat="1" applyFont="1" applyFill="1" applyBorder="1" applyAlignment="1" applyProtection="1">
      <alignment horizontal="left" vertical="center"/>
    </xf>
    <xf numFmtId="0" fontId="50" fillId="2" borderId="8" xfId="52" applyFont="1" applyFill="1" applyBorder="1" applyAlignment="1" applyProtection="1">
      <alignment horizontal="left" vertical="center"/>
    </xf>
    <xf numFmtId="0" fontId="68" fillId="2" borderId="9" xfId="52" applyFont="1" applyFill="1" applyBorder="1" applyAlignment="1" applyProtection="1">
      <alignment horizontal="left" vertical="center"/>
    </xf>
    <xf numFmtId="49" fontId="50" fillId="2" borderId="10" xfId="52" applyNumberFormat="1" applyFont="1" applyFill="1" applyBorder="1" applyAlignment="1" applyProtection="1">
      <alignment vertical="center"/>
    </xf>
    <xf numFmtId="49" fontId="68" fillId="2" borderId="1"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49" fontId="50" fillId="2" borderId="1" xfId="52" applyNumberFormat="1" applyFont="1" applyFill="1" applyBorder="1" applyAlignment="1" applyProtection="1">
      <alignment vertical="center"/>
    </xf>
    <xf numFmtId="49" fontId="50" fillId="3" borderId="11" xfId="52" applyNumberFormat="1" applyFont="1" applyFill="1" applyBorder="1" applyAlignment="1" applyProtection="1">
      <alignment vertical="center"/>
      <protection locked="0"/>
    </xf>
    <xf numFmtId="49" fontId="36"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left" vertical="center"/>
    </xf>
    <xf numFmtId="180" fontId="36" fillId="2" borderId="1" xfId="52" applyNumberFormat="1" applyFont="1" applyFill="1" applyBorder="1" applyAlignment="1" applyProtection="1">
      <alignment horizontal="right" vertical="center"/>
    </xf>
    <xf numFmtId="0" fontId="36" fillId="2" borderId="1" xfId="0" applyFont="1" applyFill="1" applyBorder="1" applyAlignment="1" applyProtection="1">
      <alignment vertical="center"/>
      <protection locked="0"/>
    </xf>
    <xf numFmtId="0" fontId="36"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right" vertical="center"/>
    </xf>
    <xf numFmtId="0" fontId="31" fillId="2" borderId="1" xfId="0" applyFont="1" applyFill="1" applyBorder="1" applyAlignment="1" applyProtection="1">
      <alignment vertical="center"/>
    </xf>
    <xf numFmtId="180"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protection locked="0"/>
    </xf>
    <xf numFmtId="0" fontId="36" fillId="2" borderId="11" xfId="0" applyFont="1" applyFill="1" applyBorder="1" applyAlignment="1" applyProtection="1">
      <alignment vertical="center"/>
      <protection locked="0"/>
    </xf>
    <xf numFmtId="49" fontId="69" fillId="2" borderId="10" xfId="52" applyNumberFormat="1" applyFont="1" applyFill="1" applyBorder="1" applyAlignment="1" applyProtection="1">
      <alignment horizontal="center" vertical="center"/>
    </xf>
    <xf numFmtId="0" fontId="9" fillId="2" borderId="1" xfId="0" applyFont="1" applyFill="1" applyBorder="1" applyAlignment="1" applyProtection="1">
      <alignment vertical="center"/>
    </xf>
    <xf numFmtId="0" fontId="31" fillId="2" borderId="1" xfId="0" applyFont="1" applyFill="1" applyBorder="1" applyAlignment="1" applyProtection="1">
      <alignment vertical="center"/>
      <protection locked="0"/>
    </xf>
    <xf numFmtId="0" fontId="31" fillId="2" borderId="11" xfId="0" applyFont="1" applyFill="1" applyBorder="1" applyAlignment="1" applyProtection="1">
      <alignment vertical="center"/>
      <protection locked="0"/>
    </xf>
    <xf numFmtId="0" fontId="6" fillId="2" borderId="10" xfId="0" applyFont="1" applyFill="1" applyBorder="1" applyAlignment="1" applyProtection="1">
      <alignment horizontal="right" vertical="center"/>
    </xf>
    <xf numFmtId="0" fontId="6" fillId="2" borderId="1" xfId="0" applyFont="1" applyFill="1" applyBorder="1" applyAlignment="1" applyProtection="1">
      <alignment horizontal="right" vertical="center"/>
    </xf>
    <xf numFmtId="0" fontId="31" fillId="0" borderId="11" xfId="0" applyFont="1" applyFill="1" applyBorder="1" applyAlignment="1" applyProtection="1">
      <alignment horizontal="left" vertical="center"/>
      <protection locked="0"/>
    </xf>
    <xf numFmtId="49" fontId="31" fillId="2" borderId="1" xfId="52" applyNumberFormat="1" applyFont="1" applyFill="1" applyBorder="1" applyAlignment="1" applyProtection="1">
      <alignment vertical="center"/>
    </xf>
    <xf numFmtId="9" fontId="36" fillId="0" borderId="1" xfId="0" applyNumberFormat="1" applyFont="1" applyFill="1" applyBorder="1" applyAlignment="1" applyProtection="1">
      <alignment vertical="center"/>
      <protection locked="0"/>
    </xf>
    <xf numFmtId="10" fontId="31" fillId="0" borderId="11" xfId="52" applyNumberFormat="1" applyFont="1" applyFill="1" applyBorder="1" applyAlignment="1" applyProtection="1">
      <alignment horizontal="left" vertical="center"/>
      <protection locked="0"/>
    </xf>
    <xf numFmtId="180" fontId="31" fillId="2" borderId="1"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protection locked="0"/>
    </xf>
    <xf numFmtId="10" fontId="31" fillId="2" borderId="1" xfId="52" applyNumberFormat="1" applyFont="1" applyFill="1" applyBorder="1" applyAlignment="1" applyProtection="1">
      <alignment horizontal="right" vertical="center"/>
    </xf>
    <xf numFmtId="0" fontId="31" fillId="2" borderId="11" xfId="52" applyFont="1" applyFill="1" applyBorder="1" applyAlignment="1" applyProtection="1">
      <alignment horizontal="left" vertical="center"/>
      <protection locked="0"/>
    </xf>
    <xf numFmtId="49" fontId="31" fillId="2" borderId="10" xfId="52" applyNumberFormat="1" applyFont="1" applyFill="1" applyBorder="1" applyAlignment="1" applyProtection="1">
      <alignment horizontal="right" vertical="center"/>
    </xf>
    <xf numFmtId="180" fontId="31" fillId="0" borderId="1" xfId="52" applyNumberFormat="1" applyFont="1" applyFill="1" applyBorder="1" applyAlignment="1" applyProtection="1">
      <alignment horizontal="right" vertical="center"/>
      <protection locked="0"/>
    </xf>
    <xf numFmtId="185"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xf>
    <xf numFmtId="0" fontId="6" fillId="2" borderId="11" xfId="52" applyFont="1" applyFill="1" applyBorder="1" applyAlignment="1" applyProtection="1">
      <alignment horizontal="left" vertical="center"/>
      <protection locked="0"/>
    </xf>
    <xf numFmtId="180" fontId="65" fillId="2" borderId="1" xfId="0"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center" vertical="center"/>
      <protection locked="0"/>
    </xf>
    <xf numFmtId="0" fontId="70" fillId="2" borderId="1" xfId="52" applyFont="1" applyFill="1" applyBorder="1" applyAlignment="1" applyProtection="1">
      <alignment horizontal="center" vertical="center"/>
      <protection locked="0"/>
    </xf>
    <xf numFmtId="10" fontId="70" fillId="2" borderId="1" xfId="52" applyNumberFormat="1" applyFont="1" applyFill="1" applyBorder="1" applyAlignment="1" applyProtection="1">
      <alignment horizontal="right" vertical="center"/>
    </xf>
    <xf numFmtId="0" fontId="70" fillId="2" borderId="11" xfId="52" applyFont="1" applyFill="1" applyBorder="1" applyAlignment="1" applyProtection="1">
      <alignment horizontal="left" vertical="center"/>
      <protection locked="0"/>
    </xf>
    <xf numFmtId="49" fontId="65"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right" vertical="center"/>
    </xf>
    <xf numFmtId="178" fontId="36" fillId="2" borderId="1" xfId="52" applyNumberFormat="1" applyFont="1" applyFill="1" applyBorder="1" applyAlignment="1" applyProtection="1">
      <alignment vertical="center"/>
      <protection locked="0"/>
    </xf>
    <xf numFmtId="178" fontId="36" fillId="2" borderId="1" xfId="52" applyNumberFormat="1" applyFont="1" applyFill="1" applyBorder="1" applyAlignment="1" applyProtection="1">
      <alignment horizontal="center" vertical="center"/>
      <protection locked="0"/>
    </xf>
    <xf numFmtId="10" fontId="36" fillId="2" borderId="1" xfId="52" applyNumberFormat="1" applyFont="1" applyFill="1" applyBorder="1" applyAlignment="1" applyProtection="1">
      <alignment horizontal="right" vertical="center"/>
    </xf>
    <xf numFmtId="0" fontId="36" fillId="3" borderId="11" xfId="52" applyFont="1" applyFill="1" applyBorder="1" applyAlignment="1" applyProtection="1">
      <alignment horizontal="left" vertical="center"/>
      <protection locked="0"/>
    </xf>
    <xf numFmtId="49" fontId="6" fillId="2" borderId="10" xfId="52" applyNumberFormat="1" applyFont="1" applyFill="1" applyBorder="1" applyAlignment="1" applyProtection="1">
      <alignment horizontal="right" vertical="center"/>
    </xf>
    <xf numFmtId="49" fontId="54" fillId="2" borderId="1" xfId="52" applyNumberFormat="1" applyFont="1" applyFill="1" applyBorder="1" applyAlignment="1" applyProtection="1">
      <alignment horizontal="right" vertical="center"/>
    </xf>
    <xf numFmtId="180" fontId="54" fillId="2" borderId="1" xfId="52" applyNumberFormat="1" applyFont="1" applyFill="1" applyBorder="1" applyAlignment="1" applyProtection="1">
      <alignment horizontal="right" vertical="center"/>
    </xf>
    <xf numFmtId="180" fontId="54" fillId="0" borderId="1" xfId="52" applyNumberFormat="1" applyFont="1" applyFill="1" applyBorder="1" applyAlignment="1" applyProtection="1">
      <alignment horizontal="right" vertical="center"/>
      <protection locked="0"/>
    </xf>
    <xf numFmtId="0" fontId="71" fillId="3" borderId="11" xfId="52" applyFont="1" applyFill="1" applyBorder="1" applyAlignment="1" applyProtection="1">
      <alignment horizontal="right" vertical="center"/>
      <protection locked="0"/>
    </xf>
    <xf numFmtId="0" fontId="71" fillId="12" borderId="16"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11" xfId="52" applyFont="1" applyFill="1" applyBorder="1" applyAlignment="1" applyProtection="1">
      <alignment vertical="center" wrapText="1"/>
      <protection locked="0"/>
    </xf>
    <xf numFmtId="49" fontId="36" fillId="2" borderId="1" xfId="52" applyNumberFormat="1" applyFont="1" applyFill="1" applyBorder="1" applyAlignment="1" applyProtection="1">
      <alignment horizontal="right" vertical="center"/>
    </xf>
    <xf numFmtId="180" fontId="36" fillId="0" borderId="1" xfId="52" applyNumberFormat="1" applyFont="1" applyFill="1" applyBorder="1" applyAlignment="1" applyProtection="1">
      <alignment horizontal="right" vertical="center"/>
      <protection locked="0"/>
    </xf>
    <xf numFmtId="9" fontId="36" fillId="2" borderId="1" xfId="52" applyNumberFormat="1" applyFont="1" applyFill="1" applyBorder="1" applyAlignment="1" applyProtection="1">
      <alignment horizontal="right" vertical="center"/>
    </xf>
    <xf numFmtId="0" fontId="36" fillId="2" borderId="11" xfId="52" applyFont="1" applyFill="1" applyBorder="1" applyAlignment="1" applyProtection="1">
      <alignment horizontal="left" vertical="center"/>
      <protection locked="0"/>
    </xf>
    <xf numFmtId="178" fontId="50" fillId="2" borderId="1" xfId="52" applyNumberFormat="1" applyFont="1" applyFill="1" applyBorder="1" applyAlignment="1" applyProtection="1">
      <alignment horizontal="center" vertical="center"/>
      <protection locked="0"/>
    </xf>
    <xf numFmtId="10" fontId="49" fillId="0" borderId="11" xfId="52" applyNumberFormat="1" applyFont="1" applyFill="1" applyBorder="1" applyAlignment="1" applyProtection="1">
      <alignment horizontal="left" vertical="center"/>
      <protection locked="0"/>
    </xf>
    <xf numFmtId="49" fontId="36" fillId="2" borderId="1" xfId="52" applyNumberFormat="1" applyFont="1" applyFill="1" applyBorder="1" applyAlignment="1" applyProtection="1">
      <alignment vertical="center"/>
    </xf>
    <xf numFmtId="178" fontId="36" fillId="0" borderId="1" xfId="52" applyNumberFormat="1" applyFont="1" applyFill="1" applyBorder="1" applyAlignment="1" applyProtection="1">
      <alignment horizontal="center" vertical="center"/>
      <protection locked="0"/>
    </xf>
    <xf numFmtId="0" fontId="36" fillId="0" borderId="1" xfId="52" applyFont="1" applyFill="1" applyBorder="1" applyAlignment="1" applyProtection="1">
      <alignment horizontal="right" vertical="center"/>
      <protection locked="0"/>
    </xf>
    <xf numFmtId="49" fontId="9" fillId="2" borderId="10" xfId="52" applyNumberFormat="1" applyFont="1" applyFill="1" applyBorder="1" applyAlignment="1" applyProtection="1">
      <alignment horizontal="center" vertical="center"/>
    </xf>
    <xf numFmtId="178" fontId="65" fillId="2" borderId="1" xfId="0" applyNumberFormat="1" applyFont="1" applyFill="1" applyBorder="1" applyAlignment="1" applyProtection="1">
      <alignment horizontal="right" vertical="center"/>
    </xf>
    <xf numFmtId="181" fontId="65" fillId="2" borderId="1" xfId="0" applyNumberFormat="1"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10" fontId="65" fillId="2" borderId="1" xfId="52" applyNumberFormat="1" applyFont="1" applyFill="1" applyBorder="1" applyAlignment="1" applyProtection="1">
      <alignment horizontal="right" vertical="center"/>
    </xf>
    <xf numFmtId="0" fontId="65" fillId="2" borderId="11" xfId="0" applyFont="1" applyFill="1" applyBorder="1" applyAlignment="1" applyProtection="1">
      <alignment vertical="center"/>
      <protection locked="0"/>
    </xf>
    <xf numFmtId="178" fontId="65" fillId="2" borderId="1" xfId="52" applyNumberFormat="1" applyFont="1" applyFill="1" applyBorder="1" applyAlignment="1" applyProtection="1">
      <alignment horizontal="right" vertical="center"/>
    </xf>
    <xf numFmtId="9" fontId="65" fillId="2" borderId="1" xfId="52" applyNumberFormat="1" applyFont="1" applyFill="1" applyBorder="1" applyAlignment="1" applyProtection="1">
      <alignment horizontal="right" vertical="center"/>
    </xf>
    <xf numFmtId="49" fontId="50" fillId="2" borderId="10" xfId="52" applyNumberFormat="1" applyFont="1" applyFill="1" applyBorder="1" applyAlignment="1" applyProtection="1">
      <alignment horizontal="left" vertical="center"/>
    </xf>
    <xf numFmtId="0" fontId="50" fillId="2" borderId="1" xfId="0" applyFont="1" applyFill="1" applyBorder="1" applyAlignment="1" applyProtection="1">
      <alignment vertical="center"/>
      <protection locked="0"/>
    </xf>
    <xf numFmtId="0" fontId="50" fillId="2" borderId="1" xfId="0" applyFont="1" applyFill="1" applyBorder="1" applyAlignment="1" applyProtection="1">
      <alignment horizontal="right" vertical="center"/>
    </xf>
    <xf numFmtId="0" fontId="50" fillId="2" borderId="11" xfId="0" applyFont="1" applyFill="1" applyBorder="1" applyAlignment="1" applyProtection="1">
      <alignment vertical="center"/>
      <protection locked="0"/>
    </xf>
    <xf numFmtId="180" fontId="31" fillId="0" borderId="1" xfId="0" applyNumberFormat="1" applyFont="1" applyFill="1" applyBorder="1" applyAlignment="1" applyProtection="1">
      <alignment horizontal="right" vertical="center"/>
      <protection locked="0"/>
    </xf>
    <xf numFmtId="9" fontId="36" fillId="0" borderId="1" xfId="52" applyNumberFormat="1" applyFont="1" applyFill="1" applyBorder="1" applyAlignment="1" applyProtection="1">
      <alignment horizontal="right" vertical="center"/>
      <protection locked="0"/>
    </xf>
    <xf numFmtId="0" fontId="36" fillId="2" borderId="11" xfId="0" applyFont="1" applyFill="1" applyBorder="1" applyAlignment="1" applyProtection="1">
      <alignment vertical="center" wrapText="1"/>
      <protection locked="0"/>
    </xf>
    <xf numFmtId="49" fontId="50" fillId="2" borderId="10" xfId="0" applyNumberFormat="1" applyFont="1" applyFill="1" applyBorder="1" applyAlignment="1" applyProtection="1">
      <alignment horizontal="left" vertical="center"/>
    </xf>
    <xf numFmtId="9" fontId="50" fillId="2" borderId="1" xfId="0" applyNumberFormat="1" applyFont="1" applyFill="1" applyBorder="1" applyAlignment="1" applyProtection="1">
      <alignment horizontal="right" vertical="center"/>
    </xf>
    <xf numFmtId="49" fontId="50" fillId="2" borderId="12"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0" fontId="36" fillId="2" borderId="13" xfId="0" applyFont="1" applyFill="1" applyBorder="1" applyAlignment="1" applyProtection="1">
      <alignment vertical="center"/>
      <protection locked="0"/>
    </xf>
    <xf numFmtId="181" fontId="36" fillId="2" borderId="13" xfId="0" applyNumberFormat="1" applyFont="1" applyFill="1" applyBorder="1" applyAlignment="1" applyProtection="1">
      <alignment vertical="center"/>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5" xfId="52" applyFont="1" applyFill="1" applyBorder="1" applyAlignment="1" applyProtection="1">
      <alignment horizontal="left" vertical="center"/>
      <protection locked="0"/>
    </xf>
    <xf numFmtId="0" fontId="78" fillId="3" borderId="16" xfId="52" applyFont="1" applyFill="1" applyBorder="1" applyAlignment="1" applyProtection="1">
      <alignment vertical="center"/>
    </xf>
    <xf numFmtId="0" fontId="78" fillId="7" borderId="0" xfId="52"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2" applyFont="1" applyFill="1" applyBorder="1" applyAlignment="1" applyProtection="1">
      <alignment horizontal="center" vertical="center"/>
    </xf>
    <xf numFmtId="0" fontId="78" fillId="2" borderId="0" xfId="52" applyFont="1" applyFill="1" applyBorder="1" applyAlignment="1" applyProtection="1">
      <alignment vertical="center"/>
    </xf>
    <xf numFmtId="0" fontId="50" fillId="2" borderId="16" xfId="52" applyFont="1" applyFill="1" applyBorder="1" applyAlignment="1" applyProtection="1">
      <alignment vertical="center"/>
    </xf>
    <xf numFmtId="0" fontId="50" fillId="2" borderId="99" xfId="52"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0" fontId="15" fillId="2" borderId="83" xfId="0" applyFont="1" applyFill="1" applyBorder="1" applyAlignment="1" applyProtection="1">
      <alignment horizontal="center" vertical="center"/>
    </xf>
    <xf numFmtId="0" fontId="15" fillId="2" borderId="84"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93" xfId="0" applyFont="1" applyFill="1" applyBorder="1" applyAlignment="1" applyProtection="1">
      <alignment horizontal="left" vertical="center"/>
    </xf>
    <xf numFmtId="180" fontId="56" fillId="3" borderId="1" xfId="0" applyNumberFormat="1" applyFont="1" applyFill="1" applyBorder="1" applyAlignment="1" applyProtection="1">
      <alignment horizontal="center" vertical="center" wrapText="1"/>
      <protection locked="0"/>
    </xf>
    <xf numFmtId="180" fontId="56" fillId="3" borderId="11"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10" xfId="0" applyNumberFormat="1" applyFont="1" applyFill="1" applyBorder="1" applyAlignment="1" applyProtection="1">
      <alignment horizontal="left" vertical="center"/>
    </xf>
    <xf numFmtId="0" fontId="80" fillId="2" borderId="15" xfId="0" applyFont="1" applyFill="1" applyBorder="1" applyAlignment="1" applyProtection="1">
      <alignment horizontal="left" vertical="center"/>
    </xf>
    <xf numFmtId="180" fontId="56" fillId="0" borderId="1" xfId="0" applyNumberFormat="1" applyFont="1" applyFill="1" applyBorder="1" applyAlignment="1" applyProtection="1">
      <alignment horizontal="right" vertical="center"/>
      <protection locked="0"/>
    </xf>
    <xf numFmtId="180" fontId="56" fillId="0" borderId="11"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7" fontId="25" fillId="2" borderId="1" xfId="0" applyNumberFormat="1" applyFont="1" applyFill="1" applyBorder="1" applyAlignment="1" applyProtection="1">
      <alignment horizontal="right" vertical="center"/>
    </xf>
    <xf numFmtId="177" fontId="25" fillId="2" borderId="11" xfId="0" applyNumberFormat="1" applyFont="1" applyFill="1" applyBorder="1" applyAlignment="1" applyProtection="1">
      <alignment horizontal="right" vertical="center"/>
    </xf>
    <xf numFmtId="49" fontId="74" fillId="2" borderId="12" xfId="0" applyNumberFormat="1" applyFont="1" applyFill="1" applyBorder="1" applyAlignment="1" applyProtection="1">
      <alignment horizontal="left" vertical="center"/>
    </xf>
    <xf numFmtId="0" fontId="81" fillId="2" borderId="27" xfId="0" applyFont="1" applyFill="1" applyBorder="1" applyAlignment="1" applyProtection="1">
      <alignment horizontal="left" vertical="center"/>
    </xf>
    <xf numFmtId="180" fontId="23" fillId="0" borderId="13" xfId="0" applyNumberFormat="1" applyFont="1" applyFill="1" applyBorder="1" applyAlignment="1" applyProtection="1">
      <alignment horizontal="right" vertical="center"/>
      <protection locked="0"/>
    </xf>
    <xf numFmtId="180" fontId="74" fillId="0" borderId="13" xfId="0" applyNumberFormat="1" applyFont="1" applyFill="1" applyBorder="1" applyAlignment="1" applyProtection="1">
      <alignment horizontal="right" vertical="center"/>
      <protection locked="0"/>
    </xf>
    <xf numFmtId="180" fontId="74" fillId="0" borderId="14"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79" fillId="2" borderId="10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82" fillId="2" borderId="7" xfId="0"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180" fontId="82" fillId="2" borderId="8" xfId="0" applyNumberFormat="1" applyFont="1" applyFill="1" applyBorder="1" applyAlignment="1" applyProtection="1">
      <alignment horizontal="left" vertical="center"/>
    </xf>
    <xf numFmtId="0" fontId="82" fillId="2" borderId="26" xfId="0" applyFont="1" applyFill="1" applyBorder="1" applyAlignment="1" applyProtection="1">
      <alignment horizontal="left" vertical="center"/>
    </xf>
    <xf numFmtId="0" fontId="73" fillId="2" borderId="83"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82" fillId="2" borderId="1" xfId="0" applyFont="1" applyFill="1" applyBorder="1" applyAlignment="1" applyProtection="1">
      <alignment vertical="center"/>
    </xf>
    <xf numFmtId="180" fontId="73" fillId="2" borderId="1" xfId="0" applyNumberFormat="1"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177" fontId="73" fillId="2" borderId="1" xfId="0" applyNumberFormat="1" applyFont="1" applyFill="1" applyBorder="1" applyAlignment="1" applyProtection="1">
      <alignment horizontal="center" vertical="center"/>
    </xf>
    <xf numFmtId="0" fontId="73" fillId="2" borderId="15" xfId="0" applyFont="1" applyFill="1" applyBorder="1" applyAlignment="1" applyProtection="1">
      <alignment vertical="center"/>
    </xf>
    <xf numFmtId="0" fontId="73" fillId="2" borderId="17" xfId="0" applyFont="1" applyFill="1" applyBorder="1" applyAlignment="1" applyProtection="1">
      <alignment vertical="center"/>
    </xf>
    <xf numFmtId="0" fontId="73" fillId="2" borderId="87" xfId="0" applyFont="1" applyFill="1" applyBorder="1" applyAlignment="1" applyProtection="1">
      <alignment vertical="center"/>
    </xf>
    <xf numFmtId="0" fontId="73" fillId="2" borderId="1" xfId="0" applyFont="1" applyFill="1" applyBorder="1" applyAlignment="1" applyProtection="1">
      <alignment vertical="center"/>
    </xf>
    <xf numFmtId="177" fontId="73" fillId="2" borderId="1" xfId="0" applyNumberFormat="1" applyFont="1" applyFill="1" applyBorder="1" applyAlignment="1" applyProtection="1">
      <alignment horizontal="right" vertical="center"/>
    </xf>
    <xf numFmtId="0" fontId="15" fillId="2" borderId="15" xfId="0" applyFont="1" applyFill="1" applyBorder="1" applyAlignment="1" applyProtection="1">
      <alignment vertical="center"/>
    </xf>
    <xf numFmtId="0" fontId="73" fillId="2" borderId="1" xfId="52" applyFont="1" applyFill="1" applyBorder="1" applyAlignment="1" applyProtection="1">
      <alignment vertical="center"/>
    </xf>
    <xf numFmtId="178" fontId="73" fillId="2" borderId="1" xfId="52" applyNumberFormat="1" applyFont="1" applyFill="1" applyBorder="1" applyAlignment="1" applyProtection="1">
      <alignment vertical="center"/>
    </xf>
    <xf numFmtId="177" fontId="73" fillId="2" borderId="1" xfId="52" applyNumberFormat="1" applyFont="1" applyFill="1" applyBorder="1" applyAlignment="1" applyProtection="1">
      <alignment horizontal="right" vertical="center"/>
    </xf>
    <xf numFmtId="0" fontId="69" fillId="2" borderId="15" xfId="0" applyFont="1" applyFill="1" applyBorder="1" applyAlignment="1" applyProtection="1">
      <alignment horizontal="left" vertical="center"/>
    </xf>
    <xf numFmtId="0" fontId="56" fillId="2" borderId="17" xfId="0" applyFont="1" applyFill="1" applyBorder="1" applyAlignment="1" applyProtection="1">
      <alignment vertical="center"/>
    </xf>
    <xf numFmtId="0" fontId="56" fillId="2" borderId="87" xfId="0" applyFont="1" applyFill="1" applyBorder="1" applyAlignment="1" applyProtection="1">
      <alignment vertical="center"/>
    </xf>
    <xf numFmtId="49" fontId="70" fillId="15" borderId="10" xfId="52" applyNumberFormat="1" applyFont="1" applyFill="1" applyBorder="1" applyAlignment="1" applyProtection="1">
      <alignment horizontal="center" vertical="center"/>
    </xf>
    <xf numFmtId="49" fontId="70" fillId="15" borderId="1" xfId="52" applyNumberFormat="1" applyFont="1" applyFill="1" applyBorder="1" applyAlignment="1" applyProtection="1">
      <alignment horizontal="left" vertical="center"/>
    </xf>
    <xf numFmtId="180" fontId="70" fillId="15" borderId="1" xfId="52" applyNumberFormat="1" applyFont="1" applyFill="1" applyBorder="1" applyAlignment="1" applyProtection="1">
      <alignment horizontal="right" vertical="center"/>
    </xf>
    <xf numFmtId="177" fontId="70" fillId="15" borderId="1" xfId="52" applyNumberFormat="1" applyFont="1" applyFill="1" applyBorder="1" applyAlignment="1" applyProtection="1">
      <alignment horizontal="left" vertical="center"/>
    </xf>
    <xf numFmtId="49" fontId="65" fillId="15" borderId="15" xfId="52" applyNumberFormat="1" applyFont="1" applyFill="1" applyBorder="1" applyAlignment="1" applyProtection="1">
      <alignment horizontal="left" vertical="center"/>
    </xf>
    <xf numFmtId="49" fontId="70" fillId="15" borderId="10" xfId="52" applyNumberFormat="1" applyFont="1" applyFill="1" applyBorder="1" applyAlignment="1" applyProtection="1">
      <alignment horizontal="right" vertical="center"/>
    </xf>
    <xf numFmtId="49" fontId="83" fillId="2" borderId="1" xfId="52" applyNumberFormat="1" applyFont="1" applyFill="1" applyBorder="1" applyAlignment="1" applyProtection="1">
      <alignment horizontal="left" vertical="center"/>
    </xf>
    <xf numFmtId="178" fontId="31" fillId="15" borderId="1" xfId="52"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left" vertical="center"/>
    </xf>
    <xf numFmtId="0" fontId="70" fillId="2" borderId="1" xfId="52" applyFont="1" applyFill="1" applyBorder="1" applyAlignment="1" applyProtection="1">
      <alignment horizontal="left" vertical="center"/>
    </xf>
    <xf numFmtId="177" fontId="31" fillId="2" borderId="1" xfId="52" applyNumberFormat="1" applyFont="1" applyFill="1" applyBorder="1" applyAlignment="1" applyProtection="1">
      <alignment horizontal="right" vertical="center"/>
    </xf>
    <xf numFmtId="0" fontId="69" fillId="2" borderId="15" xfId="52" applyFont="1" applyFill="1" applyBorder="1" applyAlignment="1" applyProtection="1">
      <alignment horizontal="left" vertical="center"/>
    </xf>
    <xf numFmtId="49" fontId="83" fillId="15" borderId="1" xfId="52" applyNumberFormat="1" applyFont="1" applyFill="1" applyBorder="1" applyAlignment="1" applyProtection="1">
      <alignment horizontal="left" vertical="center"/>
    </xf>
    <xf numFmtId="10" fontId="31" fillId="15" borderId="1" xfId="3" applyNumberFormat="1" applyFont="1" applyFill="1" applyBorder="1" applyAlignment="1" applyProtection="1">
      <alignment horizontal="right" vertical="center"/>
    </xf>
    <xf numFmtId="49" fontId="10" fillId="15" borderId="1" xfId="52" applyNumberFormat="1" applyFont="1" applyFill="1" applyBorder="1" applyAlignment="1" applyProtection="1">
      <alignment horizontal="left" vertical="center"/>
    </xf>
    <xf numFmtId="0" fontId="49" fillId="15" borderId="1" xfId="52" applyFont="1" applyFill="1" applyBorder="1" applyAlignment="1" applyProtection="1">
      <alignment horizontal="left" vertical="center"/>
    </xf>
    <xf numFmtId="0" fontId="50" fillId="15" borderId="15" xfId="52" applyFont="1" applyFill="1" applyBorder="1" applyAlignment="1" applyProtection="1">
      <alignment horizontal="left" vertical="center"/>
    </xf>
    <xf numFmtId="177" fontId="31" fillId="15" borderId="1" xfId="52" applyNumberFormat="1" applyFont="1" applyFill="1" applyBorder="1" applyAlignment="1" applyProtection="1">
      <alignment horizontal="right" vertical="center"/>
    </xf>
    <xf numFmtId="177" fontId="31" fillId="15" borderId="1" xfId="52" applyNumberFormat="1" applyFont="1" applyFill="1" applyBorder="1" applyAlignment="1" applyProtection="1">
      <alignment horizontal="left" vertical="center"/>
    </xf>
    <xf numFmtId="49" fontId="6" fillId="15" borderId="1" xfId="52" applyNumberFormat="1" applyFon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87" xfId="0" applyFont="1" applyFill="1" applyBorder="1" applyAlignment="1" applyProtection="1">
      <alignment horizontal="left" vertical="center"/>
    </xf>
    <xf numFmtId="178" fontId="31" fillId="2" borderId="1" xfId="52" applyNumberFormat="1" applyFont="1" applyFill="1" applyBorder="1" applyAlignment="1" applyProtection="1">
      <alignment horizontal="right" vertical="center"/>
    </xf>
    <xf numFmtId="0" fontId="49" fillId="2" borderId="1" xfId="52" applyFont="1" applyFill="1" applyBorder="1" applyAlignment="1" applyProtection="1">
      <alignment horizontal="left" vertical="center"/>
    </xf>
    <xf numFmtId="10" fontId="31" fillId="2" borderId="1" xfId="3" applyNumberFormat="1" applyFont="1" applyFill="1" applyBorder="1" applyAlignment="1" applyProtection="1">
      <alignment horizontal="right" vertical="center"/>
    </xf>
    <xf numFmtId="0" fontId="50" fillId="2" borderId="15" xfId="52" applyFont="1" applyFill="1" applyBorder="1" applyAlignment="1" applyProtection="1">
      <alignment horizontal="left" vertical="center"/>
    </xf>
    <xf numFmtId="180" fontId="70" fillId="15" borderId="1" xfId="0" applyNumberFormat="1" applyFont="1" applyFill="1" applyBorder="1" applyAlignment="1" applyProtection="1">
      <alignment horizontal="right" vertical="center"/>
    </xf>
    <xf numFmtId="0" fontId="70" fillId="15" borderId="1" xfId="0" applyFont="1" applyFill="1" applyBorder="1" applyAlignment="1" applyProtection="1">
      <alignment horizontal="left" vertical="center"/>
    </xf>
    <xf numFmtId="0" fontId="65" fillId="15" borderId="15" xfId="0" applyFont="1" applyFill="1" applyBorder="1" applyAlignment="1" applyProtection="1">
      <alignment horizontal="left" vertical="center"/>
    </xf>
    <xf numFmtId="0" fontId="56" fillId="2" borderId="17" xfId="0" applyFont="1" applyFill="1" applyBorder="1" applyAlignment="1" applyProtection="1">
      <alignment vertical="center"/>
      <protection locked="0"/>
    </xf>
    <xf numFmtId="0" fontId="56" fillId="2" borderId="87" xfId="0" applyFont="1" applyFill="1" applyBorder="1" applyAlignment="1" applyProtection="1">
      <alignment vertical="center"/>
      <protection locked="0"/>
    </xf>
    <xf numFmtId="181" fontId="70" fillId="2" borderId="1" xfId="0" applyNumberFormat="1" applyFont="1" applyFill="1" applyBorder="1" applyAlignment="1" applyProtection="1">
      <alignment horizontal="right" vertical="center"/>
    </xf>
    <xf numFmtId="0" fontId="70" fillId="2" borderId="1" xfId="0" applyFont="1" applyFill="1" applyBorder="1" applyAlignment="1" applyProtection="1">
      <alignment horizontal="left" vertical="center"/>
    </xf>
    <xf numFmtId="0" fontId="65" fillId="2" borderId="15" xfId="0" applyFont="1" applyFill="1" applyBorder="1" applyAlignment="1" applyProtection="1">
      <alignment vertical="center"/>
      <protection locked="0"/>
    </xf>
    <xf numFmtId="180" fontId="31" fillId="2" borderId="1" xfId="0" applyNumberFormat="1" applyFont="1" applyFill="1" applyBorder="1" applyAlignment="1" applyProtection="1">
      <alignment horizontal="right" vertical="center"/>
      <protection locked="0"/>
    </xf>
    <xf numFmtId="0" fontId="31" fillId="2" borderId="1" xfId="0" applyFont="1" applyFill="1" applyBorder="1" applyAlignment="1" applyProtection="1">
      <alignment horizontal="center" vertical="center"/>
      <protection locked="0"/>
    </xf>
    <xf numFmtId="10" fontId="31" fillId="2" borderId="1" xfId="3" applyNumberFormat="1" applyFont="1" applyFill="1" applyBorder="1" applyAlignment="1" applyProtection="1">
      <alignment horizontal="right" vertical="center"/>
      <protection locked="0"/>
    </xf>
    <xf numFmtId="0" fontId="31" fillId="2" borderId="15" xfId="0" applyFont="1" applyFill="1" applyBorder="1" applyAlignment="1" applyProtection="1">
      <alignment horizontal="left" vertical="center"/>
    </xf>
    <xf numFmtId="181" fontId="31"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vertical="center"/>
      <protection locked="0"/>
    </xf>
    <xf numFmtId="0" fontId="75" fillId="2" borderId="17" xfId="0" applyFont="1" applyFill="1" applyBorder="1" applyAlignment="1" applyProtection="1">
      <alignment vertical="center"/>
    </xf>
    <xf numFmtId="0" fontId="75" fillId="2" borderId="87" xfId="0" applyFont="1" applyFill="1" applyBorder="1" applyAlignment="1" applyProtection="1">
      <alignment vertical="center"/>
    </xf>
    <xf numFmtId="181" fontId="70" fillId="15" borderId="1" xfId="0" applyNumberFormat="1" applyFont="1" applyFill="1" applyBorder="1" applyAlignment="1" applyProtection="1">
      <alignment horizontal="left" vertical="center"/>
    </xf>
    <xf numFmtId="0" fontId="65" fillId="15" borderId="15" xfId="0" applyFont="1" applyFill="1" applyBorder="1" applyAlignment="1" applyProtection="1">
      <alignment horizontal="left" vertical="center" wrapText="1"/>
    </xf>
    <xf numFmtId="186" fontId="31" fillId="15" borderId="1" xfId="0" applyNumberFormat="1" applyFont="1" applyFill="1" applyBorder="1" applyAlignment="1" applyProtection="1">
      <alignment horizontal="left" vertical="center"/>
    </xf>
    <xf numFmtId="0" fontId="31" fillId="15" borderId="1" xfId="0" applyFont="1" applyFill="1" applyBorder="1" applyAlignment="1" applyProtection="1">
      <alignment horizontal="left" vertical="center"/>
    </xf>
    <xf numFmtId="0" fontId="71" fillId="15" borderId="15" xfId="0" applyFont="1" applyFill="1" applyBorder="1" applyAlignment="1" applyProtection="1">
      <alignment horizontal="left" vertical="center"/>
    </xf>
    <xf numFmtId="0" fontId="36" fillId="15" borderId="15" xfId="0" applyFont="1" applyFill="1" applyBorder="1" applyAlignment="1" applyProtection="1">
      <alignment horizontal="left" vertical="center" wrapText="1"/>
    </xf>
    <xf numFmtId="178" fontId="84" fillId="2" borderId="17" xfId="0" applyNumberFormat="1" applyFont="1" applyFill="1" applyBorder="1" applyAlignment="1" applyProtection="1">
      <alignment vertical="center"/>
    </xf>
    <xf numFmtId="178" fontId="84" fillId="2" borderId="87" xfId="0" applyNumberFormat="1" applyFont="1" applyFill="1" applyBorder="1" applyAlignment="1" applyProtection="1">
      <alignment vertical="center"/>
    </xf>
    <xf numFmtId="49" fontId="70" fillId="2" borderId="1" xfId="52" applyNumberFormat="1" applyFont="1" applyFill="1" applyBorder="1" applyAlignment="1" applyProtection="1">
      <alignment horizontal="left" vertical="center"/>
    </xf>
    <xf numFmtId="180" fontId="70" fillId="2" borderId="1" xfId="0" applyNumberFormat="1" applyFont="1" applyFill="1" applyBorder="1" applyAlignment="1" applyProtection="1">
      <alignment horizontal="right" vertical="center"/>
      <protection locked="0"/>
    </xf>
    <xf numFmtId="181" fontId="70" fillId="2" borderId="1"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8" xfId="0" applyFont="1" applyFill="1" applyBorder="1" applyAlignment="1" applyProtection="1">
      <alignment vertical="center"/>
    </xf>
    <xf numFmtId="180" fontId="73" fillId="2" borderId="28" xfId="0" applyNumberFormat="1" applyFont="1" applyFill="1" applyBorder="1" applyAlignment="1" applyProtection="1">
      <alignment horizontal="right" vertical="center"/>
    </xf>
    <xf numFmtId="177" fontId="73" fillId="2" borderId="28" xfId="0" applyNumberFormat="1" applyFont="1" applyFill="1" applyBorder="1" applyAlignment="1" applyProtection="1">
      <alignment horizontal="right" vertical="center"/>
    </xf>
    <xf numFmtId="0" fontId="79" fillId="2" borderId="95"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4" xfId="0" applyFont="1" applyFill="1" applyBorder="1" applyAlignment="1" applyProtection="1">
      <alignment vertical="center"/>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30" fillId="2" borderId="7" xfId="0" applyFont="1" applyFill="1" applyBorder="1" applyAlignment="1" applyProtection="1">
      <alignment horizontal="center" vertical="center"/>
    </xf>
    <xf numFmtId="0" fontId="30" fillId="2" borderId="26" xfId="0" applyFont="1" applyFill="1" applyBorder="1" applyProtection="1">
      <alignment vertical="center"/>
    </xf>
    <xf numFmtId="10" fontId="31" fillId="2" borderId="1" xfId="0" applyNumberFormat="1" applyFont="1" applyFill="1" applyBorder="1" applyAlignment="1" applyProtection="1">
      <alignment vertical="center" wrapText="1"/>
    </xf>
    <xf numFmtId="0" fontId="49"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31" fillId="2" borderId="0" xfId="53" applyFont="1" applyFill="1" applyAlignment="1" applyProtection="1">
      <alignment horizontal="center" vertical="center" wrapText="1"/>
      <protection locked="0"/>
    </xf>
    <xf numFmtId="0" fontId="31" fillId="14" borderId="0" xfId="53" applyFont="1" applyFill="1" applyAlignment="1" applyProtection="1">
      <alignment horizontal="center" vertical="center" wrapText="1"/>
    </xf>
    <xf numFmtId="0" fontId="31" fillId="0" borderId="0" xfId="53" applyFont="1" applyAlignment="1" applyProtection="1">
      <alignment horizontal="center" vertical="center" wrapText="1"/>
    </xf>
    <xf numFmtId="0" fontId="50" fillId="2" borderId="15" xfId="52" applyFont="1" applyFill="1" applyBorder="1" applyAlignment="1" applyProtection="1">
      <alignment vertical="center"/>
    </xf>
    <xf numFmtId="0" fontId="31" fillId="2" borderId="1" xfId="0" applyFont="1" applyFill="1" applyBorder="1" applyAlignment="1" applyProtection="1">
      <alignment horizontal="left" vertical="center" wrapText="1"/>
    </xf>
    <xf numFmtId="0" fontId="31" fillId="3" borderId="1" xfId="0" applyFont="1" applyFill="1" applyBorder="1" applyAlignment="1" applyProtection="1">
      <alignment horizontal="left" vertical="center" wrapText="1"/>
      <protection locked="0"/>
    </xf>
    <xf numFmtId="0" fontId="31" fillId="2" borderId="1" xfId="0"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xf>
    <xf numFmtId="0" fontId="30" fillId="2" borderId="15" xfId="0" applyFont="1" applyFill="1" applyBorder="1" applyProtection="1">
      <alignment vertical="center"/>
    </xf>
    <xf numFmtId="0" fontId="49" fillId="2" borderId="1" xfId="53" applyFont="1" applyFill="1" applyBorder="1" applyAlignment="1" applyProtection="1">
      <alignment horizontal="right" vertical="center" wrapText="1"/>
    </xf>
    <xf numFmtId="0" fontId="49" fillId="0" borderId="1" xfId="53" applyFont="1" applyFill="1" applyBorder="1" applyAlignment="1" applyProtection="1">
      <alignment horizontal="right" vertical="center" wrapText="1"/>
      <protection locked="0"/>
    </xf>
    <xf numFmtId="0" fontId="6"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7" fontId="70" fillId="2" borderId="1" xfId="0" applyNumberFormat="1" applyFont="1" applyFill="1" applyBorder="1" applyAlignment="1" applyProtection="1">
      <alignment horizontal="right" vertical="center" wrapText="1"/>
    </xf>
    <xf numFmtId="178" fontId="70" fillId="0" borderId="1" xfId="0" applyNumberFormat="1" applyFont="1" applyFill="1" applyBorder="1" applyAlignment="1" applyProtection="1">
      <alignment horizontal="right" vertical="center" wrapText="1"/>
      <protection locked="0"/>
    </xf>
    <xf numFmtId="0" fontId="58" fillId="2" borderId="1" xfId="53" applyFont="1" applyFill="1" applyBorder="1" applyAlignment="1" applyProtection="1">
      <alignment vertical="center"/>
    </xf>
    <xf numFmtId="0" fontId="50" fillId="2" borderId="1" xfId="0" applyFont="1" applyFill="1" applyBorder="1" applyAlignment="1" applyProtection="1">
      <alignment horizontal="right" vertical="center" wrapText="1"/>
    </xf>
    <xf numFmtId="0" fontId="58" fillId="2" borderId="1" xfId="53" applyFont="1" applyFill="1" applyBorder="1" applyAlignment="1" applyProtection="1">
      <alignment vertical="center" wrapText="1"/>
    </xf>
    <xf numFmtId="0" fontId="50" fillId="2" borderId="17" xfId="0" applyFont="1" applyFill="1" applyBorder="1" applyAlignment="1" applyProtection="1">
      <alignment vertical="center" wrapText="1"/>
    </xf>
    <xf numFmtId="0" fontId="50" fillId="2" borderId="16" xfId="0" applyFont="1" applyFill="1" applyBorder="1" applyAlignment="1" applyProtection="1">
      <alignment vertical="center" wrapText="1"/>
    </xf>
    <xf numFmtId="49" fontId="65" fillId="2" borderId="2"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180" fontId="65" fillId="2" borderId="50" xfId="0" applyNumberFormat="1" applyFont="1" applyFill="1" applyBorder="1" applyAlignment="1" applyProtection="1">
      <alignment horizontal="right" vertical="center"/>
    </xf>
    <xf numFmtId="180" fontId="85" fillId="2" borderId="13" xfId="0" applyNumberFormat="1"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0" fontId="70" fillId="0" borderId="0" xfId="53" applyFont="1" applyAlignment="1" applyProtection="1">
      <alignment horizontal="center" vertical="center" wrapText="1"/>
    </xf>
    <xf numFmtId="49" fontId="36" fillId="2" borderId="100" xfId="0" applyNumberFormat="1"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wrapText="1"/>
    </xf>
    <xf numFmtId="180" fontId="36" fillId="2" borderId="102" xfId="0" applyNumberFormat="1" applyFont="1" applyFill="1" applyBorder="1" applyAlignment="1" applyProtection="1">
      <alignment horizontal="right" vertical="center"/>
    </xf>
    <xf numFmtId="0" fontId="26" fillId="2" borderId="102" xfId="0" applyFont="1" applyFill="1" applyBorder="1" applyAlignment="1" applyProtection="1">
      <alignment vertical="center"/>
    </xf>
    <xf numFmtId="0" fontId="36" fillId="2" borderId="110" xfId="0" applyFont="1" applyFill="1" applyBorder="1" applyAlignment="1" applyProtection="1">
      <alignment horizontal="center" vertical="center" wrapText="1"/>
    </xf>
    <xf numFmtId="0" fontId="31" fillId="2" borderId="110" xfId="0" applyFont="1" applyFill="1" applyBorder="1" applyAlignment="1" applyProtection="1">
      <alignment vertical="center" wrapText="1"/>
    </xf>
    <xf numFmtId="0" fontId="31" fillId="2" borderId="111" xfId="0" applyFont="1" applyFill="1" applyBorder="1" applyAlignment="1" applyProtection="1">
      <alignment vertical="center" wrapText="1"/>
    </xf>
    <xf numFmtId="0" fontId="31" fillId="14" borderId="0" xfId="0" applyFont="1" applyFill="1" applyAlignment="1" applyProtection="1">
      <alignment vertical="center"/>
      <protection locked="0"/>
    </xf>
    <xf numFmtId="49" fontId="9" fillId="2" borderId="100" xfId="0" applyNumberFormat="1" applyFont="1" applyFill="1" applyBorder="1" applyAlignment="1" applyProtection="1">
      <alignment horizontal="center" vertical="center" wrapText="1"/>
    </xf>
    <xf numFmtId="0" fontId="36" fillId="2" borderId="8" xfId="0" applyFont="1" applyFill="1" applyBorder="1" applyAlignment="1" applyProtection="1">
      <alignment horizontal="left" vertical="center" wrapText="1"/>
    </xf>
    <xf numFmtId="180" fontId="36" fillId="2" borderId="26" xfId="0" applyNumberFormat="1" applyFont="1" applyFill="1" applyBorder="1" applyAlignment="1" applyProtection="1">
      <alignment horizontal="right"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right" vertical="center" wrapText="1"/>
      <protection locked="0"/>
    </xf>
    <xf numFmtId="0" fontId="31"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1" fillId="2" borderId="109" xfId="0" applyFont="1" applyFill="1" applyBorder="1" applyAlignment="1" applyProtection="1">
      <alignment vertical="center" wrapText="1"/>
    </xf>
    <xf numFmtId="0" fontId="49" fillId="0" borderId="1" xfId="53" applyFont="1" applyFill="1" applyBorder="1" applyAlignment="1" applyProtection="1">
      <alignment horizontal="right" vertical="center" wrapText="1"/>
    </xf>
    <xf numFmtId="0" fontId="31" fillId="2" borderId="16"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right" vertical="center" wrapText="1"/>
      <protection locked="0"/>
    </xf>
    <xf numFmtId="0" fontId="31" fillId="2" borderId="1" xfId="53" applyFont="1" applyFill="1" applyBorder="1" applyAlignment="1" applyProtection="1">
      <alignment horizontal="center" vertical="center" wrapText="1"/>
      <protection locked="0"/>
    </xf>
    <xf numFmtId="185" fontId="31" fillId="2" borderId="1" xfId="53" applyNumberFormat="1" applyFont="1" applyFill="1" applyBorder="1" applyAlignment="1" applyProtection="1">
      <alignment horizontal="right" vertical="center" wrapText="1"/>
      <protection locked="0"/>
    </xf>
    <xf numFmtId="49" fontId="31" fillId="2" borderId="29" xfId="0" applyNumberFormat="1" applyFont="1" applyFill="1" applyBorder="1" applyAlignment="1" applyProtection="1">
      <alignment vertical="center" wrapText="1"/>
    </xf>
    <xf numFmtId="0" fontId="31" fillId="3" borderId="1" xfId="0" applyFont="1" applyFill="1" applyBorder="1" applyAlignment="1" applyProtection="1">
      <alignment horizontal="right" vertical="center" wrapText="1"/>
      <protection locked="0"/>
    </xf>
    <xf numFmtId="0" fontId="31" fillId="2" borderId="3" xfId="0" applyFont="1" applyFill="1" applyBorder="1" applyAlignment="1" applyProtection="1">
      <alignment horizontal="right" vertical="center" wrapText="1"/>
    </xf>
    <xf numFmtId="0" fontId="31" fillId="2" borderId="105" xfId="0" applyFont="1" applyFill="1" applyBorder="1" applyAlignment="1" applyProtection="1">
      <alignment horizontal="right" vertical="center" wrapText="1"/>
    </xf>
    <xf numFmtId="0" fontId="31" fillId="2" borderId="15" xfId="0" applyFont="1" applyFill="1" applyBorder="1" applyAlignment="1" applyProtection="1">
      <alignment vertical="center"/>
    </xf>
    <xf numFmtId="0" fontId="31" fillId="2" borderId="17"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7" xfId="53" applyFont="1" applyFill="1" applyBorder="1" applyAlignment="1" applyProtection="1">
      <alignment horizontal="right" vertical="center" wrapText="1"/>
      <protection locked="0"/>
    </xf>
    <xf numFmtId="0" fontId="31" fillId="2" borderId="16" xfId="53" applyFont="1" applyFill="1" applyBorder="1" applyAlignment="1" applyProtection="1">
      <alignment horizontal="right" vertical="center" wrapText="1"/>
      <protection locked="0"/>
    </xf>
    <xf numFmtId="0" fontId="25" fillId="2" borderId="1" xfId="53" applyFont="1" applyFill="1" applyBorder="1" applyAlignment="1" applyProtection="1">
      <alignment horizontal="center" vertical="center"/>
    </xf>
    <xf numFmtId="9"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left" vertical="center"/>
    </xf>
    <xf numFmtId="0" fontId="26" fillId="0" borderId="1" xfId="53" applyFont="1" applyFill="1" applyBorder="1" applyAlignment="1" applyProtection="1">
      <alignment horizontal="right" vertical="center"/>
      <protection locked="0"/>
    </xf>
    <xf numFmtId="0" fontId="26" fillId="2" borderId="1" xfId="53" applyFont="1" applyFill="1" applyBorder="1" applyAlignment="1" applyProtection="1">
      <alignment horizontal="right" vertical="center"/>
    </xf>
    <xf numFmtId="177"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right" vertical="center"/>
    </xf>
    <xf numFmtId="0" fontId="26" fillId="2" borderId="1" xfId="53"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2" xfId="0" applyFont="1" applyFill="1" applyBorder="1" applyAlignment="1" applyProtection="1">
      <alignment horizontal="left" vertical="center" wrapText="1"/>
    </xf>
    <xf numFmtId="177" fontId="31" fillId="2" borderId="2" xfId="0" applyNumberFormat="1" applyFont="1" applyFill="1" applyBorder="1" applyAlignment="1" applyProtection="1">
      <alignment horizontal="right" vertical="center" wrapText="1"/>
    </xf>
    <xf numFmtId="0" fontId="31" fillId="2" borderId="2" xfId="0"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12" xfId="0" applyFont="1" applyFill="1" applyBorder="1" applyAlignment="1" applyProtection="1">
      <alignment vertical="center" wrapText="1"/>
    </xf>
    <xf numFmtId="0" fontId="31" fillId="14"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protection locked="0"/>
    </xf>
    <xf numFmtId="0" fontId="36" fillId="2" borderId="101" xfId="0" applyFont="1" applyFill="1" applyBorder="1" applyAlignment="1" applyProtection="1">
      <alignment horizontal="left" vertical="center" wrapText="1"/>
    </xf>
    <xf numFmtId="177" fontId="31" fillId="0" borderId="102" xfId="0" applyNumberFormat="1" applyFont="1" applyFill="1" applyBorder="1" applyAlignment="1" applyProtection="1">
      <alignment horizontal="right" vertical="center" wrapText="1"/>
      <protection locked="0"/>
    </xf>
    <xf numFmtId="0" fontId="31" fillId="2" borderId="102" xfId="0" applyFont="1" applyFill="1" applyBorder="1" applyAlignment="1" applyProtection="1">
      <alignment horizontal="left" vertical="center" wrapText="1"/>
    </xf>
    <xf numFmtId="0" fontId="6" fillId="2" borderId="102"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wrapText="1"/>
      <protection locked="0"/>
    </xf>
    <xf numFmtId="0" fontId="31" fillId="2" borderId="111" xfId="0" applyFont="1" applyFill="1" applyBorder="1" applyAlignment="1" applyProtection="1">
      <alignment horizontal="left" vertical="center" wrapText="1"/>
      <protection locked="0"/>
    </xf>
    <xf numFmtId="0" fontId="30" fillId="2" borderId="12" xfId="0" applyFont="1" applyFill="1" applyBorder="1" applyAlignment="1" applyProtection="1">
      <alignment horizontal="center" vertical="center"/>
    </xf>
    <xf numFmtId="0" fontId="30" fillId="2" borderId="27" xfId="0" applyFont="1" applyFill="1" applyBorder="1" applyProtection="1">
      <alignment vertical="center"/>
    </xf>
    <xf numFmtId="0" fontId="36" fillId="2" borderId="21" xfId="0" applyFont="1" applyFill="1" applyBorder="1" applyAlignment="1" applyProtection="1">
      <alignment horizontal="left" vertical="center" wrapText="1"/>
    </xf>
    <xf numFmtId="177" fontId="36" fillId="2" borderId="26"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9" xfId="0" applyNumberFormat="1"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31" fillId="0" borderId="1" xfId="0" applyFont="1" applyFill="1" applyBorder="1" applyAlignment="1" applyProtection="1">
      <alignment horizontal="left" vertical="center"/>
      <protection locked="0"/>
    </xf>
    <xf numFmtId="0" fontId="25" fillId="2" borderId="3" xfId="0" applyFont="1" applyFill="1" applyBorder="1" applyAlignment="1" applyProtection="1">
      <alignment horizontal="left" vertical="center" wrapText="1"/>
    </xf>
    <xf numFmtId="0" fontId="25" fillId="3" borderId="16"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vertical="center" wrapText="1"/>
      <protection locked="0"/>
    </xf>
    <xf numFmtId="0" fontId="77" fillId="2" borderId="105"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3" xfId="0" applyFont="1" applyFill="1" applyBorder="1" applyAlignment="1" applyProtection="1">
      <alignment horizontal="left" vertical="center"/>
    </xf>
    <xf numFmtId="0" fontId="25" fillId="2" borderId="4" xfId="0" applyFont="1" applyFill="1" applyBorder="1" applyAlignment="1" applyProtection="1">
      <alignment horizontal="left" vertical="center" wrapText="1"/>
    </xf>
    <xf numFmtId="177" fontId="31" fillId="0" borderId="2" xfId="0" applyNumberFormat="1" applyFont="1" applyFill="1" applyBorder="1" applyAlignment="1" applyProtection="1">
      <alignment horizontal="right" vertical="center" wrapText="1"/>
      <protection locked="0"/>
    </xf>
    <xf numFmtId="177" fontId="31" fillId="0" borderId="31" xfId="0" applyNumberFormat="1" applyFont="1" applyFill="1" applyBorder="1" applyAlignment="1" applyProtection="1">
      <alignment horizontal="right" vertical="center" wrapText="1"/>
      <protection locked="0"/>
    </xf>
    <xf numFmtId="49" fontId="9" fillId="2" borderId="7" xfId="0" applyNumberFormat="1" applyFont="1" applyFill="1" applyBorder="1" applyAlignment="1" applyProtection="1">
      <alignment horizontal="center" vertical="center" wrapText="1"/>
    </xf>
    <xf numFmtId="0" fontId="9" fillId="2" borderId="8"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right" vertical="center" wrapText="1"/>
      <protection locked="0"/>
    </xf>
    <xf numFmtId="0" fontId="6" fillId="2" borderId="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31" fillId="2" borderId="9"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10"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right" vertical="center" wrapText="1"/>
      <protection locked="0"/>
    </xf>
    <xf numFmtId="0" fontId="6" fillId="2" borderId="1" xfId="0" applyFont="1" applyFill="1" applyBorder="1" applyAlignment="1" applyProtection="1">
      <alignment horizontal="left" vertical="center"/>
    </xf>
    <xf numFmtId="177" fontId="31" fillId="0" borderId="1" xfId="0" applyNumberFormat="1" applyFont="1" applyFill="1" applyBorder="1" applyAlignment="1" applyProtection="1">
      <alignment horizontal="left" vertical="center" wrapText="1"/>
      <protection locked="0"/>
    </xf>
    <xf numFmtId="0" fontId="6"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12" xfId="0" applyNumberFormat="1" applyFont="1" applyFill="1" applyBorder="1" applyAlignment="1" applyProtection="1">
      <alignment vertical="center" wrapText="1"/>
    </xf>
    <xf numFmtId="0" fontId="25"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protection locked="0"/>
    </xf>
    <xf numFmtId="0" fontId="31" fillId="2" borderId="13" xfId="0" applyFont="1" applyFill="1" applyBorder="1" applyAlignment="1" applyProtection="1">
      <alignment horizontal="left" vertical="center" wrapText="1"/>
      <protection locked="0"/>
    </xf>
    <xf numFmtId="177" fontId="31" fillId="0" borderId="13" xfId="0" applyNumberFormat="1" applyFont="1" applyFill="1" applyBorder="1" applyAlignment="1" applyProtection="1">
      <alignment horizontal="left" vertical="center" wrapText="1"/>
      <protection locked="0"/>
    </xf>
    <xf numFmtId="0" fontId="6" fillId="2" borderId="13" xfId="0" applyFont="1" applyFill="1" applyBorder="1" applyAlignment="1" applyProtection="1">
      <alignment horizontal="left" vertical="center" wrapText="1"/>
      <protection locked="0"/>
    </xf>
    <xf numFmtId="0" fontId="31" fillId="2" borderId="14"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9" fillId="2" borderId="29"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177" fontId="36" fillId="2" borderId="3"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wrapText="1"/>
    </xf>
    <xf numFmtId="0" fontId="31" fillId="2" borderId="98" xfId="0" applyFont="1" applyFill="1" applyBorder="1" applyAlignment="1" applyProtection="1">
      <alignment vertical="center" wrapText="1"/>
    </xf>
    <xf numFmtId="0" fontId="31" fillId="2" borderId="92" xfId="0"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protection locked="0"/>
    </xf>
    <xf numFmtId="0" fontId="31" fillId="3" borderId="105"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49" fontId="36" fillId="2" borderId="30"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177" fontId="31" fillId="2" borderId="28" xfId="0" applyNumberFormat="1" applyFont="1" applyFill="1" applyBorder="1" applyAlignment="1" applyProtection="1">
      <alignment horizontal="right" vertical="center" wrapText="1"/>
    </xf>
    <xf numFmtId="0" fontId="31" fillId="2" borderId="13" xfId="0" applyFont="1" applyFill="1" applyBorder="1" applyAlignment="1" applyProtection="1">
      <alignment horizontal="center" vertical="center" wrapText="1"/>
    </xf>
    <xf numFmtId="0" fontId="31" fillId="2" borderId="27" xfId="0" applyFont="1" applyFill="1" applyBorder="1" applyAlignment="1" applyProtection="1">
      <alignment horizontal="right" vertical="center" wrapText="1"/>
    </xf>
    <xf numFmtId="0" fontId="31" fillId="3" borderId="13" xfId="0" applyFont="1" applyFill="1" applyBorder="1" applyAlignment="1" applyProtection="1">
      <alignment horizontal="right" vertical="center" wrapText="1"/>
      <protection locked="0"/>
    </xf>
    <xf numFmtId="0" fontId="31" fillId="2" borderId="99" xfId="0" applyFont="1" applyFill="1" applyBorder="1" applyAlignment="1" applyProtection="1">
      <alignment horizontal="right" vertical="center" wrapText="1"/>
    </xf>
    <xf numFmtId="0" fontId="31" fillId="2" borderId="28"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0" fontId="31" fillId="2" borderId="97"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8" xfId="0" applyFont="1" applyFill="1" applyBorder="1" applyAlignment="1" applyProtection="1">
      <alignment horizontal="left" vertical="center" wrapText="1"/>
    </xf>
    <xf numFmtId="181" fontId="65" fillId="2" borderId="95"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xf>
    <xf numFmtId="0" fontId="65" fillId="2" borderId="23" xfId="0"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1" fontId="65" fillId="2" borderId="101" xfId="0" applyNumberFormat="1" applyFont="1" applyFill="1" applyBorder="1" applyAlignment="1" applyProtection="1">
      <alignment horizontal="right" vertical="center" wrapText="1"/>
    </xf>
    <xf numFmtId="0" fontId="70" fillId="2" borderId="101" xfId="0" applyFont="1" applyFill="1" applyBorder="1" applyAlignment="1" applyProtection="1">
      <alignment horizontal="center" vertical="center" wrapText="1"/>
    </xf>
    <xf numFmtId="14" fontId="70" fillId="2" borderId="101" xfId="0" applyNumberFormat="1" applyFont="1" applyFill="1" applyBorder="1" applyAlignment="1" applyProtection="1">
      <alignment horizontal="left" vertical="center" wrapText="1"/>
    </xf>
    <xf numFmtId="14" fontId="70" fillId="2" borderId="110" xfId="0" applyNumberFormat="1" applyFont="1" applyFill="1" applyBorder="1" applyAlignment="1" applyProtection="1">
      <alignment horizontal="left" vertical="center" wrapText="1"/>
    </xf>
    <xf numFmtId="0" fontId="31" fillId="3" borderId="101" xfId="53" applyFont="1" applyFill="1" applyBorder="1" applyAlignment="1" applyProtection="1">
      <alignment horizontal="center" vertical="center" wrapText="1"/>
      <protection locked="0"/>
    </xf>
    <xf numFmtId="10" fontId="31" fillId="2" borderId="11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protection locked="0"/>
    </xf>
    <xf numFmtId="0" fontId="70" fillId="2" borderId="7" xfId="0" applyFont="1" applyFill="1" applyBorder="1" applyAlignment="1" applyProtection="1">
      <alignment vertical="center" wrapText="1"/>
    </xf>
    <xf numFmtId="0" fontId="49" fillId="2" borderId="9" xfId="0" applyFont="1" applyFill="1" applyBorder="1" applyAlignment="1" applyProtection="1">
      <alignment horizontal="center" vertical="center" wrapText="1"/>
    </xf>
    <xf numFmtId="0" fontId="31" fillId="2" borderId="110"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49" fontId="65" fillId="2" borderId="20" xfId="0" applyNumberFormat="1" applyFont="1" applyFill="1" applyBorder="1" applyAlignment="1" applyProtection="1">
      <alignment horizontal="left" vertical="center" wrapText="1"/>
    </xf>
    <xf numFmtId="0" fontId="65" fillId="2" borderId="21" xfId="0" applyFont="1" applyFill="1" applyBorder="1" applyAlignment="1" applyProtection="1">
      <alignment horizontal="left" vertical="center" wrapText="1"/>
    </xf>
    <xf numFmtId="188" fontId="65" fillId="2" borderId="21" xfId="0" applyNumberFormat="1" applyFont="1" applyFill="1" applyBorder="1" applyAlignment="1" applyProtection="1">
      <alignment horizontal="right" vertical="center" wrapText="1"/>
    </xf>
    <xf numFmtId="0" fontId="31" fillId="2" borderId="21" xfId="0" applyFont="1" applyFill="1" applyBorder="1" applyAlignment="1" applyProtection="1">
      <alignment horizontal="center" vertical="center" wrapText="1"/>
    </xf>
    <xf numFmtId="10" fontId="31" fillId="2" borderId="21" xfId="0" applyNumberFormat="1" applyFont="1" applyFill="1" applyBorder="1" applyAlignment="1" applyProtection="1">
      <alignment horizontal="right" vertical="center" wrapText="1"/>
    </xf>
    <xf numFmtId="182" fontId="25" fillId="2" borderId="21" xfId="0" applyNumberFormat="1" applyFont="1" applyFill="1" applyBorder="1" applyAlignment="1" applyProtection="1">
      <alignment horizontal="right" vertical="center" wrapText="1"/>
    </xf>
    <xf numFmtId="0" fontId="31" fillId="2" borderId="80" xfId="0" applyFont="1" applyFill="1" applyBorder="1" applyAlignment="1" applyProtection="1">
      <alignment horizontal="right" vertical="center" wrapText="1"/>
    </xf>
    <xf numFmtId="0" fontId="31" fillId="2" borderId="22" xfId="0" applyFont="1" applyFill="1" applyBorder="1" applyAlignment="1" applyProtection="1">
      <alignment horizontal="right" vertical="center" wrapText="1"/>
    </xf>
    <xf numFmtId="0" fontId="70" fillId="2" borderId="12" xfId="0" applyFont="1" applyFill="1" applyBorder="1" applyAlignment="1" applyProtection="1">
      <alignment vertical="center" wrapText="1"/>
    </xf>
    <xf numFmtId="0" fontId="49" fillId="2" borderId="14" xfId="0" applyFont="1" applyFill="1" applyBorder="1" applyAlignment="1" applyProtection="1">
      <alignment horizontal="center" vertical="center" wrapText="1"/>
    </xf>
    <xf numFmtId="0" fontId="70" fillId="2" borderId="25" xfId="53" applyFont="1" applyFill="1" applyBorder="1" applyAlignment="1" applyProtection="1">
      <alignment horizontal="center" vertical="center" wrapText="1"/>
      <protection locked="0"/>
    </xf>
    <xf numFmtId="0" fontId="70" fillId="2" borderId="8" xfId="53" applyFont="1" applyFill="1" applyBorder="1" applyAlignment="1" applyProtection="1">
      <alignment vertical="center" wrapText="1"/>
      <protection locked="0"/>
    </xf>
    <xf numFmtId="0" fontId="70" fillId="2" borderId="109" xfId="53" applyFont="1" applyFill="1" applyBorder="1" applyAlignment="1" applyProtection="1">
      <alignment vertical="center"/>
      <protection locked="0"/>
    </xf>
    <xf numFmtId="49" fontId="65" fillId="2" borderId="7" xfId="0" applyNumberFormat="1" applyFont="1" applyFill="1" applyBorder="1" applyAlignment="1" applyProtection="1">
      <alignment horizontal="left" vertical="center" wrapText="1"/>
    </xf>
    <xf numFmtId="0" fontId="65" fillId="3"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right" vertical="center" wrapText="1"/>
    </xf>
    <xf numFmtId="0" fontId="70" fillId="2" borderId="25" xfId="0"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2" borderId="10" xfId="53" applyFont="1" applyFill="1" applyBorder="1" applyAlignment="1" applyProtection="1">
      <alignment horizontal="center" vertical="center" wrapText="1"/>
    </xf>
    <xf numFmtId="10" fontId="70" fillId="0" borderId="16"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49" fontId="70" fillId="2" borderId="81"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181" fontId="70" fillId="2" borderId="1" xfId="0" applyNumberFormat="1" applyFont="1" applyFill="1" applyBorder="1" applyAlignment="1" applyProtection="1">
      <alignment horizontal="right" vertical="center" wrapText="1"/>
    </xf>
    <xf numFmtId="177" fontId="70" fillId="2" borderId="11" xfId="0" applyNumberFormat="1" applyFont="1" applyFill="1" applyBorder="1" applyAlignment="1" applyProtection="1">
      <alignment horizontal="right" vertical="center" wrapText="1"/>
    </xf>
    <xf numFmtId="0" fontId="70" fillId="2" borderId="2" xfId="0" applyFont="1" applyFill="1" applyBorder="1" applyAlignment="1" applyProtection="1">
      <alignment horizontal="left" vertical="center" wrapText="1"/>
    </xf>
    <xf numFmtId="181" fontId="65" fillId="2" borderId="4"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8" fontId="31" fillId="2" borderId="4" xfId="0" applyNumberFormat="1" applyFont="1" applyFill="1" applyBorder="1" applyAlignment="1" applyProtection="1">
      <alignment horizontal="center" vertical="center" wrapText="1"/>
    </xf>
    <xf numFmtId="188"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70" fillId="2" borderId="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8" fontId="65" fillId="2" borderId="101" xfId="0" applyNumberFormat="1" applyFont="1" applyFill="1" applyBorder="1" applyAlignment="1" applyProtection="1">
      <alignment horizontal="right" vertical="center" wrapText="1"/>
    </xf>
    <xf numFmtId="0" fontId="31" fillId="2" borderId="110" xfId="0" applyFont="1" applyFill="1" applyBorder="1" applyAlignment="1" applyProtection="1">
      <alignment vertical="center"/>
    </xf>
    <xf numFmtId="0" fontId="70" fillId="2" borderId="101" xfId="0" applyFont="1" applyFill="1" applyBorder="1" applyAlignment="1" applyProtection="1">
      <alignment vertical="center" wrapText="1"/>
    </xf>
    <xf numFmtId="0" fontId="70" fillId="2" borderId="104" xfId="0" applyFont="1" applyFill="1" applyBorder="1" applyAlignment="1" applyProtection="1">
      <alignment vertical="center" wrapText="1"/>
    </xf>
    <xf numFmtId="0" fontId="70" fillId="2" borderId="12" xfId="53" applyFont="1" applyFill="1" applyBorder="1" applyAlignment="1" applyProtection="1">
      <alignment horizontal="center" vertical="center" wrapText="1"/>
    </xf>
    <xf numFmtId="10" fontId="70" fillId="0" borderId="99"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65" fillId="2" borderId="26"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0" fontId="70" fillId="2" borderId="20"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31" fillId="2" borderId="31" xfId="53" applyNumberFormat="1" applyFont="1" applyFill="1" applyBorder="1" applyAlignment="1" applyProtection="1">
      <alignment horizontal="center" vertical="center" wrapText="1"/>
    </xf>
    <xf numFmtId="49" fontId="65" fillId="2" borderId="29"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right" vertical="center" wrapText="1"/>
    </xf>
    <xf numFmtId="0" fontId="7" fillId="2" borderId="92"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1"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10" fontId="6" fillId="14" borderId="9"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80" fontId="36" fillId="2" borderId="4"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6" fillId="2" borderId="23" xfId="0" applyFont="1" applyFill="1" applyBorder="1" applyAlignment="1" applyProtection="1">
      <alignment vertical="center" wrapText="1"/>
    </xf>
    <xf numFmtId="0" fontId="31" fillId="2" borderId="24" xfId="0" applyFont="1" applyFill="1" applyBorder="1" applyAlignment="1" applyProtection="1">
      <alignment vertical="center" wrapText="1"/>
    </xf>
    <xf numFmtId="0" fontId="31" fillId="2" borderId="10" xfId="0" applyFont="1" applyFill="1" applyBorder="1" applyAlignment="1" applyProtection="1">
      <alignment horizontal="left" vertical="center" wrapText="1"/>
    </xf>
    <xf numFmtId="177" fontId="31" fillId="2" borderId="1" xfId="0" applyNumberFormat="1" applyFont="1" applyFill="1" applyBorder="1" applyAlignment="1" applyProtection="1">
      <alignment horizontal="left" vertical="center" wrapText="1"/>
    </xf>
    <xf numFmtId="177" fontId="31" fillId="2" borderId="11" xfId="0" applyNumberFormat="1" applyFont="1" applyFill="1" applyBorder="1" applyAlignment="1" applyProtection="1">
      <alignment horizontal="left" vertical="center" wrapText="1"/>
    </xf>
    <xf numFmtId="49" fontId="65" fillId="2" borderId="2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65" fillId="2" borderId="26" xfId="0" applyFont="1" applyFill="1" applyBorder="1" applyAlignment="1" applyProtection="1">
      <alignment horizontal="center" vertical="center" wrapText="1"/>
    </xf>
    <xf numFmtId="0" fontId="36" fillId="2" borderId="26" xfId="0" applyFont="1" applyFill="1" applyBorder="1" applyAlignment="1" applyProtection="1">
      <alignment vertical="center" wrapText="1"/>
    </xf>
    <xf numFmtId="9" fontId="31" fillId="2" borderId="12"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10" fontId="31" fillId="14" borderId="14" xfId="0" applyNumberFormat="1" applyFont="1" applyFill="1" applyBorder="1" applyAlignment="1" applyProtection="1">
      <alignment horizontal="left" vertical="center" wrapText="1"/>
      <protection locked="0"/>
    </xf>
    <xf numFmtId="0" fontId="31" fillId="2" borderId="29" xfId="0"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177" fontId="31" fillId="0" borderId="1" xfId="0" applyNumberFormat="1" applyFont="1" applyBorder="1" applyAlignment="1" applyProtection="1">
      <alignment horizontal="right" vertical="center" wrapText="1"/>
      <protection locked="0"/>
    </xf>
    <xf numFmtId="180" fontId="25" fillId="2" borderId="1" xfId="0" applyNumberFormat="1" applyFont="1" applyFill="1" applyBorder="1" applyAlignment="1" applyProtection="1">
      <alignment horizontal="right" vertical="center"/>
    </xf>
    <xf numFmtId="0" fontId="80" fillId="2" borderId="15" xfId="0" applyFont="1" applyFill="1" applyBorder="1" applyAlignment="1" applyProtection="1">
      <alignment vertical="center"/>
    </xf>
    <xf numFmtId="0" fontId="25" fillId="2" borderId="17" xfId="0" applyFont="1" applyFill="1" applyBorder="1" applyAlignment="1" applyProtection="1">
      <alignment vertical="center"/>
    </xf>
    <xf numFmtId="0" fontId="25" fillId="2" borderId="87" xfId="0" applyFont="1" applyFill="1" applyBorder="1" applyAlignment="1" applyProtection="1">
      <alignment vertical="center"/>
    </xf>
    <xf numFmtId="0" fontId="6" fillId="14" borderId="0" xfId="0" applyFont="1" applyFill="1" applyAlignment="1" applyProtection="1">
      <alignment horizontal="left" vertical="center" wrapText="1"/>
    </xf>
    <xf numFmtId="189"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9" xfId="0" applyFont="1" applyFill="1" applyBorder="1" applyAlignment="1" applyProtection="1">
      <alignment horizontal="left" vertical="center" wrapText="1"/>
    </xf>
    <xf numFmtId="180" fontId="31" fillId="2" borderId="13" xfId="0" applyNumberFormat="1" applyFont="1" applyFill="1" applyBorder="1" applyAlignment="1" applyProtection="1">
      <alignment horizontal="right" vertical="center" wrapText="1"/>
    </xf>
    <xf numFmtId="177" fontId="31" fillId="0" borderId="13" xfId="0" applyNumberFormat="1" applyFont="1" applyBorder="1" applyAlignment="1" applyProtection="1">
      <alignment horizontal="right" vertical="center" wrapText="1"/>
      <protection locked="0"/>
    </xf>
    <xf numFmtId="0" fontId="31" fillId="2" borderId="13" xfId="0" applyFont="1" applyFill="1" applyBorder="1" applyAlignment="1" applyProtection="1">
      <alignment vertical="center"/>
    </xf>
    <xf numFmtId="0" fontId="31" fillId="2" borderId="90" xfId="0" applyFont="1" applyFill="1" applyBorder="1" applyAlignment="1" applyProtection="1">
      <alignment vertical="center" wrapText="1"/>
    </xf>
    <xf numFmtId="0" fontId="31" fillId="2" borderId="91" xfId="0" applyFont="1" applyFill="1" applyBorder="1" applyAlignment="1" applyProtection="1">
      <alignment vertical="center" wrapText="1"/>
    </xf>
    <xf numFmtId="0" fontId="36" fillId="2" borderId="20" xfId="0" applyFont="1" applyFill="1" applyBorder="1" applyAlignment="1" applyProtection="1">
      <alignment vertical="center" wrapText="1"/>
    </xf>
    <xf numFmtId="0" fontId="36" fillId="2" borderId="114" xfId="0" applyFont="1" applyFill="1" applyBorder="1" applyAlignment="1" applyProtection="1">
      <alignment horizontal="left" vertical="center" wrapText="1"/>
    </xf>
    <xf numFmtId="0" fontId="6"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1" fillId="2" borderId="98" xfId="0" applyFont="1" applyFill="1" applyBorder="1" applyAlignment="1" applyProtection="1">
      <alignment vertical="center"/>
    </xf>
    <xf numFmtId="0" fontId="36" fillId="2" borderId="106" xfId="0" applyFont="1" applyFill="1" applyBorder="1" applyAlignment="1" applyProtection="1">
      <alignment vertical="center" wrapText="1"/>
    </xf>
    <xf numFmtId="0" fontId="65"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1" fontId="31" fillId="2" borderId="13" xfId="0" applyNumberFormat="1" applyFont="1" applyFill="1" applyBorder="1" applyAlignment="1" applyProtection="1">
      <alignment horizontal="left" vertical="center" wrapText="1"/>
    </xf>
    <xf numFmtId="0" fontId="71" fillId="2" borderId="2" xfId="0" applyFont="1" applyFill="1" applyBorder="1" applyAlignment="1" applyProtection="1">
      <alignment vertical="center" wrapText="1"/>
    </xf>
    <xf numFmtId="0" fontId="25" fillId="2" borderId="106" xfId="0" applyFont="1" applyFill="1" applyBorder="1" applyAlignment="1" applyProtection="1">
      <alignment horizontal="left" vertical="center" wrapText="1"/>
    </xf>
    <xf numFmtId="180" fontId="31" fillId="2" borderId="1" xfId="0" applyNumberFormat="1" applyFont="1" applyFill="1" applyBorder="1" applyAlignment="1" applyProtection="1">
      <alignment horizontal="right" vertical="center" wrapText="1"/>
    </xf>
    <xf numFmtId="0" fontId="7" fillId="2" borderId="2" xfId="0" applyFont="1" applyFill="1" applyBorder="1" applyAlignment="1" applyProtection="1">
      <alignment vertical="center" wrapText="1"/>
    </xf>
    <xf numFmtId="0" fontId="6" fillId="14" borderId="0" xfId="0" applyFont="1" applyFill="1" applyAlignment="1" applyProtection="1">
      <alignment horizontal="left" vertical="center" wrapText="1"/>
      <protection locked="0"/>
    </xf>
    <xf numFmtId="181" fontId="31" fillId="14" borderId="0" xfId="0" applyNumberFormat="1" applyFont="1" applyFill="1" applyAlignment="1" applyProtection="1">
      <alignment horizontal="left" vertical="center" wrapText="1"/>
      <protection locked="0"/>
    </xf>
    <xf numFmtId="0" fontId="71" fillId="2" borderId="4" xfId="0" applyFont="1" applyFill="1" applyBorder="1" applyAlignment="1" applyProtection="1">
      <alignment vertical="center" wrapText="1"/>
    </xf>
    <xf numFmtId="0" fontId="25" fillId="2" borderId="16" xfId="0" applyFont="1" applyFill="1" applyBorder="1" applyAlignment="1" applyProtection="1">
      <alignment horizontal="left" vertical="center" wrapText="1"/>
    </xf>
    <xf numFmtId="0" fontId="36" fillId="2" borderId="29" xfId="0" applyFont="1" applyFill="1" applyBorder="1" applyAlignment="1" applyProtection="1">
      <alignment vertical="center" wrapText="1"/>
    </xf>
    <xf numFmtId="177" fontId="36" fillId="2" borderId="1" xfId="0" applyNumberFormat="1" applyFont="1" applyFill="1" applyBorder="1" applyAlignment="1" applyProtection="1">
      <alignment horizontal="right" vertical="center" wrapText="1"/>
    </xf>
    <xf numFmtId="0" fontId="31" fillId="2" borderId="19" xfId="0" applyFont="1" applyFill="1" applyBorder="1" applyAlignment="1" applyProtection="1">
      <alignment horizontal="center" vertical="center" wrapText="1"/>
    </xf>
    <xf numFmtId="0" fontId="31" fillId="2" borderId="108" xfId="0" applyFont="1" applyFill="1" applyBorder="1" applyAlignment="1" applyProtection="1">
      <alignment vertical="center"/>
      <protection locked="0"/>
    </xf>
    <xf numFmtId="0" fontId="31" fillId="2" borderId="109" xfId="0" applyFont="1" applyFill="1" applyBorder="1" applyAlignment="1" applyProtection="1">
      <alignment vertical="center" wrapText="1"/>
      <protection locked="0"/>
    </xf>
    <xf numFmtId="0" fontId="31" fillId="2" borderId="10" xfId="0" applyFont="1" applyFill="1" applyBorder="1" applyAlignment="1" applyProtection="1">
      <alignment horizontal="left" vertical="center"/>
    </xf>
    <xf numFmtId="9" fontId="31" fillId="2" borderId="11" xfId="0" applyNumberFormat="1"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177" fontId="36" fillId="2" borderId="13" xfId="0" applyNumberFormat="1" applyFont="1" applyFill="1" applyBorder="1" applyAlignment="1" applyProtection="1">
      <alignment horizontal="right" vertical="center" wrapText="1"/>
    </xf>
    <xf numFmtId="177" fontId="31" fillId="2" borderId="13" xfId="0" applyNumberFormat="1" applyFont="1" applyFill="1" applyBorder="1" applyAlignment="1" applyProtection="1">
      <alignment horizontal="right" vertical="center" wrapText="1"/>
    </xf>
    <xf numFmtId="0" fontId="31" fillId="2" borderId="24"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0" fontId="31" fillId="2" borderId="1" xfId="0" applyFont="1" applyFill="1" applyBorder="1" applyAlignment="1" applyProtection="1">
      <alignment horizontal="center" vertical="center" wrapText="1"/>
    </xf>
    <xf numFmtId="182" fontId="25"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86" fillId="2" borderId="0" xfId="0" applyFont="1" applyFill="1" applyProtection="1">
      <alignment vertical="center"/>
    </xf>
    <xf numFmtId="188"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86" fillId="2" borderId="82" xfId="0" applyFont="1" applyFill="1" applyBorder="1" applyAlignment="1" applyProtection="1">
      <alignment vertical="center"/>
    </xf>
    <xf numFmtId="188" fontId="87" fillId="2" borderId="25" xfId="0" applyNumberFormat="1" applyFont="1" applyFill="1" applyBorder="1" applyAlignment="1" applyProtection="1">
      <alignment horizontal="right" vertical="center" wrapText="1"/>
    </xf>
    <xf numFmtId="0" fontId="30" fillId="2" borderId="25"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1" xfId="0" applyNumberFormat="1" applyFont="1" applyBorder="1" applyAlignment="1" applyProtection="1">
      <alignment horizontal="right" vertical="center"/>
      <protection locked="0"/>
    </xf>
    <xf numFmtId="10" fontId="30" fillId="2" borderId="1" xfId="0" applyNumberFormat="1" applyFont="1" applyFill="1" applyBorder="1" applyAlignment="1" applyProtection="1">
      <alignment horizontal="right" vertical="center"/>
    </xf>
    <xf numFmtId="9" fontId="25" fillId="2" borderId="1" xfId="3" applyFont="1" applyFill="1" applyBorder="1" applyAlignment="1" applyProtection="1">
      <alignment horizontal="right" vertical="center" wrapText="1"/>
    </xf>
    <xf numFmtId="10" fontId="70" fillId="2" borderId="1" xfId="0" applyNumberFormat="1" applyFont="1" applyFill="1" applyBorder="1" applyAlignment="1" applyProtection="1">
      <alignment horizontal="right" vertical="center" wrapText="1"/>
    </xf>
    <xf numFmtId="10" fontId="31" fillId="2" borderId="88"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10" fillId="2" borderId="10"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2"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49" fontId="25" fillId="2" borderId="28" xfId="0" applyNumberFormat="1" applyFont="1" applyFill="1" applyBorder="1" applyAlignment="1" applyProtection="1">
      <alignment horizontal="center" vertical="center" wrapText="1"/>
    </xf>
    <xf numFmtId="10" fontId="31" fillId="2" borderId="97" xfId="0" applyNumberFormat="1" applyFont="1" applyFill="1" applyBorder="1" applyAlignment="1" applyProtection="1">
      <alignment horizontal="right" vertical="center" wrapText="1"/>
    </xf>
    <xf numFmtId="9" fontId="25" fillId="2" borderId="13" xfId="3" applyFont="1" applyFill="1" applyBorder="1" applyAlignment="1" applyProtection="1">
      <alignment horizontal="right" vertical="center" wrapText="1"/>
    </xf>
    <xf numFmtId="188" fontId="87" fillId="2" borderId="25" xfId="0" applyNumberFormat="1" applyFont="1" applyFill="1" applyBorder="1" applyAlignment="1" applyProtection="1">
      <alignment horizontal="center" vertical="center" wrapText="1"/>
    </xf>
    <xf numFmtId="49" fontId="25" fillId="2" borderId="13" xfId="0" applyNumberFormat="1"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xf>
    <xf numFmtId="0" fontId="86" fillId="2" borderId="82" xfId="0" applyFont="1" applyFill="1" applyBorder="1" applyAlignment="1" applyProtection="1">
      <alignment horizontal="left" vertical="center"/>
    </xf>
    <xf numFmtId="0" fontId="87" fillId="2" borderId="25"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6" fillId="2" borderId="92" xfId="0" applyFont="1" applyFill="1" applyBorder="1" applyAlignment="1" applyProtection="1">
      <alignment horizontal="left" vertical="center" wrapText="1"/>
    </xf>
    <xf numFmtId="0" fontId="26"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25" fillId="2" borderId="1"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1" xfId="3" applyNumberFormat="1" applyFont="1" applyFill="1" applyBorder="1" applyAlignment="1" applyProtection="1">
      <alignment horizontal="right" vertical="center"/>
    </xf>
    <xf numFmtId="0" fontId="70" fillId="2" borderId="1"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8" xfId="0" applyFont="1" applyFill="1" applyBorder="1" applyAlignment="1" applyProtection="1">
      <alignment horizontal="right" vertical="center" wrapText="1"/>
    </xf>
    <xf numFmtId="0" fontId="35" fillId="0" borderId="1" xfId="0" applyFont="1" applyFill="1" applyBorder="1" applyAlignment="1" applyProtection="1">
      <alignment horizontal="left" vertical="center" wrapText="1"/>
      <protection locked="0"/>
    </xf>
    <xf numFmtId="0" fontId="35" fillId="0" borderId="2" xfId="0" applyFont="1" applyFill="1" applyBorder="1" applyAlignment="1" applyProtection="1">
      <alignment horizontal="left" vertical="center" wrapText="1"/>
      <protection locked="0"/>
    </xf>
    <xf numFmtId="0" fontId="25" fillId="2" borderId="12"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1" xfId="0" applyFont="1" applyFill="1" applyBorder="1" applyAlignment="1" applyProtection="1">
      <alignment horizontal="left" vertical="center"/>
    </xf>
    <xf numFmtId="0" fontId="25" fillId="2" borderId="15" xfId="0" applyFont="1" applyFill="1" applyBorder="1" applyAlignment="1" applyProtection="1">
      <alignment vertical="center"/>
    </xf>
    <xf numFmtId="0" fontId="25" fillId="2" borderId="16" xfId="0" applyFont="1" applyFill="1" applyBorder="1" applyAlignment="1" applyProtection="1">
      <alignment vertical="center"/>
    </xf>
    <xf numFmtId="0" fontId="25" fillId="2" borderId="2" xfId="0" applyFont="1" applyFill="1" applyBorder="1" applyAlignment="1" applyProtection="1">
      <alignment horizontal="left" vertical="center"/>
    </xf>
    <xf numFmtId="0" fontId="25" fillId="2" borderId="1" xfId="0" applyFont="1" applyFill="1" applyBorder="1" applyAlignment="1" applyProtection="1">
      <alignment horizontal="right" vertical="center"/>
    </xf>
    <xf numFmtId="0" fontId="25" fillId="2" borderId="4" xfId="0" applyFont="1" applyFill="1" applyBorder="1" applyAlignment="1" applyProtection="1">
      <alignment horizontal="left" vertical="center"/>
    </xf>
    <xf numFmtId="0" fontId="26" fillId="2" borderId="1" xfId="0" applyFont="1" applyFill="1" applyBorder="1" applyAlignment="1" applyProtection="1">
      <alignment horizontal="right" vertical="center"/>
    </xf>
    <xf numFmtId="0" fontId="25" fillId="2" borderId="3" xfId="0" applyFont="1" applyFill="1" applyBorder="1" applyAlignment="1" applyProtection="1">
      <alignment horizontal="left" vertical="center"/>
    </xf>
    <xf numFmtId="0" fontId="26" fillId="2" borderId="1"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100" xfId="0" applyFont="1" applyFill="1" applyBorder="1" applyAlignment="1" applyProtection="1">
      <alignment horizontal="left" vertical="center" wrapText="1"/>
    </xf>
    <xf numFmtId="185" fontId="26" fillId="2" borderId="101" xfId="0" applyNumberFormat="1" applyFont="1" applyFill="1" applyBorder="1" applyAlignment="1" applyProtection="1">
      <alignment horizontal="right" vertical="center" wrapText="1"/>
    </xf>
    <xf numFmtId="0" fontId="31" fillId="2" borderId="101" xfId="0" applyFont="1" applyFill="1" applyBorder="1" applyAlignment="1" applyProtection="1">
      <alignment horizontal="left" vertical="center" wrapText="1"/>
    </xf>
    <xf numFmtId="0" fontId="26" fillId="2" borderId="110" xfId="0" applyFont="1" applyFill="1" applyBorder="1" applyAlignment="1" applyProtection="1">
      <alignment horizontal="right" vertical="center" wrapText="1"/>
    </xf>
    <xf numFmtId="0" fontId="88" fillId="2" borderId="101" xfId="56" applyFont="1" applyFill="1" applyBorder="1" applyAlignment="1" applyProtection="1">
      <alignment horizontal="left" vertical="center"/>
    </xf>
    <xf numFmtId="0" fontId="31" fillId="2" borderId="104"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8" xfId="56" applyFont="1" applyFill="1" applyBorder="1" applyAlignment="1" applyProtection="1">
      <alignment horizontal="left" vertical="center"/>
    </xf>
    <xf numFmtId="0" fontId="31" fillId="2" borderId="8" xfId="56" applyFont="1" applyFill="1" applyBorder="1" applyAlignment="1" applyProtection="1">
      <alignment horizontal="left" vertical="center" wrapText="1"/>
    </xf>
    <xf numFmtId="0" fontId="31" fillId="2" borderId="9" xfId="56" applyFont="1" applyFill="1" applyBorder="1" applyAlignment="1" applyProtection="1">
      <alignment horizontal="left" vertical="center"/>
    </xf>
    <xf numFmtId="0" fontId="26" fillId="2" borderId="11" xfId="0" applyFont="1" applyFill="1" applyBorder="1" applyAlignment="1" applyProtection="1">
      <alignment horizontal="right" vertical="center" wrapText="1"/>
    </xf>
    <xf numFmtId="0" fontId="6" fillId="0" borderId="12" xfId="0" applyFont="1" applyBorder="1" applyAlignment="1" applyProtection="1">
      <alignment horizontal="left" vertical="center" wrapText="1"/>
    </xf>
    <xf numFmtId="0" fontId="26" fillId="2" borderId="13" xfId="0" applyFont="1" applyFill="1" applyBorder="1" applyAlignment="1" applyProtection="1">
      <alignment horizontal="right" vertical="center" wrapText="1"/>
    </xf>
    <xf numFmtId="0" fontId="26" fillId="2" borderId="14" xfId="0" applyFont="1" applyFill="1" applyBorder="1" applyAlignment="1" applyProtection="1">
      <alignment horizontal="right" vertical="center" wrapText="1"/>
    </xf>
    <xf numFmtId="0" fontId="30" fillId="0" borderId="0" xfId="0" applyFont="1">
      <alignment vertical="center"/>
    </xf>
    <xf numFmtId="49" fontId="51"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9" fillId="2" borderId="1" xfId="0" applyFont="1" applyFill="1" applyBorder="1">
      <alignment vertical="center"/>
    </xf>
    <xf numFmtId="180" fontId="30" fillId="2" borderId="1" xfId="0" applyNumberFormat="1" applyFont="1" applyFill="1" applyBorder="1" applyAlignment="1">
      <alignment horizontal="right" vertical="center"/>
    </xf>
    <xf numFmtId="177" fontId="30" fillId="2" borderId="1"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1" xfId="0" applyFont="1" applyFill="1" applyBorder="1" applyAlignment="1">
      <alignment horizontal="left" vertical="center" wrapText="1"/>
    </xf>
    <xf numFmtId="0" fontId="89" fillId="2" borderId="1" xfId="0" applyFont="1" applyFill="1" applyBorder="1" applyAlignment="1">
      <alignment horizontal="center" vertical="center"/>
    </xf>
    <xf numFmtId="0" fontId="30" fillId="2" borderId="1" xfId="0" applyFont="1" applyFill="1" applyBorder="1">
      <alignment vertical="center"/>
    </xf>
    <xf numFmtId="0" fontId="89" fillId="2" borderId="1" xfId="0" applyFont="1" applyFill="1" applyBorder="1" applyAlignment="1">
      <alignment horizontal="left" vertical="center"/>
    </xf>
    <xf numFmtId="0" fontId="89" fillId="3" borderId="1"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5" fillId="2" borderId="93" xfId="0" applyFont="1" applyFill="1" applyBorder="1" applyAlignment="1" applyProtection="1">
      <alignment vertical="center"/>
    </xf>
    <xf numFmtId="0" fontId="78" fillId="2" borderId="1" xfId="52" applyFont="1" applyFill="1" applyBorder="1" applyAlignment="1" applyProtection="1">
      <alignment horizontal="right" vertical="center"/>
    </xf>
    <xf numFmtId="0" fontId="78" fillId="2" borderId="79" xfId="52" applyFont="1" applyFill="1" applyBorder="1" applyAlignment="1" applyProtection="1">
      <alignment vertical="center"/>
    </xf>
    <xf numFmtId="0" fontId="78" fillId="2" borderId="27" xfId="52" applyFont="1" applyFill="1" applyBorder="1" applyAlignment="1" applyProtection="1">
      <alignment horizontal="right" vertical="center"/>
    </xf>
    <xf numFmtId="0" fontId="50" fillId="2" borderId="28" xfId="52" applyFont="1" applyFill="1" applyBorder="1" applyAlignment="1" applyProtection="1">
      <alignment vertical="center"/>
    </xf>
    <xf numFmtId="0" fontId="79" fillId="2" borderId="115" xfId="0" applyFont="1" applyFill="1" applyBorder="1" applyAlignment="1" applyProtection="1">
      <alignment horizontal="center" vertical="center"/>
    </xf>
    <xf numFmtId="0" fontId="78" fillId="2" borderId="110" xfId="0" applyFont="1" applyFill="1" applyBorder="1" applyAlignment="1" applyProtection="1">
      <alignment horizontal="center" vertical="center"/>
    </xf>
    <xf numFmtId="0" fontId="78" fillId="2" borderId="111" xfId="0" applyFont="1" applyFill="1" applyBorder="1" applyAlignment="1" applyProtection="1">
      <alignment horizontal="center" vertical="center"/>
    </xf>
    <xf numFmtId="0" fontId="82" fillId="2" borderId="8"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11" xfId="0" applyFont="1" applyFill="1" applyBorder="1" applyAlignment="1" applyProtection="1">
      <alignment vertical="center"/>
    </xf>
    <xf numFmtId="49" fontId="73" fillId="2" borderId="1" xfId="0" applyNumberFormat="1" applyFont="1" applyFill="1" applyBorder="1" applyAlignment="1" applyProtection="1">
      <alignment horizontal="right" vertical="center"/>
    </xf>
    <xf numFmtId="10" fontId="73" fillId="2" borderId="1" xfId="52" applyNumberFormat="1" applyFont="1" applyFill="1" applyBorder="1" applyAlignment="1" applyProtection="1">
      <alignment horizontal="right" vertical="center"/>
    </xf>
    <xf numFmtId="0" fontId="91" fillId="2" borderId="1" xfId="0" applyFont="1" applyFill="1" applyBorder="1" applyAlignment="1" applyProtection="1">
      <alignment vertical="center"/>
    </xf>
    <xf numFmtId="0" fontId="75" fillId="2" borderId="1" xfId="0" applyFont="1" applyFill="1" applyBorder="1" applyAlignment="1" applyProtection="1">
      <alignment vertical="center"/>
    </xf>
    <xf numFmtId="0" fontId="75" fillId="2" borderId="11" xfId="0" applyFont="1" applyFill="1" applyBorder="1" applyAlignment="1" applyProtection="1">
      <alignment vertical="center"/>
    </xf>
    <xf numFmtId="0" fontId="82" fillId="2" borderId="1" xfId="52" applyFont="1" applyFill="1" applyBorder="1" applyAlignment="1" applyProtection="1">
      <alignment vertical="center"/>
    </xf>
    <xf numFmtId="178" fontId="73" fillId="2" borderId="1" xfId="52" applyNumberFormat="1" applyFont="1" applyFill="1" applyBorder="1" applyAlignment="1" applyProtection="1">
      <alignment horizontal="right" vertical="center"/>
    </xf>
    <xf numFmtId="0" fontId="80" fillId="2" borderId="1" xfId="0" applyFont="1" applyFill="1" applyBorder="1" applyAlignment="1" applyProtection="1">
      <alignment vertical="center"/>
    </xf>
    <xf numFmtId="0" fontId="56" fillId="2" borderId="1" xfId="0" applyFont="1" applyFill="1" applyBorder="1" applyAlignment="1" applyProtection="1">
      <alignment vertical="center"/>
    </xf>
    <xf numFmtId="0" fontId="56" fillId="2" borderId="11" xfId="0" applyFont="1" applyFill="1" applyBorder="1" applyAlignment="1" applyProtection="1">
      <alignment vertical="center"/>
    </xf>
    <xf numFmtId="49" fontId="56" fillId="2" borderId="10" xfId="0" applyNumberFormat="1" applyFont="1" applyFill="1" applyBorder="1" applyAlignment="1" applyProtection="1">
      <alignment horizontal="center" vertical="center"/>
    </xf>
    <xf numFmtId="0" fontId="80" fillId="2" borderId="1" xfId="52" applyFont="1" applyFill="1" applyBorder="1" applyAlignment="1" applyProtection="1">
      <alignment horizontal="left" vertical="center"/>
    </xf>
    <xf numFmtId="178" fontId="56" fillId="2" borderId="1" xfId="0" applyNumberFormat="1" applyFont="1" applyFill="1" applyBorder="1" applyAlignment="1" applyProtection="1">
      <alignment horizontal="right" vertical="center"/>
    </xf>
    <xf numFmtId="185" fontId="56" fillId="2" borderId="1" xfId="52" applyNumberFormat="1" applyFont="1" applyFill="1" applyBorder="1" applyAlignment="1" applyProtection="1">
      <alignment horizontal="center" vertical="center"/>
    </xf>
    <xf numFmtId="10" fontId="56" fillId="2" borderId="1" xfId="52" applyNumberFormat="1" applyFont="1" applyFill="1" applyBorder="1" applyAlignment="1" applyProtection="1">
      <alignment horizontal="right" vertical="center"/>
    </xf>
    <xf numFmtId="180" fontId="56" fillId="2" borderId="1" xfId="0" applyNumberFormat="1" applyFont="1" applyFill="1" applyBorder="1" applyAlignment="1" applyProtection="1">
      <alignment horizontal="right" vertical="center"/>
    </xf>
    <xf numFmtId="0" fontId="56" fillId="2" borderId="1" xfId="52" applyFont="1" applyFill="1" applyBorder="1" applyAlignment="1" applyProtection="1">
      <alignment horizontal="center" vertical="center"/>
    </xf>
    <xf numFmtId="0" fontId="30" fillId="2" borderId="10" xfId="52" applyFont="1" applyFill="1" applyBorder="1" applyAlignment="1" applyProtection="1">
      <alignment horizontal="right" vertical="center"/>
    </xf>
    <xf numFmtId="0" fontId="56" fillId="2" borderId="1" xfId="52" applyFont="1" applyFill="1" applyBorder="1" applyAlignment="1" applyProtection="1">
      <alignment horizontal="right" vertical="center"/>
    </xf>
    <xf numFmtId="0" fontId="56" fillId="2" borderId="1" xfId="0" applyFont="1" applyFill="1" applyBorder="1" applyAlignment="1" applyProtection="1">
      <alignment horizontal="center" vertical="center"/>
    </xf>
    <xf numFmtId="9" fontId="56" fillId="2" borderId="1" xfId="52" applyNumberFormat="1" applyFont="1" applyFill="1" applyBorder="1" applyAlignment="1" applyProtection="1">
      <alignment horizontal="right" vertical="center"/>
    </xf>
    <xf numFmtId="0" fontId="71" fillId="3" borderId="1" xfId="52" applyFont="1" applyFill="1" applyBorder="1" applyAlignment="1" applyProtection="1">
      <alignment horizontal="right" vertical="center"/>
      <protection locked="0"/>
    </xf>
    <xf numFmtId="0" fontId="56" fillId="0" borderId="1" xfId="0" applyFont="1" applyFill="1" applyBorder="1" applyAlignment="1" applyProtection="1">
      <alignment vertical="center"/>
      <protection locked="0"/>
    </xf>
    <xf numFmtId="0" fontId="74" fillId="2" borderId="1" xfId="0" applyFont="1" applyFill="1" applyBorder="1" applyAlignment="1" applyProtection="1">
      <alignment vertical="center"/>
    </xf>
    <xf numFmtId="49" fontId="92" fillId="2" borderId="10" xfId="52" applyNumberFormat="1" applyFont="1" applyFill="1" applyBorder="1" applyAlignment="1" applyProtection="1">
      <alignment horizontal="right" vertical="center"/>
    </xf>
    <xf numFmtId="0" fontId="93" fillId="2" borderId="1" xfId="52" applyFont="1" applyFill="1" applyBorder="1" applyAlignment="1" applyProtection="1">
      <alignment horizontal="right" vertical="center"/>
    </xf>
    <xf numFmtId="180" fontId="93" fillId="2" borderId="1" xfId="0" applyNumberFormat="1" applyFont="1" applyFill="1" applyBorder="1" applyAlignment="1" applyProtection="1">
      <alignment horizontal="right" vertical="center"/>
    </xf>
    <xf numFmtId="180" fontId="93" fillId="2" borderId="1" xfId="52" applyNumberFormat="1" applyFont="1" applyFill="1" applyBorder="1" applyAlignment="1" applyProtection="1">
      <alignment horizontal="right" vertical="center"/>
    </xf>
    <xf numFmtId="9" fontId="93" fillId="2" borderId="1" xfId="52" applyNumberFormat="1" applyFont="1" applyFill="1" applyBorder="1" applyAlignment="1" applyProtection="1">
      <alignment horizontal="right" vertical="center"/>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180" fontId="56" fillId="2" borderId="1" xfId="52" applyNumberFormat="1" applyFont="1" applyFill="1" applyBorder="1" applyAlignment="1" applyProtection="1">
      <alignment horizontal="right" vertical="center"/>
    </xf>
    <xf numFmtId="178" fontId="56" fillId="2" borderId="1" xfId="52" applyNumberFormat="1" applyFont="1" applyFill="1" applyBorder="1" applyAlignment="1" applyProtection="1">
      <alignment horizontal="right" vertical="center"/>
    </xf>
    <xf numFmtId="49" fontId="80" fillId="2" borderId="10" xfId="0" applyNumberFormat="1" applyFont="1" applyFill="1" applyBorder="1" applyAlignment="1" applyProtection="1">
      <alignment horizontal="center" vertical="center"/>
    </xf>
    <xf numFmtId="0" fontId="80" fillId="2" borderId="1" xfId="0" applyFont="1" applyFill="1" applyBorder="1" applyAlignment="1" applyProtection="1">
      <alignment horizontal="left" vertical="center"/>
      <protection locked="0"/>
    </xf>
    <xf numFmtId="180" fontId="56" fillId="2" borderId="1" xfId="0" applyNumberFormat="1" applyFont="1" applyFill="1" applyBorder="1" applyAlignment="1" applyProtection="1">
      <alignment horizontal="right" vertical="center"/>
      <protection locked="0"/>
    </xf>
    <xf numFmtId="0" fontId="56" fillId="2" borderId="1" xfId="0" applyFont="1" applyFill="1" applyBorder="1" applyAlignment="1" applyProtection="1">
      <alignment vertical="center"/>
      <protection locked="0"/>
    </xf>
    <xf numFmtId="0" fontId="56" fillId="2" borderId="1" xfId="0" applyFont="1" applyFill="1" applyBorder="1" applyAlignment="1" applyProtection="1">
      <alignment horizontal="center" vertical="center"/>
      <protection locked="0"/>
    </xf>
    <xf numFmtId="0" fontId="56" fillId="2" borderId="11" xfId="0" applyFont="1" applyFill="1" applyBorder="1" applyAlignment="1" applyProtection="1">
      <alignment vertical="center"/>
      <protection locked="0"/>
    </xf>
    <xf numFmtId="178" fontId="56" fillId="2" borderId="1" xfId="52" applyNumberFormat="1" applyFont="1" applyFill="1" applyBorder="1" applyAlignment="1" applyProtection="1">
      <alignment vertical="center"/>
    </xf>
    <xf numFmtId="178" fontId="56" fillId="2" borderId="1" xfId="5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10" fontId="73" fillId="2" borderId="1" xfId="0" applyNumberFormat="1" applyFont="1" applyFill="1" applyBorder="1" applyAlignment="1" applyProtection="1">
      <alignment horizontal="right" vertical="center"/>
    </xf>
    <xf numFmtId="49" fontId="56" fillId="2" borderId="10"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center" vertical="center"/>
    </xf>
    <xf numFmtId="10" fontId="56" fillId="2" borderId="1" xfId="0" applyNumberFormat="1" applyFont="1" applyFill="1" applyBorder="1" applyAlignment="1" applyProtection="1">
      <alignment horizontal="right" vertical="center"/>
    </xf>
    <xf numFmtId="0" fontId="73" fillId="2" borderId="1" xfId="52" applyFont="1" applyFill="1" applyBorder="1" applyAlignment="1" applyProtection="1">
      <alignment horizontal="left" vertical="center"/>
    </xf>
    <xf numFmtId="178" fontId="73" fillId="2" borderId="1" xfId="0" applyNumberFormat="1" applyFont="1" applyFill="1" applyBorder="1" applyAlignment="1" applyProtection="1">
      <alignment horizontal="right" vertical="center"/>
    </xf>
    <xf numFmtId="178" fontId="73" fillId="2" borderId="1" xfId="0" applyNumberFormat="1" applyFont="1" applyFill="1" applyBorder="1" applyAlignment="1" applyProtection="1">
      <alignment vertical="center"/>
    </xf>
    <xf numFmtId="178" fontId="84" fillId="2" borderId="1" xfId="0" applyNumberFormat="1" applyFont="1" applyFill="1" applyBorder="1" applyAlignment="1" applyProtection="1">
      <alignment vertical="center"/>
    </xf>
    <xf numFmtId="178" fontId="84" fillId="2" borderId="11" xfId="0" applyNumberFormat="1" applyFont="1" applyFill="1" applyBorder="1" applyAlignment="1" applyProtection="1">
      <alignment vertical="center"/>
    </xf>
    <xf numFmtId="0" fontId="73" fillId="2" borderId="1" xfId="52" applyFont="1" applyFill="1" applyBorder="1" applyAlignment="1" applyProtection="1">
      <alignment horizontal="left" vertical="center" wrapText="1"/>
    </xf>
    <xf numFmtId="49" fontId="73" fillId="2" borderId="1" xfId="0" applyNumberFormat="1" applyFont="1" applyFill="1" applyBorder="1" applyAlignment="1" applyProtection="1">
      <alignment horizontal="right" vertical="center" wrapText="1"/>
    </xf>
    <xf numFmtId="9" fontId="73" fillId="2" borderId="1" xfId="0" applyNumberFormat="1" applyFont="1" applyFill="1" applyBorder="1" applyAlignment="1" applyProtection="1">
      <alignment horizontal="right" vertical="center" wrapText="1"/>
    </xf>
    <xf numFmtId="10" fontId="56" fillId="2" borderId="1" xfId="0" applyNumberFormat="1" applyFont="1" applyFill="1" applyBorder="1" applyAlignment="1" applyProtection="1">
      <alignment horizontal="right" vertical="center" wrapText="1"/>
    </xf>
    <xf numFmtId="178" fontId="56" fillId="2" borderId="1" xfId="0" applyNumberFormat="1" applyFont="1" applyFill="1" applyBorder="1" applyAlignment="1" applyProtection="1">
      <alignment horizontal="right" vertical="center" wrapText="1"/>
    </xf>
    <xf numFmtId="0" fontId="79" fillId="2" borderId="1" xfId="0" applyFont="1" applyFill="1" applyBorder="1" applyAlignment="1" applyProtection="1">
      <alignment vertical="center"/>
    </xf>
    <xf numFmtId="0" fontId="73" fillId="2" borderId="12" xfId="0" applyFont="1" applyFill="1" applyBorder="1" applyAlignment="1" applyProtection="1">
      <alignment horizontal="left" vertical="center"/>
    </xf>
    <xf numFmtId="0" fontId="82" fillId="2" borderId="13" xfId="0" applyFont="1" applyFill="1" applyBorder="1" applyAlignment="1" applyProtection="1">
      <alignment vertical="center"/>
    </xf>
    <xf numFmtId="180" fontId="73" fillId="2" borderId="13" xfId="0" applyNumberFormat="1" applyFont="1" applyFill="1" applyBorder="1" applyAlignment="1" applyProtection="1">
      <alignment horizontal="right" vertical="center"/>
    </xf>
    <xf numFmtId="0" fontId="75" fillId="2" borderId="13" xfId="0" applyFont="1" applyFill="1" applyBorder="1" applyAlignment="1" applyProtection="1">
      <alignment vertical="center"/>
      <protection locked="0"/>
    </xf>
    <xf numFmtId="0" fontId="75" fillId="2" borderId="13" xfId="0"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left" vertical="center"/>
      <protection locked="0"/>
    </xf>
    <xf numFmtId="0" fontId="73" fillId="2" borderId="8" xfId="0" applyFont="1" applyFill="1" applyBorder="1" applyAlignment="1" applyProtection="1">
      <alignment vertical="center"/>
    </xf>
    <xf numFmtId="180"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82" fillId="2" borderId="8" xfId="0" applyFont="1" applyFill="1" applyBorder="1" applyAlignment="1" applyProtection="1">
      <alignment vertical="center"/>
    </xf>
    <xf numFmtId="0" fontId="56" fillId="2" borderId="1" xfId="0" applyFont="1" applyFill="1" applyBorder="1" applyAlignment="1" applyProtection="1">
      <alignment horizontal="left" vertical="center"/>
      <protection locked="0"/>
    </xf>
    <xf numFmtId="49"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protection locked="0"/>
    </xf>
    <xf numFmtId="49" fontId="95" fillId="2" borderId="10" xfId="52" applyNumberFormat="1" applyFont="1" applyFill="1" applyBorder="1" applyAlignment="1" applyProtection="1">
      <alignment horizontal="right" vertical="center"/>
    </xf>
    <xf numFmtId="0" fontId="96" fillId="2" borderId="1" xfId="0" applyFont="1" applyFill="1" applyBorder="1" applyAlignment="1" applyProtection="1">
      <alignment horizontal="right" vertical="center"/>
      <protection locked="0"/>
    </xf>
    <xf numFmtId="180" fontId="96" fillId="2" borderId="1"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80" fontId="56"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2" fontId="70"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101" fillId="2" borderId="50" xfId="0" applyFont="1" applyFill="1" applyBorder="1" applyAlignment="1" applyProtection="1">
      <alignment vertical="center"/>
    </xf>
    <xf numFmtId="187" fontId="67" fillId="2" borderId="50" xfId="0" applyNumberFormat="1" applyFont="1" applyFill="1" applyBorder="1" applyAlignment="1" applyProtection="1">
      <alignment horizontal="center" vertical="center"/>
    </xf>
    <xf numFmtId="182"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8" fontId="50"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center" vertical="center"/>
      <protection locked="0"/>
    </xf>
    <xf numFmtId="182"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80" fontId="50" fillId="2" borderId="2" xfId="0" applyNumberFormat="1" applyFont="1" applyFill="1" applyBorder="1" applyAlignment="1" applyProtection="1">
      <alignment horizontal="right" vertical="center"/>
    </xf>
    <xf numFmtId="177" fontId="67" fillId="0" borderId="13" xfId="0" applyNumberFormat="1" applyFont="1" applyFill="1" applyBorder="1" applyAlignment="1" applyProtection="1">
      <alignment horizontal="right" vertical="center"/>
      <protection locked="0"/>
    </xf>
    <xf numFmtId="0" fontId="67"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80" fontId="50" fillId="2" borderId="15" xfId="0" applyNumberFormat="1" applyFont="1" applyFill="1" applyBorder="1" applyAlignment="1" applyProtection="1">
      <alignment horizontal="right" vertical="center"/>
    </xf>
    <xf numFmtId="180" fontId="50" fillId="2" borderId="27" xfId="0" applyNumberFormat="1" applyFont="1" applyFill="1" applyBorder="1" applyAlignment="1" applyProtection="1">
      <alignment horizontal="right" vertical="center"/>
    </xf>
    <xf numFmtId="0" fontId="65" fillId="2" borderId="108" xfId="0" applyFont="1" applyFill="1" applyBorder="1" applyAlignment="1" applyProtection="1">
      <alignment horizontal="left" vertical="center" wrapText="1"/>
    </xf>
    <xf numFmtId="0" fontId="65" fillId="2" borderId="25"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9" xfId="0"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187" fontId="75" fillId="2" borderId="16" xfId="0" applyNumberFormat="1" applyFont="1" applyFill="1" applyBorder="1" applyAlignment="1" applyProtection="1">
      <alignment horizontal="center" vertical="center" wrapText="1"/>
    </xf>
    <xf numFmtId="182"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left" vertical="center" wrapText="1"/>
    </xf>
    <xf numFmtId="0" fontId="70" fillId="2" borderId="94" xfId="0" applyFont="1" applyFill="1" applyBorder="1" applyAlignment="1" applyProtection="1">
      <alignment horizontal="left" vertical="center" wrapText="1"/>
    </xf>
    <xf numFmtId="0" fontId="70" fillId="2" borderId="93" xfId="0" applyFont="1" applyFill="1" applyBorder="1" applyAlignment="1" applyProtection="1">
      <alignment horizontal="left" vertical="center"/>
    </xf>
    <xf numFmtId="0" fontId="70" fillId="2" borderId="94" xfId="0" applyFont="1" applyFill="1" applyBorder="1" applyAlignment="1" applyProtection="1">
      <alignment horizontal="left" vertical="center"/>
    </xf>
    <xf numFmtId="0" fontId="70" fillId="2" borderId="4" xfId="0" applyFont="1" applyFill="1" applyBorder="1" applyAlignment="1" applyProtection="1">
      <alignment horizontal="center" vertical="center"/>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102" fillId="0" borderId="10" xfId="0" applyFont="1" applyFill="1" applyBorder="1" applyAlignment="1" applyProtection="1">
      <alignment horizontal="left" vertical="center" wrapText="1"/>
      <protection locked="0"/>
    </xf>
    <xf numFmtId="0" fontId="102" fillId="0" borderId="11" xfId="0" applyFont="1" applyFill="1" applyBorder="1" applyAlignment="1" applyProtection="1">
      <alignment horizontal="left" vertical="center" wrapText="1"/>
      <protection locked="0"/>
    </xf>
    <xf numFmtId="0" fontId="102" fillId="0" borderId="16" xfId="0" applyFont="1" applyFill="1" applyBorder="1" applyAlignment="1" applyProtection="1">
      <alignment horizontal="left" vertical="center" wrapText="1"/>
      <protection locked="0"/>
    </xf>
    <xf numFmtId="0" fontId="102" fillId="0" borderId="15" xfId="0" applyFont="1" applyFill="1" applyBorder="1" applyAlignment="1" applyProtection="1">
      <alignment horizontal="left" vertical="center" wrapText="1"/>
      <protection locked="0"/>
    </xf>
    <xf numFmtId="0" fontId="70" fillId="2" borderId="92"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xf>
    <xf numFmtId="0" fontId="70" fillId="2" borderId="79" xfId="0" applyFont="1" applyFill="1" applyBorder="1" applyAlignment="1" applyProtection="1">
      <alignment horizontal="left" vertical="center"/>
    </xf>
    <xf numFmtId="0" fontId="70" fillId="2" borderId="92" xfId="0" applyFont="1" applyFill="1" applyBorder="1" applyAlignment="1" applyProtection="1">
      <alignment horizontal="center" vertical="center"/>
    </xf>
    <xf numFmtId="0" fontId="70" fillId="2" borderId="79" xfId="0" applyFont="1" applyFill="1" applyBorder="1" applyAlignment="1" applyProtection="1">
      <alignment horizontal="center" vertical="center"/>
    </xf>
    <xf numFmtId="0" fontId="65" fillId="2" borderId="116" xfId="0" applyFont="1" applyFill="1" applyBorder="1" applyAlignment="1" applyProtection="1">
      <alignment horizontal="left" vertical="center" wrapText="1"/>
    </xf>
    <xf numFmtId="0" fontId="65" fillId="2" borderId="23" xfId="0" applyFont="1" applyFill="1" applyBorder="1" applyAlignment="1" applyProtection="1">
      <alignment horizontal="left" vertical="center" wrapText="1"/>
    </xf>
    <xf numFmtId="0" fontId="70" fillId="0" borderId="81"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4" xfId="0" applyFont="1" applyFill="1" applyBorder="1" applyAlignment="1" applyProtection="1">
      <alignment horizontal="left" vertical="center" wrapText="1"/>
      <protection locked="0"/>
    </xf>
    <xf numFmtId="0" fontId="70" fillId="0" borderId="93" xfId="0" applyFont="1" applyFill="1" applyBorder="1" applyAlignment="1" applyProtection="1">
      <alignment horizontal="left" vertical="center" wrapText="1"/>
      <protection locked="0"/>
    </xf>
    <xf numFmtId="0" fontId="70" fillId="2" borderId="10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wrapText="1"/>
    </xf>
    <xf numFmtId="0" fontId="70" fillId="2" borderId="105" xfId="0" applyFont="1" applyFill="1" applyBorder="1" applyAlignment="1" applyProtection="1">
      <alignment horizontal="left" vertical="center"/>
    </xf>
    <xf numFmtId="0" fontId="70" fillId="2" borderId="106" xfId="0" applyFont="1" applyFill="1" applyBorder="1" applyAlignment="1" applyProtection="1">
      <alignment horizontal="left" vertical="center"/>
    </xf>
    <xf numFmtId="0" fontId="70" fillId="2" borderId="105" xfId="0"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3" fillId="2" borderId="115" xfId="0" applyFont="1" applyFill="1" applyBorder="1" applyAlignment="1" applyProtection="1">
      <alignment horizontal="left" vertical="center" wrapText="1"/>
    </xf>
    <xf numFmtId="0" fontId="73" fillId="2" borderId="110" xfId="0" applyFont="1" applyFill="1" applyBorder="1" applyAlignment="1" applyProtection="1">
      <alignment horizontal="left" vertical="center" wrapText="1"/>
    </xf>
    <xf numFmtId="190" fontId="75" fillId="2" borderId="100" xfId="0" applyNumberFormat="1" applyFont="1" applyFill="1" applyBorder="1" applyAlignment="1" applyProtection="1">
      <alignment horizontal="left" vertical="center" wrapText="1"/>
    </xf>
    <xf numFmtId="180" fontId="75" fillId="2" borderId="104" xfId="0" applyNumberFormat="1" applyFont="1" applyFill="1" applyBorder="1" applyAlignment="1" applyProtection="1">
      <alignment horizontal="right" vertical="center" wrapText="1"/>
    </xf>
    <xf numFmtId="190" fontId="75" fillId="0" borderId="103"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190" fontId="75" fillId="0" borderId="100" xfId="0" applyNumberFormat="1" applyFont="1" applyFill="1" applyBorder="1" applyAlignment="1" applyProtection="1">
      <alignment horizontal="left" vertical="center" wrapText="1"/>
      <protection locked="0"/>
    </xf>
    <xf numFmtId="0" fontId="75" fillId="2" borderId="104" xfId="0" applyFont="1" applyFill="1" applyBorder="1" applyAlignment="1" applyProtection="1">
      <alignment horizontal="right" vertical="center" wrapText="1"/>
    </xf>
    <xf numFmtId="0" fontId="75" fillId="2" borderId="16" xfId="0" applyFont="1" applyFill="1" applyBorder="1" applyAlignment="1" applyProtection="1">
      <alignment horizontal="center" vertical="center" wrapText="1"/>
    </xf>
    <xf numFmtId="182"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xf>
    <xf numFmtId="0" fontId="75" fillId="2" borderId="17" xfId="0" applyFont="1" applyFill="1" applyBorder="1" applyAlignment="1" applyProtection="1">
      <alignment horizontal="left" vertical="center"/>
    </xf>
    <xf numFmtId="49" fontId="75" fillId="2" borderId="15" xfId="0" applyNumberFormat="1"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5" fillId="2" borderId="4"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49" fontId="75" fillId="13" borderId="100" xfId="0" applyNumberFormat="1"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xf>
    <xf numFmtId="0" fontId="73" fillId="2" borderId="20" xfId="0" applyFont="1" applyFill="1" applyBorder="1" applyAlignment="1" applyProtection="1">
      <alignment horizontal="left" vertical="center" wrapText="1"/>
    </xf>
    <xf numFmtId="0" fontId="75" fillId="2" borderId="26" xfId="0" applyFont="1" applyFill="1" applyBorder="1" applyAlignment="1" applyProtection="1">
      <alignment horizontal="left" vertical="center" wrapText="1"/>
    </xf>
    <xf numFmtId="0" fontId="75" fillId="13" borderId="82" xfId="0" applyFont="1" applyFill="1" applyBorder="1" applyAlignment="1" applyProtection="1">
      <alignment horizontal="left" vertical="center" wrapText="1"/>
      <protection locked="0"/>
    </xf>
    <xf numFmtId="180" fontId="75" fillId="2" borderId="9" xfId="0" applyNumberFormat="1" applyFont="1" applyFill="1" applyBorder="1" applyAlignment="1" applyProtection="1">
      <alignment horizontal="right" vertical="center" wrapText="1"/>
    </xf>
    <xf numFmtId="0" fontId="75" fillId="2" borderId="9" xfId="0" applyFont="1" applyFill="1" applyBorder="1" applyAlignment="1" applyProtection="1">
      <alignment horizontal="right" vertical="center" wrapText="1"/>
    </xf>
    <xf numFmtId="0" fontId="75" fillId="7" borderId="79" xfId="0" applyFont="1" applyFill="1" applyBorder="1" applyAlignment="1" applyProtection="1">
      <alignment horizontal="center" vertical="center"/>
      <protection locked="0"/>
    </xf>
    <xf numFmtId="0" fontId="103" fillId="2" borderId="29"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0" borderId="117" xfId="0" applyFont="1" applyFill="1" applyBorder="1" applyAlignment="1" applyProtection="1">
      <alignment horizontal="left" vertical="center" wrapText="1"/>
      <protection locked="0"/>
    </xf>
    <xf numFmtId="180" fontId="75" fillId="2" borderId="11" xfId="0" applyNumberFormat="1" applyFont="1" applyFill="1" applyBorder="1" applyAlignment="1" applyProtection="1">
      <alignment horizontal="right" vertical="center" wrapText="1"/>
    </xf>
    <xf numFmtId="0" fontId="75" fillId="2" borderId="11" xfId="0" applyFont="1" applyFill="1" applyBorder="1" applyAlignment="1" applyProtection="1">
      <alignment horizontal="right" vertical="center" wrapText="1"/>
    </xf>
    <xf numFmtId="0" fontId="72" fillId="2" borderId="16" xfId="0" applyFont="1" applyFill="1" applyBorder="1" applyAlignment="1" applyProtection="1">
      <alignment horizontal="center" vertical="center" wrapText="1"/>
    </xf>
    <xf numFmtId="182"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5" fillId="2" borderId="29" xfId="0" applyFont="1" applyFill="1" applyBorder="1" applyAlignment="1" applyProtection="1">
      <alignment horizontal="left" vertical="center" wrapText="1"/>
    </xf>
    <xf numFmtId="0" fontId="75" fillId="0" borderId="10" xfId="0" applyFont="1" applyFill="1" applyBorder="1" applyAlignment="1" applyProtection="1">
      <alignment horizontal="left" vertical="center" wrapText="1"/>
      <protection locked="0"/>
    </xf>
    <xf numFmtId="0" fontId="75" fillId="0" borderId="16" xfId="0" applyFont="1" applyFill="1" applyBorder="1" applyAlignment="1" applyProtection="1">
      <alignment horizontal="left" vertical="center" wrapText="1"/>
      <protection locked="0"/>
    </xf>
    <xf numFmtId="0" fontId="72" fillId="0" borderId="16" xfId="0" applyFont="1" applyFill="1" applyBorder="1" applyAlignment="1" applyProtection="1">
      <alignment horizontal="center" vertical="center" wrapText="1"/>
      <protection locked="0"/>
    </xf>
    <xf numFmtId="182" fontId="76" fillId="7" borderId="0" xfId="0" applyNumberFormat="1" applyFont="1" applyFill="1" applyBorder="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0" fontId="73" fillId="2" borderId="29"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protection locked="0"/>
    </xf>
    <xf numFmtId="180" fontId="75" fillId="2" borderId="113" xfId="0" applyNumberFormat="1" applyFont="1" applyFill="1" applyBorder="1" applyAlignment="1" applyProtection="1">
      <alignment horizontal="right" vertical="center" wrapText="1"/>
    </xf>
    <xf numFmtId="0" fontId="70" fillId="0" borderId="1" xfId="0" applyFont="1" applyFill="1" applyBorder="1" applyAlignment="1" applyProtection="1">
      <alignment horizontal="left" vertical="center" wrapText="1"/>
      <protection locked="0"/>
    </xf>
    <xf numFmtId="0" fontId="70" fillId="0" borderId="10" xfId="0" applyFont="1" applyFill="1" applyBorder="1" applyAlignment="1" applyProtection="1">
      <alignment horizontal="left" vertical="center" wrapText="1"/>
      <protection locked="0"/>
    </xf>
    <xf numFmtId="0" fontId="70" fillId="0" borderId="86" xfId="0" applyFont="1" applyFill="1" applyBorder="1" applyAlignment="1" applyProtection="1">
      <alignment horizontal="left" vertical="center" wrapText="1"/>
      <protection locked="0"/>
    </xf>
    <xf numFmtId="180"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182" fontId="9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7" xfId="0" applyFont="1" applyFill="1" applyBorder="1" applyAlignment="1" applyProtection="1">
      <alignment horizontal="left" vertical="center" wrapText="1"/>
      <protection locked="0"/>
    </xf>
    <xf numFmtId="0" fontId="70" fillId="0" borderId="89" xfId="0" applyFont="1" applyFill="1" applyBorder="1" applyAlignment="1" applyProtection="1">
      <alignment horizontal="left" vertical="center" wrapText="1"/>
      <protection locked="0"/>
    </xf>
    <xf numFmtId="180" fontId="70" fillId="2" borderId="14"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5" fillId="2" borderId="20" xfId="0" applyFont="1" applyFill="1" applyBorder="1" applyAlignment="1" applyProtection="1">
      <alignment horizontal="left" vertical="center" wrapText="1"/>
    </xf>
    <xf numFmtId="0" fontId="75" fillId="2" borderId="22" xfId="0" applyFont="1" applyFill="1" applyBorder="1" applyAlignment="1" applyProtection="1">
      <alignment horizontal="left" vertical="center" wrapText="1"/>
    </xf>
    <xf numFmtId="0" fontId="70" fillId="2" borderId="20" xfId="0" applyFont="1" applyFill="1" applyBorder="1" applyAlignment="1" applyProtection="1">
      <alignment horizontal="left" vertical="center" wrapText="1"/>
    </xf>
    <xf numFmtId="180" fontId="70" fillId="2" borderId="22"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2" borderId="22" xfId="0" applyFont="1" applyFill="1" applyBorder="1" applyAlignment="1" applyProtection="1">
      <alignment horizontal="right" vertical="center" wrapText="1"/>
    </xf>
    <xf numFmtId="49" fontId="70" fillId="0" borderId="20" xfId="0" applyNumberFormat="1" applyFont="1" applyFill="1" applyBorder="1" applyAlignment="1" applyProtection="1">
      <alignment horizontal="left" vertical="center" wrapText="1"/>
      <protection locked="0"/>
    </xf>
    <xf numFmtId="49" fontId="70" fillId="2" borderId="15" xfId="0" applyNumberFormat="1" applyFont="1" applyFill="1" applyBorder="1" applyAlignment="1" applyProtection="1">
      <alignment horizontal="right" vertical="center"/>
    </xf>
    <xf numFmtId="0" fontId="70" fillId="2" borderId="16" xfId="0" applyFont="1" applyFill="1" applyBorder="1" applyAlignment="1" applyProtection="1">
      <alignment horizontal="right" vertical="center"/>
    </xf>
    <xf numFmtId="0" fontId="70" fillId="2" borderId="2"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9" xfId="0" applyFont="1" applyFill="1" applyBorder="1" applyAlignment="1" applyProtection="1">
      <alignment horizontal="left" vertical="center"/>
    </xf>
    <xf numFmtId="0" fontId="70" fillId="13" borderId="117" xfId="0" applyFont="1" applyFill="1" applyBorder="1" applyAlignment="1" applyProtection="1">
      <alignment horizontal="left" vertical="center" wrapText="1"/>
      <protection locked="0"/>
    </xf>
    <xf numFmtId="180" fontId="70" fillId="2" borderId="85" xfId="0" applyNumberFormat="1" applyFont="1" applyFill="1" applyBorder="1" applyAlignment="1" applyProtection="1">
      <alignment horizontal="right" vertical="center" wrapText="1"/>
    </xf>
    <xf numFmtId="0" fontId="70" fillId="13" borderId="106" xfId="0" applyFont="1" applyFill="1" applyBorder="1" applyAlignment="1" applyProtection="1">
      <alignment horizontal="left" vertical="center" wrapText="1"/>
      <protection locked="0"/>
    </xf>
    <xf numFmtId="0" fontId="70" fillId="2" borderId="85" xfId="0" applyFont="1" applyFill="1" applyBorder="1" applyAlignment="1" applyProtection="1">
      <alignment horizontal="right" vertical="center" wrapText="1"/>
    </xf>
    <xf numFmtId="0" fontId="70" fillId="2" borderId="88" xfId="0" applyFont="1" applyFill="1" applyBorder="1" applyAlignment="1" applyProtection="1">
      <alignment horizontal="right" vertical="center" wrapText="1"/>
    </xf>
    <xf numFmtId="0" fontId="70" fillId="2" borderId="4" xfId="0" applyFont="1" applyFill="1" applyBorder="1" applyAlignment="1" applyProtection="1">
      <alignment horizontal="left" vertical="center" wrapText="1"/>
    </xf>
    <xf numFmtId="0" fontId="70" fillId="2" borderId="4" xfId="0" applyFont="1" applyFill="1" applyBorder="1" applyAlignment="1" applyProtection="1">
      <alignment horizontal="center" vertical="center" wrapText="1"/>
    </xf>
    <xf numFmtId="0" fontId="75" fillId="2" borderId="31" xfId="0" applyFont="1" applyFill="1" applyBorder="1" applyAlignment="1" applyProtection="1">
      <alignment horizontal="left" vertical="center" wrapText="1"/>
    </xf>
    <xf numFmtId="0" fontId="70" fillId="2" borderId="81" xfId="0" applyFont="1" applyFill="1" applyBorder="1" applyAlignment="1" applyProtection="1">
      <alignment horizontal="left" vertical="center" wrapText="1"/>
    </xf>
    <xf numFmtId="180" fontId="70" fillId="2" borderId="88" xfId="0" applyNumberFormat="1" applyFont="1" applyFill="1" applyBorder="1" applyAlignment="1" applyProtection="1">
      <alignment horizontal="right" vertical="center" wrapText="1"/>
    </xf>
    <xf numFmtId="49" fontId="70" fillId="0" borderId="79"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9" xfId="0" applyNumberFormat="1" applyFont="1" applyFill="1" applyBorder="1" applyAlignment="1" applyProtection="1">
      <alignment horizontal="left" vertical="center" wrapText="1"/>
      <protection locked="0"/>
    </xf>
    <xf numFmtId="0" fontId="75" fillId="2" borderId="85" xfId="0" applyFont="1" applyFill="1" applyBorder="1" applyAlignment="1" applyProtection="1">
      <alignment horizontal="left" vertical="center" wrapText="1"/>
    </xf>
    <xf numFmtId="49" fontId="70" fillId="13" borderId="106" xfId="0" applyNumberFormat="1" applyFont="1" applyFill="1" applyBorder="1" applyAlignment="1" applyProtection="1">
      <alignment horizontal="left" vertical="center" wrapText="1"/>
      <protection locked="0"/>
    </xf>
    <xf numFmtId="49" fontId="70" fillId="13" borderId="117"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center" vertical="center" wrapText="1"/>
      <protection locked="0"/>
    </xf>
    <xf numFmtId="0" fontId="73" fillId="2" borderId="18"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13" borderId="118"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6" xfId="0" applyFont="1" applyFill="1" applyBorder="1" applyAlignment="1" applyProtection="1">
      <alignment horizontal="left" vertical="center" wrapText="1"/>
      <protection locked="0"/>
    </xf>
    <xf numFmtId="0" fontId="70" fillId="13" borderId="17" xfId="0" applyFont="1" applyFill="1" applyBorder="1" applyAlignment="1" applyProtection="1">
      <alignment horizontal="left" vertical="center" wrapText="1"/>
      <protection locked="0"/>
    </xf>
    <xf numFmtId="0" fontId="70" fillId="2" borderId="29" xfId="0" applyFont="1" applyFill="1" applyBorder="1" applyAlignment="1" applyProtection="1">
      <alignment horizontal="left" vertical="center" wrapText="1"/>
    </xf>
    <xf numFmtId="0" fontId="49" fillId="2" borderId="16"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0" fillId="2" borderId="86" xfId="0" applyFont="1" applyFill="1" applyBorder="1" applyAlignment="1" applyProtection="1">
      <alignment horizontal="left" vertical="center" wrapText="1"/>
    </xf>
    <xf numFmtId="0" fontId="49" fillId="0" borderId="16"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left" vertical="center" wrapText="1"/>
      <protection locked="0"/>
    </xf>
    <xf numFmtId="0" fontId="70" fillId="0" borderId="16" xfId="0" applyFont="1" applyFill="1" applyBorder="1" applyAlignment="1" applyProtection="1">
      <alignment horizontal="left" vertical="center" wrapText="1"/>
      <protection locked="0"/>
    </xf>
    <xf numFmtId="0" fontId="70" fillId="2" borderId="18" xfId="0" applyFont="1" applyFill="1" applyBorder="1" applyAlignment="1" applyProtection="1">
      <alignment horizontal="left" vertical="center"/>
    </xf>
    <xf numFmtId="0" fontId="70" fillId="0" borderId="11" xfId="0" applyFont="1" applyFill="1" applyBorder="1" applyAlignment="1" applyProtection="1">
      <alignment horizontal="left" vertical="center"/>
      <protection locked="0"/>
    </xf>
    <xf numFmtId="0" fontId="70" fillId="2" borderId="2" xfId="0" applyFont="1" applyFill="1" applyBorder="1" applyAlignment="1" applyProtection="1">
      <alignment horizontal="left" vertical="center" textRotation="255" wrapText="1"/>
    </xf>
    <xf numFmtId="0" fontId="70" fillId="2" borderId="4"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30" fillId="0" borderId="1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wrapText="1"/>
      <protection locked="0"/>
    </xf>
    <xf numFmtId="180" fontId="75" fillId="2" borderId="14" xfId="0" applyNumberFormat="1" applyFont="1" applyFill="1" applyBorder="1" applyAlignment="1" applyProtection="1">
      <alignment horizontal="right" vertical="center" wrapText="1"/>
    </xf>
    <xf numFmtId="0" fontId="70" fillId="0" borderId="99"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textRotation="255" wrapText="1"/>
    </xf>
    <xf numFmtId="49" fontId="76" fillId="2" borderId="15" xfId="0" applyNumberFormat="1" applyFont="1" applyFill="1" applyBorder="1" applyAlignment="1" applyProtection="1">
      <alignment horizontal="right" vertical="center"/>
    </xf>
    <xf numFmtId="0" fontId="76" fillId="2" borderId="16" xfId="0" applyFont="1" applyFill="1" applyBorder="1" applyAlignment="1" applyProtection="1">
      <alignment horizontal="right" vertical="center"/>
    </xf>
    <xf numFmtId="0" fontId="76" fillId="2" borderId="4"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5" fillId="2" borderId="105" xfId="0" applyFont="1" applyFill="1" applyBorder="1" applyAlignment="1" applyProtection="1">
      <alignment horizontal="left" vertical="center" wrapText="1"/>
    </xf>
    <xf numFmtId="0" fontId="70" fillId="0" borderId="7" xfId="0" applyFont="1" applyFill="1" applyBorder="1" applyAlignment="1" applyProtection="1">
      <alignment horizontal="left" vertical="center" wrapText="1"/>
      <protection locked="0"/>
    </xf>
    <xf numFmtId="180" fontId="70" fillId="2" borderId="9" xfId="0" applyNumberFormat="1" applyFont="1" applyFill="1" applyBorder="1" applyAlignment="1" applyProtection="1">
      <alignment horizontal="right" vertical="center" wrapText="1"/>
    </xf>
    <xf numFmtId="0" fontId="70" fillId="2" borderId="9" xfId="0" applyFont="1" applyFill="1" applyBorder="1" applyAlignment="1" applyProtection="1">
      <alignment horizontal="right" vertical="center" wrapText="1"/>
    </xf>
    <xf numFmtId="0" fontId="70" fillId="0" borderId="8" xfId="0" applyFont="1" applyFill="1" applyBorder="1" applyAlignment="1" applyProtection="1">
      <alignment horizontal="left" vertical="center" wrapText="1"/>
      <protection locked="0"/>
    </xf>
    <xf numFmtId="0" fontId="65" fillId="2" borderId="29" xfId="0" applyFont="1" applyFill="1" applyBorder="1" applyAlignment="1" applyProtection="1">
      <alignment horizontal="left" vertical="center" textRotation="255" wrapText="1"/>
    </xf>
    <xf numFmtId="49" fontId="70" fillId="13" borderId="10" xfId="0" applyNumberFormat="1" applyFont="1" applyFill="1" applyBorder="1" applyAlignment="1" applyProtection="1">
      <alignment horizontal="left" vertical="center" wrapText="1"/>
      <protection locked="0"/>
    </xf>
    <xf numFmtId="0" fontId="73" fillId="2" borderId="29" xfId="0" applyFont="1" applyFill="1" applyBorder="1" applyAlignment="1" applyProtection="1">
      <alignment horizontal="left" vertical="center" textRotation="255" wrapText="1"/>
    </xf>
    <xf numFmtId="9" fontId="75" fillId="13" borderId="86"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protection locked="0"/>
    </xf>
    <xf numFmtId="0" fontId="104" fillId="2" borderId="29" xfId="0" applyFont="1" applyFill="1" applyBorder="1" applyAlignment="1" applyProtection="1">
      <alignment horizontal="left" vertical="center" textRotation="255" wrapText="1"/>
    </xf>
    <xf numFmtId="0" fontId="76" fillId="0" borderId="89" xfId="0" applyFont="1" applyFill="1" applyBorder="1" applyAlignment="1" applyProtection="1">
      <alignment horizontal="left" vertical="center" wrapText="1"/>
      <protection locked="0"/>
    </xf>
    <xf numFmtId="0" fontId="105" fillId="2" borderId="16" xfId="0"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3" borderId="9"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pplyProtection="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pplyProtection="1">
      <alignment horizontal="right" vertical="center" wrapText="1"/>
    </xf>
    <xf numFmtId="187" fontId="70" fillId="2" borderId="16" xfId="0" applyNumberFormat="1" applyFont="1" applyFill="1" applyBorder="1" applyAlignment="1" applyProtection="1">
      <alignment horizontal="right" vertical="center"/>
    </xf>
    <xf numFmtId="182"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1"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0" fontId="65" fillId="2" borderId="90" xfId="0" applyFont="1" applyFill="1" applyBorder="1" applyAlignment="1" applyProtection="1">
      <alignment horizontal="right" vertical="center" wrapText="1"/>
    </xf>
    <xf numFmtId="0" fontId="36" fillId="3" borderId="91" xfId="0" applyFont="1" applyFill="1" applyBorder="1" applyAlignment="1" applyProtection="1">
      <alignment horizontal="right" vertical="center" wrapText="1"/>
      <protection locked="0"/>
    </xf>
    <xf numFmtId="182" fontId="65" fillId="10" borderId="91" xfId="0" applyNumberFormat="1" applyFont="1" applyFill="1" applyBorder="1" applyAlignment="1" applyProtection="1">
      <alignment horizontal="right" vertical="center" wrapText="1"/>
      <protection locked="0"/>
    </xf>
    <xf numFmtId="0" fontId="65" fillId="2" borderId="89" xfId="0" applyFont="1" applyFill="1" applyBorder="1" applyAlignment="1" applyProtection="1">
      <alignment horizontal="right" vertical="center" wrapText="1"/>
    </xf>
    <xf numFmtId="177" fontId="70" fillId="2" borderId="87" xfId="0" applyNumberFormat="1" applyFont="1" applyFill="1" applyBorder="1" applyAlignment="1" applyProtection="1">
      <alignment horizontal="right" vertical="center" wrapText="1"/>
    </xf>
    <xf numFmtId="49" fontId="65" fillId="0" borderId="116" xfId="0" applyNumberFormat="1" applyFont="1" applyFill="1" applyBorder="1" applyAlignment="1" applyProtection="1">
      <alignment vertical="center"/>
      <protection locked="0"/>
    </xf>
    <xf numFmtId="49" fontId="65" fillId="0" borderId="24" xfId="0" applyNumberFormat="1" applyFont="1" applyFill="1" applyBorder="1" applyAlignment="1" applyProtection="1">
      <alignment vertical="center"/>
      <protection locked="0"/>
    </xf>
    <xf numFmtId="0" fontId="65" fillId="2" borderId="23" xfId="0" applyFont="1" applyFill="1" applyBorder="1" applyAlignment="1" applyProtection="1">
      <alignment horizontal="right" vertical="center" wrapText="1"/>
    </xf>
    <xf numFmtId="180" fontId="65" fillId="2" borderId="23" xfId="0" applyNumberFormat="1" applyFont="1" applyFill="1" applyBorder="1" applyAlignment="1" applyProtection="1">
      <alignment horizontal="right" vertical="center" wrapText="1"/>
    </xf>
    <xf numFmtId="187" fontId="70" fillId="2" borderId="1" xfId="0" applyNumberFormat="1" applyFont="1" applyFill="1" applyBorder="1" applyAlignment="1" applyProtection="1">
      <alignment horizontal="right" vertical="center" wrapText="1"/>
    </xf>
    <xf numFmtId="0" fontId="70" fillId="2" borderId="15"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65" fillId="10" borderId="1" xfId="0" applyFont="1" applyFill="1" applyBorder="1" applyAlignment="1" applyProtection="1">
      <alignment horizontal="right" vertical="center"/>
    </xf>
    <xf numFmtId="9" fontId="70"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2" fontId="70" fillId="7" borderId="0" xfId="0" applyNumberFormat="1" applyFont="1" applyFill="1" applyAlignment="1" applyProtection="1">
      <alignment horizontal="center" vertical="center"/>
      <protection locked="0"/>
    </xf>
    <xf numFmtId="182" fontId="70" fillId="2" borderId="15" xfId="0" applyNumberFormat="1" applyFont="1" applyFill="1" applyBorder="1" applyAlignment="1" applyProtection="1">
      <alignment horizontal="center" vertical="center"/>
    </xf>
    <xf numFmtId="182" fontId="70" fillId="2" borderId="16"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7" fontId="99" fillId="7" borderId="0" xfId="0" applyNumberFormat="1" applyFont="1" applyFill="1" applyAlignment="1" applyProtection="1">
      <alignment horizontal="center" vertical="center"/>
      <protection locked="0"/>
    </xf>
    <xf numFmtId="182"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70" fillId="2" borderId="7" xfId="0" applyNumberFormat="1" applyFont="1" applyFill="1" applyBorder="1" applyAlignment="1" applyProtection="1">
      <alignment horizontal="left" vertical="center"/>
    </xf>
    <xf numFmtId="177" fontId="70" fillId="2" borderId="8" xfId="0" applyNumberFormat="1" applyFont="1" applyFill="1" applyBorder="1" applyAlignment="1" applyProtection="1">
      <alignment horizontal="center" vertical="center"/>
    </xf>
    <xf numFmtId="0" fontId="70" fillId="3" borderId="8" xfId="0" applyFont="1" applyFill="1" applyBorder="1" applyAlignment="1" applyProtection="1">
      <alignment horizontal="center" vertical="center"/>
      <protection locked="0"/>
    </xf>
    <xf numFmtId="0" fontId="70" fillId="2" borderId="25" xfId="0" applyFont="1" applyFill="1" applyBorder="1" applyAlignment="1" applyProtection="1">
      <alignment horizontal="center" vertical="center" wrapText="1"/>
      <protection locked="0"/>
    </xf>
    <xf numFmtId="0" fontId="70" fillId="2" borderId="8" xfId="0" applyFont="1" applyFill="1" applyBorder="1" applyAlignment="1" applyProtection="1">
      <alignment horizontal="center" vertical="center"/>
    </xf>
    <xf numFmtId="0" fontId="70" fillId="2" borderId="9"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1" fillId="2" borderId="10" xfId="0" applyFont="1" applyFill="1" applyBorder="1" applyAlignment="1" applyProtection="1"/>
    <xf numFmtId="0" fontId="31" fillId="2" borderId="1" xfId="52" applyFont="1" applyFill="1" applyBorder="1" applyAlignment="1" applyProtection="1">
      <alignment horizontal="right"/>
    </xf>
    <xf numFmtId="180" fontId="100"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xf>
    <xf numFmtId="180" fontId="31" fillId="2" borderId="11" xfId="52" applyNumberFormat="1" applyFont="1" applyFill="1" applyBorder="1" applyAlignment="1" applyProtection="1">
      <alignment horizontal="right"/>
    </xf>
    <xf numFmtId="0" fontId="70" fillId="2" borderId="1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1" fillId="2" borderId="10" xfId="52" applyFont="1" applyFill="1" applyBorder="1" applyAlignment="1" applyProtection="1"/>
    <xf numFmtId="9" fontId="100" fillId="3" borderId="1" xfId="0" applyNumberFormat="1" applyFont="1" applyFill="1" applyBorder="1" applyAlignment="1" applyProtection="1">
      <alignment horizontal="right" vertical="center"/>
      <protection locked="0"/>
    </xf>
    <xf numFmtId="177" fontId="31" fillId="0" borderId="1" xfId="52" applyNumberFormat="1" applyFont="1" applyFill="1" applyBorder="1" applyAlignment="1" applyProtection="1">
      <alignment horizontal="right"/>
      <protection locked="0"/>
    </xf>
    <xf numFmtId="0" fontId="25" fillId="2" borderId="81" xfId="0" applyFont="1" applyFill="1" applyBorder="1" applyAlignment="1" applyProtection="1">
      <alignment horizontal="left" vertical="center"/>
    </xf>
    <xf numFmtId="0" fontId="100" fillId="2" borderId="1" xfId="0" applyFont="1" applyFill="1" applyBorder="1" applyAlignment="1" applyProtection="1">
      <alignment horizontal="right" vertical="center"/>
    </xf>
    <xf numFmtId="177" fontId="25" fillId="0" borderId="1"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horizontal="left" vertical="center"/>
    </xf>
    <xf numFmtId="0" fontId="25" fillId="2" borderId="117" xfId="0" applyFont="1" applyFill="1" applyBorder="1" applyAlignment="1" applyProtection="1">
      <alignment horizontal="left" vertical="center"/>
    </xf>
    <xf numFmtId="177" fontId="31" fillId="2" borderId="1" xfId="52" applyNumberFormat="1" applyFont="1" applyFill="1" applyBorder="1" applyAlignment="1" applyProtection="1">
      <alignment horizontal="right"/>
    </xf>
    <xf numFmtId="0" fontId="25" fillId="2" borderId="10" xfId="0" applyFont="1" applyFill="1" applyBorder="1" applyAlignment="1" applyProtection="1">
      <alignment horizontal="left" vertical="center"/>
    </xf>
    <xf numFmtId="0" fontId="100" fillId="3" borderId="10" xfId="0" applyFont="1" applyFill="1" applyBorder="1" applyAlignment="1" applyProtection="1">
      <alignment horizontal="left" vertical="center"/>
      <protection locked="0"/>
    </xf>
    <xf numFmtId="0" fontId="25" fillId="2" borderId="12" xfId="0" applyFont="1" applyFill="1" applyBorder="1" applyAlignment="1" applyProtection="1">
      <alignment horizontal="left" vertical="center"/>
    </xf>
    <xf numFmtId="0" fontId="100" fillId="2" borderId="13" xfId="0" applyFont="1" applyFill="1" applyBorder="1" applyAlignment="1" applyProtection="1">
      <alignment horizontal="right" vertical="center"/>
    </xf>
    <xf numFmtId="0" fontId="36" fillId="2" borderId="12" xfId="52" applyFont="1" applyFill="1" applyBorder="1" applyAlignment="1" applyProtection="1"/>
    <xf numFmtId="0" fontId="31" fillId="2" borderId="13" xfId="0" applyFont="1" applyFill="1" applyBorder="1" applyAlignment="1" applyProtection="1">
      <alignment horizontal="center"/>
    </xf>
    <xf numFmtId="177" fontId="31" fillId="2" borderId="13" xfId="0" applyNumberFormat="1" applyFont="1" applyFill="1" applyBorder="1" applyAlignment="1" applyProtection="1">
      <alignment horizontal="right"/>
    </xf>
    <xf numFmtId="180" fontId="36" fillId="2" borderId="14" xfId="0" applyNumberFormat="1" applyFont="1" applyFill="1" applyBorder="1" applyAlignment="1" applyProtection="1">
      <alignment horizontal="right"/>
    </xf>
    <xf numFmtId="0" fontId="31"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2"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108"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187" fontId="70" fillId="2" borderId="0" xfId="0" applyNumberFormat="1" applyFont="1" applyFill="1" applyBorder="1" applyAlignment="1" applyProtection="1">
      <alignment horizontal="center"/>
    </xf>
    <xf numFmtId="182"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8" xfId="0" applyFont="1" applyFill="1" applyBorder="1" applyAlignment="1" applyProtection="1">
      <alignment vertical="center"/>
    </xf>
    <xf numFmtId="0" fontId="73" fillId="2" borderId="114" xfId="0" applyFont="1" applyFill="1" applyBorder="1" applyAlignment="1" applyProtection="1">
      <alignment vertical="center"/>
    </xf>
    <xf numFmtId="0" fontId="75" fillId="2" borderId="98" xfId="0"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2" borderId="86" xfId="0"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protection locked="0"/>
    </xf>
    <xf numFmtId="0" fontId="75" fillId="0" borderId="15"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6" xfId="0" applyFont="1" applyFill="1" applyBorder="1" applyAlignment="1" applyProtection="1">
      <alignment vertical="center"/>
    </xf>
    <xf numFmtId="0" fontId="73" fillId="2" borderId="96" xfId="0" applyFont="1" applyFill="1" applyBorder="1" applyAlignment="1" applyProtection="1">
      <alignment vertical="center" wrapText="1"/>
    </xf>
    <xf numFmtId="0" fontId="75" fillId="0" borderId="96"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5" fillId="0" borderId="97"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xf>
    <xf numFmtId="0" fontId="73" fillId="2" borderId="79" xfId="0" applyFont="1" applyFill="1" applyBorder="1" applyAlignment="1" applyProtection="1">
      <alignment vertical="center" wrapText="1"/>
    </xf>
    <xf numFmtId="0" fontId="75" fillId="2" borderId="106" xfId="0" applyFont="1" applyFill="1" applyBorder="1" applyAlignment="1" applyProtection="1">
      <alignment horizontal="center" vertical="center" wrapText="1"/>
    </xf>
    <xf numFmtId="0" fontId="75" fillId="0" borderId="3"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4" xfId="0"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2" borderId="20"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left" vertical="center" wrapText="1"/>
      <protection locked="0"/>
    </xf>
    <xf numFmtId="0" fontId="99" fillId="0" borderId="9"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5" fillId="2" borderId="29" xfId="0" applyFont="1" applyFill="1" applyBorder="1" applyAlignment="1" applyProtection="1">
      <alignment vertical="center" wrapText="1"/>
    </xf>
    <xf numFmtId="0" fontId="76" fillId="2" borderId="119"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protection locked="0"/>
    </xf>
    <xf numFmtId="0" fontId="70" fillId="0" borderId="120"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21" xfId="0" applyFont="1" applyFill="1" applyBorder="1" applyAlignment="1" applyProtection="1">
      <alignment horizontal="center" vertical="center" wrapText="1"/>
    </xf>
    <xf numFmtId="0" fontId="70"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left" vertical="center" wrapText="1"/>
    </xf>
    <xf numFmtId="0" fontId="99" fillId="2" borderId="123" xfId="0" applyFont="1" applyFill="1" applyBorder="1" applyAlignment="1" applyProtection="1">
      <alignment horizontal="center" vertical="center" wrapText="1"/>
    </xf>
    <xf numFmtId="0" fontId="75" fillId="2" borderId="119"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2" borderId="120"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left" vertical="center" wrapText="1"/>
      <protection locked="0"/>
    </xf>
    <xf numFmtId="0" fontId="99" fillId="0" borderId="11" xfId="0" applyFont="1" applyFill="1" applyBorder="1" applyAlignment="1" applyProtection="1">
      <alignment horizontal="center" vertical="center" wrapText="1"/>
      <protection locked="0"/>
    </xf>
    <xf numFmtId="0" fontId="104" fillId="2" borderId="29"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6"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left" vertical="center" wrapText="1"/>
      <protection locked="0"/>
    </xf>
    <xf numFmtId="0" fontId="76" fillId="0" borderId="85"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5" fillId="2" borderId="28"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left" vertical="center" wrapText="1"/>
    </xf>
    <xf numFmtId="0" fontId="99" fillId="2" borderId="9"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2"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76" fillId="2" borderId="122" xfId="0" applyFont="1" applyFill="1" applyBorder="1" applyAlignment="1" applyProtection="1">
      <alignment horizontal="center" vertical="center" wrapText="1"/>
    </xf>
    <xf numFmtId="0" fontId="76" fillId="2" borderId="122"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76" fillId="2" borderId="6"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wrapText="1"/>
    </xf>
    <xf numFmtId="0" fontId="76" fillId="2" borderId="88" xfId="0" applyFont="1" applyFill="1" applyBorder="1" applyAlignment="1" applyProtection="1">
      <alignment horizontal="center" vertical="center" wrapText="1"/>
    </xf>
    <xf numFmtId="0" fontId="70"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left" vertical="center" wrapText="1"/>
      <protection locked="0"/>
    </xf>
    <xf numFmtId="0" fontId="99" fillId="0" borderId="123" xfId="0"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left" vertical="center" wrapText="1"/>
      <protection locked="0"/>
    </xf>
    <xf numFmtId="0" fontId="99" fillId="0" borderId="85"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2" borderId="18" xfId="0" applyFont="1" applyFill="1" applyBorder="1" applyAlignment="1" applyProtection="1">
      <alignment horizontal="center" vertical="center"/>
    </xf>
    <xf numFmtId="0" fontId="104" fillId="2" borderId="29" xfId="0" applyFont="1" applyFill="1" applyBorder="1" applyAlignment="1" applyProtection="1">
      <alignment vertical="center" textRotation="255" wrapText="1"/>
    </xf>
    <xf numFmtId="0" fontId="75" fillId="2" borderId="92" xfId="0" applyFont="1" applyFill="1" applyBorder="1" applyAlignment="1" applyProtection="1">
      <alignment horizontal="center" vertical="center"/>
    </xf>
    <xf numFmtId="0" fontId="76" fillId="0" borderId="1" xfId="0" applyFont="1" applyFill="1" applyBorder="1" applyAlignment="1" applyProtection="1">
      <alignment horizontal="center" vertical="center" wrapText="1"/>
      <protection locked="0"/>
    </xf>
    <xf numFmtId="0" fontId="76" fillId="0" borderId="1" xfId="0" applyFont="1" applyFill="1" applyBorder="1" applyAlignment="1" applyProtection="1">
      <alignment horizontal="left" vertical="center" wrapText="1"/>
      <protection locked="0"/>
    </xf>
    <xf numFmtId="0" fontId="76" fillId="0" borderId="11"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65" fillId="2" borderId="29" xfId="0" applyFont="1" applyFill="1" applyBorder="1" applyAlignment="1" applyProtection="1">
      <alignment vertical="center" textRotation="255" wrapText="1"/>
    </xf>
    <xf numFmtId="0" fontId="76" fillId="2" borderId="28" xfId="0" applyFont="1" applyFill="1" applyBorder="1" applyAlignment="1" applyProtection="1">
      <alignment horizontal="center" vertical="center" wrapText="1"/>
    </xf>
    <xf numFmtId="187" fontId="70" fillId="0" borderId="0" xfId="0" applyNumberFormat="1" applyFont="1" applyFill="1" applyAlignment="1" applyProtection="1">
      <alignment horizontal="left" vertical="center"/>
      <protection locked="0"/>
    </xf>
    <xf numFmtId="187" fontId="67"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left" vertical="center"/>
      <protection locked="0"/>
    </xf>
    <xf numFmtId="177" fontId="67" fillId="0" borderId="13" xfId="0" applyNumberFormat="1" applyFont="1" applyFill="1" applyBorder="1" applyAlignment="1" applyProtection="1">
      <alignment vertical="center"/>
      <protection locked="0"/>
    </xf>
    <xf numFmtId="0" fontId="65" fillId="2" borderId="108" xfId="0" applyFont="1" applyFill="1" applyBorder="1" applyAlignment="1" applyProtection="1">
      <alignment vertical="center" wrapText="1"/>
    </xf>
    <xf numFmtId="0" fontId="65" fillId="2" borderId="25" xfId="0" applyFont="1" applyFill="1" applyBorder="1" applyAlignment="1" applyProtection="1">
      <alignment vertical="center" wrapText="1"/>
    </xf>
    <xf numFmtId="187" fontId="75" fillId="2" borderId="16" xfId="0" applyNumberFormat="1" applyFont="1" applyFill="1" applyBorder="1" applyAlignment="1" applyProtection="1">
      <alignment horizontal="left" vertical="center" wrapText="1"/>
    </xf>
    <xf numFmtId="0" fontId="65" fillId="2" borderId="18"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23" xfId="0" applyFont="1" applyFill="1" applyBorder="1" applyAlignment="1" applyProtection="1">
      <alignment vertical="center" wrapText="1"/>
    </xf>
    <xf numFmtId="0" fontId="102" fillId="0" borderId="81"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4" xfId="0" applyFont="1" applyFill="1" applyBorder="1" applyAlignment="1" applyProtection="1">
      <alignment horizontal="left" vertical="center" wrapText="1"/>
      <protection locked="0"/>
    </xf>
    <xf numFmtId="0" fontId="102" fillId="0" borderId="93"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xf>
    <xf numFmtId="49" fontId="75" fillId="0" borderId="117" xfId="0" applyNumberFormat="1" applyFont="1" applyFill="1" applyBorder="1" applyAlignment="1" applyProtection="1">
      <alignment horizontal="left" vertical="center" wrapText="1"/>
      <protection locked="0"/>
    </xf>
    <xf numFmtId="49" fontId="75" fillId="0" borderId="106"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xf>
    <xf numFmtId="0" fontId="72" fillId="0" borderId="16" xfId="0" applyFont="1" applyFill="1" applyBorder="1" applyAlignment="1" applyProtection="1">
      <alignment horizontal="right" vertical="center" wrapText="1"/>
      <protection locked="0"/>
    </xf>
    <xf numFmtId="0" fontId="72" fillId="2" borderId="16" xfId="0" applyFont="1" applyFill="1" applyBorder="1" applyAlignment="1" applyProtection="1">
      <alignment horizontal="right" vertical="center" wrapText="1"/>
    </xf>
    <xf numFmtId="0" fontId="75" fillId="2" borderId="80" xfId="0" applyFont="1" applyFill="1" applyBorder="1" applyAlignment="1" applyProtection="1">
      <alignment horizontal="left" vertical="center" wrapText="1"/>
    </xf>
    <xf numFmtId="49" fontId="70" fillId="2" borderId="20"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75" fillId="2" borderId="93" xfId="0" applyFont="1" applyFill="1" applyBorder="1" applyAlignment="1" applyProtection="1">
      <alignment horizontal="left" vertical="center" wrapText="1"/>
    </xf>
    <xf numFmtId="49" fontId="70" fillId="2" borderId="81" xfId="0" applyNumberFormat="1" applyFont="1" applyFill="1" applyBorder="1" applyAlignment="1" applyProtection="1">
      <alignment horizontal="left" vertical="center" wrapText="1"/>
    </xf>
    <xf numFmtId="0" fontId="70" fillId="13" borderId="29" xfId="0" applyFont="1" applyFill="1" applyBorder="1" applyAlignment="1" applyProtection="1">
      <alignment horizontal="left" vertical="center" wrapText="1"/>
      <protection locked="0"/>
    </xf>
    <xf numFmtId="49" fontId="70" fillId="13" borderId="79" xfId="0" applyNumberFormat="1" applyFont="1" applyFill="1" applyBorder="1" applyAlignment="1" applyProtection="1">
      <alignment horizontal="left" vertical="center" wrapText="1"/>
      <protection locked="0"/>
    </xf>
    <xf numFmtId="49" fontId="70" fillId="13" borderId="29" xfId="0" applyNumberFormat="1" applyFont="1" applyFill="1" applyBorder="1" applyAlignment="1" applyProtection="1">
      <alignment horizontal="left" vertical="center" wrapText="1"/>
      <protection locked="0"/>
    </xf>
    <xf numFmtId="180" fontId="70" fillId="2" borderId="31" xfId="0" applyNumberFormat="1" applyFont="1" applyFill="1" applyBorder="1" applyAlignment="1" applyProtection="1">
      <alignment horizontal="right" vertical="center" wrapText="1"/>
    </xf>
    <xf numFmtId="49" fontId="70" fillId="0" borderId="94" xfId="0" applyNumberFormat="1" applyFont="1" applyFill="1" applyBorder="1" applyAlignment="1" applyProtection="1">
      <alignment horizontal="left" vertical="center" wrapText="1"/>
      <protection locked="0"/>
    </xf>
    <xf numFmtId="49" fontId="70" fillId="0" borderId="81" xfId="0" applyNumberFormat="1" applyFont="1" applyFill="1" applyBorder="1" applyAlignment="1" applyProtection="1">
      <alignment horizontal="left" vertical="center" wrapText="1"/>
      <protection locked="0"/>
    </xf>
    <xf numFmtId="0" fontId="75" fillId="2" borderId="92" xfId="0" applyFont="1" applyFill="1" applyBorder="1" applyAlignment="1" applyProtection="1">
      <alignment horizontal="left" vertical="center" wrapText="1"/>
    </xf>
    <xf numFmtId="0" fontId="72" fillId="2" borderId="16" xfId="0" applyFont="1" applyFill="1" applyBorder="1" applyAlignment="1" applyProtection="1">
      <alignment horizontal="right" vertical="center" wrapText="1"/>
      <protection locked="0"/>
    </xf>
    <xf numFmtId="0" fontId="49" fillId="2" borderId="16" xfId="0" applyFont="1" applyFill="1" applyBorder="1" applyAlignment="1" applyProtection="1">
      <alignment horizontal="right" vertical="center" wrapText="1"/>
    </xf>
    <xf numFmtId="0" fontId="49" fillId="0" borderId="16" xfId="0" applyFont="1" applyFill="1" applyBorder="1" applyAlignment="1" applyProtection="1">
      <alignment horizontal="right" vertical="center" wrapText="1"/>
      <protection locked="0"/>
    </xf>
    <xf numFmtId="0" fontId="75" fillId="0" borderId="15" xfId="0" applyFont="1" applyFill="1" applyBorder="1" applyAlignment="1" applyProtection="1">
      <alignment horizontal="left" vertical="center" wrapText="1"/>
      <protection locked="0"/>
    </xf>
    <xf numFmtId="0" fontId="76" fillId="0" borderId="27" xfId="0" applyFont="1" applyFill="1" applyBorder="1" applyAlignment="1" applyProtection="1">
      <alignment horizontal="left" vertical="center"/>
      <protection locked="0"/>
    </xf>
    <xf numFmtId="180" fontId="76" fillId="2" borderId="14" xfId="0" applyNumberFormat="1" applyFont="1" applyFill="1" applyBorder="1" applyAlignment="1" applyProtection="1">
      <alignment horizontal="right" vertical="center" wrapText="1"/>
    </xf>
    <xf numFmtId="0" fontId="105" fillId="2" borderId="16"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36" fillId="3" borderId="91" xfId="0" applyFont="1" applyFill="1" applyBorder="1" applyAlignment="1" applyProtection="1">
      <alignment horizontal="left" vertical="center" wrapText="1"/>
      <protection locked="0"/>
    </xf>
    <xf numFmtId="180" fontId="65" fillId="2" borderId="23" xfId="0" applyNumberFormat="1" applyFont="1" applyFill="1" applyBorder="1" applyAlignment="1" applyProtection="1">
      <alignment vertical="center" wrapText="1"/>
    </xf>
    <xf numFmtId="187" fontId="70" fillId="2" borderId="1" xfId="0" applyNumberFormat="1" applyFont="1" applyFill="1" applyBorder="1" applyAlignment="1" applyProtection="1">
      <alignment horizontal="left" vertical="center" wrapText="1"/>
    </xf>
    <xf numFmtId="187" fontId="70" fillId="7" borderId="0" xfId="0" applyNumberFormat="1" applyFont="1" applyFill="1" applyAlignment="1" applyProtection="1">
      <alignment horizontal="left" vertical="center"/>
      <protection locked="0"/>
    </xf>
    <xf numFmtId="187" fontId="99" fillId="7" borderId="0" xfId="0" applyNumberFormat="1" applyFont="1" applyFill="1" applyAlignment="1" applyProtection="1">
      <alignment horizontal="left" vertical="center"/>
      <protection locked="0"/>
    </xf>
    <xf numFmtId="0" fontId="70" fillId="2" borderId="26"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30" fillId="2" borderId="124" xfId="0" applyFont="1" applyFill="1" applyBorder="1" applyAlignment="1" applyProtection="1">
      <alignment horizontal="center" vertical="center"/>
    </xf>
    <xf numFmtId="180" fontId="31" fillId="2" borderId="1" xfId="0" applyNumberFormat="1" applyFont="1" applyFill="1" applyBorder="1" applyAlignment="1" applyProtection="1">
      <alignment horizontal="right"/>
    </xf>
    <xf numFmtId="180" fontId="31" fillId="2" borderId="15" xfId="52" applyNumberFormat="1" applyFont="1" applyFill="1" applyBorder="1" applyAlignment="1" applyProtection="1">
      <alignment horizontal="right"/>
    </xf>
    <xf numFmtId="0" fontId="25" fillId="2" borderId="11" xfId="0" applyFont="1" applyFill="1" applyBorder="1" applyAlignment="1" applyProtection="1">
      <alignment horizontal="right" vertical="center"/>
    </xf>
    <xf numFmtId="0" fontId="25" fillId="2" borderId="125"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5" fillId="2" borderId="81" xfId="0" applyFont="1" applyFill="1" applyBorder="1" applyAlignment="1" applyProtection="1">
      <alignment vertical="center"/>
    </xf>
    <xf numFmtId="0" fontId="100" fillId="2" borderId="1" xfId="0" applyFont="1" applyFill="1" applyBorder="1" applyAlignment="1" applyProtection="1">
      <alignment horizontal="center" vertical="center"/>
    </xf>
    <xf numFmtId="177" fontId="25" fillId="0" borderId="125"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9" xfId="0" applyFont="1" applyFill="1" applyBorder="1" applyAlignment="1" applyProtection="1">
      <alignment vertical="center"/>
    </xf>
    <xf numFmtId="0" fontId="100" fillId="2" borderId="13" xfId="0" applyFont="1" applyFill="1" applyBorder="1" applyAlignment="1" applyProtection="1">
      <alignment horizontal="center" vertical="center"/>
    </xf>
    <xf numFmtId="0" fontId="25" fillId="2" borderId="14" xfId="0" applyFont="1" applyFill="1" applyBorder="1" applyAlignment="1" applyProtection="1">
      <alignment horizontal="right" vertical="center"/>
    </xf>
    <xf numFmtId="177" fontId="25" fillId="0" borderId="126" xfId="0" applyNumberFormat="1" applyFont="1" applyFill="1" applyBorder="1" applyAlignment="1" applyProtection="1">
      <alignment horizontal="right" vertical="center"/>
      <protection locked="0"/>
    </xf>
    <xf numFmtId="0" fontId="31" fillId="2" borderId="13" xfId="0"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87" fontId="70" fillId="2" borderId="0" xfId="0" applyNumberFormat="1" applyFont="1" applyFill="1" applyAlignment="1" applyProtection="1">
      <alignment horizontal="left" vertical="center"/>
      <protection locked="0"/>
    </xf>
    <xf numFmtId="14" fontId="70" fillId="2" borderId="0" xfId="0" applyNumberFormat="1" applyFont="1" applyFill="1" applyAlignment="1" applyProtection="1">
      <alignment horizontal="left" vertical="center"/>
    </xf>
    <xf numFmtId="187" fontId="70" fillId="2" borderId="0" xfId="0" applyNumberFormat="1" applyFont="1" applyFill="1" applyBorder="1" applyAlignment="1" applyProtection="1">
      <alignment horizontal="left"/>
      <protection locked="0"/>
    </xf>
    <xf numFmtId="182" fontId="70" fillId="2" borderId="0" xfId="0" applyNumberFormat="1" applyFont="1" applyFill="1" applyBorder="1" applyAlignment="1" applyProtection="1">
      <protection locked="0"/>
    </xf>
    <xf numFmtId="0" fontId="75" fillId="2" borderId="98" xfId="0" applyFont="1" applyFill="1" applyBorder="1" applyAlignment="1" applyProtection="1">
      <alignment horizontal="left" vertical="center" wrapText="1"/>
    </xf>
    <xf numFmtId="0" fontId="73" fillId="3" borderId="10" xfId="0" applyFont="1" applyFill="1" applyBorder="1" applyAlignment="1" applyProtection="1">
      <alignment horizontal="center" vertical="center" wrapText="1"/>
      <protection locked="0"/>
    </xf>
    <xf numFmtId="0" fontId="75" fillId="0" borderId="1" xfId="0" applyFont="1" applyFill="1" applyBorder="1" applyAlignment="1" applyProtection="1">
      <alignment horizontal="left" vertical="center" wrapText="1"/>
      <protection locked="0"/>
    </xf>
    <xf numFmtId="0" fontId="75" fillId="0" borderId="87"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left" vertical="center" wrapText="1"/>
      <protection locked="0"/>
    </xf>
    <xf numFmtId="0" fontId="75" fillId="0" borderId="2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2" borderId="6"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wrapText="1"/>
      <protection locked="0"/>
    </xf>
    <xf numFmtId="0" fontId="76" fillId="0" borderId="13"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70" fillId="0" borderId="13"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wrapText="1"/>
    </xf>
    <xf numFmtId="0" fontId="97" fillId="0" borderId="5" xfId="0" applyFont="1" applyFill="1" applyBorder="1" applyAlignment="1" applyProtection="1">
      <alignment horizontal="center" vertical="center"/>
      <protection locked="0"/>
    </xf>
    <xf numFmtId="0" fontId="51" fillId="2" borderId="127" xfId="0" applyFont="1" applyFill="1" applyBorder="1" applyAlignment="1" applyProtection="1">
      <alignment vertical="center"/>
    </xf>
    <xf numFmtId="0" fontId="67" fillId="13"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3" borderId="128" xfId="0" applyFont="1" applyFill="1" applyBorder="1" applyAlignment="1" applyProtection="1">
      <alignment vertical="center"/>
      <protection locked="0"/>
    </xf>
    <xf numFmtId="0" fontId="67" fillId="3" borderId="128" xfId="0" applyFont="1" applyFill="1" applyBorder="1" applyAlignment="1" applyProtection="1">
      <alignment vertical="center"/>
      <protection locked="0"/>
    </xf>
    <xf numFmtId="0" fontId="67" fillId="3" borderId="6"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xf>
    <xf numFmtId="0" fontId="67" fillId="2" borderId="128" xfId="0" applyFont="1" applyFill="1" applyBorder="1" applyAlignment="1" applyProtection="1">
      <alignment vertical="center"/>
    </xf>
    <xf numFmtId="187" fontId="67" fillId="2" borderId="128" xfId="0" applyNumberFormat="1" applyFont="1" applyFill="1" applyBorder="1" applyAlignment="1" applyProtection="1">
      <alignment horizontal="center" vertical="center"/>
    </xf>
    <xf numFmtId="182"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50" fillId="2" borderId="3" xfId="52" applyFont="1" applyFill="1" applyBorder="1" applyAlignment="1" applyProtection="1">
      <alignment vertical="center"/>
    </xf>
    <xf numFmtId="0" fontId="50" fillId="2" borderId="3"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36" fillId="3" borderId="105" xfId="52" applyFont="1" applyFill="1" applyBorder="1" applyAlignment="1" applyProtection="1">
      <alignment vertical="center"/>
      <protection locked="0"/>
    </xf>
    <xf numFmtId="0" fontId="50" fillId="2" borderId="106" xfId="52" applyFont="1" applyFill="1" applyBorder="1" applyAlignment="1" applyProtection="1">
      <alignment vertical="center"/>
      <protection locked="0"/>
    </xf>
    <xf numFmtId="0" fontId="50" fillId="3" borderId="3" xfId="52" applyFont="1" applyFill="1" applyBorder="1" applyAlignment="1" applyProtection="1">
      <alignment vertical="center"/>
      <protection locked="0"/>
    </xf>
    <xf numFmtId="177" fontId="50" fillId="2" borderId="2" xfId="0" applyNumberFormat="1" applyFont="1" applyFill="1" applyBorder="1" applyAlignment="1" applyProtection="1">
      <alignment horizontal="right" vertical="center"/>
    </xf>
    <xf numFmtId="0" fontId="50" fillId="2" borderId="2" xfId="0" applyFont="1" applyFill="1" applyBorder="1" applyAlignment="1" applyProtection="1">
      <alignment horizontal="center" vertical="center"/>
    </xf>
    <xf numFmtId="0" fontId="68"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70" fillId="2" borderId="9"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102" fillId="0" borderId="10"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0" fontId="102" fillId="0" borderId="81"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70" fillId="2" borderId="105"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3" fillId="2" borderId="115" xfId="0" applyFont="1" applyFill="1" applyBorder="1" applyAlignment="1" applyProtection="1">
      <alignment vertical="center" wrapText="1"/>
    </xf>
    <xf numFmtId="0" fontId="73" fillId="2" borderId="110" xfId="0" applyFont="1" applyFill="1" applyBorder="1" applyAlignment="1" applyProtection="1">
      <alignment vertical="center" wrapText="1"/>
    </xf>
    <xf numFmtId="190" fontId="75" fillId="2" borderId="100" xfId="0" applyNumberFormat="1" applyFont="1" applyFill="1" applyBorder="1" applyAlignment="1" applyProtection="1">
      <alignment horizontal="center" vertical="center" wrapText="1"/>
    </xf>
    <xf numFmtId="180" fontId="75" fillId="2" borderId="104" xfId="0" applyNumberFormat="1" applyFont="1" applyFill="1" applyBorder="1" applyAlignment="1" applyProtection="1">
      <alignment horizontal="center" vertical="center" wrapText="1"/>
    </xf>
    <xf numFmtId="190" fontId="75" fillId="0" borderId="103"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190" fontId="75" fillId="0" borderId="100" xfId="0" applyNumberFormat="1" applyFont="1" applyFill="1" applyBorder="1" applyAlignment="1" applyProtection="1">
      <alignment horizontal="center" vertical="center" wrapText="1"/>
      <protection locked="0"/>
    </xf>
    <xf numFmtId="0" fontId="75" fillId="2" borderId="104"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49" fontId="75" fillId="2" borderId="15" xfId="0" applyNumberFormat="1" applyFont="1" applyFill="1" applyBorder="1" applyAlignment="1" applyProtection="1">
      <alignment horizontal="center" vertical="center"/>
    </xf>
    <xf numFmtId="49" fontId="75" fillId="13" borderId="100" xfId="0" applyNumberFormat="1"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5" fillId="2" borderId="26" xfId="0" applyFont="1" applyFill="1" applyBorder="1" applyAlignment="1" applyProtection="1">
      <alignment horizontal="center" vertical="center" wrapText="1"/>
    </xf>
    <xf numFmtId="0" fontId="75" fillId="0" borderId="82" xfId="0" applyFont="1" applyFill="1" applyBorder="1" applyAlignment="1" applyProtection="1">
      <alignment horizontal="center" vertical="center" wrapText="1"/>
      <protection locked="0"/>
    </xf>
    <xf numFmtId="180" fontId="75" fillId="2" borderId="9" xfId="0" applyNumberFormat="1" applyFont="1" applyFill="1" applyBorder="1" applyAlignment="1" applyProtection="1">
      <alignment horizontal="center" vertical="center" wrapText="1"/>
    </xf>
    <xf numFmtId="49" fontId="75" fillId="13" borderId="7"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wrapText="1"/>
    </xf>
    <xf numFmtId="0" fontId="103" fillId="2" borderId="29"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7" fontId="75" fillId="0" borderId="10" xfId="0" applyNumberFormat="1" applyFont="1" applyFill="1" applyBorder="1" applyAlignment="1" applyProtection="1">
      <alignment horizontal="center" vertical="center" wrapText="1"/>
      <protection locked="0"/>
    </xf>
    <xf numFmtId="180" fontId="75" fillId="2" borderId="1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0" borderId="93"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5" fillId="0" borderId="86" xfId="0" applyFont="1" applyFill="1" applyBorder="1" applyAlignment="1" applyProtection="1">
      <alignment horizontal="center" vertical="center" wrapText="1"/>
      <protection locked="0"/>
    </xf>
    <xf numFmtId="180" fontId="75" fillId="2" borderId="113" xfId="0" applyNumberFormat="1" applyFont="1" applyFill="1" applyBorder="1" applyAlignment="1" applyProtection="1">
      <alignment horizontal="center" vertical="center" wrapText="1"/>
    </xf>
    <xf numFmtId="0" fontId="70" fillId="0" borderId="86" xfId="0" applyFont="1" applyFill="1" applyBorder="1" applyAlignment="1" applyProtection="1">
      <alignment horizontal="center" vertical="center" wrapText="1"/>
      <protection locked="0"/>
    </xf>
    <xf numFmtId="180" fontId="70" fillId="2" borderId="11" xfId="0" applyNumberFormat="1" applyFont="1" applyFill="1" applyBorder="1" applyAlignment="1" applyProtection="1">
      <alignment horizontal="center" vertical="center" wrapText="1"/>
    </xf>
    <xf numFmtId="0" fontId="75" fillId="0" borderId="89" xfId="0" applyFont="1" applyFill="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wrapText="1"/>
    </xf>
    <xf numFmtId="0" fontId="70" fillId="2" borderId="20" xfId="0" applyFont="1" applyFill="1" applyBorder="1" applyAlignment="1" applyProtection="1">
      <alignment horizontal="center" vertical="center" wrapText="1"/>
    </xf>
    <xf numFmtId="180" fontId="70" fillId="2" borderId="22"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0" fillId="0" borderId="20" xfId="0" applyNumberFormat="1" applyFont="1" applyFill="1" applyBorder="1" applyAlignment="1" applyProtection="1">
      <alignment horizontal="center" vertical="center" wrapText="1"/>
      <protection locked="0"/>
    </xf>
    <xf numFmtId="0" fontId="70" fillId="2" borderId="22" xfId="0" applyFont="1" applyFill="1" applyBorder="1" applyAlignment="1" applyProtection="1">
      <alignment horizontal="center" vertical="center" wrapText="1"/>
    </xf>
    <xf numFmtId="0" fontId="49" fillId="0" borderId="81" xfId="0" applyFont="1" applyFill="1" applyBorder="1" applyAlignment="1" applyProtection="1">
      <alignment horizontal="center" vertical="center" wrapText="1"/>
      <protection locked="0"/>
    </xf>
    <xf numFmtId="49" fontId="70" fillId="2" borderId="15" xfId="0" applyNumberFormat="1"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7" xfId="0" applyFont="1" applyFill="1" applyBorder="1" applyAlignment="1" applyProtection="1">
      <alignment horizontal="center" vertical="center" wrapText="1"/>
      <protection locked="0"/>
    </xf>
    <xf numFmtId="180" fontId="70" fillId="2" borderId="85" xfId="0" applyNumberFormat="1"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0" fillId="2" borderId="81" xfId="0" applyFont="1" applyFill="1" applyBorder="1" applyAlignment="1" applyProtection="1">
      <alignment horizontal="center" vertical="center" wrapText="1"/>
    </xf>
    <xf numFmtId="180" fontId="70" fillId="2" borderId="31" xfId="0" applyNumberFormat="1"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49" fontId="70" fillId="0" borderId="81"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70" fillId="13" borderId="29" xfId="0"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49" fontId="70" fillId="0" borderId="79" xfId="0" applyNumberFormat="1" applyFont="1" applyFill="1" applyBorder="1" applyAlignment="1" applyProtection="1">
      <alignment horizontal="center" vertical="center" wrapText="1"/>
      <protection locked="0"/>
    </xf>
    <xf numFmtId="49" fontId="70" fillId="0" borderId="29" xfId="0" applyNumberFormat="1" applyFont="1" applyFill="1" applyBorder="1" applyAlignment="1" applyProtection="1">
      <alignment horizontal="center" vertical="center" wrapText="1"/>
      <protection locked="0"/>
    </xf>
    <xf numFmtId="180" fontId="70" fillId="2" borderId="88" xfId="0" applyNumberFormat="1"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70" fillId="13" borderId="86"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wrapText="1"/>
    </xf>
    <xf numFmtId="0" fontId="70" fillId="0" borderId="129" xfId="0" applyFont="1" applyFill="1" applyBorder="1" applyAlignment="1" applyProtection="1">
      <alignment horizontal="center" vertical="center" wrapText="1"/>
      <protection locked="0"/>
    </xf>
    <xf numFmtId="180" fontId="75" fillId="2" borderId="88" xfId="0" applyNumberFormat="1"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5" fillId="2" borderId="20" xfId="0" applyFont="1" applyFill="1" applyBorder="1" applyAlignment="1" applyProtection="1">
      <alignment vertical="center" textRotation="255" wrapText="1"/>
    </xf>
    <xf numFmtId="0" fontId="70" fillId="13" borderId="7" xfId="0" applyFont="1" applyFill="1" applyBorder="1" applyAlignment="1" applyProtection="1">
      <alignment horizontal="center" vertical="center" wrapText="1"/>
      <protection locked="0"/>
    </xf>
    <xf numFmtId="180" fontId="70" fillId="2" borderId="9"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textRotation="255" wrapText="1"/>
    </xf>
    <xf numFmtId="9" fontId="75" fillId="0" borderId="86" xfId="0" applyNumberFormat="1" applyFont="1" applyFill="1" applyBorder="1" applyAlignment="1" applyProtection="1">
      <alignment horizontal="center" vertical="center" wrapText="1"/>
      <protection locked="0"/>
    </xf>
    <xf numFmtId="9" fontId="75" fillId="0" borderId="16" xfId="0" applyNumberFormat="1" applyFont="1" applyFill="1" applyBorder="1" applyAlignment="1" applyProtection="1">
      <alignment horizontal="center" vertical="center" wrapText="1"/>
      <protection locked="0"/>
    </xf>
    <xf numFmtId="9" fontId="75" fillId="0" borderId="10" xfId="0" applyNumberFormat="1"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wrapText="1"/>
    </xf>
    <xf numFmtId="49" fontId="76" fillId="2" borderId="15"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70" fillId="13" borderId="10" xfId="0" applyFont="1" applyFill="1" applyBorder="1" applyAlignment="1" applyProtection="1">
      <alignment horizontal="center" vertical="center" wrapText="1"/>
      <protection locked="0"/>
    </xf>
    <xf numFmtId="0" fontId="75" fillId="13" borderId="86" xfId="0" applyFont="1" applyFill="1" applyBorder="1" applyAlignment="1" applyProtection="1">
      <alignment horizontal="center" vertical="center" wrapText="1"/>
      <protection locked="0"/>
    </xf>
    <xf numFmtId="0" fontId="73" fillId="2" borderId="29"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7" xfId="0" applyFont="1" applyFill="1" applyBorder="1" applyAlignment="1" applyProtection="1">
      <alignment horizontal="center" vertical="center" wrapText="1"/>
      <protection locked="0"/>
    </xf>
    <xf numFmtId="0" fontId="70" fillId="0" borderId="89" xfId="0" applyFont="1" applyFill="1" applyBorder="1" applyAlignment="1" applyProtection="1">
      <alignment horizontal="center" vertical="center" wrapText="1"/>
      <protection locked="0"/>
    </xf>
    <xf numFmtId="180" fontId="70" fillId="2" borderId="14"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Font="1" applyFill="1" applyBorder="1" applyAlignment="1" applyProtection="1">
      <alignment horizontal="right" vertical="center" wrapText="1"/>
    </xf>
    <xf numFmtId="49" fontId="65" fillId="2" borderId="90" xfId="0" applyNumberFormat="1" applyFont="1" applyFill="1" applyBorder="1" applyAlignment="1" applyProtection="1">
      <alignment vertical="center"/>
    </xf>
    <xf numFmtId="187" fontId="70" fillId="2" borderId="1" xfId="0" applyNumberFormat="1"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xf>
    <xf numFmtId="177" fontId="70" fillId="7" borderId="0" xfId="0" applyNumberFormat="1" applyFont="1" applyFill="1" applyAlignment="1" applyProtection="1">
      <alignment horizontal="center" vertical="center"/>
      <protection locked="0"/>
    </xf>
    <xf numFmtId="0" fontId="73" fillId="2" borderId="108" xfId="0" applyFont="1" applyFill="1" applyBorder="1" applyAlignment="1" applyProtection="1">
      <alignment vertical="center" wrapText="1"/>
    </xf>
    <xf numFmtId="0" fontId="73" fillId="2" borderId="114" xfId="0" applyFont="1" applyFill="1" applyBorder="1" applyAlignment="1" applyProtection="1">
      <alignment vertical="center" wrapText="1"/>
    </xf>
    <xf numFmtId="191" fontId="75" fillId="2" borderId="98" xfId="0" applyNumberFormat="1" applyFont="1" applyFill="1" applyBorder="1" applyAlignment="1" applyProtection="1">
      <alignment horizontal="center" vertical="center" wrapText="1"/>
    </xf>
    <xf numFmtId="191" fontId="75" fillId="2" borderId="8" xfId="0" applyNumberFormat="1" applyFont="1" applyFill="1" applyBorder="1" applyAlignment="1" applyProtection="1">
      <alignment horizontal="center" vertical="center" wrapText="1"/>
    </xf>
    <xf numFmtId="0" fontId="73" fillId="2" borderId="18" xfId="0" applyFont="1" applyFill="1" applyBorder="1" applyAlignment="1" applyProtection="1">
      <alignment vertical="center" wrapText="1"/>
    </xf>
    <xf numFmtId="0" fontId="70" fillId="2" borderId="2" xfId="0" applyFont="1" applyFill="1" applyBorder="1" applyAlignment="1" applyProtection="1">
      <alignment horizontal="center" vertical="center" wrapText="1"/>
      <protection locked="0"/>
    </xf>
    <xf numFmtId="0" fontId="70" fillId="2"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7" fontId="70" fillId="0" borderId="0" xfId="0" applyNumberFormat="1" applyFont="1" applyFill="1" applyAlignment="1" applyProtection="1">
      <alignment horizontal="center" vertical="center"/>
    </xf>
    <xf numFmtId="182" fontId="70" fillId="0" borderId="0" xfId="0" applyNumberFormat="1" applyFont="1" applyFill="1" applyAlignment="1" applyProtection="1">
      <alignment horizontal="center" vertical="center"/>
    </xf>
    <xf numFmtId="0" fontId="70" fillId="0" borderId="9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protection locked="0"/>
    </xf>
    <xf numFmtId="0" fontId="67" fillId="2" borderId="128" xfId="0" applyFont="1" applyFill="1" applyBorder="1" applyAlignment="1" applyProtection="1">
      <alignment vertical="center"/>
      <protection locked="0"/>
    </xf>
    <xf numFmtId="187" fontId="67" fillId="2" borderId="128" xfId="0" applyNumberFormat="1" applyFont="1" applyFill="1" applyBorder="1" applyAlignment="1" applyProtection="1">
      <alignment horizontal="center" vertical="center"/>
      <protection locked="0"/>
    </xf>
    <xf numFmtId="182"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0" fontId="73" fillId="2" borderId="107"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pplyProtection="1">
      <alignment vertical="center" wrapText="1"/>
    </xf>
    <xf numFmtId="0" fontId="75" fillId="2" borderId="17" xfId="0" applyFont="1" applyFill="1" applyBorder="1" applyAlignment="1" applyProtection="1">
      <alignment horizontal="center" vertical="center" wrapText="1"/>
    </xf>
    <xf numFmtId="177" fontId="75" fillId="0" borderId="16" xfId="0" applyNumberFormat="1"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5" fillId="2" borderId="132" xfId="0" applyFont="1" applyFill="1" applyBorder="1" applyAlignment="1" applyProtection="1">
      <alignment vertical="center" wrapText="1"/>
    </xf>
    <xf numFmtId="0" fontId="75" fillId="2" borderId="22" xfId="0"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wrapText="1"/>
      <protection locked="0"/>
    </xf>
    <xf numFmtId="180" fontId="75" fillId="2" borderId="97"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5" xfId="0" applyFont="1" applyFill="1" applyBorder="1" applyAlignment="1" applyProtection="1">
      <alignment horizontal="center" vertical="center" wrapText="1"/>
    </xf>
    <xf numFmtId="0" fontId="75" fillId="2" borderId="97" xfId="0" applyFont="1" applyFill="1" applyBorder="1" applyAlignment="1" applyProtection="1">
      <alignment horizontal="center" vertical="center" wrapText="1"/>
    </xf>
    <xf numFmtId="0" fontId="65" fillId="2" borderId="108" xfId="0" applyFont="1" applyFill="1" applyBorder="1" applyAlignment="1" applyProtection="1">
      <alignment vertical="center" textRotation="255" wrapText="1"/>
    </xf>
    <xf numFmtId="0" fontId="70" fillId="2" borderId="117" xfId="0" applyFont="1" applyFill="1" applyBorder="1" applyAlignment="1" applyProtection="1">
      <alignment horizontal="center" vertical="center" wrapText="1"/>
    </xf>
    <xf numFmtId="0" fontId="104" fillId="2" borderId="18"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textRotation="255" wrapText="1"/>
    </xf>
    <xf numFmtId="0" fontId="73" fillId="2" borderId="18" xfId="0" applyFont="1" applyFill="1" applyBorder="1" applyAlignment="1" applyProtection="1">
      <alignment vertical="center" textRotation="255" wrapText="1"/>
    </xf>
    <xf numFmtId="0" fontId="65" fillId="2" borderId="116"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7" fontId="70" fillId="12" borderId="16" xfId="0" applyNumberFormat="1" applyFont="1" applyFill="1" applyBorder="1" applyAlignment="1" applyProtection="1">
      <alignment horizontal="right" vertical="center"/>
      <protection locked="0"/>
    </xf>
    <xf numFmtId="187" fontId="70" fillId="12" borderId="1"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7" fontId="70" fillId="2" borderId="0" xfId="0" applyNumberFormat="1" applyFont="1" applyFill="1" applyBorder="1" applyAlignment="1" applyProtection="1">
      <alignment horizontal="center"/>
      <protection locked="0"/>
    </xf>
    <xf numFmtId="0" fontId="70"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wrapText="1"/>
      <protection locked="0"/>
    </xf>
    <xf numFmtId="9" fontId="75"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70"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left" vertical="center" wrapText="1"/>
      <protection locked="0"/>
    </xf>
    <xf numFmtId="49" fontId="99" fillId="0" borderId="9"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50" fillId="2" borderId="0" xfId="0" applyFont="1" applyFill="1" applyBorder="1" applyAlignment="1" applyProtection="1">
      <alignment vertical="center"/>
    </xf>
    <xf numFmtId="0" fontId="70" fillId="2" borderId="108" xfId="0" applyFont="1" applyFill="1" applyBorder="1" applyAlignment="1" applyProtection="1">
      <alignment horizontal="left" vertical="center" wrapText="1"/>
    </xf>
    <xf numFmtId="0" fontId="70" fillId="2" borderId="114" xfId="0" applyFont="1" applyFill="1" applyBorder="1" applyAlignment="1" applyProtection="1">
      <alignment horizontal="left" vertical="center" wrapText="1"/>
    </xf>
    <xf numFmtId="0" fontId="70" fillId="2" borderId="80" xfId="0" applyFont="1" applyFill="1" applyBorder="1" applyAlignment="1" applyProtection="1">
      <alignment horizontal="left" vertical="center"/>
    </xf>
    <xf numFmtId="0" fontId="70" fillId="2" borderId="114"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70" fillId="2" borderId="21"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22" xfId="0"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70" fillId="2" borderId="118" xfId="0" applyFont="1" applyFill="1" applyBorder="1" applyAlignment="1" applyProtection="1">
      <alignment horizontal="left" vertical="center" wrapText="1"/>
    </xf>
    <xf numFmtId="0" fontId="70" fillId="2" borderId="85" xfId="0" applyFont="1" applyFill="1" applyBorder="1" applyAlignment="1" applyProtection="1">
      <alignment horizontal="center" vertical="center"/>
    </xf>
    <xf numFmtId="0" fontId="75" fillId="2" borderId="86" xfId="0" applyFont="1" applyFill="1" applyBorder="1" applyAlignment="1" applyProtection="1">
      <alignment horizontal="left" vertical="center"/>
    </xf>
    <xf numFmtId="0" fontId="75" fillId="2" borderId="15" xfId="0" applyFont="1" applyFill="1" applyBorder="1" applyAlignment="1" applyProtection="1">
      <alignment horizontal="right" vertical="center"/>
    </xf>
    <xf numFmtId="49" fontId="75" fillId="2" borderId="16" xfId="0" applyNumberFormat="1"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70" fillId="2" borderId="10" xfId="0" applyFont="1" applyFill="1" applyBorder="1" applyAlignment="1" applyProtection="1">
      <alignment horizontal="left" vertical="center" wrapText="1"/>
    </xf>
    <xf numFmtId="0" fontId="75" fillId="0" borderId="1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06" xfId="0"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2" borderId="114"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right" vertical="center"/>
    </xf>
    <xf numFmtId="49" fontId="70" fillId="2" borderId="16" xfId="0" applyNumberFormat="1"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70" fillId="2" borderId="19" xfId="0" applyFont="1" applyFill="1" applyBorder="1" applyAlignment="1" applyProtection="1">
      <alignment horizontal="center" vertical="center"/>
    </xf>
    <xf numFmtId="0" fontId="70" fillId="13" borderId="106" xfId="0" applyFont="1" applyFill="1" applyBorder="1" applyAlignment="1" applyProtection="1">
      <alignment horizontal="center" vertical="center" wrapText="1"/>
      <protection locked="0"/>
    </xf>
    <xf numFmtId="0" fontId="70" fillId="13" borderId="79" xfId="0" applyFont="1" applyFill="1" applyBorder="1" applyAlignment="1" applyProtection="1">
      <alignment horizontal="center" vertical="center" wrapText="1"/>
      <protection locked="0"/>
    </xf>
    <xf numFmtId="49" fontId="70" fillId="13" borderId="29" xfId="0" applyNumberFormat="1"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13" borderId="117" xfId="0" applyNumberFormat="1" applyFont="1" applyFill="1" applyBorder="1" applyAlignment="1" applyProtection="1">
      <alignment horizontal="center" vertical="center" wrapText="1"/>
      <protection locked="0"/>
    </xf>
    <xf numFmtId="49" fontId="70" fillId="13" borderId="106" xfId="0" applyNumberFormat="1"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13" borderId="17" xfId="0" applyFont="1" applyFill="1" applyBorder="1" applyAlignment="1" applyProtection="1">
      <alignment horizontal="center" vertical="center" wrapText="1"/>
      <protection locked="0"/>
    </xf>
    <xf numFmtId="0" fontId="75" fillId="13" borderId="106" xfId="0" applyFont="1" applyFill="1" applyBorder="1" applyAlignment="1" applyProtection="1">
      <alignment horizontal="center" vertical="center" wrapText="1"/>
      <protection locked="0"/>
    </xf>
    <xf numFmtId="180" fontId="75" fillId="2" borderId="85" xfId="0" applyNumberFormat="1" applyFont="1" applyFill="1" applyBorder="1" applyAlignment="1" applyProtection="1">
      <alignment horizontal="center" vertical="center" wrapText="1"/>
    </xf>
    <xf numFmtId="0" fontId="75" fillId="13" borderId="117" xfId="0" applyFont="1" applyFill="1" applyBorder="1" applyAlignment="1" applyProtection="1">
      <alignment horizontal="center" vertical="center" wrapText="1"/>
      <protection locked="0"/>
    </xf>
    <xf numFmtId="0" fontId="70" fillId="0" borderId="90" xfId="0" applyFont="1" applyFill="1" applyBorder="1" applyAlignment="1" applyProtection="1">
      <alignment horizontal="center" vertical="center" wrapText="1"/>
      <protection locked="0"/>
    </xf>
    <xf numFmtId="0" fontId="70" fillId="2" borderId="81" xfId="0" applyFont="1" applyFill="1" applyBorder="1" applyAlignment="1" applyProtection="1">
      <alignment horizontal="left" vertical="center" textRotation="255" wrapText="1"/>
    </xf>
    <xf numFmtId="0" fontId="70" fillId="2" borderId="29" xfId="0" applyFont="1" applyFill="1" applyBorder="1" applyAlignment="1" applyProtection="1">
      <alignment horizontal="left" vertical="center" textRotation="255" wrapText="1"/>
    </xf>
    <xf numFmtId="0" fontId="76" fillId="2" borderId="1" xfId="0" applyFont="1" applyFill="1" applyBorder="1" applyAlignment="1" applyProtection="1">
      <alignment horizontal="left" vertical="center" wrapText="1"/>
    </xf>
    <xf numFmtId="0" fontId="76" fillId="2" borderId="15" xfId="0" applyFont="1" applyFill="1" applyBorder="1" applyAlignment="1" applyProtection="1">
      <alignment horizontal="right" vertical="center"/>
    </xf>
    <xf numFmtId="49" fontId="76" fillId="2" borderId="16" xfId="0" applyNumberFormat="1" applyFont="1" applyFill="1" applyBorder="1" applyAlignment="1" applyProtection="1">
      <alignment horizontal="right" vertical="center"/>
    </xf>
    <xf numFmtId="49" fontId="70" fillId="13" borderId="10"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horizontal="left" vertical="center" textRotation="255" wrapText="1"/>
    </xf>
    <xf numFmtId="0" fontId="70" fillId="2" borderId="3"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left" vertical="center" wrapText="1"/>
    </xf>
    <xf numFmtId="0" fontId="70" fillId="2" borderId="99" xfId="0" applyFont="1" applyFill="1" applyBorder="1" applyAlignment="1" applyProtection="1">
      <alignment horizontal="left" vertical="center" wrapText="1"/>
    </xf>
    <xf numFmtId="0" fontId="65" fillId="2" borderId="13" xfId="0" applyFont="1" applyFill="1" applyBorder="1" applyAlignment="1" applyProtection="1">
      <alignment horizontal="right" vertical="center"/>
    </xf>
    <xf numFmtId="0" fontId="70" fillId="2" borderId="23"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5" fillId="0" borderId="94" xfId="0"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5" fillId="0" borderId="133"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protection locked="0"/>
    </xf>
    <xf numFmtId="0" fontId="67" fillId="2" borderId="127" xfId="0" applyFont="1" applyFill="1" applyBorder="1" applyAlignment="1" applyProtection="1">
      <alignment horizontal="left" vertical="center"/>
    </xf>
    <xf numFmtId="0" fontId="67" fillId="3" borderId="134" xfId="0" applyFont="1" applyFill="1" applyBorder="1" applyAlignment="1" applyProtection="1">
      <alignment vertical="center"/>
      <protection locked="0"/>
    </xf>
    <xf numFmtId="0" fontId="67" fillId="2" borderId="13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97" fillId="2" borderId="5" xfId="0" applyFont="1" applyFill="1" applyBorder="1" applyAlignment="1" applyProtection="1">
      <alignment horizontal="center" vertical="center"/>
      <protection locked="0"/>
    </xf>
    <xf numFmtId="0" fontId="49" fillId="0" borderId="0" xfId="0" applyFont="1" applyFill="1" applyAlignment="1" applyProtection="1">
      <alignment horizontal="right" vertical="center"/>
      <protection locked="0"/>
    </xf>
    <xf numFmtId="0" fontId="50" fillId="2" borderId="0" xfId="0" applyFont="1" applyFill="1" applyBorder="1" applyAlignment="1" applyProtection="1">
      <alignment horizontal="right" vertical="center"/>
    </xf>
    <xf numFmtId="0" fontId="67" fillId="2" borderId="18"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5" fillId="2" borderId="16" xfId="0" applyFont="1" applyFill="1" applyBorder="1" applyAlignment="1" applyProtection="1">
      <alignment horizontal="right" vertical="center" wrapText="1"/>
    </xf>
    <xf numFmtId="0" fontId="75" fillId="0" borderId="82" xfId="0" applyFont="1" applyFill="1" applyBorder="1" applyAlignment="1" applyProtection="1">
      <alignment horizontal="left" vertical="center" wrapText="1"/>
      <protection locked="0"/>
    </xf>
    <xf numFmtId="49" fontId="75" fillId="13" borderId="98" xfId="0" applyNumberFormat="1" applyFont="1" applyFill="1" applyBorder="1" applyAlignment="1" applyProtection="1">
      <alignment horizontal="left" vertical="center" wrapText="1"/>
      <protection locked="0"/>
    </xf>
    <xf numFmtId="0" fontId="75" fillId="2" borderId="26" xfId="0" applyFont="1" applyFill="1" applyBorder="1" applyAlignment="1" applyProtection="1">
      <alignment horizontal="right" vertical="center" wrapText="1"/>
    </xf>
    <xf numFmtId="177" fontId="75" fillId="0" borderId="10" xfId="0" applyNumberFormat="1" applyFont="1" applyFill="1" applyBorder="1" applyAlignment="1" applyProtection="1">
      <alignment horizontal="left" vertical="center" wrapText="1"/>
      <protection locked="0"/>
    </xf>
    <xf numFmtId="177" fontId="75" fillId="0" borderId="16" xfId="0" applyNumberFormat="1" applyFont="1" applyFill="1" applyBorder="1" applyAlignment="1" applyProtection="1">
      <alignment horizontal="left" vertical="center" wrapText="1"/>
      <protection locked="0"/>
    </xf>
    <xf numFmtId="0" fontId="75" fillId="2" borderId="15" xfId="0" applyFont="1" applyFill="1" applyBorder="1" applyAlignment="1" applyProtection="1">
      <alignment horizontal="right" vertical="center" wrapText="1"/>
    </xf>
    <xf numFmtId="0" fontId="70" fillId="2" borderId="27" xfId="0" applyFont="1" applyFill="1" applyBorder="1" applyAlignment="1" applyProtection="1">
      <alignment horizontal="right" vertical="center" wrapText="1"/>
    </xf>
    <xf numFmtId="0" fontId="70" fillId="2" borderId="80" xfId="0" applyFont="1" applyFill="1" applyBorder="1" applyAlignment="1" applyProtection="1">
      <alignment horizontal="right" vertical="center" wrapText="1"/>
    </xf>
    <xf numFmtId="0" fontId="49" fillId="0" borderId="81" xfId="0" applyFont="1" applyFill="1" applyBorder="1" applyAlignment="1" applyProtection="1">
      <alignment horizontal="right" vertical="center" wrapText="1"/>
      <protection locked="0"/>
    </xf>
    <xf numFmtId="0" fontId="70" fillId="2" borderId="105" xfId="0" applyFont="1" applyFill="1" applyBorder="1" applyAlignment="1" applyProtection="1">
      <alignment horizontal="right" vertical="center" wrapText="1"/>
    </xf>
    <xf numFmtId="0" fontId="49" fillId="2" borderId="117" xfId="0" applyFont="1" applyFill="1" applyBorder="1" applyAlignment="1" applyProtection="1">
      <alignment horizontal="right" vertical="center" wrapText="1"/>
    </xf>
    <xf numFmtId="0" fontId="70" fillId="2" borderId="92" xfId="0" applyFont="1" applyFill="1" applyBorder="1" applyAlignment="1" applyProtection="1">
      <alignment horizontal="right" vertical="center" wrapText="1"/>
    </xf>
    <xf numFmtId="0" fontId="70" fillId="2" borderId="93" xfId="0" applyFont="1" applyFill="1" applyBorder="1" applyAlignment="1" applyProtection="1">
      <alignment horizontal="right" vertical="center" wrapText="1"/>
    </xf>
    <xf numFmtId="0" fontId="49" fillId="2" borderId="29" xfId="0" applyFont="1" applyFill="1" applyBorder="1" applyAlignment="1" applyProtection="1">
      <alignment horizontal="right" vertical="center" wrapText="1"/>
    </xf>
    <xf numFmtId="0" fontId="70" fillId="2" borderId="15" xfId="0" applyFont="1" applyFill="1" applyBorder="1" applyAlignment="1" applyProtection="1">
      <alignment horizontal="right" vertical="center" wrapText="1"/>
    </xf>
    <xf numFmtId="0" fontId="75" fillId="13" borderId="117" xfId="0" applyFont="1" applyFill="1" applyBorder="1" applyAlignment="1" applyProtection="1">
      <alignment horizontal="left" vertical="center" wrapText="1"/>
      <protection locked="0"/>
    </xf>
    <xf numFmtId="180" fontId="75" fillId="2" borderId="85" xfId="0" applyNumberFormat="1" applyFont="1" applyFill="1" applyBorder="1" applyAlignment="1" applyProtection="1">
      <alignment horizontal="right" vertical="center" wrapText="1"/>
    </xf>
    <xf numFmtId="0" fontId="75" fillId="2" borderId="105" xfId="0" applyFont="1" applyFill="1" applyBorder="1" applyAlignment="1" applyProtection="1">
      <alignment horizontal="right" vertical="center" wrapText="1"/>
    </xf>
    <xf numFmtId="0" fontId="75" fillId="2" borderId="85" xfId="0" applyFont="1" applyFill="1" applyBorder="1" applyAlignment="1" applyProtection="1">
      <alignment horizontal="right" vertical="center" wrapText="1"/>
    </xf>
    <xf numFmtId="0" fontId="70" fillId="13" borderId="7" xfId="0"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70" fillId="13" borderId="10" xfId="0" applyFont="1" applyFill="1" applyBorder="1" applyAlignment="1" applyProtection="1">
      <alignment horizontal="left" vertical="center" wrapText="1"/>
      <protection locked="0"/>
    </xf>
    <xf numFmtId="9" fontId="75" fillId="0" borderId="86" xfId="0" applyNumberFormat="1" applyFont="1" applyFill="1" applyBorder="1" applyAlignment="1" applyProtection="1">
      <alignment horizontal="left" vertical="center" wrapText="1"/>
      <protection locked="0"/>
    </xf>
    <xf numFmtId="17" fontId="76" fillId="0" borderId="86" xfId="0" applyNumberFormat="1" applyFont="1" applyFill="1" applyBorder="1" applyAlignment="1" applyProtection="1">
      <alignment horizontal="left" vertical="center" wrapText="1"/>
      <protection locked="0"/>
    </xf>
    <xf numFmtId="0" fontId="76" fillId="0" borderId="86" xfId="0" applyFont="1" applyFill="1" applyBorder="1" applyAlignment="1" applyProtection="1">
      <alignment horizontal="left" vertical="center" wrapText="1"/>
      <protection locked="0"/>
    </xf>
    <xf numFmtId="0" fontId="70" fillId="7" borderId="18" xfId="0" applyFont="1" applyFill="1" applyBorder="1" applyAlignment="1" applyProtection="1">
      <alignment horizontal="center" vertical="center"/>
      <protection locked="0"/>
    </xf>
    <xf numFmtId="0" fontId="99" fillId="7" borderId="18" xfId="0" applyFont="1" applyFill="1" applyBorder="1" applyAlignment="1" applyProtection="1">
      <alignment horizontal="center" vertical="center"/>
      <protection locked="0"/>
    </xf>
    <xf numFmtId="0" fontId="70" fillId="7" borderId="18" xfId="0" applyFont="1" applyFill="1" applyBorder="1" applyAlignment="1" applyProtection="1">
      <protection locked="0"/>
    </xf>
    <xf numFmtId="49" fontId="75" fillId="7" borderId="18" xfId="0" applyNumberFormat="1" applyFont="1" applyFill="1" applyBorder="1" applyAlignment="1" applyProtection="1">
      <alignment horizontal="center" vertical="center"/>
      <protection locked="0"/>
    </xf>
    <xf numFmtId="9" fontId="75" fillId="7" borderId="18" xfId="0" applyNumberFormat="1" applyFont="1" applyFill="1" applyBorder="1" applyAlignment="1" applyProtection="1">
      <alignment horizontal="center" vertical="center" wrapText="1"/>
      <protection locked="0"/>
    </xf>
    <xf numFmtId="0" fontId="30" fillId="7" borderId="18" xfId="0" applyFont="1" applyFill="1" applyBorder="1" applyAlignment="1" applyProtection="1">
      <alignment vertical="center"/>
      <protection locked="0"/>
    </xf>
    <xf numFmtId="0" fontId="75"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protection locked="0"/>
    </xf>
    <xf numFmtId="0" fontId="76" fillId="7" borderId="18" xfId="0" applyFont="1" applyFill="1" applyBorder="1" applyAlignment="1" applyProtection="1">
      <alignment vertical="center" wrapText="1"/>
      <protection locked="0"/>
    </xf>
    <xf numFmtId="0" fontId="75" fillId="7" borderId="18" xfId="0" applyFont="1" applyFill="1" applyBorder="1" applyAlignment="1" applyProtection="1">
      <alignment vertical="center" wrapText="1"/>
      <protection locked="0"/>
    </xf>
    <xf numFmtId="0" fontId="30" fillId="0" borderId="122" xfId="0"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2" xfId="52" applyFont="1" applyFill="1" applyBorder="1" applyAlignment="1" applyProtection="1">
      <alignment vertical="center"/>
      <protection locked="0"/>
    </xf>
    <xf numFmtId="0" fontId="50" fillId="2" borderId="133" xfId="0" applyFont="1" applyFill="1" applyBorder="1" applyAlignment="1" applyProtection="1">
      <alignment horizontal="right" vertical="center"/>
    </xf>
    <xf numFmtId="187" fontId="50" fillId="2" borderId="0" xfId="0" applyNumberFormat="1" applyFont="1" applyFill="1" applyBorder="1" applyAlignment="1" applyProtection="1">
      <alignment horizontal="center" vertical="center"/>
      <protection locked="0"/>
    </xf>
    <xf numFmtId="182"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7" fontId="50" fillId="2" borderId="93" xfId="0" applyNumberFormat="1" applyFont="1" applyFill="1" applyBorder="1" applyAlignment="1" applyProtection="1">
      <alignment horizontal="right" vertical="center"/>
    </xf>
    <xf numFmtId="0" fontId="9"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9" fillId="2" borderId="0" xfId="0" applyFont="1" applyFill="1" applyAlignment="1" applyProtection="1">
      <alignment horizontal="center" vertical="center"/>
    </xf>
    <xf numFmtId="187" fontId="75" fillId="2" borderId="84" xfId="0" applyNumberFormat="1" applyFont="1" applyFill="1" applyBorder="1" applyAlignment="1" applyProtection="1">
      <alignment horizontal="left" vertical="center" wrapText="1"/>
    </xf>
    <xf numFmtId="187" fontId="75" fillId="2" borderId="87" xfId="0" applyNumberFormat="1" applyFont="1" applyFill="1" applyBorder="1" applyAlignment="1" applyProtection="1">
      <alignment horizontal="left" vertical="center" wrapText="1"/>
    </xf>
    <xf numFmtId="0" fontId="75" fillId="2" borderId="87" xfId="0" applyFont="1" applyFill="1" applyBorder="1" applyAlignment="1" applyProtection="1">
      <alignment horizontal="right" vertical="center" wrapText="1"/>
    </xf>
    <xf numFmtId="49" fontId="75" fillId="13" borderId="103" xfId="0" applyNumberFormat="1" applyFont="1" applyFill="1" applyBorder="1" applyAlignment="1" applyProtection="1">
      <alignment horizontal="left" vertical="center" wrapText="1"/>
      <protection locked="0"/>
    </xf>
    <xf numFmtId="49" fontId="75" fillId="13" borderId="7" xfId="0" applyNumberFormat="1" applyFont="1" applyFill="1" applyBorder="1" applyAlignment="1" applyProtection="1">
      <alignment horizontal="left" vertical="center" wrapText="1"/>
      <protection locked="0"/>
    </xf>
    <xf numFmtId="0" fontId="49" fillId="0" borderId="87" xfId="0" applyFont="1" applyFill="1" applyBorder="1" applyAlignment="1" applyProtection="1">
      <alignment horizontal="right" vertical="center" wrapText="1"/>
      <protection locked="0"/>
    </xf>
    <xf numFmtId="0" fontId="49" fillId="2" borderId="87" xfId="0" applyFont="1" applyFill="1" applyBorder="1" applyAlignment="1" applyProtection="1">
      <alignment horizontal="right" vertical="center" wrapText="1"/>
    </xf>
    <xf numFmtId="0" fontId="49" fillId="0" borderId="136" xfId="0" applyFont="1" applyFill="1" applyBorder="1" applyAlignment="1" applyProtection="1">
      <alignment horizontal="right" vertical="center" wrapText="1"/>
      <protection locked="0"/>
    </xf>
    <xf numFmtId="0" fontId="49" fillId="2" borderId="137" xfId="0" applyFont="1" applyFill="1" applyBorder="1" applyAlignment="1" applyProtection="1">
      <alignment horizontal="right" vertical="center" wrapText="1"/>
    </xf>
    <xf numFmtId="0" fontId="49" fillId="2" borderId="131" xfId="0" applyFont="1" applyFill="1" applyBorder="1" applyAlignment="1" applyProtection="1">
      <alignment horizontal="right" vertical="center" wrapText="1"/>
    </xf>
    <xf numFmtId="49" fontId="70" fillId="13" borderId="16" xfId="0" applyNumberFormat="1" applyFont="1" applyFill="1" applyBorder="1" applyAlignment="1" applyProtection="1">
      <alignment horizontal="left" vertical="center" wrapText="1"/>
      <protection locked="0"/>
    </xf>
    <xf numFmtId="0" fontId="70" fillId="0" borderId="17" xfId="0" applyFont="1" applyFill="1" applyBorder="1" applyAlignment="1" applyProtection="1">
      <alignment horizontal="left" vertical="center" wrapText="1"/>
      <protection locked="0"/>
    </xf>
    <xf numFmtId="0" fontId="70" fillId="0" borderId="90" xfId="0" applyFont="1" applyFill="1" applyBorder="1" applyAlignment="1" applyProtection="1">
      <alignment horizontal="left" vertical="center" wrapText="1"/>
      <protection locked="0"/>
    </xf>
    <xf numFmtId="0" fontId="70" fillId="13" borderId="98" xfId="0" applyFont="1" applyFill="1" applyBorder="1" applyAlignment="1" applyProtection="1">
      <alignment horizontal="left" vertical="center" wrapText="1"/>
      <protection locked="0"/>
    </xf>
    <xf numFmtId="177" fontId="75" fillId="0" borderId="86" xfId="0" applyNumberFormat="1" applyFont="1" applyFill="1" applyBorder="1" applyAlignment="1" applyProtection="1">
      <alignment horizontal="left" vertical="center" wrapText="1"/>
      <protection locked="0"/>
    </xf>
    <xf numFmtId="0" fontId="70" fillId="13" borderId="16" xfId="0" applyFont="1" applyFill="1" applyBorder="1" applyAlignment="1" applyProtection="1">
      <alignment horizontal="left" vertical="center" wrapText="1"/>
      <protection locked="0"/>
    </xf>
    <xf numFmtId="9" fontId="75" fillId="0" borderId="10" xfId="0" applyNumberFormat="1" applyFont="1" applyFill="1" applyBorder="1" applyAlignment="1" applyProtection="1">
      <alignment horizontal="left" vertical="center" wrapText="1"/>
      <protection locked="0"/>
    </xf>
    <xf numFmtId="9" fontId="75" fillId="0" borderId="16" xfId="0" applyNumberFormat="1" applyFont="1" applyFill="1" applyBorder="1" applyAlignment="1" applyProtection="1">
      <alignment horizontal="left" vertical="center" wrapText="1"/>
      <protection locked="0"/>
    </xf>
    <xf numFmtId="177" fontId="70" fillId="0" borderId="16" xfId="0" applyNumberFormat="1" applyFont="1" applyFill="1" applyBorder="1" applyAlignment="1" applyProtection="1">
      <alignment horizontal="left" vertical="center" wrapText="1"/>
      <protection locked="0"/>
    </xf>
    <xf numFmtId="0" fontId="106" fillId="2" borderId="83" xfId="0" applyFont="1" applyFill="1" applyBorder="1" applyAlignment="1" applyProtection="1">
      <alignment vertical="center" wrapText="1"/>
    </xf>
    <xf numFmtId="0" fontId="106" fillId="2" borderId="84" xfId="0" applyFont="1" applyFill="1" applyBorder="1" applyAlignment="1" applyProtection="1">
      <alignment vertical="center" wrapText="1"/>
    </xf>
    <xf numFmtId="187" fontId="70" fillId="2" borderId="87" xfId="0" applyNumberFormat="1" applyFont="1" applyFill="1" applyBorder="1" applyAlignment="1" applyProtection="1">
      <alignment horizontal="right" vertical="center"/>
    </xf>
    <xf numFmtId="177" fontId="65" fillId="2" borderId="90" xfId="0" applyNumberFormat="1" applyFont="1" applyFill="1" applyBorder="1" applyAlignment="1" applyProtection="1">
      <alignment horizontal="right" vertical="center" wrapText="1"/>
    </xf>
    <xf numFmtId="177" fontId="65" fillId="2" borderId="89" xfId="0" applyNumberFormat="1" applyFont="1" applyFill="1" applyBorder="1" applyAlignment="1" applyProtection="1">
      <alignment horizontal="right" vertical="center" wrapText="1"/>
    </xf>
    <xf numFmtId="0" fontId="65" fillId="2" borderId="23" xfId="0" applyFont="1" applyFill="1" applyBorder="1" applyAlignment="1" applyProtection="1">
      <alignment horizontal="right" vertical="center" wrapText="1"/>
      <protection locked="0"/>
    </xf>
    <xf numFmtId="187" fontId="70" fillId="2" borderId="14" xfId="0" applyNumberFormat="1" applyFont="1" applyFill="1" applyBorder="1" applyAlignment="1" applyProtection="1">
      <alignment horizontal="center" vertical="center" wrapText="1"/>
    </xf>
    <xf numFmtId="0" fontId="99" fillId="0" borderId="18" xfId="0" applyFont="1" applyFill="1" applyBorder="1" applyAlignment="1" applyProtection="1">
      <alignment horizontal="center" vertical="center"/>
      <protection locked="0"/>
    </xf>
    <xf numFmtId="0" fontId="70" fillId="0" borderId="18"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1" fontId="75" fillId="2" borderId="114" xfId="0" applyNumberFormat="1" applyFont="1" applyFill="1" applyBorder="1" applyAlignment="1" applyProtection="1">
      <alignment horizontal="center" vertical="center" wrapText="1"/>
    </xf>
    <xf numFmtId="49" fontId="75" fillId="0" borderId="18"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9" fontId="75" fillId="0" borderId="18"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30" fillId="0" borderId="18" xfId="0" applyFont="1" applyFill="1" applyBorder="1" applyAlignment="1" applyProtection="1">
      <alignment vertical="center"/>
      <protection locked="0"/>
    </xf>
    <xf numFmtId="0" fontId="99" fillId="2" borderId="0" xfId="0" applyFont="1" applyFill="1" applyBorder="1" applyAlignment="1" applyProtection="1">
      <alignment horizontal="center" vertical="center" wrapText="1"/>
      <protection locked="0"/>
    </xf>
    <xf numFmtId="0" fontId="75" fillId="0" borderId="18"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8" xfId="0" applyFont="1" applyFill="1" applyBorder="1" applyAlignment="1" applyProtection="1">
      <alignment vertical="center" wrapText="1"/>
      <protection locked="0"/>
    </xf>
    <xf numFmtId="0" fontId="75" fillId="0" borderId="18"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30" fillId="2" borderId="108" xfId="0" applyFont="1" applyFill="1" applyBorder="1" applyAlignment="1" applyProtection="1">
      <alignment horizontal="center" vertical="center"/>
    </xf>
    <xf numFmtId="0" fontId="49" fillId="2" borderId="25"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109" xfId="0" applyFont="1" applyFill="1" applyBorder="1" applyAlignment="1" applyProtection="1">
      <alignment horizontal="center" vertical="center"/>
    </xf>
    <xf numFmtId="0" fontId="30" fillId="2" borderId="25"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118" xfId="0" applyFont="1" applyFill="1" applyBorder="1" applyProtection="1">
      <alignment vertical="center"/>
    </xf>
    <xf numFmtId="0" fontId="30" fillId="2" borderId="1" xfId="0" applyFont="1" applyFill="1" applyBorder="1" applyAlignment="1" applyProtection="1">
      <alignment horizontal="center" vertical="center"/>
    </xf>
    <xf numFmtId="0" fontId="30" fillId="2" borderId="15" xfId="0" applyFont="1" applyFill="1" applyBorder="1" applyAlignment="1" applyProtection="1">
      <alignment horizontal="center" vertical="center"/>
    </xf>
    <xf numFmtId="0" fontId="30" fillId="2" borderId="138"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7"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30" fillId="2" borderId="106" xfId="0" applyFont="1" applyFill="1" applyBorder="1" applyAlignment="1" applyProtection="1">
      <alignment horizontal="center" vertical="center"/>
    </xf>
    <xf numFmtId="188" fontId="49" fillId="2" borderId="85" xfId="0" applyNumberFormat="1"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30" fillId="2" borderId="16"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183" fontId="49" fillId="2" borderId="11" xfId="0" applyNumberFormat="1" applyFont="1" applyFill="1" applyBorder="1" applyAlignment="1" applyProtection="1">
      <alignment horizontal="center" vertical="center"/>
    </xf>
    <xf numFmtId="183" fontId="49" fillId="0" borderId="11" xfId="0" applyNumberFormat="1"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23" xfId="0" applyFont="1" applyFill="1" applyBorder="1" applyAlignment="1" applyProtection="1">
      <alignment horizontal="center" vertical="center"/>
    </xf>
    <xf numFmtId="0" fontId="49" fillId="2" borderId="140" xfId="0" applyFont="1" applyFill="1" applyBorder="1" applyAlignment="1" applyProtection="1">
      <alignment horizontal="left" vertical="center"/>
    </xf>
    <xf numFmtId="0" fontId="30" fillId="2" borderId="99"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183" fontId="49" fillId="2" borderId="14" xfId="0" applyNumberFormat="1" applyFont="1" applyFill="1" applyBorder="1" applyAlignment="1" applyProtection="1">
      <alignment horizontal="center" vertical="center"/>
    </xf>
    <xf numFmtId="0" fontId="30" fillId="2" borderId="25" xfId="0" applyFont="1" applyFill="1" applyBorder="1">
      <alignment vertical="center"/>
    </xf>
    <xf numFmtId="0" fontId="30" fillId="2" borderId="109"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10" xfId="52" applyFont="1" applyFill="1" applyBorder="1" applyAlignment="1" applyProtection="1">
      <alignment vertical="center"/>
    </xf>
    <xf numFmtId="0" fontId="30" fillId="2" borderId="15" xfId="0" applyFont="1" applyFill="1" applyBorder="1">
      <alignment vertical="center"/>
    </xf>
    <xf numFmtId="0" fontId="30" fillId="2" borderId="16" xfId="0" applyFont="1" applyFill="1" applyBorder="1">
      <alignment vertical="center"/>
    </xf>
    <xf numFmtId="0" fontId="87" fillId="2" borderId="1" xfId="0" applyFont="1" applyFill="1" applyBorder="1">
      <alignment vertical="center"/>
    </xf>
    <xf numFmtId="177" fontId="30" fillId="2" borderId="11" xfId="0" applyNumberFormat="1" applyFont="1" applyFill="1" applyBorder="1" applyAlignment="1" applyProtection="1">
      <alignment horizontal="left" vertical="center"/>
    </xf>
    <xf numFmtId="177" fontId="30" fillId="2" borderId="15" xfId="0" applyNumberFormat="1" applyFont="1" applyFill="1" applyBorder="1" applyAlignment="1">
      <alignment horizontal="right" vertical="center"/>
    </xf>
    <xf numFmtId="0" fontId="30" fillId="7" borderId="0" xfId="0" applyFont="1" applyFill="1" applyBorder="1">
      <alignment vertical="center"/>
    </xf>
    <xf numFmtId="0" fontId="30" fillId="7" borderId="19" xfId="0" applyFont="1" applyFill="1" applyBorder="1" applyProtection="1">
      <alignment vertical="center"/>
    </xf>
    <xf numFmtId="0" fontId="50" fillId="7" borderId="18" xfId="52" applyFont="1" applyFill="1" applyBorder="1" applyAlignment="1" applyProtection="1">
      <alignment vertical="center"/>
    </xf>
    <xf numFmtId="0" fontId="87" fillId="2" borderId="10" xfId="0" applyFont="1" applyFill="1" applyBorder="1" applyAlignment="1">
      <alignment horizontal="left" vertical="center"/>
    </xf>
    <xf numFmtId="0" fontId="87" fillId="2" borderId="15" xfId="0" applyFont="1" applyFill="1" applyBorder="1" applyAlignment="1">
      <alignment horizontal="center" vertical="center"/>
    </xf>
    <xf numFmtId="0" fontId="87" fillId="2" borderId="16" xfId="0" applyFont="1" applyFill="1" applyBorder="1" applyAlignment="1">
      <alignment horizontal="center" vertical="center"/>
    </xf>
    <xf numFmtId="0" fontId="87" fillId="7" borderId="0" xfId="0" applyFont="1" applyFill="1" applyBorder="1">
      <alignment vertical="center"/>
    </xf>
    <xf numFmtId="0" fontId="87" fillId="2" borderId="15" xfId="0" applyFont="1" applyFill="1" applyBorder="1" applyAlignment="1" applyProtection="1">
      <alignment horizontal="center" vertical="center"/>
    </xf>
    <xf numFmtId="0" fontId="30" fillId="2" borderId="1" xfId="0" applyFont="1" applyFill="1" applyBorder="1" applyAlignment="1">
      <alignment horizontal="center" vertical="center"/>
    </xf>
    <xf numFmtId="0" fontId="30" fillId="2" borderId="10" xfId="0" applyFont="1" applyFill="1" applyBorder="1" applyAlignment="1">
      <alignment horizontal="left" vertical="center"/>
    </xf>
    <xf numFmtId="0" fontId="30" fillId="2" borderId="1" xfId="0" applyFont="1" applyFill="1" applyBorder="1" applyAlignment="1">
      <alignment horizontal="right" vertical="center"/>
    </xf>
    <xf numFmtId="177" fontId="30" fillId="2" borderId="15" xfId="0" applyNumberFormat="1" applyFont="1" applyFill="1" applyBorder="1" applyAlignment="1" applyProtection="1">
      <alignment horizontal="left" vertical="center"/>
    </xf>
    <xf numFmtId="0" fontId="30" fillId="3" borderId="1" xfId="0" applyFont="1" applyFill="1" applyBorder="1" applyAlignment="1" applyProtection="1">
      <alignment horizontal="center" vertical="center"/>
      <protection locked="0"/>
    </xf>
    <xf numFmtId="0" fontId="30" fillId="2" borderId="12" xfId="0" applyFont="1" applyFill="1" applyBorder="1" applyAlignment="1">
      <alignment horizontal="left" vertical="center"/>
    </xf>
    <xf numFmtId="0" fontId="30" fillId="2" borderId="99" xfId="0" applyFont="1" applyFill="1" applyBorder="1">
      <alignment vertical="center"/>
    </xf>
    <xf numFmtId="0" fontId="30" fillId="7" borderId="23"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7" fillId="2" borderId="0" xfId="57" applyFont="1" applyFill="1" applyAlignment="1" applyProtection="1">
      <alignment horizontal="center" vertical="center"/>
    </xf>
    <xf numFmtId="0" fontId="31" fillId="2" borderId="0" xfId="57" applyFont="1" applyFill="1" applyBorder="1" applyAlignment="1" applyProtection="1">
      <alignment vertical="center"/>
    </xf>
    <xf numFmtId="49" fontId="49" fillId="2" borderId="0" xfId="57" applyNumberFormat="1" applyFont="1" applyFill="1" applyBorder="1" applyAlignment="1" applyProtection="1">
      <alignment horizontal="center"/>
    </xf>
    <xf numFmtId="0" fontId="49" fillId="2" borderId="0" xfId="57" applyFont="1" applyFill="1" applyBorder="1" applyAlignment="1" applyProtection="1">
      <alignment horizontal="center"/>
    </xf>
    <xf numFmtId="0" fontId="49" fillId="0" borderId="0" xfId="57" applyFont="1" applyFill="1" applyBorder="1" applyAlignment="1" applyProtection="1">
      <alignment horizontal="center"/>
      <protection locked="0"/>
    </xf>
    <xf numFmtId="0" fontId="36" fillId="3" borderId="108" xfId="57" applyFont="1" applyFill="1" applyBorder="1" applyAlignment="1" applyProtection="1">
      <alignment vertical="center"/>
      <protection locked="0"/>
    </xf>
    <xf numFmtId="0" fontId="36" fillId="3" borderId="25" xfId="57" applyFont="1" applyFill="1" applyBorder="1" applyAlignment="1" applyProtection="1">
      <alignment vertical="center"/>
      <protection locked="0"/>
    </xf>
    <xf numFmtId="0" fontId="36" fillId="3" borderId="109" xfId="57" applyFont="1" applyFill="1" applyBorder="1" applyAlignment="1" applyProtection="1">
      <alignment vertical="center"/>
      <protection locked="0"/>
    </xf>
    <xf numFmtId="0" fontId="31" fillId="0" borderId="0" xfId="57" applyFont="1" applyAlignment="1" applyProtection="1">
      <alignment horizontal="left" vertical="center"/>
      <protection locked="0"/>
    </xf>
    <xf numFmtId="0" fontId="36" fillId="2" borderId="1" xfId="52" applyFont="1" applyFill="1" applyBorder="1" applyAlignment="1" applyProtection="1">
      <alignment vertical="center"/>
    </xf>
    <xf numFmtId="177" fontId="74" fillId="2" borderId="1" xfId="57" applyNumberFormat="1" applyFont="1" applyFill="1" applyBorder="1" applyAlignment="1" applyProtection="1">
      <alignment horizontal="right" vertical="center"/>
    </xf>
    <xf numFmtId="0" fontId="31" fillId="3" borderId="0" xfId="57" applyFont="1" applyFill="1" applyBorder="1" applyAlignment="1" applyProtection="1">
      <alignment vertical="center"/>
      <protection locked="0"/>
    </xf>
    <xf numFmtId="177" fontId="31" fillId="0" borderId="0" xfId="57" applyNumberFormat="1" applyFont="1" applyFill="1" applyBorder="1" applyAlignment="1" applyProtection="1">
      <protection locked="0"/>
    </xf>
    <xf numFmtId="49" fontId="36" fillId="2"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6" fillId="0" borderId="0" xfId="57" applyFont="1" applyAlignment="1" applyProtection="1">
      <alignment horizontal="left"/>
      <protection locked="0"/>
    </xf>
    <xf numFmtId="0" fontId="31" fillId="0" borderId="0" xfId="57" applyFont="1" applyAlignment="1" applyProtection="1">
      <alignment horizontal="left"/>
      <protection locked="0"/>
    </xf>
    <xf numFmtId="0" fontId="36" fillId="16" borderId="118" xfId="57" applyFont="1" applyFill="1" applyBorder="1" applyAlignment="1" applyProtection="1">
      <alignment vertical="center"/>
      <protection locked="0"/>
    </xf>
    <xf numFmtId="0" fontId="36" fillId="16" borderId="106" xfId="57" applyFont="1" applyFill="1" applyBorder="1" applyAlignment="1" applyProtection="1">
      <alignment vertical="center"/>
      <protection locked="0"/>
    </xf>
    <xf numFmtId="0" fontId="36" fillId="0" borderId="1" xfId="57" applyFont="1" applyFill="1" applyBorder="1" applyAlignment="1" applyProtection="1">
      <alignment horizontal="left" vertical="center"/>
      <protection locked="0"/>
    </xf>
    <xf numFmtId="0" fontId="36" fillId="0" borderId="11" xfId="57" applyFont="1" applyFill="1" applyBorder="1" applyAlignment="1" applyProtection="1">
      <alignment horizontal="left" vertical="center"/>
      <protection locked="0"/>
    </xf>
    <xf numFmtId="0" fontId="36" fillId="2" borderId="11" xfId="57" applyFont="1" applyFill="1" applyBorder="1" applyAlignment="1" applyProtection="1">
      <alignment horizontal="left" vertical="center"/>
      <protection locked="0"/>
    </xf>
    <xf numFmtId="0" fontId="36" fillId="2" borderId="2" xfId="52" applyFont="1" applyFill="1" applyBorder="1" applyAlignment="1" applyProtection="1">
      <alignment vertical="center"/>
    </xf>
    <xf numFmtId="177" fontId="74" fillId="2" borderId="2" xfId="57" applyNumberFormat="1" applyFont="1" applyFill="1" applyBorder="1" applyAlignment="1" applyProtection="1">
      <alignment horizontal="right" vertical="center"/>
    </xf>
    <xf numFmtId="49" fontId="31" fillId="2" borderId="0" xfId="57" applyNumberFormat="1" applyFont="1" applyFill="1" applyBorder="1" applyAlignment="1" applyProtection="1"/>
    <xf numFmtId="0" fontId="36" fillId="2" borderId="86" xfId="57" applyFont="1" applyFill="1" applyBorder="1" applyAlignment="1" applyProtection="1">
      <alignment horizontal="left" vertical="center"/>
      <protection locked="0"/>
    </xf>
    <xf numFmtId="0" fontId="36" fillId="2" borderId="16" xfId="57" applyFont="1" applyFill="1" applyBorder="1" applyAlignment="1" applyProtection="1">
      <alignment horizontal="left" vertical="center"/>
      <protection locked="0"/>
    </xf>
    <xf numFmtId="178" fontId="25" fillId="0" borderId="1" xfId="52" applyNumberFormat="1" applyFont="1" applyBorder="1" applyAlignment="1" applyProtection="1">
      <alignment horizontal="left" vertical="center"/>
      <protection locked="0" hidden="1"/>
    </xf>
    <xf numFmtId="178" fontId="25" fillId="0" borderId="11" xfId="52" applyNumberFormat="1" applyFont="1" applyBorder="1" applyAlignment="1" applyProtection="1">
      <alignment horizontal="left" vertical="center"/>
      <protection locked="0" hidden="1"/>
    </xf>
    <xf numFmtId="178" fontId="31" fillId="2" borderId="11" xfId="57" applyNumberFormat="1" applyFont="1" applyFill="1" applyBorder="1" applyAlignment="1" applyProtection="1">
      <alignment horizontal="left" vertical="center"/>
      <protection locked="0"/>
    </xf>
    <xf numFmtId="0" fontId="6" fillId="2" borderId="1" xfId="57" applyFont="1" applyFill="1" applyBorder="1" applyAlignment="1" applyProtection="1">
      <alignment vertical="center"/>
    </xf>
    <xf numFmtId="177" fontId="31" fillId="0" borderId="1" xfId="57" applyNumberFormat="1" applyFont="1" applyFill="1" applyBorder="1" applyAlignment="1" applyProtection="1">
      <alignment horizontal="left" vertical="center"/>
      <protection locked="0"/>
    </xf>
    <xf numFmtId="0" fontId="31" fillId="0" borderId="2" xfId="57" applyFont="1" applyFill="1" applyBorder="1" applyAlignment="1" applyProtection="1">
      <alignment horizontal="left" vertical="center"/>
      <protection locked="0"/>
    </xf>
    <xf numFmtId="0" fontId="31" fillId="0" borderId="31" xfId="57" applyFont="1" applyFill="1" applyBorder="1" applyAlignment="1" applyProtection="1">
      <alignment horizontal="left" vertical="center"/>
      <protection locked="0"/>
    </xf>
    <xf numFmtId="0" fontId="31" fillId="2" borderId="31" xfId="57" applyFont="1" applyFill="1" applyBorder="1" applyAlignment="1" applyProtection="1">
      <alignment horizontal="left" vertical="center"/>
      <protection locked="0"/>
    </xf>
    <xf numFmtId="0" fontId="9" fillId="2" borderId="0" xfId="52" applyFont="1" applyFill="1" applyBorder="1" applyAlignment="1" applyProtection="1">
      <alignment vertical="center"/>
    </xf>
    <xf numFmtId="177" fontId="56" fillId="0" borderId="13" xfId="57" applyNumberFormat="1" applyFont="1" applyFill="1" applyBorder="1" applyAlignment="1" applyProtection="1">
      <alignment horizontal="left" vertical="center"/>
      <protection locked="0"/>
    </xf>
    <xf numFmtId="0" fontId="6" fillId="2" borderId="92" xfId="57" applyFont="1" applyFill="1" applyBorder="1" applyAlignment="1" applyProtection="1">
      <alignment vertical="center"/>
    </xf>
    <xf numFmtId="0" fontId="23" fillId="2" borderId="86" xfId="57" applyFont="1" applyFill="1" applyBorder="1" applyAlignment="1" applyProtection="1">
      <alignment vertical="center"/>
      <protection locked="0"/>
    </xf>
    <xf numFmtId="0" fontId="23" fillId="2" borderId="17" xfId="57" applyFont="1" applyFill="1" applyBorder="1" applyAlignment="1" applyProtection="1">
      <alignment vertical="center"/>
      <protection locked="0"/>
    </xf>
    <xf numFmtId="0" fontId="36" fillId="2" borderId="17" xfId="57" applyFont="1" applyFill="1" applyBorder="1" applyAlignment="1" applyProtection="1">
      <alignment vertical="center"/>
      <protection locked="0"/>
    </xf>
    <xf numFmtId="0" fontId="81" fillId="2" borderId="115" xfId="57" applyFont="1" applyFill="1" applyBorder="1" applyAlignment="1">
      <alignment horizontal="left" vertical="center"/>
    </xf>
    <xf numFmtId="0" fontId="23" fillId="2" borderId="110" xfId="57" applyFont="1" applyFill="1" applyBorder="1" applyAlignment="1">
      <alignment horizontal="left" vertical="center"/>
    </xf>
    <xf numFmtId="0" fontId="23" fillId="2" borderId="103" xfId="57" applyFont="1" applyFill="1" applyBorder="1" applyAlignment="1">
      <alignment horizontal="left" vertical="center"/>
    </xf>
    <xf numFmtId="180" fontId="36" fillId="0" borderId="102" xfId="57" applyNumberFormat="1" applyFont="1" applyFill="1" applyBorder="1" applyAlignment="1" applyProtection="1">
      <alignment horizontal="left" vertical="center"/>
      <protection locked="0"/>
    </xf>
    <xf numFmtId="0" fontId="36" fillId="2" borderId="110" xfId="57" applyFont="1" applyFill="1" applyBorder="1" applyAlignment="1" applyProtection="1">
      <alignment vertical="center"/>
      <protection locked="0"/>
    </xf>
    <xf numFmtId="0" fontId="36" fillId="2" borderId="111" xfId="57" applyFont="1" applyFill="1" applyBorder="1" applyAlignment="1">
      <alignment vertical="center"/>
    </xf>
    <xf numFmtId="0" fontId="36" fillId="0" borderId="0" xfId="57" applyFont="1" applyFill="1" applyBorder="1" applyAlignment="1" applyProtection="1">
      <alignment vertical="center"/>
      <protection locked="0"/>
    </xf>
    <xf numFmtId="0" fontId="36" fillId="2" borderId="10" xfId="57" applyFont="1" applyFill="1" applyBorder="1" applyAlignment="1" applyProtection="1">
      <alignment horizontal="left" vertical="center" wrapText="1"/>
      <protection locked="0"/>
    </xf>
    <xf numFmtId="0" fontId="36" fillId="2" borderId="2" xfId="57" applyFont="1" applyFill="1" applyBorder="1" applyAlignment="1" applyProtection="1">
      <alignment horizontal="left" vertical="center" wrapText="1"/>
      <protection locked="0"/>
    </xf>
    <xf numFmtId="0" fontId="31" fillId="2" borderId="15" xfId="57" applyFont="1" applyFill="1" applyBorder="1" applyAlignment="1" applyProtection="1">
      <alignment vertical="center"/>
      <protection locked="0"/>
    </xf>
    <xf numFmtId="0" fontId="31" fillId="2" borderId="1" xfId="57" applyFont="1" applyFill="1" applyBorder="1" applyAlignment="1" applyProtection="1">
      <alignment horizontal="left" vertical="center"/>
      <protection locked="0"/>
    </xf>
    <xf numFmtId="0" fontId="36" fillId="2" borderId="118" xfId="57" applyFont="1" applyFill="1" applyBorder="1" applyAlignment="1">
      <alignment horizontal="left" vertical="center"/>
    </xf>
    <xf numFmtId="0" fontId="36" fillId="2" borderId="45" xfId="57" applyFont="1" applyFill="1" applyBorder="1" applyAlignment="1">
      <alignment horizontal="left" vertical="center"/>
    </xf>
    <xf numFmtId="0" fontId="36" fillId="2" borderId="106" xfId="57" applyFont="1" applyFill="1" applyBorder="1" applyAlignment="1">
      <alignment horizontal="left" vertical="center"/>
    </xf>
    <xf numFmtId="180" fontId="36" fillId="2" borderId="105" xfId="57" applyNumberFormat="1" applyFont="1" applyFill="1" applyBorder="1" applyAlignment="1">
      <alignment horizontal="right" vertical="center"/>
    </xf>
    <xf numFmtId="10" fontId="36" fillId="2" borderId="45" xfId="57" applyNumberFormat="1" applyFont="1" applyFill="1" applyBorder="1" applyAlignment="1">
      <alignment horizontal="left" vertical="center"/>
    </xf>
    <xf numFmtId="180" fontId="36" fillId="2" borderId="113" xfId="57" applyNumberFormat="1" applyFont="1" applyFill="1" applyBorder="1" applyAlignment="1">
      <alignment horizontal="left" vertical="center"/>
    </xf>
    <xf numFmtId="180" fontId="36" fillId="0" borderId="0" xfId="57" applyNumberFormat="1" applyFont="1" applyFill="1" applyBorder="1" applyAlignment="1" applyProtection="1">
      <alignment horizontal="left" vertical="center"/>
      <protection locked="0"/>
    </xf>
    <xf numFmtId="0" fontId="36" fillId="2" borderId="4" xfId="57" applyFont="1" applyFill="1" applyBorder="1" applyAlignment="1" applyProtection="1">
      <alignment horizontal="left" vertical="center" wrapText="1"/>
      <protection locked="0"/>
    </xf>
    <xf numFmtId="0" fontId="31" fillId="0" borderId="15" xfId="57" applyFont="1" applyFill="1" applyBorder="1" applyAlignment="1" applyProtection="1">
      <alignment vertical="center"/>
      <protection locked="0"/>
    </xf>
    <xf numFmtId="180" fontId="25" fillId="0" borderId="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left" vertical="center"/>
      <protection locked="0"/>
    </xf>
    <xf numFmtId="186" fontId="31" fillId="0" borderId="1" xfId="57" applyNumberFormat="1" applyFont="1" applyFill="1" applyBorder="1" applyAlignment="1" applyProtection="1">
      <alignment horizontal="left" vertical="center"/>
      <protection locked="0"/>
    </xf>
    <xf numFmtId="180" fontId="31" fillId="0" borderId="11" xfId="57" applyNumberFormat="1" applyFont="1" applyFill="1" applyBorder="1" applyAlignment="1" applyProtection="1">
      <alignment horizontal="left" vertical="center"/>
      <protection locked="0"/>
    </xf>
    <xf numFmtId="0" fontId="36" fillId="2" borderId="10" xfId="57" applyFont="1" applyFill="1" applyBorder="1" applyAlignment="1">
      <alignment horizontal="left" vertical="center"/>
    </xf>
    <xf numFmtId="0" fontId="36" fillId="2" borderId="15" xfId="57" applyFont="1" applyFill="1" applyBorder="1" applyAlignment="1">
      <alignment horizontal="left" vertical="center"/>
    </xf>
    <xf numFmtId="0" fontId="36" fillId="2" borderId="16" xfId="57" applyFont="1" applyFill="1" applyBorder="1" applyAlignment="1">
      <alignment horizontal="left" vertical="center"/>
    </xf>
    <xf numFmtId="180" fontId="9" fillId="2" borderId="1" xfId="57" applyNumberFormat="1" applyFont="1" applyFill="1" applyBorder="1" applyAlignment="1">
      <alignment horizontal="left" vertical="center"/>
    </xf>
    <xf numFmtId="0" fontId="36" fillId="2" borderId="1" xfId="57" applyFont="1" applyFill="1" applyBorder="1" applyAlignment="1">
      <alignment horizontal="left" vertical="center"/>
    </xf>
    <xf numFmtId="0" fontId="36" fillId="2" borderId="11"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180" fontId="36" fillId="2" borderId="1" xfId="57" applyNumberFormat="1" applyFont="1" applyFill="1" applyBorder="1" applyAlignment="1">
      <alignment horizontal="right" vertical="center"/>
    </xf>
    <xf numFmtId="9" fontId="36" fillId="0" borderId="1" xfId="57" applyNumberFormat="1" applyFont="1" applyFill="1" applyBorder="1" applyAlignment="1" applyProtection="1">
      <alignment horizontal="right" vertical="center"/>
      <protection locked="0"/>
    </xf>
    <xf numFmtId="0" fontId="36" fillId="2" borderId="11" xfId="57" applyFont="1" applyFill="1" applyBorder="1" applyAlignment="1">
      <alignment vertical="center"/>
    </xf>
    <xf numFmtId="0" fontId="9" fillId="2" borderId="11" xfId="57" applyFont="1" applyFill="1" applyBorder="1" applyAlignment="1">
      <alignment vertical="center"/>
    </xf>
    <xf numFmtId="182" fontId="36" fillId="2" borderId="1" xfId="57" applyNumberFormat="1" applyFont="1" applyFill="1" applyBorder="1" applyAlignment="1">
      <alignment horizontal="right" vertical="center"/>
    </xf>
    <xf numFmtId="49" fontId="31" fillId="2" borderId="10" xfId="57" applyNumberFormat="1" applyFont="1" applyFill="1" applyBorder="1" applyAlignment="1">
      <alignment horizontal="left" vertical="center"/>
    </xf>
    <xf numFmtId="0" fontId="31" fillId="2" borderId="15" xfId="57" applyFont="1" applyFill="1" applyBorder="1" applyAlignment="1">
      <alignment horizontal="left" vertical="center"/>
    </xf>
    <xf numFmtId="0" fontId="31" fillId="2" borderId="16" xfId="57" applyFont="1" applyFill="1" applyBorder="1" applyAlignment="1">
      <alignment horizontal="left" vertical="center"/>
    </xf>
    <xf numFmtId="180" fontId="31" fillId="2" borderId="1" xfId="57" applyNumberFormat="1" applyFont="1" applyFill="1" applyBorder="1" applyAlignment="1">
      <alignment horizontal="right" vertical="center"/>
    </xf>
    <xf numFmtId="182" fontId="31" fillId="2" borderId="1" xfId="57" applyNumberFormat="1" applyFont="1" applyFill="1" applyBorder="1" applyAlignment="1">
      <alignment horizontal="right" vertical="center"/>
    </xf>
    <xf numFmtId="0" fontId="6" fillId="2" borderId="16" xfId="57" applyFont="1" applyFill="1" applyBorder="1" applyAlignment="1">
      <alignment horizontal="right" vertical="center"/>
    </xf>
    <xf numFmtId="177" fontId="31" fillId="0" borderId="1" xfId="57" applyNumberFormat="1" applyFont="1" applyFill="1" applyBorder="1" applyAlignment="1" applyProtection="1">
      <alignment horizontal="right" vertical="center"/>
      <protection locked="0"/>
    </xf>
    <xf numFmtId="182" fontId="31" fillId="2" borderId="16" xfId="57" applyNumberFormat="1" applyFont="1" applyFill="1" applyBorder="1" applyAlignment="1">
      <alignment horizontal="right" vertical="center"/>
    </xf>
    <xf numFmtId="178" fontId="31" fillId="0" borderId="1" xfId="57" applyNumberFormat="1" applyFont="1" applyFill="1" applyBorder="1" applyAlignment="1" applyProtection="1">
      <alignment horizontal="right" vertical="center"/>
      <protection locked="0"/>
    </xf>
    <xf numFmtId="0" fontId="36" fillId="2" borderId="3" xfId="57" applyFont="1" applyFill="1" applyBorder="1" applyAlignment="1" applyProtection="1">
      <alignment horizontal="left" vertical="center" wrapText="1"/>
      <protection locked="0"/>
    </xf>
    <xf numFmtId="0" fontId="36" fillId="2" borderId="15" xfId="57" applyFont="1" applyFill="1" applyBorder="1" applyAlignment="1" applyProtection="1">
      <alignment vertical="center"/>
      <protection locked="0"/>
    </xf>
    <xf numFmtId="0" fontId="23" fillId="2" borderId="1" xfId="57" applyFont="1" applyFill="1" applyBorder="1" applyAlignment="1" applyProtection="1">
      <alignment horizontal="left" vertical="center"/>
      <protection locked="0"/>
    </xf>
    <xf numFmtId="9" fontId="36" fillId="2" borderId="1" xfId="57" applyNumberFormat="1" applyFont="1" applyFill="1" applyBorder="1" applyAlignment="1" applyProtection="1">
      <alignment horizontal="left" vertical="center"/>
      <protection locked="0"/>
    </xf>
    <xf numFmtId="178" fontId="36" fillId="2" borderId="1" xfId="57" applyNumberFormat="1" applyFont="1" applyFill="1" applyBorder="1" applyAlignment="1" applyProtection="1">
      <alignment horizontal="left" vertical="center"/>
      <protection locked="0"/>
    </xf>
    <xf numFmtId="0" fontId="6" fillId="2" borderId="15" xfId="57" applyFont="1" applyFill="1" applyBorder="1" applyAlignment="1">
      <alignment horizontal="left" vertical="center"/>
    </xf>
    <xf numFmtId="0" fontId="36" fillId="3" borderId="11" xfId="57" applyFont="1" applyFill="1" applyBorder="1" applyAlignment="1" applyProtection="1">
      <alignment horizontal="left" vertical="center"/>
      <protection locked="0"/>
    </xf>
    <xf numFmtId="10" fontId="36" fillId="0" borderId="0" xfId="57" applyNumberFormat="1"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0" fontId="31" fillId="0" borderId="1" xfId="57" applyFont="1" applyFill="1" applyBorder="1" applyAlignment="1" applyProtection="1">
      <alignment horizontal="left" vertical="center"/>
      <protection locked="0"/>
    </xf>
    <xf numFmtId="178" fontId="31" fillId="0" borderId="1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right" vertical="center"/>
      <protection locked="0"/>
    </xf>
    <xf numFmtId="182" fontId="31" fillId="0" borderId="1" xfId="57" applyNumberFormat="1" applyFont="1" applyFill="1" applyBorder="1" applyAlignment="1" applyProtection="1">
      <alignment horizontal="right" vertical="center"/>
      <protection locked="0"/>
    </xf>
    <xf numFmtId="10" fontId="31" fillId="0" borderId="1" xfId="3" applyNumberFormat="1" applyFont="1" applyFill="1" applyBorder="1" applyAlignment="1" applyProtection="1">
      <alignment horizontal="left" vertical="center"/>
      <protection locked="0"/>
    </xf>
    <xf numFmtId="0" fontId="36" fillId="2" borderId="12" xfId="57" applyFont="1" applyFill="1" applyBorder="1" applyAlignment="1">
      <alignment horizontal="left" vertical="center"/>
    </xf>
    <xf numFmtId="0" fontId="36" fillId="2" borderId="27" xfId="57" applyFont="1" applyFill="1" applyBorder="1" applyAlignment="1">
      <alignment horizontal="left" vertical="center"/>
    </xf>
    <xf numFmtId="0" fontId="36" fillId="2" borderId="99" xfId="57" applyFont="1" applyFill="1" applyBorder="1" applyAlignment="1">
      <alignment horizontal="left" vertical="center"/>
    </xf>
    <xf numFmtId="180" fontId="36" fillId="2" borderId="13" xfId="57" applyNumberFormat="1" applyFont="1" applyFill="1" applyBorder="1" applyAlignment="1">
      <alignment horizontal="right" vertical="center"/>
    </xf>
    <xf numFmtId="182" fontId="36" fillId="0" borderId="13" xfId="57" applyNumberFormat="1" applyFont="1" applyFill="1" applyBorder="1" applyAlignment="1" applyProtection="1">
      <alignment horizontal="right" vertical="center"/>
      <protection locked="0"/>
    </xf>
    <xf numFmtId="0" fontId="9" fillId="2" borderId="14" xfId="57" applyFont="1" applyFill="1" applyBorder="1" applyAlignment="1">
      <alignment vertical="center"/>
    </xf>
    <xf numFmtId="180" fontId="36" fillId="2" borderId="45" xfId="57" applyNumberFormat="1" applyFont="1" applyFill="1" applyBorder="1" applyAlignment="1">
      <alignment horizontal="right" vertical="center"/>
    </xf>
    <xf numFmtId="182" fontId="36" fillId="0" borderId="45" xfId="57" applyNumberFormat="1" applyFont="1" applyFill="1" applyBorder="1" applyAlignment="1" applyProtection="1">
      <alignment horizontal="right" vertical="center"/>
      <protection locked="0"/>
    </xf>
    <xf numFmtId="0" fontId="36" fillId="2" borderId="19" xfId="57" applyFont="1" applyFill="1" applyBorder="1" applyAlignment="1">
      <alignment vertical="center"/>
    </xf>
    <xf numFmtId="0" fontId="36" fillId="2" borderId="115" xfId="57" applyFont="1" applyFill="1" applyBorder="1" applyAlignment="1">
      <alignment vertical="center"/>
    </xf>
    <xf numFmtId="0" fontId="36" fillId="2" borderId="110" xfId="57" applyFont="1" applyFill="1" applyBorder="1" applyAlignment="1">
      <alignment vertical="center"/>
    </xf>
    <xf numFmtId="178" fontId="31" fillId="3" borderId="1" xfId="57" applyNumberFormat="1" applyFont="1" applyFill="1" applyBorder="1" applyAlignment="1" applyProtection="1">
      <alignment horizontal="left" vertical="center"/>
      <protection locked="0"/>
    </xf>
    <xf numFmtId="177" fontId="23" fillId="2" borderId="11" xfId="57" applyNumberFormat="1" applyFont="1" applyFill="1" applyBorder="1" applyAlignment="1" applyProtection="1">
      <alignment horizontal="left" vertical="center"/>
      <protection locked="0"/>
    </xf>
    <xf numFmtId="0" fontId="36" fillId="2" borderId="113" xfId="57" applyFont="1" applyFill="1" applyBorder="1" applyAlignment="1">
      <alignment horizontal="left" vertical="center"/>
    </xf>
    <xf numFmtId="0" fontId="25" fillId="0" borderId="1" xfId="57" applyFont="1" applyFill="1" applyBorder="1" applyAlignment="1" applyProtection="1">
      <alignment horizontal="left" vertical="center" wrapText="1"/>
      <protection locked="0"/>
    </xf>
    <xf numFmtId="178" fontId="31" fillId="0" borderId="1"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0" fontId="36" fillId="2" borderId="141" xfId="57" applyFont="1" applyFill="1" applyBorder="1" applyAlignment="1">
      <alignment horizontal="left" vertical="center"/>
    </xf>
    <xf numFmtId="9" fontId="31" fillId="0" borderId="1" xfId="3" applyFont="1" applyFill="1" applyBorder="1" applyAlignment="1" applyProtection="1">
      <alignment horizontal="left" vertical="center"/>
      <protection locked="0"/>
    </xf>
    <xf numFmtId="180" fontId="25" fillId="0" borderId="11" xfId="57" applyNumberFormat="1" applyFont="1" applyFill="1" applyBorder="1" applyAlignment="1" applyProtection="1">
      <alignment horizontal="left" vertical="center"/>
      <protection locked="0"/>
    </xf>
    <xf numFmtId="0" fontId="33" fillId="0" borderId="15" xfId="57" applyFont="1" applyFill="1" applyBorder="1" applyAlignment="1" applyProtection="1">
      <alignment horizontal="left" vertical="center"/>
      <protection locked="0"/>
    </xf>
    <xf numFmtId="0" fontId="33" fillId="0" borderId="141" xfId="57" applyFont="1" applyFill="1" applyBorder="1" applyAlignment="1" applyProtection="1">
      <alignment horizontal="left" vertical="center"/>
      <protection locked="0"/>
    </xf>
    <xf numFmtId="0" fontId="33" fillId="0" borderId="16" xfId="57" applyFont="1" applyFill="1" applyBorder="1" applyAlignment="1" applyProtection="1">
      <alignment horizontal="left" vertical="center"/>
      <protection locked="0"/>
    </xf>
    <xf numFmtId="0" fontId="31" fillId="0" borderId="0" xfId="57" applyFont="1" applyFill="1" applyBorder="1" applyAlignment="1" applyProtection="1">
      <alignment horizontal="left" vertical="center"/>
      <protection locked="0"/>
    </xf>
    <xf numFmtId="0" fontId="31" fillId="2" borderId="86" xfId="57" applyFont="1" applyFill="1" applyBorder="1" applyAlignment="1">
      <alignment horizontal="left" vertical="center"/>
    </xf>
    <xf numFmtId="0" fontId="31" fillId="2" borderId="1" xfId="57" applyFont="1" applyFill="1" applyBorder="1" applyAlignment="1">
      <alignment horizontal="left" vertical="center"/>
    </xf>
    <xf numFmtId="180" fontId="31" fillId="2" borderId="15" xfId="57" applyNumberFormat="1" applyFont="1" applyFill="1" applyBorder="1" applyAlignment="1">
      <alignment horizontal="right" vertical="center"/>
    </xf>
    <xf numFmtId="180" fontId="31" fillId="0" borderId="141" xfId="57" applyNumberFormat="1" applyFont="1" applyFill="1" applyBorder="1" applyAlignment="1" applyProtection="1">
      <alignment horizontal="right" vertical="center"/>
      <protection locked="0"/>
    </xf>
    <xf numFmtId="180"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left" vertical="center"/>
    </xf>
    <xf numFmtId="0" fontId="31" fillId="0" borderId="0" xfId="57" applyFont="1" applyFill="1" applyBorder="1" applyAlignment="1" applyProtection="1">
      <alignment horizontal="right" vertical="center"/>
      <protection locked="0"/>
    </xf>
    <xf numFmtId="0" fontId="31" fillId="2" borderId="86" xfId="57" applyFont="1" applyFill="1" applyBorder="1" applyAlignment="1">
      <alignment horizontal="right" vertical="center"/>
    </xf>
    <xf numFmtId="0" fontId="31" fillId="2" borderId="1" xfId="57" applyFont="1" applyFill="1" applyBorder="1" applyAlignment="1">
      <alignment horizontal="right" vertical="center"/>
    </xf>
    <xf numFmtId="182" fontId="31" fillId="0" borderId="141" xfId="57" applyNumberFormat="1" applyFont="1" applyFill="1" applyBorder="1" applyAlignment="1" applyProtection="1">
      <alignment horizontal="right" vertical="center"/>
      <protection locked="0"/>
    </xf>
    <xf numFmtId="182"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right" vertical="center"/>
    </xf>
    <xf numFmtId="180" fontId="23" fillId="2" borderId="11"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vertical="center" wrapText="1"/>
      <protection locked="0"/>
    </xf>
    <xf numFmtId="0" fontId="36" fillId="2" borderId="17" xfId="57" applyFont="1" applyFill="1" applyBorder="1" applyAlignment="1" applyProtection="1">
      <alignment vertical="center" wrapText="1"/>
      <protection locked="0"/>
    </xf>
    <xf numFmtId="0" fontId="36" fillId="2" borderId="16" xfId="57" applyFont="1" applyFill="1" applyBorder="1" applyAlignment="1" applyProtection="1">
      <alignment vertical="center" wrapText="1"/>
      <protection locked="0"/>
    </xf>
    <xf numFmtId="9" fontId="25" fillId="0" borderId="1" xfId="57" applyNumberFormat="1" applyFont="1" applyFill="1" applyBorder="1" applyAlignment="1" applyProtection="1">
      <alignment horizontal="left" vertical="center"/>
      <protection locked="0"/>
    </xf>
    <xf numFmtId="0" fontId="31" fillId="0" borderId="0" xfId="57" applyFont="1" applyAlignment="1" applyProtection="1">
      <alignment horizontal="right"/>
      <protection locked="0"/>
    </xf>
    <xf numFmtId="180" fontId="31" fillId="2" borderId="141" xfId="57" applyNumberFormat="1" applyFont="1" applyFill="1" applyBorder="1" applyAlignment="1">
      <alignment horizontal="right" vertical="center"/>
    </xf>
    <xf numFmtId="180" fontId="31" fillId="2" borderId="16" xfId="57" applyNumberFormat="1" applyFont="1" applyFill="1" applyBorder="1" applyAlignment="1">
      <alignment horizontal="right" vertical="center"/>
    </xf>
    <xf numFmtId="0" fontId="23" fillId="2" borderId="81" xfId="57" applyFont="1" applyFill="1" applyBorder="1" applyAlignment="1" applyProtection="1">
      <alignment horizontal="left" vertical="center"/>
      <protection locked="0"/>
    </xf>
    <xf numFmtId="0" fontId="23" fillId="2" borderId="93" xfId="57" applyFont="1" applyFill="1" applyBorder="1" applyAlignment="1" applyProtection="1">
      <alignment vertical="center"/>
      <protection locked="0"/>
    </xf>
    <xf numFmtId="0" fontId="23" fillId="2" borderId="50" xfId="57" applyFont="1" applyFill="1" applyBorder="1" applyAlignment="1" applyProtection="1">
      <alignment vertical="center"/>
      <protection locked="0"/>
    </xf>
    <xf numFmtId="0" fontId="23" fillId="2" borderId="94" xfId="57" applyFont="1" applyFill="1" applyBorder="1" applyAlignment="1" applyProtection="1">
      <alignment vertical="center"/>
      <protection locked="0"/>
    </xf>
    <xf numFmtId="0" fontId="25" fillId="2" borderId="1" xfId="57" applyFont="1" applyFill="1" applyBorder="1" applyAlignment="1" applyProtection="1">
      <alignment horizontal="left" vertical="center"/>
      <protection locked="0"/>
    </xf>
    <xf numFmtId="9" fontId="25" fillId="2" borderId="1"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182" fontId="31"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0" fontId="23" fillId="2" borderId="117" xfId="57" applyFont="1" applyFill="1" applyBorder="1" applyAlignment="1" applyProtection="1">
      <alignment horizontal="left" vertical="center"/>
      <protection locked="0"/>
    </xf>
    <xf numFmtId="0" fontId="23" fillId="2" borderId="105" xfId="57" applyFont="1" applyFill="1" applyBorder="1" applyAlignment="1" applyProtection="1">
      <alignment vertical="center"/>
      <protection locked="0"/>
    </xf>
    <xf numFmtId="0" fontId="23" fillId="2" borderId="45" xfId="57" applyFont="1" applyFill="1" applyBorder="1" applyAlignment="1" applyProtection="1">
      <alignment vertical="center"/>
      <protection locked="0"/>
    </xf>
    <xf numFmtId="0" fontId="23" fillId="2" borderId="106" xfId="57" applyFont="1" applyFill="1" applyBorder="1" applyAlignment="1" applyProtection="1">
      <alignment vertical="center"/>
      <protection locked="0"/>
    </xf>
    <xf numFmtId="177" fontId="23" fillId="0" borderId="1" xfId="57" applyNumberFormat="1" applyFont="1" applyFill="1" applyBorder="1" applyAlignment="1" applyProtection="1">
      <alignment horizontal="left" vertical="center"/>
      <protection locked="0"/>
    </xf>
    <xf numFmtId="9" fontId="23" fillId="0" borderId="1" xfId="3" applyFont="1" applyFill="1" applyBorder="1" applyAlignment="1" applyProtection="1">
      <alignment horizontal="left" vertical="center"/>
      <protection locked="0"/>
    </xf>
    <xf numFmtId="0" fontId="9" fillId="2" borderId="30" xfId="57" applyFont="1" applyFill="1" applyBorder="1" applyAlignment="1" applyProtection="1">
      <alignment horizontal="left" vertical="center" wrapText="1"/>
      <protection locked="0"/>
    </xf>
    <xf numFmtId="0" fontId="8" fillId="2" borderId="28" xfId="57" applyFont="1" applyFill="1" applyBorder="1" applyAlignment="1" applyProtection="1">
      <alignment vertical="center"/>
      <protection locked="0"/>
    </xf>
    <xf numFmtId="0" fontId="6" fillId="2" borderId="28" xfId="57" applyFont="1" applyFill="1" applyBorder="1" applyAlignment="1" applyProtection="1">
      <alignment vertical="center"/>
      <protection locked="0"/>
    </xf>
    <xf numFmtId="177" fontId="2" fillId="0" borderId="28" xfId="57" applyNumberFormat="1" applyFill="1" applyBorder="1" applyAlignment="1" applyProtection="1">
      <alignment horizontal="left" vertical="center"/>
      <protection locked="0"/>
    </xf>
    <xf numFmtId="9" fontId="31" fillId="0" borderId="13" xfId="57" applyNumberFormat="1"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77" fontId="68" fillId="0" borderId="97" xfId="57" applyNumberFormat="1" applyFont="1" applyFill="1" applyBorder="1" applyAlignment="1" applyProtection="1">
      <alignment horizontal="left" vertical="center"/>
      <protection locked="0"/>
    </xf>
    <xf numFmtId="182" fontId="31" fillId="2" borderId="141" xfId="57" applyNumberFormat="1" applyFont="1" applyFill="1" applyBorder="1" applyAlignment="1">
      <alignment horizontal="right" vertical="center"/>
    </xf>
    <xf numFmtId="182" fontId="31" fillId="0" borderId="15" xfId="57" applyNumberFormat="1" applyFont="1" applyFill="1" applyBorder="1" applyAlignment="1" applyProtection="1">
      <alignment horizontal="right" vertical="center"/>
      <protection locked="0"/>
    </xf>
    <xf numFmtId="0" fontId="36" fillId="2" borderId="1" xfId="57" applyFont="1" applyFill="1" applyBorder="1" applyAlignment="1" applyProtection="1">
      <alignment horizontal="left" vertical="center"/>
      <protection locked="0"/>
    </xf>
    <xf numFmtId="0" fontId="31" fillId="2" borderId="141" xfId="57" applyFont="1" applyFill="1" applyBorder="1" applyAlignment="1">
      <alignment horizontal="right" vertical="center"/>
    </xf>
    <xf numFmtId="0" fontId="31" fillId="2" borderId="16" xfId="57" applyFont="1" applyFill="1" applyBorder="1" applyAlignment="1">
      <alignment horizontal="right" vertical="center"/>
    </xf>
    <xf numFmtId="177" fontId="25" fillId="0" borderId="1" xfId="52" applyNumberFormat="1" applyFont="1" applyBorder="1" applyAlignment="1" applyProtection="1">
      <alignment horizontal="left" vertical="center"/>
      <protection locked="0" hidden="1"/>
    </xf>
    <xf numFmtId="177" fontId="25" fillId="0" borderId="11" xfId="52" applyNumberFormat="1" applyFont="1" applyBorder="1" applyAlignment="1" applyProtection="1">
      <alignment horizontal="left" vertical="center"/>
      <protection locked="0" hidden="1"/>
    </xf>
    <xf numFmtId="177" fontId="31" fillId="2" borderId="1" xfId="57" applyNumberFormat="1" applyFont="1" applyFill="1" applyBorder="1" applyAlignment="1" applyProtection="1">
      <alignment horizontal="left" vertical="center"/>
      <protection locked="0"/>
    </xf>
    <xf numFmtId="10" fontId="31" fillId="0" borderId="15" xfId="57" applyNumberFormat="1" applyFont="1" applyFill="1" applyBorder="1" applyAlignment="1" applyProtection="1">
      <alignment horizontal="right" vertical="center"/>
      <protection locked="0"/>
    </xf>
    <xf numFmtId="10" fontId="31" fillId="0" borderId="141" xfId="57" applyNumberFormat="1" applyFont="1" applyFill="1" applyBorder="1" applyAlignment="1" applyProtection="1">
      <alignment horizontal="right" vertical="center"/>
      <protection locked="0"/>
    </xf>
    <xf numFmtId="10" fontId="31" fillId="0" borderId="16" xfId="57" applyNumberFormat="1" applyFont="1" applyFill="1" applyBorder="1" applyAlignment="1" applyProtection="1">
      <alignment horizontal="right" vertical="center"/>
      <protection locked="0"/>
    </xf>
    <xf numFmtId="177" fontId="31" fillId="0" borderId="2" xfId="57" applyNumberFormat="1" applyFont="1" applyFill="1" applyBorder="1" applyAlignment="1" applyProtection="1">
      <alignment horizontal="left" vertical="center"/>
      <protection locked="0"/>
    </xf>
    <xf numFmtId="177" fontId="31" fillId="0" borderId="31" xfId="57" applyNumberFormat="1" applyFont="1" applyFill="1" applyBorder="1" applyAlignment="1" applyProtection="1">
      <alignment horizontal="left" vertical="center"/>
      <protection locked="0"/>
    </xf>
    <xf numFmtId="177" fontId="31" fillId="2" borderId="2" xfId="57" applyNumberFormat="1" applyFont="1" applyFill="1" applyBorder="1" applyAlignment="1" applyProtection="1">
      <alignment horizontal="left" vertical="center"/>
      <protection locked="0"/>
    </xf>
    <xf numFmtId="177" fontId="31" fillId="0" borderId="0"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horizontal="left" vertical="center"/>
      <protection locked="0"/>
    </xf>
    <xf numFmtId="0" fontId="31" fillId="2" borderId="13" xfId="57" applyFont="1" applyFill="1" applyBorder="1" applyAlignment="1">
      <alignment horizontal="left" vertical="center"/>
    </xf>
    <xf numFmtId="177" fontId="31" fillId="0" borderId="27" xfId="57" applyNumberFormat="1" applyFont="1" applyFill="1" applyBorder="1" applyAlignment="1" applyProtection="1">
      <alignment horizontal="right" vertical="center"/>
      <protection locked="0"/>
    </xf>
    <xf numFmtId="177" fontId="31" fillId="0" borderId="142" xfId="57" applyNumberFormat="1" applyFont="1" applyFill="1" applyBorder="1" applyAlignment="1" applyProtection="1">
      <alignment horizontal="right" vertical="center"/>
      <protection locked="0"/>
    </xf>
    <xf numFmtId="177" fontId="31" fillId="0" borderId="99" xfId="57" applyNumberFormat="1" applyFont="1" applyFill="1" applyBorder="1" applyAlignment="1" applyProtection="1">
      <alignment horizontal="right" vertical="center"/>
      <protection locked="0"/>
    </xf>
    <xf numFmtId="177" fontId="31" fillId="2" borderId="11" xfId="57" applyNumberFormat="1" applyFont="1" applyFill="1" applyBorder="1" applyAlignment="1">
      <alignment horizontal="left" vertical="center"/>
    </xf>
    <xf numFmtId="177" fontId="31" fillId="0" borderId="15" xfId="57" applyNumberFormat="1" applyFont="1" applyFill="1" applyBorder="1" applyAlignment="1" applyProtection="1">
      <alignment vertical="center"/>
      <protection locked="0"/>
    </xf>
    <xf numFmtId="177" fontId="25" fillId="0" borderId="1" xfId="57" applyNumberFormat="1" applyFont="1" applyFill="1" applyBorder="1" applyAlignment="1" applyProtection="1">
      <alignment horizontal="left" vertical="center"/>
      <protection locked="0"/>
    </xf>
    <xf numFmtId="177" fontId="31" fillId="0" borderId="11" xfId="57" applyNumberFormat="1" applyFont="1" applyFill="1" applyBorder="1" applyAlignment="1" applyProtection="1">
      <alignment horizontal="left" vertical="center"/>
      <protection locked="0"/>
    </xf>
    <xf numFmtId="0" fontId="31" fillId="0" borderId="0" xfId="57" applyFont="1" applyFill="1" applyBorder="1" applyAlignment="1" applyProtection="1">
      <alignment horizontal="left"/>
      <protection locked="0"/>
    </xf>
    <xf numFmtId="0" fontId="31" fillId="2" borderId="10" xfId="57" applyFont="1" applyFill="1" applyBorder="1" applyAlignment="1">
      <alignment horizontal="left" vertical="center"/>
    </xf>
    <xf numFmtId="180" fontId="31" fillId="2" borderId="1" xfId="57" applyNumberFormat="1" applyFont="1" applyFill="1" applyBorder="1" applyAlignment="1">
      <alignment horizontal="right"/>
    </xf>
    <xf numFmtId="0" fontId="31" fillId="2" borderId="1" xfId="57" applyFont="1" applyFill="1" applyBorder="1" applyAlignment="1">
      <alignment horizontal="right"/>
    </xf>
    <xf numFmtId="0" fontId="31" fillId="2" borderId="11" xfId="57" applyFont="1" applyFill="1" applyBorder="1" applyAlignment="1">
      <alignment horizontal="left"/>
    </xf>
    <xf numFmtId="177" fontId="36" fillId="2" borderId="1" xfId="57" applyNumberFormat="1" applyFont="1" applyFill="1" applyBorder="1" applyAlignment="1" applyProtection="1">
      <alignment horizontal="left" vertical="center"/>
      <protection locked="0"/>
    </xf>
    <xf numFmtId="180" fontId="36" fillId="2" borderId="11" xfId="57" applyNumberFormat="1" applyFont="1" applyFill="1" applyBorder="1" applyAlignment="1" applyProtection="1">
      <alignment horizontal="left" vertical="center"/>
      <protection locked="0"/>
    </xf>
    <xf numFmtId="0" fontId="31" fillId="2" borderId="12" xfId="57" applyFont="1" applyFill="1" applyBorder="1" applyAlignment="1">
      <alignment horizontal="left" vertical="center"/>
    </xf>
    <xf numFmtId="180" fontId="31" fillId="2" borderId="13" xfId="57" applyNumberFormat="1" applyFont="1" applyFill="1" applyBorder="1" applyAlignment="1">
      <alignment horizontal="left" vertical="center"/>
    </xf>
    <xf numFmtId="180" fontId="31" fillId="2" borderId="13" xfId="57" applyNumberFormat="1" applyFont="1" applyFill="1" applyBorder="1" applyAlignment="1">
      <alignment horizontal="right" vertical="center"/>
    </xf>
    <xf numFmtId="0" fontId="31" fillId="2" borderId="13" xfId="57" applyFont="1" applyFill="1" applyBorder="1" applyAlignment="1">
      <alignment horizontal="right"/>
    </xf>
    <xf numFmtId="0" fontId="31" fillId="2" borderId="14" xfId="57" applyFont="1" applyFill="1" applyBorder="1" applyAlignment="1">
      <alignment horizontal="left" vertical="center"/>
    </xf>
    <xf numFmtId="0" fontId="6" fillId="0" borderId="0" xfId="57" applyFont="1" applyFill="1" applyAlignment="1" applyProtection="1">
      <alignment horizontal="left"/>
      <protection locked="0"/>
    </xf>
    <xf numFmtId="0" fontId="111" fillId="0" borderId="0" xfId="57" applyFont="1" applyAlignment="1">
      <alignment horizontal="left"/>
    </xf>
    <xf numFmtId="0" fontId="9" fillId="2" borderId="28" xfId="57" applyFont="1" applyFill="1" applyBorder="1" applyAlignment="1" applyProtection="1">
      <alignment vertical="center"/>
      <protection locked="0"/>
    </xf>
    <xf numFmtId="0" fontId="2" fillId="0" borderId="28" xfId="57" applyFill="1" applyBorder="1" applyAlignment="1" applyProtection="1">
      <alignment horizontal="left" vertical="center"/>
      <protection locked="0"/>
    </xf>
    <xf numFmtId="0" fontId="6" fillId="0" borderId="0" xfId="57" applyFont="1" applyAlignment="1" applyProtection="1">
      <alignment horizontal="left"/>
    </xf>
    <xf numFmtId="0" fontId="65" fillId="2" borderId="108" xfId="57" applyFont="1" applyFill="1" applyBorder="1" applyAlignment="1" applyProtection="1">
      <alignment horizontal="left"/>
    </xf>
    <xf numFmtId="0" fontId="6" fillId="2" borderId="8" xfId="57" applyFont="1" applyFill="1" applyBorder="1" applyAlignment="1" applyProtection="1">
      <alignment horizontal="left"/>
    </xf>
    <xf numFmtId="180" fontId="31" fillId="2" borderId="8" xfId="57" applyNumberFormat="1" applyFont="1" applyFill="1" applyBorder="1" applyAlignment="1" applyProtection="1">
      <alignment horizontal="right"/>
      <protection locked="0"/>
    </xf>
    <xf numFmtId="0" fontId="31" fillId="2" borderId="8" xfId="57" applyFont="1" applyFill="1" applyBorder="1" applyAlignment="1" applyProtection="1">
      <alignment horizontal="left"/>
    </xf>
    <xf numFmtId="9" fontId="31" fillId="0" borderId="9" xfId="3" applyFont="1" applyFill="1" applyBorder="1" applyAlignment="1" applyProtection="1">
      <alignment horizontal="right"/>
      <protection locked="0"/>
    </xf>
    <xf numFmtId="0" fontId="111" fillId="0" borderId="0" xfId="57" applyFont="1" applyAlignment="1" applyProtection="1">
      <alignment horizontal="left"/>
    </xf>
    <xf numFmtId="0" fontId="36" fillId="2" borderId="10" xfId="57" applyFont="1" applyFill="1" applyBorder="1" applyAlignment="1" applyProtection="1">
      <alignment horizontal="left"/>
    </xf>
    <xf numFmtId="0" fontId="113" fillId="2" borderId="1" xfId="57" applyFont="1" applyFill="1" applyBorder="1" applyAlignment="1" applyProtection="1">
      <alignment horizontal="left"/>
    </xf>
    <xf numFmtId="0" fontId="9" fillId="2" borderId="1" xfId="57" applyFont="1" applyFill="1" applyBorder="1" applyAlignment="1" applyProtection="1">
      <alignment horizontal="left"/>
    </xf>
    <xf numFmtId="0" fontId="36" fillId="2" borderId="1" xfId="57" applyFont="1" applyFill="1" applyBorder="1" applyAlignment="1" applyProtection="1">
      <alignment horizontal="left"/>
    </xf>
    <xf numFmtId="0" fontId="113" fillId="2" borderId="11" xfId="57" applyFont="1" applyFill="1" applyBorder="1" applyAlignment="1" applyProtection="1">
      <alignment horizontal="left"/>
    </xf>
    <xf numFmtId="0" fontId="110" fillId="0" borderId="0" xfId="57" applyFont="1" applyAlignment="1" applyProtection="1">
      <alignment horizontal="left"/>
    </xf>
    <xf numFmtId="49" fontId="113" fillId="2" borderId="10" xfId="57" applyNumberFormat="1" applyFont="1" applyFill="1" applyBorder="1" applyAlignment="1" applyProtection="1">
      <alignment horizontal="left"/>
    </xf>
    <xf numFmtId="0" fontId="113" fillId="2" borderId="1" xfId="57" applyFont="1" applyFill="1" applyBorder="1" applyAlignment="1" applyProtection="1"/>
    <xf numFmtId="0" fontId="113" fillId="2" borderId="11" xfId="57" applyFont="1" applyFill="1" applyBorder="1" applyAlignment="1" applyProtection="1"/>
    <xf numFmtId="49" fontId="111" fillId="2" borderId="10" xfId="57" applyNumberFormat="1" applyFont="1" applyFill="1" applyBorder="1" applyAlignment="1" applyProtection="1">
      <alignment horizontal="center"/>
    </xf>
    <xf numFmtId="0" fontId="111" fillId="2" borderId="1" xfId="57" applyFont="1" applyFill="1" applyBorder="1" applyAlignment="1" applyProtection="1">
      <alignment horizontal="right"/>
    </xf>
    <xf numFmtId="0" fontId="111" fillId="2" borderId="1" xfId="57" applyFont="1" applyFill="1" applyBorder="1" applyAlignment="1" applyProtection="1"/>
    <xf numFmtId="0" fontId="111" fillId="2" borderId="1" xfId="57" applyFont="1" applyFill="1" applyBorder="1" applyAlignment="1" applyProtection="1">
      <alignment horizontal="left"/>
    </xf>
    <xf numFmtId="9" fontId="111" fillId="2" borderId="11"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1" xfId="57" applyFont="1" applyFill="1" applyBorder="1" applyAlignment="1" applyProtection="1">
      <alignment horizontal="left"/>
    </xf>
    <xf numFmtId="0" fontId="111" fillId="2" borderId="11" xfId="57" applyFont="1" applyFill="1" applyBorder="1" applyAlignment="1" applyProtection="1">
      <alignment horizontal="left"/>
    </xf>
    <xf numFmtId="49" fontId="114" fillId="2" borderId="10" xfId="57" applyNumberFormat="1" applyFont="1" applyFill="1" applyBorder="1" applyAlignment="1" applyProtection="1">
      <alignment horizontal="right"/>
    </xf>
    <xf numFmtId="0" fontId="114" fillId="2" borderId="1" xfId="57" applyFont="1" applyFill="1" applyBorder="1" applyAlignment="1" applyProtection="1">
      <alignment horizontal="right"/>
    </xf>
    <xf numFmtId="0" fontId="114" fillId="2" borderId="1" xfId="57" applyFont="1" applyFill="1" applyBorder="1" applyAlignment="1" applyProtection="1"/>
    <xf numFmtId="0" fontId="114" fillId="2" borderId="1" xfId="57" applyFont="1" applyFill="1" applyBorder="1" applyAlignment="1" applyProtection="1">
      <alignment horizontal="left"/>
    </xf>
    <xf numFmtId="0" fontId="114" fillId="2" borderId="11"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5" fillId="2" borderId="1" xfId="57" applyFont="1" applyFill="1" applyBorder="1" applyAlignment="1" applyProtection="1">
      <alignment horizontal="right"/>
    </xf>
    <xf numFmtId="9" fontId="114" fillId="2" borderId="11" xfId="57" applyNumberFormat="1" applyFont="1" applyFill="1" applyBorder="1" applyAlignment="1" applyProtection="1">
      <alignment horizontal="right"/>
    </xf>
    <xf numFmtId="0" fontId="111" fillId="2" borderId="11" xfId="57" applyFont="1" applyFill="1" applyBorder="1" applyAlignment="1" applyProtection="1">
      <alignment horizontal="right"/>
    </xf>
    <xf numFmtId="49" fontId="114" fillId="2" borderId="12" xfId="57" applyNumberFormat="1" applyFont="1" applyFill="1" applyBorder="1" applyAlignment="1" applyProtection="1">
      <alignment horizontal="right"/>
    </xf>
    <xf numFmtId="0" fontId="114" fillId="2" borderId="13" xfId="57" applyFont="1" applyFill="1" applyBorder="1" applyAlignment="1" applyProtection="1">
      <alignment horizontal="right"/>
    </xf>
    <xf numFmtId="0" fontId="114" fillId="2" borderId="13" xfId="57" applyFont="1" applyFill="1" applyBorder="1" applyAlignment="1" applyProtection="1"/>
    <xf numFmtId="0" fontId="114" fillId="2" borderId="13" xfId="57" applyFont="1" applyFill="1" applyBorder="1" applyAlignment="1" applyProtection="1">
      <alignment horizontal="left"/>
    </xf>
    <xf numFmtId="9" fontId="114" fillId="2" borderId="14"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3" fillId="2" borderId="1" xfId="57" applyFont="1" applyFill="1" applyBorder="1" applyAlignment="1" applyProtection="1">
      <alignment horizontal="right"/>
    </xf>
    <xf numFmtId="0" fontId="113" fillId="2" borderId="10" xfId="57" applyFont="1" applyFill="1" applyBorder="1" applyAlignment="1" applyProtection="1">
      <alignment horizontal="left"/>
    </xf>
    <xf numFmtId="9" fontId="111" fillId="2" borderId="11"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10"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49" fontId="111" fillId="2" borderId="12" xfId="57" applyNumberFormat="1" applyFont="1" applyFill="1" applyBorder="1" applyAlignment="1" applyProtection="1">
      <alignment horizontal="right"/>
    </xf>
    <xf numFmtId="9" fontId="114" fillId="2" borderId="14" xfId="57" applyNumberFormat="1" applyFont="1" applyFill="1" applyBorder="1" applyAlignment="1" applyProtection="1">
      <alignment horizontal="left"/>
    </xf>
    <xf numFmtId="0" fontId="110" fillId="0" borderId="0" xfId="57"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50" fillId="13" borderId="107"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8" fontId="50"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8" fontId="74" fillId="2" borderId="1"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8"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3" xfId="52" applyFont="1" applyFill="1" applyBorder="1" applyAlignment="1" applyProtection="1">
      <alignment vertical="center"/>
    </xf>
    <xf numFmtId="0" fontId="74" fillId="2" borderId="13"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7"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26"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2" xfId="0" applyFont="1" applyFill="1" applyBorder="1" applyAlignment="1" applyProtection="1">
      <alignment vertical="center" wrapText="1"/>
    </xf>
    <xf numFmtId="0" fontId="56" fillId="2" borderId="4" xfId="0" applyFont="1" applyFill="1" applyBorder="1" applyAlignment="1" applyProtection="1">
      <alignment horizontal="center" vertical="center"/>
    </xf>
    <xf numFmtId="0" fontId="31" fillId="2" borderId="2" xfId="0" applyFont="1" applyFill="1" applyBorder="1" applyAlignment="1" applyProtection="1">
      <alignment vertical="center"/>
    </xf>
    <xf numFmtId="0" fontId="56" fillId="2" borderId="105" xfId="0" applyFont="1" applyFill="1" applyBorder="1" applyAlignment="1" applyProtection="1">
      <alignment horizontal="right" vertical="center"/>
    </xf>
    <xf numFmtId="0" fontId="56" fillId="2" borderId="113" xfId="0" applyFont="1" applyFill="1" applyBorder="1" applyAlignment="1" applyProtection="1">
      <alignment horizontal="center" vertical="center"/>
    </xf>
    <xf numFmtId="49" fontId="56" fillId="2" borderId="81" xfId="0" applyNumberFormat="1" applyFont="1" applyFill="1" applyBorder="1" applyAlignment="1" applyProtection="1">
      <alignment horizontal="left" vertical="center"/>
    </xf>
    <xf numFmtId="0" fontId="56" fillId="2" borderId="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6" fillId="2" borderId="2" xfId="0" applyFont="1" applyFill="1" applyBorder="1" applyAlignment="1" applyProtection="1">
      <alignment vertical="center"/>
    </xf>
    <xf numFmtId="0" fontId="74" fillId="2" borderId="11" xfId="0"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80" fillId="2" borderId="2" xfId="0" applyFont="1" applyFill="1" applyBorder="1" applyAlignment="1" applyProtection="1">
      <alignment vertical="center"/>
    </xf>
    <xf numFmtId="49" fontId="56" fillId="2" borderId="79" xfId="0" applyNumberFormat="1" applyFont="1" applyFill="1" applyBorder="1" applyAlignment="1" applyProtection="1">
      <alignment horizontal="left" vertical="center"/>
    </xf>
    <xf numFmtId="0" fontId="56" fillId="2" borderId="4"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6" fillId="2" borderId="4" xfId="0" applyFont="1" applyFill="1" applyBorder="1" applyAlignment="1" applyProtection="1">
      <alignment vertical="center"/>
    </xf>
    <xf numFmtId="0" fontId="56" fillId="2" borderId="16" xfId="0" applyFont="1" applyFill="1" applyBorder="1" applyAlignment="1" applyProtection="1">
      <alignment horizontal="left" vertical="center"/>
    </xf>
    <xf numFmtId="49" fontId="74" fillId="2" borderId="29" xfId="0" applyNumberFormat="1" applyFont="1" applyFill="1" applyBorder="1" applyAlignment="1" applyProtection="1">
      <alignment vertical="center"/>
    </xf>
    <xf numFmtId="0" fontId="74" fillId="2" borderId="4" xfId="0" applyFont="1" applyFill="1" applyBorder="1" applyAlignment="1" applyProtection="1">
      <alignment horizontal="center" vertical="center"/>
    </xf>
    <xf numFmtId="0" fontId="56" fillId="2" borderId="3" xfId="0" applyFont="1" applyFill="1" applyBorder="1" applyAlignment="1" applyProtection="1">
      <alignment vertical="top" wrapText="1"/>
    </xf>
    <xf numFmtId="182" fontId="74" fillId="2" borderId="11" xfId="0" applyNumberFormat="1"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182" fontId="74" fillId="2" borderId="31"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74" fillId="2" borderId="1" xfId="0" applyFont="1" applyFill="1" applyBorder="1" applyAlignment="1" applyProtection="1">
      <alignment horizontal="center" vertical="center"/>
    </xf>
    <xf numFmtId="0" fontId="56" fillId="2" borderId="94" xfId="0" applyFont="1" applyFill="1" applyBorder="1" applyAlignment="1" applyProtection="1">
      <alignment vertical="center"/>
    </xf>
    <xf numFmtId="182" fontId="74" fillId="3" borderId="31" xfId="0" applyNumberFormat="1" applyFont="1" applyFill="1" applyBorder="1" applyAlignment="1" applyProtection="1">
      <alignment horizontal="center" vertical="center"/>
      <protection locked="0"/>
    </xf>
    <xf numFmtId="0" fontId="80" fillId="2" borderId="94" xfId="0" applyFont="1" applyFill="1" applyBorder="1" applyAlignment="1" applyProtection="1">
      <alignment vertical="center"/>
    </xf>
    <xf numFmtId="49" fontId="74" fillId="2" borderId="117" xfId="0" applyNumberFormat="1" applyFont="1" applyFill="1" applyBorder="1" applyAlignment="1" applyProtection="1">
      <alignment vertical="center"/>
    </xf>
    <xf numFmtId="0" fontId="93" fillId="2" borderId="1" xfId="0" applyFont="1" applyFill="1" applyBorder="1" applyAlignment="1" applyProtection="1">
      <alignment horizontal="right" vertical="center" wrapText="1"/>
    </xf>
    <xf numFmtId="0" fontId="74" fillId="2" borderId="1" xfId="0" applyFont="1" applyFill="1" applyBorder="1" applyAlignment="1" applyProtection="1">
      <alignment horizontal="center" vertical="center"/>
      <protection locked="0"/>
    </xf>
    <xf numFmtId="49" fontId="74" fillId="2" borderId="118" xfId="0" applyNumberFormat="1" applyFont="1" applyFill="1" applyBorder="1" applyAlignment="1" applyProtection="1">
      <alignment vertical="center"/>
    </xf>
    <xf numFmtId="0" fontId="56" fillId="2" borderId="0" xfId="0" applyFont="1" applyFill="1" applyBorder="1" applyAlignment="1" applyProtection="1">
      <alignment vertical="center"/>
    </xf>
    <xf numFmtId="182" fontId="74" fillId="2" borderId="112" xfId="0" applyNumberFormat="1" applyFont="1" applyFill="1" applyBorder="1" applyAlignment="1" applyProtection="1">
      <alignment horizontal="center" vertical="center"/>
    </xf>
    <xf numFmtId="49" fontId="56" fillId="2" borderId="143" xfId="0" applyNumberFormat="1" applyFont="1" applyFill="1" applyBorder="1" applyAlignment="1" applyProtection="1">
      <alignment vertical="center"/>
    </xf>
    <xf numFmtId="0" fontId="56" fillId="2" borderId="134" xfId="0" applyFont="1" applyFill="1" applyBorder="1" applyAlignment="1" applyProtection="1">
      <alignment vertical="center" wrapText="1"/>
    </xf>
    <xf numFmtId="0" fontId="74" fillId="0" borderId="6" xfId="0" applyFont="1" applyFill="1" applyBorder="1" applyAlignment="1" applyProtection="1">
      <alignment horizontal="center" vertical="center"/>
      <protection locked="0"/>
    </xf>
    <xf numFmtId="0" fontId="56" fillId="2" borderId="6" xfId="0" applyFont="1" applyFill="1" applyBorder="1" applyAlignment="1" applyProtection="1">
      <alignment vertical="center"/>
    </xf>
    <xf numFmtId="0" fontId="56" fillId="2" borderId="6" xfId="0" applyFont="1" applyFill="1" applyBorder="1" applyAlignment="1" applyProtection="1">
      <alignment horizontal="left" vertical="center"/>
    </xf>
    <xf numFmtId="182" fontId="74" fillId="2" borderId="120" xfId="0" applyNumberFormat="1" applyFont="1" applyFill="1" applyBorder="1" applyAlignment="1" applyProtection="1">
      <alignment horizontal="center" vertical="center"/>
    </xf>
    <xf numFmtId="0" fontId="56" fillId="2" borderId="127" xfId="0" applyFont="1" applyFill="1" applyBorder="1" applyAlignment="1" applyProtection="1">
      <alignment vertical="center"/>
    </xf>
    <xf numFmtId="182" fontId="74" fillId="2" borderId="6" xfId="0" applyNumberFormat="1" applyFont="1" applyFill="1" applyBorder="1" applyAlignment="1" applyProtection="1">
      <alignment horizontal="center" vertical="center"/>
    </xf>
    <xf numFmtId="49" fontId="74" fillId="2" borderId="117"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0" fontId="74" fillId="2" borderId="3" xfId="0" applyFont="1" applyFill="1" applyBorder="1" applyAlignment="1" applyProtection="1">
      <alignment horizontal="center" vertical="center"/>
    </xf>
    <xf numFmtId="0" fontId="56" fillId="2" borderId="4" xfId="0" applyFont="1" applyFill="1" applyBorder="1" applyAlignment="1" applyProtection="1">
      <alignment horizontal="left" vertical="center"/>
    </xf>
    <xf numFmtId="182" fontId="56"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6" fillId="2" borderId="105"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3" xfId="0" applyFont="1" applyFill="1" applyBorder="1" applyAlignment="1" applyProtection="1">
      <alignment vertical="center"/>
    </xf>
    <xf numFmtId="0" fontId="25" fillId="2" borderId="15" xfId="0" applyFont="1" applyFill="1" applyBorder="1" applyAlignment="1" applyProtection="1">
      <alignment horizontal="center" vertical="center"/>
    </xf>
    <xf numFmtId="0" fontId="56" fillId="2" borderId="15"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182" fontId="56" fillId="2" borderId="85"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43" xfId="0" applyNumberFormat="1" applyFont="1" applyFill="1" applyBorder="1" applyAlignment="1" applyProtection="1">
      <alignment horizontal="left" vertical="center"/>
    </xf>
    <xf numFmtId="0" fontId="56" fillId="2" borderId="127" xfId="0" applyFont="1" applyFill="1" applyBorder="1" applyAlignment="1" applyProtection="1">
      <alignment horizontal="left" vertical="center"/>
    </xf>
    <xf numFmtId="0" fontId="56" fillId="2" borderId="128" xfId="0" applyFont="1" applyFill="1" applyBorder="1" applyAlignment="1" applyProtection="1">
      <alignment vertical="center"/>
    </xf>
    <xf numFmtId="0" fontId="56" fillId="2" borderId="144" xfId="0" applyFont="1" applyFill="1" applyBorder="1" applyAlignment="1" applyProtection="1">
      <alignment vertical="center"/>
    </xf>
    <xf numFmtId="182" fontId="56" fillId="2" borderId="11"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2" fontId="56" fillId="10" borderId="87" xfId="0" applyNumberFormat="1" applyFont="1" applyFill="1" applyBorder="1" applyAlignment="1" applyProtection="1">
      <alignment horizontal="center" vertical="center" wrapText="1"/>
    </xf>
    <xf numFmtId="0" fontId="56" fillId="2" borderId="15" xfId="0" applyFont="1" applyFill="1" applyBorder="1" applyAlignment="1" applyProtection="1">
      <alignment vertical="center"/>
    </xf>
    <xf numFmtId="0" fontId="56" fillId="2" borderId="17" xfId="0" applyFont="1" applyFill="1" applyBorder="1" applyAlignment="1" applyProtection="1">
      <alignment horizontal="center" vertical="center"/>
    </xf>
    <xf numFmtId="0" fontId="56" fillId="13" borderId="1" xfId="0" applyFont="1" applyFill="1" applyBorder="1" applyAlignment="1" applyProtection="1">
      <alignment horizontal="left" vertical="center" wrapText="1"/>
      <protection locked="0"/>
    </xf>
    <xf numFmtId="0" fontId="56" fillId="2" borderId="1" xfId="0" applyFont="1" applyFill="1" applyBorder="1" applyAlignment="1" applyProtection="1">
      <alignment vertical="center" wrapText="1"/>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56" fillId="2" borderId="11" xfId="0" applyFont="1" applyFill="1" applyBorder="1" applyAlignment="1" applyProtection="1">
      <alignment horizontal="center" vertical="center"/>
    </xf>
    <xf numFmtId="49" fontId="56" fillId="2" borderId="117" xfId="0" applyNumberFormat="1" applyFont="1" applyFill="1" applyBorder="1" applyAlignment="1" applyProtection="1">
      <alignment vertical="center"/>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0" fontId="74" fillId="2" borderId="11"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horizontal="center" vertical="center"/>
    </xf>
    <xf numFmtId="10" fontId="56" fillId="2" borderId="11" xfId="0" applyNumberFormat="1" applyFont="1" applyFill="1" applyBorder="1" applyAlignment="1" applyProtection="1">
      <alignment horizontal="center" vertical="center"/>
    </xf>
    <xf numFmtId="0" fontId="56" fillId="2" borderId="6" xfId="0" applyFont="1" applyFill="1" applyBorder="1" applyAlignment="1" applyProtection="1">
      <alignment horizontal="center" vertical="center"/>
    </xf>
    <xf numFmtId="0" fontId="56" fillId="2" borderId="6" xfId="0" applyFont="1" applyFill="1" applyBorder="1" applyAlignment="1" applyProtection="1">
      <alignment horizontal="left" vertical="center" wrapText="1"/>
    </xf>
    <xf numFmtId="0" fontId="74" fillId="2" borderId="3" xfId="0" applyFont="1" applyFill="1" applyBorder="1" applyAlignment="1" applyProtection="1">
      <alignment horizontal="left" vertical="center" wrapText="1"/>
    </xf>
    <xf numFmtId="0" fontId="56" fillId="2" borderId="105"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74" fillId="2" borderId="4" xfId="0" applyFont="1" applyFill="1" applyBorder="1" applyAlignment="1" applyProtection="1">
      <alignment vertical="center" wrapText="1"/>
    </xf>
    <xf numFmtId="0" fontId="56"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center" vertical="center"/>
    </xf>
    <xf numFmtId="0" fontId="74" fillId="2" borderId="3" xfId="0" applyFont="1" applyFill="1" applyBorder="1" applyAlignment="1" applyProtection="1">
      <alignment vertical="center" wrapText="1"/>
    </xf>
    <xf numFmtId="182" fontId="56" fillId="2" borderId="120" xfId="0" applyNumberFormat="1"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3" xfId="0" applyFont="1" applyFill="1" applyBorder="1" applyAlignment="1" applyProtection="1">
      <alignment horizontal="left" vertical="center"/>
    </xf>
    <xf numFmtId="185" fontId="74" fillId="2" borderId="14"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5"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6" xfId="0" applyNumberFormat="1" applyFont="1" applyFill="1" applyBorder="1" applyAlignment="1" applyProtection="1">
      <alignment vertical="center"/>
    </xf>
    <xf numFmtId="0" fontId="56" fillId="2" borderId="106" xfId="0" applyFont="1" applyFill="1" applyBorder="1" applyAlignment="1" applyProtection="1">
      <alignment vertical="center"/>
    </xf>
    <xf numFmtId="49" fontId="56" fillId="2" borderId="117"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7"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8" xfId="0" applyFont="1" applyFill="1" applyBorder="1" applyAlignment="1" applyProtection="1">
      <alignment horizontal="center" vertical="center"/>
    </xf>
    <xf numFmtId="0" fontId="56" fillId="2" borderId="109" xfId="0" applyFont="1" applyFill="1" applyBorder="1" applyAlignment="1" applyProtection="1"/>
    <xf numFmtId="0" fontId="71" fillId="14" borderId="115" xfId="0" applyFont="1" applyFill="1" applyBorder="1" applyAlignment="1" applyProtection="1">
      <alignment vertical="center"/>
      <protection locked="0"/>
    </xf>
    <xf numFmtId="0" fontId="31" fillId="14" borderId="110" xfId="0" applyFont="1" applyFill="1" applyBorder="1" applyAlignment="1" applyProtection="1">
      <alignment vertical="center"/>
      <protection locked="0"/>
    </xf>
    <xf numFmtId="0" fontId="31" fillId="14" borderId="111" xfId="0" applyFont="1" applyFill="1" applyBorder="1" applyAlignment="1" applyProtection="1">
      <alignment horizontal="left" vertical="center"/>
      <protection locked="0"/>
    </xf>
    <xf numFmtId="0" fontId="23" fillId="2" borderId="145" xfId="0" applyFont="1" applyFill="1" applyBorder="1" applyAlignment="1" applyProtection="1">
      <alignment horizontal="center" vertical="center"/>
    </xf>
    <xf numFmtId="0" fontId="25" fillId="2" borderId="145" xfId="0" applyFont="1" applyFill="1" applyBorder="1" applyAlignment="1" applyProtection="1">
      <alignment vertical="center" wrapText="1"/>
    </xf>
    <xf numFmtId="0" fontId="25" fillId="2" borderId="111" xfId="0" applyFont="1" applyFill="1" applyBorder="1" applyAlignment="1" applyProtection="1">
      <alignment vertical="center"/>
    </xf>
    <xf numFmtId="0" fontId="25" fillId="2" borderId="111" xfId="0" applyFont="1" applyFill="1" applyBorder="1" applyAlignment="1" applyProtection="1">
      <alignment vertical="center" wrapText="1"/>
    </xf>
    <xf numFmtId="49" fontId="56" fillId="2" borderId="7" xfId="0" applyNumberFormat="1" applyFont="1" applyFill="1" applyBorder="1" applyAlignment="1" applyProtection="1">
      <alignment horizontal="center" vertical="center"/>
      <protection locked="0"/>
    </xf>
    <xf numFmtId="0" fontId="56" fillId="2" borderId="21"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0" fontId="56" fillId="2" borderId="109" xfId="0" applyFont="1" applyFill="1" applyBorder="1" applyAlignment="1" applyProtection="1">
      <alignment horizontal="center" vertical="center"/>
      <protection locked="0"/>
    </xf>
    <xf numFmtId="185" fontId="31" fillId="14" borderId="0" xfId="0" applyNumberFormat="1" applyFont="1" applyFill="1" applyBorder="1" applyAlignment="1" applyProtection="1">
      <alignment horizontal="center" vertical="center"/>
      <protection locked="0"/>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32" xfId="0" applyFont="1" applyFill="1" applyBorder="1" applyAlignment="1" applyProtection="1">
      <alignment vertical="center" wrapText="1"/>
    </xf>
    <xf numFmtId="0" fontId="25" fillId="2" borderId="24" xfId="0" applyFont="1" applyFill="1" applyBorder="1" applyAlignment="1" applyProtection="1">
      <alignment vertical="center"/>
    </xf>
    <xf numFmtId="0" fontId="25" fillId="2" borderId="24"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10" xfId="0" applyFont="1" applyFill="1" applyBorder="1" applyAlignment="1" applyProtection="1">
      <alignment vertical="center"/>
    </xf>
    <xf numFmtId="0" fontId="25" fillId="3" borderId="11" xfId="0" applyFont="1" applyFill="1" applyBorder="1" applyAlignment="1" applyProtection="1">
      <alignment horizontal="center"/>
      <protection locked="0"/>
    </xf>
    <xf numFmtId="0" fontId="25"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49" fontId="74" fillId="2" borderId="129"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6" fillId="14" borderId="11"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25" fillId="2" borderId="132" xfId="0" applyFont="1" applyFill="1" applyBorder="1" applyAlignment="1" applyProtection="1">
      <alignment horizontal="right" vertical="center" wrapText="1"/>
    </xf>
    <xf numFmtId="49" fontId="74" fillId="2" borderId="18"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6" fillId="2" borderId="4" xfId="0" applyFont="1" applyFill="1" applyBorder="1" applyAlignment="1" applyProtection="1">
      <alignment vertical="center"/>
      <protection locked="0"/>
    </xf>
    <xf numFmtId="0" fontId="56"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5" fillId="2" borderId="11" xfId="0" applyFont="1" applyFill="1" applyBorder="1" applyAlignment="1" applyProtection="1">
      <alignment horizontal="center"/>
    </xf>
    <xf numFmtId="0" fontId="31" fillId="14" borderId="79" xfId="0" applyFont="1" applyFill="1" applyBorder="1" applyAlignment="1" applyProtection="1">
      <alignment vertical="center" wrapText="1"/>
      <protection locked="0"/>
    </xf>
    <xf numFmtId="10" fontId="25" fillId="2" borderId="24" xfId="0" applyNumberFormat="1" applyFont="1" applyFill="1" applyBorder="1" applyAlignment="1" applyProtection="1">
      <alignment vertical="center" wrapText="1"/>
    </xf>
    <xf numFmtId="49" fontId="74" fillId="2" borderId="18" xfId="0" applyNumberFormat="1" applyFont="1" applyFill="1" applyBorder="1" applyAlignment="1" applyProtection="1">
      <alignment horizontal="left" vertical="center"/>
      <protection locked="0"/>
    </xf>
    <xf numFmtId="0" fontId="56" fillId="2" borderId="16" xfId="0" applyFont="1" applyFill="1" applyBorder="1" applyAlignment="1" applyProtection="1">
      <alignment horizontal="left" vertical="center"/>
      <protection locked="0"/>
    </xf>
    <xf numFmtId="49" fontId="31" fillId="2" borderId="10" xfId="0" applyNumberFormat="1" applyFont="1" applyFill="1" applyBorder="1" applyAlignment="1" applyProtection="1">
      <alignment horizontal="left" vertical="center"/>
    </xf>
    <xf numFmtId="0" fontId="31" fillId="2" borderId="10" xfId="0" applyFont="1" applyFill="1" applyBorder="1" applyAlignment="1" applyProtection="1">
      <alignment vertical="center"/>
      <protection locked="0"/>
    </xf>
    <xf numFmtId="193" fontId="31" fillId="2" borderId="11" xfId="0" applyNumberFormat="1" applyFont="1" applyFill="1" applyBorder="1" applyAlignment="1" applyProtection="1">
      <alignment horizontal="center" vertical="center"/>
    </xf>
    <xf numFmtId="0" fontId="31" fillId="14" borderId="106" xfId="0" applyFont="1" applyFill="1" applyBorder="1" applyAlignment="1" applyProtection="1">
      <alignment vertical="center" wrapText="1"/>
      <protection locked="0"/>
    </xf>
    <xf numFmtId="182" fontId="74" fillId="0" borderId="11" xfId="0" applyNumberFormat="1" applyFont="1" applyFill="1" applyBorder="1" applyAlignment="1" applyProtection="1">
      <alignment horizontal="center" vertical="center"/>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31" fillId="2" borderId="100" xfId="0" applyFont="1" applyFill="1" applyBorder="1" applyAlignment="1" applyProtection="1">
      <alignment vertical="center" wrapText="1"/>
    </xf>
    <xf numFmtId="0" fontId="31" fillId="2" borderId="101" xfId="0" applyFont="1" applyFill="1" applyBorder="1" applyAlignment="1" applyProtection="1">
      <alignment horizontal="center" vertical="center"/>
    </xf>
    <xf numFmtId="0" fontId="26" fillId="2" borderId="102" xfId="0" applyFont="1" applyFill="1" applyBorder="1" applyAlignment="1" applyProtection="1">
      <alignment horizontal="left" vertical="center" wrapText="1"/>
    </xf>
    <xf numFmtId="0" fontId="26" fillId="2" borderId="111" xfId="0" applyFont="1" applyFill="1" applyBorder="1" applyAlignment="1" applyProtection="1">
      <alignment horizontal="left" vertical="center" wrapText="1"/>
    </xf>
    <xf numFmtId="0" fontId="93" fillId="2" borderId="16"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3"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2"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49" fontId="74" fillId="2" borderId="10" xfId="0" applyNumberFormat="1" applyFont="1" applyFill="1" applyBorder="1" applyAlignment="1" applyProtection="1">
      <alignment horizontal="left" vertical="center"/>
      <protection locked="0"/>
    </xf>
    <xf numFmtId="0" fontId="74" fillId="2" borderId="1" xfId="0" applyFont="1" applyFill="1" applyBorder="1" applyAlignment="1" applyProtection="1">
      <alignment horizontal="left" vertical="center"/>
      <protection locked="0"/>
    </xf>
    <xf numFmtId="0" fontId="31" fillId="2" borderId="17" xfId="0" applyFont="1" applyFill="1" applyBorder="1" applyAlignment="1" applyProtection="1">
      <alignment vertical="center"/>
      <protection locked="0"/>
    </xf>
    <xf numFmtId="0" fontId="31" fillId="2" borderId="117"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8" xfId="0" applyFont="1" applyFill="1" applyBorder="1" applyAlignment="1" applyProtection="1">
      <alignment vertical="center"/>
      <protection locked="0"/>
    </xf>
    <xf numFmtId="0" fontId="31" fillId="2" borderId="105"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3" xfId="0" applyFont="1" applyFill="1" applyBorder="1" applyAlignment="1" applyProtection="1">
      <alignment vertical="center"/>
      <protection locked="0"/>
    </xf>
    <xf numFmtId="0" fontId="31" fillId="2" borderId="10" xfId="0" applyFont="1" applyFill="1" applyBorder="1" applyAlignment="1" applyProtection="1">
      <alignment vertical="center" wrapText="1"/>
    </xf>
    <xf numFmtId="0" fontId="31" fillId="2" borderId="15" xfId="0" applyFont="1" applyFill="1" applyBorder="1" applyAlignment="1" applyProtection="1">
      <alignment horizontal="center" vertical="center"/>
    </xf>
    <xf numFmtId="49" fontId="74" fillId="2" borderId="10" xfId="0"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protection locked="0"/>
    </xf>
    <xf numFmtId="0" fontId="56" fillId="2" borderId="17" xfId="0" applyFont="1" applyFill="1" applyBorder="1" applyAlignment="1" applyProtection="1">
      <alignment horizontal="center" vertical="center"/>
      <protection locked="0"/>
    </xf>
    <xf numFmtId="182" fontId="31" fillId="2" borderId="15"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49" fontId="36"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6" fillId="2" borderId="12" xfId="0" applyFont="1" applyFill="1" applyBorder="1" applyAlignment="1" applyProtection="1">
      <alignment horizontal="center" vertical="center"/>
    </xf>
    <xf numFmtId="0" fontId="56" fillId="2" borderId="2" xfId="0" applyFont="1" applyFill="1" applyBorder="1" applyAlignment="1" applyProtection="1">
      <alignment vertical="center"/>
      <protection locked="0"/>
    </xf>
    <xf numFmtId="0" fontId="56" fillId="2" borderId="2" xfId="0" applyFont="1" applyFill="1" applyBorder="1" applyAlignment="1" applyProtection="1">
      <alignment horizontal="left" vertical="center" wrapText="1"/>
      <protection locked="0"/>
    </xf>
    <xf numFmtId="0" fontId="31" fillId="2" borderId="1" xfId="0" applyFont="1" applyFill="1" applyBorder="1" applyAlignment="1"/>
    <xf numFmtId="0" fontId="31" fillId="2" borderId="1" xfId="0" applyFont="1" applyFill="1" applyBorder="1" applyAlignment="1">
      <alignment horizontal="center"/>
    </xf>
    <xf numFmtId="0" fontId="56" fillId="2" borderId="3" xfId="0" applyFont="1" applyFill="1" applyBorder="1" applyAlignment="1" applyProtection="1">
      <alignment vertical="center"/>
      <protection locked="0"/>
    </xf>
    <xf numFmtId="0" fontId="56" fillId="2" borderId="3" xfId="0" applyFont="1" applyFill="1" applyBorder="1" applyAlignment="1" applyProtection="1">
      <alignment horizontal="left" vertical="center" wrapText="1"/>
      <protection locked="0"/>
    </xf>
    <xf numFmtId="9" fontId="31" fillId="2" borderId="1" xfId="0" applyNumberFormat="1" applyFont="1" applyFill="1" applyBorder="1" applyAlignment="1" applyProtection="1">
      <alignment horizontal="center" vertical="center"/>
      <protection locked="0"/>
    </xf>
    <xf numFmtId="0" fontId="74" fillId="2" borderId="1" xfId="0" applyFont="1" applyFill="1" applyBorder="1" applyAlignment="1" applyProtection="1">
      <alignment horizontal="left" vertical="center" wrapText="1"/>
      <protection locked="0"/>
    </xf>
    <xf numFmtId="0" fontId="56" fillId="2" borderId="17"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193" fontId="25" fillId="2" borderId="24"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2" xfId="0" applyFont="1" applyFill="1" applyBorder="1" applyAlignment="1" applyProtection="1">
      <alignment vertical="center" wrapText="1"/>
      <protection locked="0"/>
    </xf>
    <xf numFmtId="0" fontId="116" fillId="2" borderId="24" xfId="0" applyFont="1" applyFill="1" applyBorder="1" applyAlignment="1" applyProtection="1">
      <alignment vertical="center"/>
    </xf>
    <xf numFmtId="49" fontId="74" fillId="2" borderId="29" xfId="0" applyNumberFormat="1" applyFont="1" applyFill="1" applyBorder="1" applyAlignment="1" applyProtection="1">
      <alignment vertical="center"/>
      <protection locked="0"/>
    </xf>
    <xf numFmtId="0" fontId="74" fillId="2" borderId="4" xfId="0" applyFont="1" applyFill="1" applyBorder="1" applyAlignment="1" applyProtection="1">
      <alignment vertical="center" wrapText="1"/>
      <protection locked="0"/>
    </xf>
    <xf numFmtId="0" fontId="56" fillId="2" borderId="4" xfId="0" applyFont="1" applyFill="1" applyBorder="1" applyAlignment="1" applyProtection="1">
      <alignment horizontal="left" vertical="center" wrapText="1"/>
      <protection locked="0"/>
    </xf>
    <xf numFmtId="49" fontId="74" fillId="2" borderId="117" xfId="0" applyNumberFormat="1" applyFont="1" applyFill="1" applyBorder="1" applyAlignment="1" applyProtection="1">
      <alignment vertical="center"/>
      <protection locked="0"/>
    </xf>
    <xf numFmtId="0" fontId="74" fillId="2" borderId="3" xfId="0" applyFont="1" applyFill="1" applyBorder="1" applyAlignment="1" applyProtection="1">
      <alignment vertical="center" wrapText="1"/>
      <protection locked="0"/>
    </xf>
    <xf numFmtId="49" fontId="74" fillId="2" borderId="12" xfId="0" applyNumberFormat="1" applyFont="1" applyFill="1" applyBorder="1" applyAlignment="1" applyProtection="1">
      <alignment horizontal="left" vertical="center"/>
      <protection locked="0"/>
    </xf>
    <xf numFmtId="0" fontId="74" fillId="2" borderId="13" xfId="0" applyFont="1" applyFill="1" applyBorder="1" applyAlignment="1" applyProtection="1">
      <alignment horizontal="left" vertical="center"/>
      <protection locked="0"/>
    </xf>
    <xf numFmtId="0" fontId="56" fillId="2" borderId="13" xfId="0" applyFont="1" applyFill="1" applyBorder="1" applyAlignment="1" applyProtection="1">
      <alignment vertical="center"/>
      <protection locked="0"/>
    </xf>
    <xf numFmtId="0" fontId="56" fillId="2" borderId="13" xfId="0" applyFont="1" applyFill="1" applyBorder="1" applyAlignment="1" applyProtection="1">
      <alignment horizontal="left" vertical="center"/>
      <protection locked="0"/>
    </xf>
    <xf numFmtId="0" fontId="31" fillId="14" borderId="0" xfId="0" applyFont="1" applyFill="1" applyAlignment="1" applyProtection="1">
      <alignment horizontal="center" vertical="center"/>
      <protection locked="0"/>
    </xf>
    <xf numFmtId="0" fontId="56" fillId="2" borderId="1" xfId="0" applyFont="1" applyFill="1" applyBorder="1" applyAlignment="1" applyProtection="1">
      <alignment horizontal="center"/>
    </xf>
    <xf numFmtId="0" fontId="31" fillId="2" borderId="1" xfId="0" applyFont="1" applyFill="1" applyBorder="1" applyAlignment="1" applyProtection="1">
      <alignment horizontal="left"/>
    </xf>
    <xf numFmtId="180" fontId="31" fillId="2" borderId="1" xfId="0" applyNumberFormat="1" applyFont="1" applyFill="1" applyBorder="1" applyAlignment="1" applyProtection="1">
      <alignment horizontal="center"/>
    </xf>
    <xf numFmtId="182" fontId="74"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74" fillId="2" borderId="1"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84"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6" xfId="0" applyFont="1" applyFill="1" applyBorder="1" applyAlignment="1" applyProtection="1">
      <alignment vertical="center"/>
    </xf>
    <xf numFmtId="0" fontId="74" fillId="2" borderId="84" xfId="0" applyFont="1" applyFill="1" applyBorder="1" applyAlignment="1" applyProtection="1">
      <alignment vertical="center"/>
    </xf>
    <xf numFmtId="0" fontId="81" fillId="2" borderId="2" xfId="0" applyFont="1" applyFill="1" applyBorder="1" applyAlignment="1" applyProtection="1">
      <alignment vertical="center" wrapText="1"/>
    </xf>
    <xf numFmtId="180" fontId="74" fillId="2" borderId="4" xfId="0" applyNumberFormat="1" applyFont="1" applyFill="1" applyBorder="1" applyAlignment="1" applyProtection="1">
      <alignment horizontal="right" vertical="center"/>
    </xf>
    <xf numFmtId="0" fontId="36" fillId="2" borderId="2" xfId="0" applyFont="1" applyFill="1" applyBorder="1" applyAlignment="1" applyProtection="1">
      <alignment vertical="center"/>
    </xf>
    <xf numFmtId="0" fontId="74" fillId="2" borderId="105" xfId="0" applyFont="1" applyFill="1" applyBorder="1" applyAlignment="1" applyProtection="1">
      <alignment horizontal="right" vertical="center"/>
    </xf>
    <xf numFmtId="0" fontId="74" fillId="2" borderId="113" xfId="0" applyFont="1" applyFill="1" applyBorder="1" applyAlignment="1" applyProtection="1">
      <alignment horizontal="center" vertical="center"/>
    </xf>
    <xf numFmtId="0" fontId="74" fillId="2" borderId="15"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2" xfId="0" applyFont="1" applyFill="1" applyBorder="1" applyAlignment="1" applyProtection="1">
      <alignment vertical="top" wrapText="1"/>
    </xf>
    <xf numFmtId="180" fontId="56" fillId="2" borderId="94" xfId="0" applyNumberFormat="1" applyFont="1" applyFill="1" applyBorder="1" applyAlignment="1" applyProtection="1">
      <alignment horizontal="right" vertical="center"/>
    </xf>
    <xf numFmtId="0" fontId="80" fillId="2" borderId="1" xfId="0" applyFont="1" applyFill="1" applyBorder="1" applyAlignment="1" applyProtection="1">
      <alignment horizontal="left" vertical="center"/>
    </xf>
    <xf numFmtId="177" fontId="56" fillId="2" borderId="11" xfId="0" applyNumberFormat="1" applyFont="1" applyFill="1" applyBorder="1" applyAlignment="1" applyProtection="1">
      <alignment horizontal="right" vertical="center"/>
    </xf>
    <xf numFmtId="177" fontId="56"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horizontal="right" vertical="center"/>
    </xf>
    <xf numFmtId="0" fontId="80" fillId="2" borderId="2" xfId="0" applyFont="1" applyFill="1" applyBorder="1" applyAlignment="1" applyProtection="1">
      <alignment horizontal="right" vertical="center" wrapText="1"/>
    </xf>
    <xf numFmtId="180" fontId="74" fillId="2" borderId="1" xfId="0" applyNumberFormat="1" applyFont="1" applyFill="1" applyBorder="1" applyAlignment="1" applyProtection="1">
      <alignment horizontal="right" vertical="center"/>
    </xf>
    <xf numFmtId="0" fontId="25" fillId="2" borderId="1" xfId="0" applyFont="1" applyFill="1" applyBorder="1" applyAlignment="1" applyProtection="1">
      <alignment vertical="center"/>
    </xf>
    <xf numFmtId="0" fontId="74"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49" fontId="56" fillId="2" borderId="117" xfId="0" applyNumberFormat="1" applyFont="1" applyFill="1" applyBorder="1" applyAlignment="1" applyProtection="1">
      <alignment horizontal="right" vertical="center"/>
    </xf>
    <xf numFmtId="0" fontId="80" fillId="2" borderId="3" xfId="0" applyFont="1" applyFill="1" applyBorder="1" applyAlignment="1" applyProtection="1">
      <alignment horizontal="right" vertical="center" wrapText="1"/>
    </xf>
    <xf numFmtId="180" fontId="74" fillId="2" borderId="11" xfId="0" applyNumberFormat="1" applyFont="1" applyFill="1" applyBorder="1" applyAlignment="1" applyProtection="1">
      <alignment horizontal="right" vertical="center"/>
    </xf>
    <xf numFmtId="180" fontId="74" fillId="2" borderId="87"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2" fontId="74" fillId="2" borderId="112" xfId="0" applyNumberFormat="1" applyFont="1" applyFill="1" applyBorder="1" applyAlignment="1" applyProtection="1">
      <alignment horizontal="right" vertical="center"/>
    </xf>
    <xf numFmtId="180" fontId="74" fillId="2" borderId="2" xfId="0" applyNumberFormat="1" applyFont="1" applyFill="1" applyBorder="1" applyAlignment="1" applyProtection="1">
      <alignment horizontal="right" vertical="center"/>
    </xf>
    <xf numFmtId="182" fontId="74" fillId="3" borderId="112" xfId="0" applyNumberFormat="1" applyFont="1" applyFill="1" applyBorder="1" applyAlignment="1" applyProtection="1">
      <alignment horizontal="right" vertical="center"/>
      <protection locked="0"/>
    </xf>
    <xf numFmtId="180" fontId="74" fillId="2" borderId="1" xfId="0" applyNumberFormat="1" applyFont="1" applyFill="1" applyBorder="1" applyAlignment="1" applyProtection="1">
      <alignment horizontal="right" vertical="center"/>
      <protection locked="0"/>
    </xf>
    <xf numFmtId="0" fontId="26" fillId="2" borderId="4" xfId="0" applyFont="1" applyFill="1" applyBorder="1" applyAlignment="1" applyProtection="1">
      <alignment vertical="center"/>
    </xf>
    <xf numFmtId="182" fontId="74" fillId="2" borderId="31" xfId="0" applyNumberFormat="1" applyFont="1" applyFill="1" applyBorder="1" applyAlignment="1" applyProtection="1">
      <alignment horizontal="right" vertical="center"/>
    </xf>
    <xf numFmtId="0" fontId="117" fillId="2" borderId="1" xfId="0" applyFont="1" applyFill="1" applyBorder="1" applyAlignment="1" applyProtection="1">
      <alignment horizontal="right" vertical="center" wrapText="1"/>
    </xf>
    <xf numFmtId="177" fontId="74" fillId="2" borderId="1" xfId="0" applyNumberFormat="1" applyFont="1" applyFill="1" applyBorder="1" applyAlignment="1" applyProtection="1">
      <alignment horizontal="right" vertical="center"/>
      <protection locked="0"/>
    </xf>
    <xf numFmtId="180" fontId="74" fillId="0" borderId="6" xfId="0" applyNumberFormat="1" applyFont="1" applyFill="1" applyBorder="1" applyAlignment="1" applyProtection="1">
      <alignment horizontal="right" vertical="center"/>
      <protection locked="0"/>
    </xf>
    <xf numFmtId="182" fontId="74" fillId="2" borderId="144"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horizontal="right" vertical="center"/>
    </xf>
    <xf numFmtId="0" fontId="74" fillId="2" borderId="122"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2" xfId="0" applyFont="1" applyFill="1" applyBorder="1" applyAlignment="1" applyProtection="1">
      <alignment horizontal="left" vertical="center" wrapText="1"/>
    </xf>
    <xf numFmtId="0" fontId="74" fillId="2" borderId="146" xfId="0" applyFont="1" applyFill="1" applyBorder="1" applyAlignment="1" applyProtection="1">
      <alignment horizontal="center" vertical="center"/>
    </xf>
    <xf numFmtId="0" fontId="74" fillId="2" borderId="113" xfId="0" applyFont="1" applyFill="1" applyBorder="1" applyAlignment="1" applyProtection="1">
      <alignment horizontal="right" vertical="center"/>
    </xf>
    <xf numFmtId="182" fontId="56" fillId="2" borderId="87" xfId="0" applyNumberFormat="1" applyFont="1" applyFill="1" applyBorder="1" applyAlignment="1" applyProtection="1">
      <alignment horizontal="right" vertical="center" wrapText="1"/>
    </xf>
    <xf numFmtId="0" fontId="80" fillId="2" borderId="1" xfId="0" applyFont="1" applyFill="1" applyBorder="1" applyAlignment="1" applyProtection="1">
      <alignment horizontal="left" vertical="center" wrapText="1"/>
    </xf>
    <xf numFmtId="0" fontId="80" fillId="2" borderId="17" xfId="0" applyFont="1" applyFill="1" applyBorder="1" applyAlignment="1" applyProtection="1">
      <alignment vertical="center"/>
    </xf>
    <xf numFmtId="0" fontId="80" fillId="2" borderId="87"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1" xfId="0" applyFont="1" applyFill="1" applyBorder="1" applyAlignment="1" applyProtection="1">
      <alignment horizontal="right" vertical="center"/>
    </xf>
    <xf numFmtId="0" fontId="6" fillId="2" borderId="1" xfId="0" applyFont="1" applyFill="1" applyBorder="1" applyAlignment="1" applyProtection="1">
      <alignment vertical="center"/>
      <protection locked="0"/>
    </xf>
    <xf numFmtId="182" fontId="56" fillId="2" borderId="11" xfId="0" applyNumberFormat="1" applyFont="1" applyFill="1" applyBorder="1" applyAlignment="1" applyProtection="1">
      <alignment horizontal="right" vertical="center"/>
    </xf>
    <xf numFmtId="0" fontId="25" fillId="2" borderId="1" xfId="0" applyFont="1" applyFill="1" applyBorder="1" applyAlignment="1" applyProtection="1">
      <alignment vertical="center"/>
      <protection locked="0"/>
    </xf>
    <xf numFmtId="182" fontId="56" fillId="2" borderId="87" xfId="0" applyNumberFormat="1" applyFont="1" applyFill="1" applyBorder="1" applyAlignment="1" applyProtection="1">
      <alignment horizontal="right" vertical="center"/>
    </xf>
    <xf numFmtId="180" fontId="25" fillId="2" borderId="1" xfId="0" applyNumberFormat="1" applyFont="1" applyFill="1" applyBorder="1" applyAlignment="1" applyProtection="1">
      <alignment horizontal="right" vertical="center"/>
      <protection locked="0"/>
    </xf>
    <xf numFmtId="0" fontId="77" fillId="2" borderId="1"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1" xfId="0" applyFont="1" applyFill="1" applyBorder="1" applyAlignment="1" applyProtection="1">
      <alignment horizontal="left" vertical="center" wrapText="1"/>
      <protection locked="0"/>
    </xf>
    <xf numFmtId="0" fontId="80" fillId="2" borderId="2" xfId="0" applyFont="1" applyFill="1" applyBorder="1" applyAlignment="1" applyProtection="1">
      <alignment horizontal="left" vertical="center"/>
    </xf>
    <xf numFmtId="180" fontId="56" fillId="2" borderId="2"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horizontal="right" vertical="center"/>
    </xf>
    <xf numFmtId="177" fontId="74" fillId="2" borderId="11" xfId="0" applyNumberFormat="1" applyFont="1" applyFill="1" applyBorder="1" applyAlignment="1" applyProtection="1">
      <alignment horizontal="right" vertical="center"/>
    </xf>
    <xf numFmtId="177" fontId="74"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vertical="center"/>
    </xf>
    <xf numFmtId="180" fontId="56" fillId="2" borderId="2" xfId="0" applyNumberFormat="1" applyFont="1" applyFill="1" applyBorder="1" applyAlignment="1" applyProtection="1">
      <alignment vertical="center"/>
    </xf>
    <xf numFmtId="0" fontId="56" fillId="2" borderId="2" xfId="0" applyFont="1" applyFill="1" applyBorder="1" applyAlignment="1" applyProtection="1">
      <alignment vertical="center" wrapText="1"/>
    </xf>
    <xf numFmtId="182" fontId="74" fillId="2" borderId="87"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vertical="center"/>
    </xf>
    <xf numFmtId="0" fontId="56" fillId="2" borderId="3" xfId="0" applyFont="1" applyFill="1" applyBorder="1" applyAlignment="1" applyProtection="1">
      <alignment vertical="center" wrapText="1"/>
    </xf>
    <xf numFmtId="180" fontId="56" fillId="2" borderId="6" xfId="0" applyNumberFormat="1" applyFont="1" applyFill="1" applyBorder="1" applyAlignment="1" applyProtection="1">
      <alignment horizontal="right" vertical="center"/>
    </xf>
    <xf numFmtId="182" fontId="74" fillId="2" borderId="120"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3"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6" xfId="0" applyFont="1" applyFill="1" applyBorder="1" applyAlignment="1" applyProtection="1">
      <alignment horizontal="center" vertical="center" wrapText="1"/>
    </xf>
    <xf numFmtId="0" fontId="74" fillId="2" borderId="113"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2"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xf>
    <xf numFmtId="180" fontId="74" fillId="2" borderId="2" xfId="0" applyNumberFormat="1" applyFont="1" applyFill="1" applyBorder="1" applyAlignment="1" applyProtection="1">
      <alignment vertical="center"/>
    </xf>
    <xf numFmtId="0" fontId="74" fillId="2" borderId="2" xfId="0" applyFont="1" applyFill="1" applyBorder="1" applyAlignment="1" applyProtection="1">
      <alignment horizontal="left" vertical="center"/>
    </xf>
    <xf numFmtId="180" fontId="74" fillId="2" borderId="4" xfId="0" applyNumberFormat="1" applyFont="1" applyFill="1" applyBorder="1" applyAlignment="1" applyProtection="1">
      <alignment vertical="center"/>
    </xf>
    <xf numFmtId="0" fontId="74"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right" vertical="center"/>
    </xf>
    <xf numFmtId="185" fontId="74" fillId="2" borderId="87"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vertical="center"/>
    </xf>
    <xf numFmtId="49" fontId="74" fillId="17" borderId="10" xfId="0" applyNumberFormat="1" applyFont="1" applyFill="1" applyBorder="1" applyAlignment="1" applyProtection="1">
      <alignment vertical="center"/>
    </xf>
    <xf numFmtId="0" fontId="7" fillId="17" borderId="1" xfId="0" applyFont="1" applyFill="1" applyBorder="1" applyAlignment="1" applyProtection="1">
      <alignment vertical="center" wrapText="1"/>
    </xf>
    <xf numFmtId="180" fontId="74" fillId="17" borderId="1" xfId="0" applyNumberFormat="1" applyFont="1" applyFill="1" applyBorder="1" applyAlignment="1" applyProtection="1">
      <alignment horizontal="right" vertical="center"/>
    </xf>
    <xf numFmtId="0" fontId="36" fillId="3" borderId="27" xfId="0" applyFont="1" applyFill="1" applyBorder="1" applyAlignment="1" applyProtection="1">
      <alignment vertical="center"/>
      <protection locked="0"/>
    </xf>
    <xf numFmtId="0" fontId="8" fillId="2" borderId="1" xfId="0" applyFont="1" applyFill="1" applyBorder="1" applyAlignment="1" applyProtection="1">
      <alignment vertical="center"/>
    </xf>
    <xf numFmtId="182" fontId="23" fillId="2" borderId="19" xfId="3" applyNumberFormat="1" applyFont="1" applyFill="1" applyBorder="1" applyAlignment="1" applyProtection="1">
      <alignment horizontal="right" vertical="center"/>
    </xf>
    <xf numFmtId="49" fontId="74" fillId="17" borderId="12" xfId="0" applyNumberFormat="1" applyFont="1" applyFill="1" applyBorder="1" applyAlignment="1" applyProtection="1">
      <alignment horizontal="left" vertical="center"/>
    </xf>
    <xf numFmtId="0" fontId="74" fillId="17" borderId="13" xfId="0" applyFont="1" applyFill="1" applyBorder="1" applyAlignment="1" applyProtection="1">
      <alignment horizontal="left" vertical="center"/>
    </xf>
    <xf numFmtId="180" fontId="74" fillId="17" borderId="13" xfId="0" applyNumberFormat="1" applyFont="1" applyFill="1" applyBorder="1" applyAlignment="1" applyProtection="1">
      <alignment horizontal="right" vertical="center"/>
    </xf>
    <xf numFmtId="0" fontId="74" fillId="17" borderId="13" xfId="0" applyFont="1" applyFill="1" applyBorder="1" applyAlignment="1" applyProtection="1">
      <alignment vertical="center"/>
    </xf>
    <xf numFmtId="185" fontId="74" fillId="2" borderId="14" xfId="0" applyNumberFormat="1" applyFont="1" applyFill="1" applyBorder="1" applyAlignment="1" applyProtection="1">
      <alignment horizontal="right" vertical="center"/>
    </xf>
    <xf numFmtId="0" fontId="118" fillId="17" borderId="13" xfId="0" applyFont="1" applyFill="1" applyBorder="1" applyAlignment="1" applyProtection="1">
      <alignment vertical="center"/>
      <protection locked="0"/>
    </xf>
    <xf numFmtId="180" fontId="23" fillId="17" borderId="13" xfId="0" applyNumberFormat="1" applyFont="1" applyFill="1" applyBorder="1" applyAlignment="1" applyProtection="1">
      <alignment horizontal="right" vertical="center"/>
      <protection locked="0"/>
    </xf>
    <xf numFmtId="0" fontId="23" fillId="17" borderId="23" xfId="0" applyFont="1" applyFill="1" applyBorder="1" applyAlignment="1" applyProtection="1">
      <alignment vertical="center"/>
    </xf>
    <xf numFmtId="0" fontId="55" fillId="17" borderId="13" xfId="0" applyFont="1" applyFill="1" applyBorder="1" applyAlignment="1" applyProtection="1">
      <alignment vertical="center"/>
    </xf>
    <xf numFmtId="0" fontId="55" fillId="17" borderId="91" xfId="0" applyFont="1" applyFill="1" applyBorder="1" applyAlignment="1" applyProtection="1">
      <alignment vertical="center"/>
    </xf>
    <xf numFmtId="182" fontId="31" fillId="0" borderId="0" xfId="3" applyNumberFormat="1" applyFont="1" applyFill="1" applyAlignment="1" applyProtection="1">
      <alignment horizontal="right" vertical="center"/>
      <protection locked="0"/>
    </xf>
    <xf numFmtId="49" fontId="74" fillId="2" borderId="20" xfId="0" applyNumberFormat="1" applyFont="1" applyFill="1" applyBorder="1" applyAlignment="1" applyProtection="1">
      <alignment horizontal="left" vertical="center"/>
    </xf>
    <xf numFmtId="0" fontId="74" fillId="2" borderId="21" xfId="0" applyFont="1" applyFill="1" applyBorder="1" applyAlignment="1" applyProtection="1">
      <alignment horizontal="left" vertical="center"/>
    </xf>
    <xf numFmtId="0" fontId="81" fillId="2" borderId="21" xfId="0" applyFont="1" applyFill="1" applyBorder="1" applyAlignment="1" applyProtection="1">
      <alignment horizontal="left" vertical="center"/>
    </xf>
    <xf numFmtId="0" fontId="74" fillId="2" borderId="80" xfId="0" applyFont="1" applyFill="1" applyBorder="1" applyAlignment="1" applyProtection="1">
      <alignment horizontal="left" vertical="center"/>
    </xf>
    <xf numFmtId="0" fontId="74" fillId="2" borderId="109" xfId="0" applyFont="1" applyFill="1" applyBorder="1" applyAlignment="1" applyProtection="1">
      <alignment horizontal="center" vertical="center"/>
    </xf>
    <xf numFmtId="180" fontId="74" fillId="2" borderId="8" xfId="0" applyNumberFormat="1" applyFont="1" applyFill="1" applyBorder="1" applyAlignment="1" applyProtection="1">
      <alignment horizontal="right" vertical="center"/>
    </xf>
    <xf numFmtId="0" fontId="81" fillId="2" borderId="8" xfId="0" applyFont="1" applyFill="1" applyBorder="1" applyAlignment="1" applyProtection="1">
      <alignment vertical="center"/>
    </xf>
    <xf numFmtId="0" fontId="31" fillId="2" borderId="8" xfId="0" applyFont="1" applyFill="1" applyBorder="1" applyAlignment="1" applyProtection="1">
      <alignment vertical="center"/>
      <protection locked="0"/>
    </xf>
    <xf numFmtId="0" fontId="31" fillId="2" borderId="9" xfId="0" applyFont="1" applyFill="1" applyBorder="1" applyAlignment="1" applyProtection="1">
      <alignment vertical="center"/>
      <protection locked="0"/>
    </xf>
    <xf numFmtId="49" fontId="74" fillId="2" borderId="82"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180" fontId="56" fillId="2" borderId="8" xfId="0" applyNumberFormat="1" applyFont="1" applyFill="1" applyBorder="1" applyAlignment="1" applyProtection="1">
      <alignment horizontal="right" vertical="center"/>
    </xf>
    <xf numFmtId="0" fontId="7" fillId="2" borderId="8" xfId="0" applyFont="1" applyFill="1" applyBorder="1" applyAlignment="1" applyProtection="1">
      <alignment horizontal="left" vertical="center" wrapText="1"/>
    </xf>
    <xf numFmtId="0" fontId="56" fillId="2" borderId="8" xfId="0" applyFont="1" applyFill="1" applyBorder="1" applyAlignment="1" applyProtection="1">
      <alignment vertical="center"/>
    </xf>
    <xf numFmtId="0" fontId="56" fillId="2" borderId="9" xfId="0" applyFont="1" applyFill="1" applyBorder="1" applyAlignment="1" applyProtection="1">
      <alignment vertical="center"/>
    </xf>
    <xf numFmtId="0" fontId="56" fillId="2" borderId="1" xfId="0" applyFont="1" applyFill="1" applyBorder="1" applyAlignment="1" applyProtection="1">
      <alignment horizontal="right" vertical="center"/>
    </xf>
    <xf numFmtId="49" fontId="56" fillId="2" borderId="86"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49" fontId="74" fillId="2" borderId="89" xfId="0" applyNumberFormat="1" applyFont="1" applyFill="1" applyBorder="1" applyAlignment="1" applyProtection="1">
      <alignment horizontal="left" vertical="center"/>
    </xf>
    <xf numFmtId="0" fontId="74" fillId="2" borderId="12" xfId="0" applyFont="1" applyFill="1" applyBorder="1" applyAlignment="1" applyProtection="1">
      <alignment horizontal="left" vertical="center"/>
    </xf>
    <xf numFmtId="180" fontId="74" fillId="2" borderId="13" xfId="0" applyNumberFormat="1" applyFont="1" applyFill="1" applyBorder="1" applyAlignment="1" applyProtection="1">
      <alignment horizontal="right" vertical="center"/>
    </xf>
    <xf numFmtId="0" fontId="81" fillId="2" borderId="13" xfId="0" applyFont="1" applyFill="1" applyBorder="1" applyAlignment="1" applyProtection="1">
      <alignment horizontal="left" vertical="center" wrapText="1"/>
    </xf>
    <xf numFmtId="0" fontId="56" fillId="2" borderId="14" xfId="0" applyFont="1" applyFill="1" applyBorder="1" applyAlignment="1" applyProtection="1">
      <alignment vertical="center"/>
    </xf>
    <xf numFmtId="180" fontId="56" fillId="2" borderId="11" xfId="0" applyNumberFormat="1" applyFont="1" applyFill="1" applyBorder="1" applyAlignment="1" applyProtection="1">
      <alignment horizontal="right" vertical="center"/>
    </xf>
    <xf numFmtId="0" fontId="74" fillId="2" borderId="1" xfId="0" applyFont="1" applyFill="1" applyBorder="1" applyAlignment="1" applyProtection="1">
      <alignment vertical="center" wrapText="1"/>
    </xf>
    <xf numFmtId="0" fontId="81" fillId="2" borderId="1" xfId="0" applyFont="1" applyFill="1" applyBorder="1" applyAlignment="1" applyProtection="1">
      <alignment horizontal="left" vertical="center"/>
    </xf>
    <xf numFmtId="49" fontId="74" fillId="2" borderId="1" xfId="0" applyNumberFormat="1" applyFont="1" applyFill="1" applyBorder="1" applyAlignment="1" applyProtection="1">
      <alignment horizontal="right" vertical="center"/>
    </xf>
    <xf numFmtId="181" fontId="56" fillId="2" borderId="1" xfId="0" applyNumberFormat="1" applyFont="1" applyFill="1" applyBorder="1" applyAlignment="1" applyProtection="1">
      <alignment horizontal="right" vertical="center"/>
    </xf>
    <xf numFmtId="10" fontId="56" fillId="2" borderId="11" xfId="0" applyNumberFormat="1" applyFont="1" applyFill="1" applyBorder="1" applyAlignment="1" applyProtection="1">
      <alignment horizontal="right" vertical="center"/>
    </xf>
    <xf numFmtId="0" fontId="56" fillId="2" borderId="11" xfId="0" applyFont="1" applyFill="1" applyBorder="1" applyAlignment="1" applyProtection="1">
      <alignment horizontal="right" vertical="center"/>
    </xf>
    <xf numFmtId="0" fontId="81" fillId="2" borderId="1"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7" fillId="2" borderId="1"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xf>
    <xf numFmtId="49" fontId="81" fillId="2" borderId="12" xfId="0" applyNumberFormat="1" applyFont="1" applyFill="1" applyBorder="1" applyAlignment="1" applyProtection="1">
      <alignment horizontal="left" vertical="center"/>
    </xf>
    <xf numFmtId="0" fontId="81" fillId="2" borderId="13" xfId="0" applyFont="1" applyFill="1" applyBorder="1" applyAlignment="1" applyProtection="1">
      <alignment horizontal="left" vertical="center"/>
    </xf>
    <xf numFmtId="182" fontId="74" fillId="2" borderId="14"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8" xfId="0" applyFont="1" applyFill="1" applyBorder="1" applyAlignment="1" applyProtection="1">
      <alignment horizontal="right" vertical="center"/>
    </xf>
    <xf numFmtId="180" fontId="23" fillId="2" borderId="145" xfId="0" applyNumberFormat="1" applyFont="1" applyFill="1" applyBorder="1" applyAlignment="1" applyProtection="1">
      <alignment horizontal="right"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horizontal="left" vertical="center" wrapText="1"/>
    </xf>
    <xf numFmtId="0" fontId="23" fillId="2" borderId="111" xfId="0" applyFont="1" applyFill="1" applyBorder="1" applyAlignment="1" applyProtection="1">
      <alignment vertical="center" wrapText="1"/>
    </xf>
    <xf numFmtId="49" fontId="74" fillId="2" borderId="7" xfId="0" applyNumberFormat="1" applyFont="1" applyFill="1" applyBorder="1" applyAlignment="1" applyProtection="1">
      <alignment horizontal="left" vertical="center"/>
      <protection locked="0"/>
    </xf>
    <xf numFmtId="0" fontId="74" fillId="2" borderId="21"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protection locked="0"/>
    </xf>
    <xf numFmtId="0" fontId="74" fillId="2" borderId="109" xfId="0" applyFont="1" applyFill="1" applyBorder="1" applyAlignment="1" applyProtection="1">
      <alignment horizontal="center" vertical="center"/>
      <protection locked="0"/>
    </xf>
    <xf numFmtId="180" fontId="31" fillId="2" borderId="9"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0" fontId="8" fillId="2" borderId="24" xfId="0" applyFont="1" applyFill="1" applyBorder="1" applyAlignment="1" applyProtection="1">
      <alignment vertical="center"/>
    </xf>
    <xf numFmtId="177" fontId="23" fillId="2" borderId="24" xfId="0" applyNumberFormat="1" applyFont="1" applyFill="1" applyBorder="1" applyAlignment="1" applyProtection="1">
      <alignment horizontal="right" vertical="center" wrapText="1"/>
    </xf>
    <xf numFmtId="0" fontId="23" fillId="2" borderId="24" xfId="0" applyFont="1" applyFill="1" applyBorder="1" applyAlignment="1" applyProtection="1">
      <alignment vertical="center" wrapText="1"/>
    </xf>
    <xf numFmtId="180" fontId="74" fillId="2" borderId="15" xfId="0" applyNumberFormat="1" applyFont="1" applyFill="1" applyBorder="1" applyAlignment="1" applyProtection="1">
      <alignment horizontal="right" vertical="center"/>
    </xf>
    <xf numFmtId="0" fontId="74" fillId="2" borderId="15" xfId="0" applyFont="1" applyFill="1" applyBorder="1" applyAlignment="1" applyProtection="1">
      <alignment horizontal="right" vertical="center"/>
      <protection locked="0"/>
    </xf>
    <xf numFmtId="0" fontId="74" fillId="2" borderId="87" xfId="0" applyFont="1" applyFill="1" applyBorder="1" applyAlignment="1" applyProtection="1">
      <alignment horizontal="center" vertical="center"/>
      <protection locked="0"/>
    </xf>
    <xf numFmtId="177" fontId="31" fillId="2" borderId="11" xfId="0" applyNumberFormat="1" applyFont="1" applyFill="1" applyBorder="1" applyAlignment="1" applyProtection="1">
      <alignment horizontal="right" vertical="center"/>
    </xf>
    <xf numFmtId="0" fontId="23" fillId="2" borderId="24" xfId="0" applyFont="1" applyFill="1" applyBorder="1" applyAlignment="1" applyProtection="1">
      <alignment vertical="center"/>
    </xf>
    <xf numFmtId="49" fontId="56" fillId="2" borderId="129" xfId="0" applyNumberFormat="1" applyFont="1" applyFill="1" applyBorder="1" applyAlignment="1" applyProtection="1">
      <alignment horizontal="center" vertical="center"/>
      <protection locked="0"/>
    </xf>
    <xf numFmtId="180" fontId="74" fillId="2" borderId="93" xfId="0" applyNumberFormat="1" applyFont="1" applyFill="1" applyBorder="1" applyAlignment="1" applyProtection="1">
      <alignment horizontal="right" vertical="center"/>
    </xf>
    <xf numFmtId="0" fontId="80" fillId="2" borderId="1" xfId="0" applyFont="1" applyFill="1" applyBorder="1" applyAlignment="1" applyProtection="1">
      <protection locked="0"/>
    </xf>
    <xf numFmtId="0" fontId="36" fillId="14" borderId="11" xfId="0" applyFont="1" applyFill="1" applyBorder="1" applyAlignment="1" applyProtection="1">
      <alignment horizontal="right" vertical="center"/>
      <protection locked="0"/>
    </xf>
    <xf numFmtId="180" fontId="31" fillId="14" borderId="11" xfId="0" applyNumberFormat="1" applyFont="1" applyFill="1" applyBorder="1" applyAlignment="1" applyProtection="1">
      <alignment horizontal="right" vertical="center"/>
      <protection locked="0"/>
    </xf>
    <xf numFmtId="180" fontId="31" fillId="0" borderId="11" xfId="0" applyNumberFormat="1" applyFont="1" applyFill="1" applyBorder="1" applyAlignment="1" applyProtection="1">
      <alignment horizontal="right" vertical="center"/>
      <protection locked="0"/>
    </xf>
    <xf numFmtId="0" fontId="10" fillId="2" borderId="24" xfId="0" applyFont="1" applyFill="1" applyBorder="1" applyAlignment="1" applyProtection="1">
      <alignment vertical="center"/>
    </xf>
    <xf numFmtId="177" fontId="25" fillId="2" borderId="24" xfId="0" applyNumberFormat="1" applyFont="1" applyFill="1" applyBorder="1" applyAlignment="1" applyProtection="1">
      <alignment horizontal="right" vertical="center" wrapText="1"/>
    </xf>
    <xf numFmtId="49" fontId="56" fillId="2" borderId="81" xfId="0" applyNumberFormat="1" applyFont="1" applyFill="1" applyBorder="1" applyAlignment="1" applyProtection="1">
      <alignment horizontal="right" vertical="center"/>
      <protection locked="0"/>
    </xf>
    <xf numFmtId="0" fontId="74" fillId="2" borderId="85" xfId="0" applyFont="1" applyFill="1" applyBorder="1" applyAlignment="1" applyProtection="1">
      <alignment horizontal="right" vertical="center"/>
    </xf>
    <xf numFmtId="177" fontId="25" fillId="2" borderId="11" xfId="0" applyNumberFormat="1" applyFont="1" applyFill="1" applyBorder="1" applyAlignment="1" applyProtection="1">
      <alignment horizontal="right"/>
    </xf>
    <xf numFmtId="10" fontId="25"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right" vertical="center"/>
      <protection locked="0"/>
    </xf>
    <xf numFmtId="180" fontId="74" fillId="2" borderId="3" xfId="0" applyNumberFormat="1" applyFont="1" applyFill="1" applyBorder="1" applyAlignment="1" applyProtection="1">
      <alignment horizontal="right" vertical="center"/>
      <protection locked="0"/>
    </xf>
    <xf numFmtId="180" fontId="31" fillId="2" borderId="11" xfId="0" applyNumberFormat="1" applyFont="1" applyFill="1" applyBorder="1" applyAlignment="1" applyProtection="1">
      <alignment horizontal="right" vertical="center"/>
    </xf>
    <xf numFmtId="49" fontId="56" fillId="2" borderId="18" xfId="0" applyNumberFormat="1" applyFont="1" applyFill="1" applyBorder="1" applyAlignment="1" applyProtection="1">
      <alignment horizontal="right" vertical="center"/>
      <protection locked="0"/>
    </xf>
    <xf numFmtId="180" fontId="74" fillId="2" borderId="92" xfId="0" applyNumberFormat="1" applyFont="1" applyFill="1" applyBorder="1" applyAlignment="1" applyProtection="1">
      <alignment horizontal="right" vertical="center"/>
      <protection locked="0"/>
    </xf>
    <xf numFmtId="182" fontId="74" fillId="0" borderId="11" xfId="0" applyNumberFormat="1" applyFont="1" applyFill="1" applyBorder="1" applyAlignment="1" applyProtection="1">
      <alignment horizontal="right" vertical="center"/>
      <protection locked="0"/>
    </xf>
    <xf numFmtId="10" fontId="31" fillId="0" borderId="14" xfId="0" applyNumberFormat="1" applyFont="1" applyFill="1" applyBorder="1" applyAlignment="1" applyProtection="1">
      <alignment horizontal="right" vertical="center"/>
      <protection locked="0"/>
    </xf>
    <xf numFmtId="180" fontId="31" fillId="0" borderId="14" xfId="0" applyNumberFormat="1" applyFont="1" applyFill="1" applyBorder="1" applyAlignment="1" applyProtection="1">
      <alignment horizontal="right" vertical="center"/>
      <protection locked="0"/>
    </xf>
    <xf numFmtId="49" fontId="56" fillId="2" borderId="81" xfId="0" applyNumberFormat="1" applyFont="1" applyFill="1" applyBorder="1" applyAlignment="1" applyProtection="1">
      <alignment horizontal="center" vertical="center"/>
      <protection locked="0"/>
    </xf>
    <xf numFmtId="0" fontId="56" fillId="2" borderId="16" xfId="0" applyFont="1" applyFill="1" applyBorder="1" applyAlignment="1" applyProtection="1">
      <alignment vertical="center" wrapText="1"/>
    </xf>
    <xf numFmtId="182" fontId="74" fillId="3" borderId="31" xfId="0" applyNumberFormat="1" applyFont="1" applyFill="1" applyBorder="1" applyAlignment="1" applyProtection="1">
      <alignment horizontal="left" vertical="center"/>
      <protection locked="0"/>
    </xf>
    <xf numFmtId="177" fontId="31" fillId="2" borderId="101" xfId="0" applyNumberFormat="1" applyFont="1" applyFill="1" applyBorder="1" applyAlignment="1" applyProtection="1">
      <alignment horizontal="right" vertical="center"/>
    </xf>
    <xf numFmtId="49" fontId="74" fillId="2" borderId="117"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7" fontId="74" fillId="0" borderId="6" xfId="0" applyNumberFormat="1" applyFont="1" applyFill="1" applyBorder="1" applyAlignment="1" applyProtection="1">
      <alignment horizontal="right" vertical="center"/>
      <protection locked="0"/>
    </xf>
    <xf numFmtId="0" fontId="74" fillId="2" borderId="17" xfId="0" applyFont="1" applyFill="1" applyBorder="1" applyAlignment="1" applyProtection="1">
      <alignment horizontal="center" vertical="center"/>
      <protection locked="0"/>
    </xf>
    <xf numFmtId="177" fontId="31" fillId="2" borderId="15" xfId="0" applyNumberFormat="1" applyFont="1" applyFill="1" applyBorder="1" applyAlignment="1" applyProtection="1">
      <alignment horizontal="right" vertical="center"/>
    </xf>
    <xf numFmtId="181" fontId="31" fillId="2" borderId="11" xfId="0" applyNumberFormat="1" applyFont="1" applyFill="1" applyBorder="1" applyAlignment="1" applyProtection="1">
      <alignment horizontal="right" vertical="center"/>
    </xf>
    <xf numFmtId="182" fontId="31" fillId="2" borderId="15" xfId="0" applyNumberFormat="1" applyFont="1" applyFill="1" applyBorder="1" applyAlignment="1" applyProtection="1">
      <alignment horizontal="right" vertical="center"/>
    </xf>
    <xf numFmtId="180" fontId="31" fillId="2" borderId="15" xfId="0" applyNumberFormat="1" applyFont="1" applyFill="1" applyBorder="1" applyAlignment="1" applyProtection="1">
      <alignment horizontal="right" vertical="center"/>
    </xf>
    <xf numFmtId="180" fontId="31" fillId="2" borderId="14" xfId="0" applyNumberFormat="1" applyFont="1" applyFill="1" applyBorder="1" applyAlignment="1" applyProtection="1">
      <alignment horizontal="right" vertical="center"/>
    </xf>
    <xf numFmtId="181" fontId="25" fillId="2" borderId="24" xfId="0" applyNumberFormat="1" applyFont="1" applyFill="1" applyBorder="1" applyAlignment="1" applyProtection="1">
      <alignment horizontal="right" vertical="center" wrapText="1"/>
    </xf>
    <xf numFmtId="0" fontId="80" fillId="2" borderId="2" xfId="0" applyFont="1" applyFill="1" applyBorder="1" applyAlignment="1" applyProtection="1">
      <alignment vertical="center"/>
      <protection locked="0"/>
    </xf>
    <xf numFmtId="180" fontId="31" fillId="2" borderId="1" xfId="0" applyNumberFormat="1" applyFont="1" applyFill="1" applyBorder="1" applyAlignment="1"/>
    <xf numFmtId="180" fontId="31" fillId="2" borderId="1" xfId="0" applyNumberFormat="1" applyFont="1" applyFill="1" applyBorder="1" applyAlignment="1">
      <alignment horizontal="center"/>
    </xf>
    <xf numFmtId="49" fontId="56" fillId="2" borderId="81" xfId="0" applyNumberFormat="1" applyFont="1" applyFill="1" applyBorder="1" applyAlignment="1" applyProtection="1">
      <alignment horizontal="center" vertical="center"/>
    </xf>
    <xf numFmtId="0" fontId="56" fillId="2" borderId="2" xfId="0" applyFont="1" applyFill="1" applyBorder="1" applyAlignment="1" applyProtection="1">
      <alignment vertical="center" wrapText="1"/>
      <protection locked="0"/>
    </xf>
    <xf numFmtId="180" fontId="23"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center" vertical="center"/>
    </xf>
    <xf numFmtId="0" fontId="56" fillId="2" borderId="3" xfId="0" applyFont="1" applyFill="1" applyBorder="1" applyAlignment="1" applyProtection="1">
      <alignment vertical="center" wrapText="1"/>
      <protection locked="0"/>
    </xf>
    <xf numFmtId="181" fontId="23" fillId="2" borderId="24" xfId="0" applyNumberFormat="1" applyFont="1" applyFill="1" applyBorder="1" applyAlignment="1" applyProtection="1">
      <alignment horizontal="right" vertical="center" wrapText="1"/>
    </xf>
    <xf numFmtId="180" fontId="36" fillId="2" borderId="11" xfId="0" applyNumberFormat="1" applyFont="1" applyFill="1" applyBorder="1" applyAlignment="1" applyProtection="1">
      <alignment horizontal="right" vertical="center"/>
    </xf>
    <xf numFmtId="180" fontId="25" fillId="2" borderId="24" xfId="0" applyNumberFormat="1" applyFont="1" applyFill="1" applyBorder="1" applyAlignment="1" applyProtection="1">
      <alignment horizontal="right" vertical="center" wrapText="1"/>
    </xf>
    <xf numFmtId="0" fontId="74" fillId="2" borderId="17" xfId="0" applyFont="1" applyFill="1" applyBorder="1" applyAlignment="1" applyProtection="1">
      <alignment horizontal="center" vertical="center" wrapText="1"/>
      <protection locked="0"/>
    </xf>
    <xf numFmtId="0" fontId="74" fillId="2" borderId="87" xfId="0" applyFont="1" applyFill="1" applyBorder="1" applyAlignment="1" applyProtection="1">
      <alignment horizontal="right" vertical="center" wrapText="1"/>
      <protection locked="0"/>
    </xf>
    <xf numFmtId="49" fontId="74" fillId="2" borderId="129" xfId="0" applyNumberFormat="1" applyFont="1" applyFill="1" applyBorder="1" applyAlignment="1" applyProtection="1">
      <alignment vertical="center"/>
      <protection locked="0"/>
    </xf>
    <xf numFmtId="0" fontId="74" fillId="2" borderId="94" xfId="0" applyFont="1" applyFill="1" applyBorder="1" applyAlignment="1" applyProtection="1">
      <alignment horizontal="left" vertical="center" wrapText="1"/>
      <protection locked="0"/>
    </xf>
    <xf numFmtId="49" fontId="74" fillId="2" borderId="18" xfId="0" applyNumberFormat="1" applyFont="1" applyFill="1" applyBorder="1" applyAlignment="1" applyProtection="1">
      <alignment vertical="center"/>
      <protection locked="0"/>
    </xf>
    <xf numFmtId="0" fontId="74" fillId="2" borderId="79" xfId="0" applyFont="1" applyFill="1" applyBorder="1" applyAlignment="1" applyProtection="1">
      <alignment horizontal="left" vertical="center" wrapText="1"/>
      <protection locked="0"/>
    </xf>
    <xf numFmtId="0" fontId="36" fillId="2" borderId="118" xfId="0" applyFont="1" applyFill="1" applyBorder="1" applyAlignment="1" applyProtection="1">
      <alignment vertical="center"/>
      <protection locked="0"/>
    </xf>
    <xf numFmtId="0" fontId="36" fillId="2" borderId="3" xfId="0" applyFont="1" applyFill="1" applyBorder="1" applyAlignment="1" applyProtection="1">
      <alignment vertical="center"/>
      <protection locked="0"/>
    </xf>
    <xf numFmtId="0" fontId="36" fillId="2" borderId="106" xfId="0" applyFont="1" applyFill="1" applyBorder="1" applyAlignment="1" applyProtection="1">
      <alignment vertical="center"/>
      <protection locked="0"/>
    </xf>
    <xf numFmtId="0" fontId="81" fillId="2" borderId="3" xfId="0" applyFont="1" applyFill="1" applyBorder="1" applyAlignment="1" applyProtection="1">
      <alignment vertical="center" wrapText="1"/>
      <protection locked="0"/>
    </xf>
    <xf numFmtId="0" fontId="23" fillId="2" borderId="1" xfId="0" applyFont="1" applyFill="1" applyBorder="1" applyAlignment="1" applyProtection="1">
      <alignment vertical="center"/>
    </xf>
    <xf numFmtId="0" fontId="36" fillId="2" borderId="19" xfId="0" applyFont="1" applyFill="1" applyBorder="1" applyAlignment="1" applyProtection="1">
      <alignment vertical="center"/>
    </xf>
    <xf numFmtId="0" fontId="74" fillId="2" borderId="13" xfId="0" applyFont="1" applyFill="1" applyBorder="1" applyAlignment="1" applyProtection="1">
      <alignment vertical="center"/>
      <protection locked="0"/>
    </xf>
    <xf numFmtId="182" fontId="74"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xf>
    <xf numFmtId="182" fontId="56" fillId="2" borderId="1" xfId="0" applyNumberFormat="1" applyFont="1" applyFill="1" applyBorder="1" applyAlignment="1" applyProtection="1">
      <alignment horizontal="right"/>
    </xf>
    <xf numFmtId="49" fontId="67" fillId="13" borderId="107" xfId="0" applyNumberFormat="1" applyFont="1" applyFill="1" applyBorder="1" applyAlignment="1" applyProtection="1">
      <alignment horizontal="right"/>
      <protection locked="0"/>
    </xf>
    <xf numFmtId="0" fontId="90" fillId="2" borderId="25" xfId="52" applyFont="1" applyFill="1" applyBorder="1" applyAlignment="1" applyProtection="1">
      <alignment vertical="center"/>
    </xf>
    <xf numFmtId="188" fontId="50" fillId="2" borderId="1" xfId="52" applyNumberFormat="1" applyFont="1" applyFill="1" applyBorder="1" applyAlignment="1" applyProtection="1">
      <alignment horizontal="right" vertical="center"/>
    </xf>
    <xf numFmtId="0" fontId="36" fillId="3" borderId="15" xfId="52" applyFont="1" applyFill="1" applyBorder="1" applyAlignment="1" applyProtection="1">
      <alignment vertical="center"/>
      <protection locked="0"/>
    </xf>
    <xf numFmtId="0" fontId="50" fillId="2" borderId="15" xfId="52" applyFont="1" applyFill="1" applyBorder="1" applyAlignment="1" applyProtection="1">
      <alignment horizontal="right" vertical="center"/>
    </xf>
    <xf numFmtId="0" fontId="50" fillId="3" borderId="1" xfId="52" applyFont="1" applyFill="1" applyBorder="1" applyAlignment="1" applyProtection="1">
      <alignment vertical="center"/>
      <protection locked="0"/>
    </xf>
    <xf numFmtId="192" fontId="36" fillId="10" borderId="15" xfId="52" applyNumberFormat="1" applyFont="1" applyFill="1" applyBorder="1" applyAlignment="1" applyProtection="1">
      <alignment horizontal="center" vertical="center"/>
    </xf>
    <xf numFmtId="192" fontId="36" fillId="2" borderId="15" xfId="52" applyNumberFormat="1" applyFont="1" applyFill="1" applyBorder="1" applyAlignment="1" applyProtection="1">
      <alignment horizontal="center" vertical="center"/>
    </xf>
    <xf numFmtId="0" fontId="90" fillId="3" borderId="25" xfId="52"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1" xfId="52" applyFont="1" applyFill="1" applyBorder="1" applyAlignment="1" applyProtection="1">
      <alignment horizontal="righ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50" fillId="2" borderId="101" xfId="52" applyNumberFormat="1" applyFont="1" applyFill="1" applyBorder="1" applyAlignment="1" applyProtection="1">
      <alignment horizontal="left" vertical="center"/>
    </xf>
    <xf numFmtId="0" fontId="50"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50" fillId="2" borderId="82" xfId="52" applyNumberFormat="1" applyFont="1" applyFill="1" applyBorder="1" applyAlignment="1" applyProtection="1">
      <alignment vertical="center"/>
    </xf>
    <xf numFmtId="49" fontId="68" fillId="2" borderId="26"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protection locked="0"/>
    </xf>
    <xf numFmtId="49" fontId="50" fillId="2" borderId="83" xfId="52" applyNumberFormat="1" applyFont="1" applyFill="1" applyBorder="1" applyAlignment="1" applyProtection="1">
      <alignment vertical="center"/>
    </xf>
    <xf numFmtId="49" fontId="50" fillId="2" borderId="9" xfId="52" applyNumberFormat="1" applyFont="1" applyFill="1" applyBorder="1" applyAlignment="1" applyProtection="1">
      <alignment vertical="center"/>
    </xf>
    <xf numFmtId="49" fontId="65" fillId="2" borderId="10"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vertical="center"/>
    </xf>
    <xf numFmtId="180" fontId="65" fillId="2" borderId="1" xfId="52" applyNumberFormat="1" applyFont="1" applyFill="1" applyBorder="1" applyAlignment="1" applyProtection="1">
      <alignment horizontal="right" vertical="center"/>
    </xf>
    <xf numFmtId="0" fontId="65" fillId="2" borderId="1" xfId="0" applyFont="1" applyFill="1" applyBorder="1" applyAlignment="1" applyProtection="1">
      <alignment vertical="center"/>
      <protection locked="0"/>
    </xf>
    <xf numFmtId="0" fontId="65" fillId="2" borderId="11" xfId="52" applyFont="1" applyFill="1" applyBorder="1" applyAlignment="1" applyProtection="1">
      <alignment horizontal="left" vertical="center"/>
    </xf>
    <xf numFmtId="49" fontId="31" fillId="2" borderId="10" xfId="52" applyNumberFormat="1" applyFont="1" applyFill="1" applyBorder="1" applyAlignment="1" applyProtection="1">
      <alignment horizontal="center" vertical="center"/>
    </xf>
    <xf numFmtId="49" fontId="31" fillId="2" borderId="15" xfId="52" applyNumberFormat="1" applyFont="1" applyFill="1" applyBorder="1" applyAlignment="1" applyProtection="1">
      <alignment vertical="center"/>
    </xf>
    <xf numFmtId="185" fontId="31" fillId="2" borderId="1" xfId="52" applyNumberFormat="1" applyFont="1" applyFill="1" applyBorder="1" applyAlignment="1" applyProtection="1">
      <alignment horizontal="center" vertical="center"/>
    </xf>
    <xf numFmtId="49" fontId="69" fillId="2" borderId="10"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vertical="center"/>
    </xf>
    <xf numFmtId="178"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horizontal="center" vertical="center"/>
    </xf>
    <xf numFmtId="0" fontId="70"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center" vertical="center"/>
    </xf>
    <xf numFmtId="49" fontId="6" fillId="2" borderId="15" xfId="52" applyNumberFormat="1" applyFont="1" applyFill="1" applyBorder="1" applyAlignment="1" applyProtection="1">
      <alignment horizontal="left" vertical="center"/>
    </xf>
    <xf numFmtId="9" fontId="31" fillId="2" borderId="15" xfId="52" applyNumberFormat="1" applyFont="1" applyFill="1" applyBorder="1" applyAlignment="1" applyProtection="1">
      <alignment horizontal="right" vertical="center"/>
    </xf>
    <xf numFmtId="10" fontId="31" fillId="2" borderId="15" xfId="52" applyNumberFormat="1" applyFont="1" applyFill="1" applyBorder="1" applyAlignment="1" applyProtection="1">
      <alignment horizontal="right" vertical="center"/>
    </xf>
    <xf numFmtId="0" fontId="6" fillId="2" borderId="11" xfId="0" applyFont="1" applyFill="1" applyBorder="1" applyAlignment="1" applyProtection="1">
      <alignment vertical="center"/>
    </xf>
    <xf numFmtId="49" fontId="6" fillId="2" borderId="15"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vertical="center"/>
    </xf>
    <xf numFmtId="49" fontId="54" fillId="2" borderId="10" xfId="52" applyNumberFormat="1" applyFont="1" applyFill="1" applyBorder="1" applyAlignment="1" applyProtection="1">
      <alignment horizontal="right" vertical="center"/>
    </xf>
    <xf numFmtId="49" fontId="54" fillId="2" borderId="15" xfId="52" applyNumberFormat="1" applyFont="1" applyFill="1" applyBorder="1" applyAlignment="1" applyProtection="1">
      <alignment horizontal="right" vertical="center"/>
    </xf>
    <xf numFmtId="49" fontId="31" fillId="2" borderId="15" xfId="52" applyNumberFormat="1" applyFont="1" applyFill="1" applyBorder="1" applyAlignment="1" applyProtection="1">
      <alignment horizontal="right" vertical="center"/>
    </xf>
    <xf numFmtId="9" fontId="36" fillId="2" borderId="15" xfId="52" applyNumberFormat="1" applyFont="1" applyFill="1" applyBorder="1" applyAlignment="1" applyProtection="1">
      <alignment horizontal="right" vertical="center"/>
    </xf>
    <xf numFmtId="49" fontId="6" fillId="2" borderId="10" xfId="0" applyNumberFormat="1" applyFont="1" applyFill="1" applyBorder="1" applyAlignment="1" applyProtection="1">
      <alignment horizontal="right" vertical="center"/>
    </xf>
    <xf numFmtId="0" fontId="36" fillId="2" borderId="1" xfId="52" applyFont="1" applyFill="1" applyBorder="1" applyAlignment="1" applyProtection="1">
      <alignment horizontal="center" vertical="center"/>
    </xf>
    <xf numFmtId="10" fontId="65" fillId="2" borderId="15" xfId="52" applyNumberFormat="1" applyFont="1" applyFill="1" applyBorder="1" applyAlignment="1" applyProtection="1">
      <alignment horizontal="right" vertical="center"/>
    </xf>
    <xf numFmtId="0" fontId="65" fillId="2" borderId="11" xfId="0" applyFont="1" applyFill="1" applyBorder="1" applyAlignment="1" applyProtection="1">
      <alignment vertical="center"/>
    </xf>
    <xf numFmtId="181" fontId="65" fillId="2" borderId="1" xfId="0" applyNumberFormat="1" applyFont="1" applyFill="1" applyBorder="1" applyAlignment="1" applyProtection="1">
      <alignment horizontal="right" vertical="center"/>
    </xf>
    <xf numFmtId="0" fontId="69" fillId="2" borderId="11" xfId="0" applyFont="1" applyFill="1" applyBorder="1" applyAlignment="1" applyProtection="1">
      <alignment vertical="center"/>
    </xf>
    <xf numFmtId="178" fontId="31" fillId="2" borderId="1" xfId="0" applyNumberFormat="1" applyFont="1" applyFill="1" applyBorder="1" applyAlignment="1" applyProtection="1">
      <alignment horizontal="right" vertical="center"/>
    </xf>
    <xf numFmtId="185" fontId="31" fillId="2" borderId="15" xfId="52" applyNumberFormat="1" applyFont="1" applyFill="1" applyBorder="1" applyAlignment="1" applyProtection="1">
      <alignment horizontal="right" vertical="center"/>
    </xf>
    <xf numFmtId="181" fontId="31" fillId="2" borderId="1" xfId="0" applyNumberFormat="1" applyFont="1" applyFill="1" applyBorder="1" applyAlignment="1" applyProtection="1">
      <alignment horizontal="right" vertical="center"/>
    </xf>
    <xf numFmtId="0" fontId="6" fillId="2" borderId="85" xfId="0" applyFont="1" applyFill="1" applyBorder="1" applyAlignment="1" applyProtection="1">
      <alignment vertical="center"/>
    </xf>
    <xf numFmtId="9" fontId="65" fillId="2" borderId="15" xfId="52" applyNumberFormat="1" applyFont="1" applyFill="1" applyBorder="1" applyAlignment="1" applyProtection="1">
      <alignment horizontal="right" vertical="center"/>
    </xf>
    <xf numFmtId="0" fontId="65" fillId="2" borderId="1" xfId="0" applyFont="1" applyFill="1" applyBorder="1" applyAlignment="1" applyProtection="1">
      <alignment vertical="center"/>
    </xf>
    <xf numFmtId="0" fontId="84" fillId="2" borderId="11" xfId="0" applyFont="1" applyFill="1" applyBorder="1" applyAlignment="1" applyProtection="1">
      <alignment vertical="center"/>
    </xf>
    <xf numFmtId="49" fontId="50" fillId="2" borderId="10" xfId="0" applyNumberFormat="1" applyFont="1" applyFill="1" applyBorder="1" applyAlignment="1" applyProtection="1">
      <alignment horizontal="left" vertical="center"/>
      <protection locked="0"/>
    </xf>
    <xf numFmtId="49" fontId="68" fillId="2" borderId="1" xfId="0" applyNumberFormat="1" applyFont="1" applyFill="1" applyBorder="1" applyAlignment="1" applyProtection="1">
      <alignment vertical="center"/>
      <protection locked="0"/>
    </xf>
    <xf numFmtId="9" fontId="50" fillId="2" borderId="1" xfId="3" applyNumberFormat="1" applyFont="1" applyFill="1" applyBorder="1" applyAlignment="1" applyProtection="1">
      <alignment horizontal="right" vertical="center"/>
    </xf>
    <xf numFmtId="0" fontId="68" fillId="2" borderId="11" xfId="0" applyFont="1" applyFill="1" applyBorder="1" applyAlignment="1" applyProtection="1">
      <alignment vertical="center"/>
      <protection locked="0"/>
    </xf>
    <xf numFmtId="49" fontId="50" fillId="2" borderId="12" xfId="0" applyNumberFormat="1" applyFont="1" applyFill="1" applyBorder="1" applyAlignment="1" applyProtection="1">
      <alignment horizontal="left" vertical="center"/>
      <protection locked="0"/>
    </xf>
    <xf numFmtId="49" fontId="68" fillId="2" borderId="13" xfId="0" applyNumberFormat="1" applyFont="1" applyFill="1" applyBorder="1" applyAlignment="1" applyProtection="1">
      <alignment horizontal="left" vertical="center"/>
      <protection locked="0"/>
    </xf>
    <xf numFmtId="180" fontId="50" fillId="2" borderId="13" xfId="0" applyNumberFormat="1" applyFont="1" applyFill="1" applyBorder="1" applyAlignment="1" applyProtection="1">
      <alignment horizontal="right" vertical="center"/>
      <protection locked="0"/>
    </xf>
    <xf numFmtId="0" fontId="50" fillId="2" borderId="13" xfId="0" applyFont="1" applyFill="1" applyBorder="1" applyAlignment="1" applyProtection="1">
      <alignment vertical="center"/>
      <protection locked="0"/>
    </xf>
    <xf numFmtId="9" fontId="50" fillId="2" borderId="13" xfId="0" applyNumberFormat="1" applyFont="1" applyFill="1" applyBorder="1" applyAlignment="1" applyProtection="1">
      <alignment horizontal="right" vertical="center"/>
    </xf>
    <xf numFmtId="0" fontId="50" fillId="3" borderId="14" xfId="0" applyFont="1" applyFill="1" applyBorder="1" applyAlignment="1" applyProtection="1">
      <alignment vertical="center"/>
    </xf>
    <xf numFmtId="49" fontId="69" fillId="15" borderId="86" xfId="52" applyNumberFormat="1" applyFont="1" applyFill="1" applyBorder="1" applyAlignment="1" applyProtection="1">
      <alignment horizontal="left" vertical="center"/>
    </xf>
    <xf numFmtId="49" fontId="65" fillId="15" borderId="17" xfId="52" applyNumberFormat="1" applyFont="1" applyFill="1" applyBorder="1" applyAlignment="1" applyProtection="1">
      <alignment horizontal="left" vertical="center"/>
    </xf>
    <xf numFmtId="49" fontId="65" fillId="15" borderId="87" xfId="52" applyNumberFormat="1" applyFont="1" applyFill="1" applyBorder="1" applyAlignment="1" applyProtection="1">
      <alignment horizontal="left" vertical="center"/>
    </xf>
    <xf numFmtId="49" fontId="69" fillId="2" borderId="115" xfId="52" applyNumberFormat="1" applyFont="1" applyFill="1" applyBorder="1" applyAlignment="1" applyProtection="1">
      <alignment horizontal="left" vertical="center"/>
    </xf>
    <xf numFmtId="49" fontId="69" fillId="2" borderId="100" xfId="52" applyNumberFormat="1" applyFont="1" applyFill="1" applyBorder="1" applyAlignment="1" applyProtection="1">
      <alignment horizontal="left" vertical="center"/>
    </xf>
    <xf numFmtId="0" fontId="69" fillId="2" borderId="101" xfId="52" applyFont="1" applyFill="1" applyBorder="1" applyAlignment="1" applyProtection="1">
      <alignment horizontal="left" vertical="center"/>
    </xf>
    <xf numFmtId="178" fontId="65" fillId="2" borderId="101" xfId="52" applyNumberFormat="1" applyFont="1" applyFill="1" applyBorder="1" applyAlignment="1" applyProtection="1">
      <alignment horizontal="left" vertical="center"/>
    </xf>
    <xf numFmtId="0" fontId="65" fillId="2" borderId="101" xfId="52" applyFont="1" applyFill="1" applyBorder="1" applyAlignment="1" applyProtection="1">
      <alignment horizontal="left" vertical="center"/>
    </xf>
    <xf numFmtId="0" fontId="69" fillId="2" borderId="104" xfId="52" applyFont="1" applyFill="1" applyBorder="1" applyAlignment="1" applyProtection="1">
      <alignment horizontal="left" vertical="center"/>
    </xf>
    <xf numFmtId="49" fontId="69" fillId="15" borderId="10" xfId="52" applyNumberFormat="1" applyFont="1" applyFill="1" applyBorder="1" applyAlignment="1" applyProtection="1">
      <alignment horizontal="left" vertical="center"/>
    </xf>
    <xf numFmtId="180" fontId="65" fillId="15" borderId="1" xfId="52" applyNumberFormat="1" applyFont="1" applyFill="1" applyBorder="1" applyAlignment="1" applyProtection="1">
      <alignment horizontal="right" vertical="center"/>
    </xf>
    <xf numFmtId="49" fontId="65" fillId="15" borderId="1" xfId="52" applyNumberFormat="1" applyFont="1" applyFill="1" applyBorder="1" applyAlignment="1" applyProtection="1">
      <alignment horizontal="left" vertical="center"/>
    </xf>
    <xf numFmtId="49" fontId="65" fillId="15" borderId="11" xfId="52" applyNumberFormat="1" applyFont="1" applyFill="1" applyBorder="1" applyAlignment="1" applyProtection="1">
      <alignment horizontal="left" vertical="center"/>
    </xf>
    <xf numFmtId="49" fontId="31" fillId="15" borderId="86" xfId="0" applyNumberFormat="1" applyFont="1" applyFill="1" applyBorder="1" applyAlignment="1" applyProtection="1">
      <alignment horizontal="right" vertical="center"/>
    </xf>
    <xf numFmtId="49" fontId="10" fillId="15" borderId="86" xfId="52" applyNumberFormat="1" applyFont="1" applyFill="1" applyBorder="1" applyAlignment="1" applyProtection="1">
      <alignment horizontal="right" vertical="center"/>
    </xf>
    <xf numFmtId="0" fontId="50" fillId="15" borderId="1" xfId="52" applyFont="1" applyFill="1" applyBorder="1" applyAlignment="1" applyProtection="1">
      <alignment horizontal="left" vertical="center"/>
    </xf>
    <xf numFmtId="0" fontId="50" fillId="15" borderId="11" xfId="52" applyFont="1" applyFill="1" applyBorder="1" applyAlignment="1" applyProtection="1">
      <alignment horizontal="left" vertical="center"/>
    </xf>
    <xf numFmtId="49" fontId="6" fillId="15" borderId="86" xfId="52" applyNumberFormat="1" applyFont="1" applyFill="1" applyBorder="1" applyAlignment="1" applyProtection="1">
      <alignment horizontal="right" vertical="center"/>
    </xf>
    <xf numFmtId="49" fontId="31" fillId="2" borderId="86" xfId="0" applyNumberFormat="1" applyFont="1" applyFill="1" applyBorder="1" applyAlignment="1" applyProtection="1">
      <alignment horizontal="right" vertical="center"/>
    </xf>
    <xf numFmtId="49" fontId="6" fillId="2" borderId="86" xfId="52" applyNumberFormat="1" applyFont="1" applyFill="1" applyBorder="1" applyAlignment="1" applyProtection="1">
      <alignment horizontal="right" vertical="center"/>
    </xf>
    <xf numFmtId="0" fontId="50" fillId="2" borderId="1" xfId="52" applyFont="1" applyFill="1" applyBorder="1" applyAlignment="1" applyProtection="1">
      <alignment horizontal="left" vertical="center"/>
    </xf>
    <xf numFmtId="0" fontId="50" fillId="2" borderId="11" xfId="52" applyFont="1" applyFill="1" applyBorder="1" applyAlignment="1" applyProtection="1">
      <alignment horizontal="left" vertical="center"/>
    </xf>
    <xf numFmtId="49" fontId="65" fillId="15" borderId="86" xfId="52" applyNumberFormat="1" applyFont="1" applyFill="1" applyBorder="1" applyAlignment="1" applyProtection="1">
      <alignment horizontal="left" vertical="center"/>
    </xf>
    <xf numFmtId="180" fontId="65" fillId="15" borderId="1" xfId="0" applyNumberFormat="1" applyFont="1" applyFill="1" applyBorder="1" applyAlignment="1" applyProtection="1">
      <alignment horizontal="right" vertical="center"/>
    </xf>
    <xf numFmtId="0" fontId="65" fillId="15" borderId="1" xfId="0" applyFont="1" applyFill="1" applyBorder="1" applyAlignment="1" applyProtection="1">
      <alignment horizontal="left" vertical="center"/>
    </xf>
    <xf numFmtId="10"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xf>
    <xf numFmtId="10" fontId="65" fillId="15" borderId="1" xfId="0" applyNumberFormat="1" applyFont="1" applyFill="1" applyBorder="1" applyAlignment="1" applyProtection="1">
      <alignment horizontal="right" vertical="center"/>
    </xf>
    <xf numFmtId="0" fontId="69" fillId="15" borderId="11"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5" fillId="2" borderId="15" xfId="52" applyNumberFormat="1" applyFont="1" applyFill="1" applyBorder="1" applyAlignment="1" applyProtection="1">
      <alignment horizontal="left" vertical="center"/>
    </xf>
    <xf numFmtId="0" fontId="65" fillId="2" borderId="19" xfId="0" applyFont="1" applyFill="1" applyBorder="1" applyAlignment="1" applyProtection="1">
      <alignment vertical="center"/>
      <protection locked="0"/>
    </xf>
    <xf numFmtId="49" fontId="31" fillId="15" borderId="86" xfId="52" applyNumberFormat="1" applyFont="1" applyFill="1" applyBorder="1" applyAlignment="1" applyProtection="1">
      <alignment horizontal="right" vertical="center"/>
    </xf>
    <xf numFmtId="178" fontId="65" fillId="15" borderId="1" xfId="52" applyNumberFormat="1" applyFont="1" applyFill="1" applyBorder="1" applyAlignment="1" applyProtection="1">
      <alignment horizontal="right" vertical="center"/>
    </xf>
    <xf numFmtId="181" fontId="65" fillId="15" borderId="1" xfId="0" applyNumberFormat="1" applyFont="1" applyFill="1" applyBorder="1" applyAlignment="1" applyProtection="1">
      <alignment horizontal="left" vertical="center"/>
    </xf>
    <xf numFmtId="9"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wrapText="1"/>
    </xf>
    <xf numFmtId="186" fontId="36" fillId="15" borderId="1" xfId="0" applyNumberFormat="1" applyFont="1" applyFill="1" applyBorder="1" applyAlignment="1" applyProtection="1">
      <alignment horizontal="left" vertical="center"/>
    </xf>
    <xf numFmtId="0" fontId="36" fillId="15" borderId="1" xfId="0" applyFont="1" applyFill="1" applyBorder="1" applyAlignment="1" applyProtection="1">
      <alignment horizontal="left" vertical="center"/>
    </xf>
    <xf numFmtId="9" fontId="36" fillId="15" borderId="15" xfId="52" applyNumberFormat="1" applyFont="1" applyFill="1" applyBorder="1" applyAlignment="1" applyProtection="1">
      <alignment horizontal="left" vertical="center"/>
    </xf>
    <xf numFmtId="0" fontId="36" fillId="15" borderId="11" xfId="0" applyFont="1" applyFill="1" applyBorder="1" applyAlignment="1" applyProtection="1">
      <alignment horizontal="left" vertical="center" wrapText="1"/>
    </xf>
    <xf numFmtId="181" fontId="31" fillId="15" borderId="1" xfId="0" applyNumberFormat="1" applyFont="1" applyFill="1" applyBorder="1" applyAlignment="1" applyProtection="1">
      <alignment horizontal="right" vertical="center"/>
    </xf>
    <xf numFmtId="49" fontId="65" fillId="2" borderId="86" xfId="52" applyNumberFormat="1" applyFont="1" applyFill="1" applyBorder="1" applyAlignment="1" applyProtection="1">
      <alignment horizontal="left" vertical="center"/>
    </xf>
    <xf numFmtId="180" fontId="65" fillId="2" borderId="0" xfId="0" applyNumberFormat="1" applyFont="1" applyFill="1" applyBorder="1" applyAlignment="1" applyProtection="1">
      <alignment horizontal="right" vertical="center"/>
      <protection locked="0"/>
    </xf>
    <xf numFmtId="0" fontId="69" fillId="2" borderId="11" xfId="0" applyFont="1" applyFill="1" applyBorder="1" applyAlignment="1" applyProtection="1">
      <alignment horizontal="left" vertical="center"/>
    </xf>
    <xf numFmtId="10" fontId="65" fillId="2" borderId="1" xfId="52" applyNumberFormat="1" applyFont="1" applyFill="1" applyBorder="1" applyAlignment="1" applyProtection="1">
      <alignment horizontal="left" vertical="center"/>
    </xf>
    <xf numFmtId="49" fontId="69" fillId="2" borderId="86"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horizontal="left" vertical="center"/>
    </xf>
    <xf numFmtId="49" fontId="69" fillId="2" borderId="12" xfId="0" applyNumberFormat="1" applyFont="1" applyFill="1" applyBorder="1" applyAlignment="1" applyProtection="1">
      <alignment horizontal="left" vertical="center"/>
      <protection locked="0"/>
    </xf>
    <xf numFmtId="180" fontId="65" fillId="2" borderId="13" xfId="0" applyNumberFormat="1" applyFont="1" applyFill="1" applyBorder="1" applyAlignment="1" applyProtection="1">
      <alignment horizontal="right" vertical="center"/>
      <protection locked="0"/>
    </xf>
    <xf numFmtId="0" fontId="65" fillId="2" borderId="13" xfId="0" applyFont="1" applyFill="1" applyBorder="1" applyAlignment="1" applyProtection="1">
      <alignment horizontal="left" vertical="center"/>
      <protection locked="0"/>
    </xf>
    <xf numFmtId="10" fontId="65" fillId="2" borderId="13"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protection locked="0"/>
    </xf>
    <xf numFmtId="49" fontId="36" fillId="2" borderId="0" xfId="52"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xf>
    <xf numFmtId="182" fontId="56"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vertical="center"/>
    </xf>
    <xf numFmtId="180" fontId="50" fillId="2" borderId="15" xfId="52" applyNumberFormat="1" applyFont="1" applyFill="1" applyBorder="1" applyAlignment="1" applyProtection="1">
      <alignment horizontal="left" vertical="center"/>
    </xf>
    <xf numFmtId="0" fontId="7" fillId="2" borderId="11" xfId="0" applyFont="1" applyFill="1" applyBorder="1" applyAlignment="1" applyProtection="1">
      <alignment vertical="center"/>
    </xf>
    <xf numFmtId="49" fontId="69" fillId="2" borderId="101" xfId="52" applyNumberFormat="1" applyFont="1" applyFill="1" applyBorder="1" applyAlignment="1" applyProtection="1">
      <alignment horizontal="left" vertical="center"/>
    </xf>
    <xf numFmtId="49" fontId="65" fillId="15" borderId="10" xfId="52" applyNumberFormat="1" applyFont="1" applyFill="1" applyBorder="1" applyAlignment="1" applyProtection="1">
      <alignment horizontal="left" vertical="center"/>
    </xf>
    <xf numFmtId="49" fontId="69" fillId="15" borderId="1" xfId="52" applyNumberFormat="1" applyFont="1" applyFill="1" applyBorder="1" applyAlignment="1" applyProtection="1">
      <alignment horizontal="left" vertical="center"/>
    </xf>
    <xf numFmtId="49" fontId="31" fillId="15" borderId="10" xfId="0" applyNumberFormat="1" applyFont="1" applyFill="1" applyBorder="1" applyAlignment="1" applyProtection="1">
      <alignment horizontal="right" vertical="center"/>
    </xf>
    <xf numFmtId="49" fontId="10" fillId="15" borderId="15" xfId="52" applyNumberFormat="1" applyFont="1" applyFill="1" applyBorder="1" applyAlignment="1" applyProtection="1">
      <alignment horizontal="right" vertical="center"/>
    </xf>
    <xf numFmtId="49" fontId="6" fillId="15" borderId="15" xfId="52" applyNumberFormat="1" applyFont="1" applyFill="1" applyBorder="1" applyAlignment="1" applyProtection="1">
      <alignment horizontal="right" vertical="center"/>
    </xf>
    <xf numFmtId="49" fontId="120" fillId="15" borderId="15" xfId="52" applyNumberFormat="1" applyFont="1" applyFill="1" applyBorder="1" applyAlignment="1" applyProtection="1">
      <alignment horizontal="left" vertical="center"/>
    </xf>
    <xf numFmtId="49" fontId="31" fillId="15" borderId="15" xfId="52" applyNumberFormat="1" applyFont="1" applyFill="1" applyBorder="1" applyAlignment="1" applyProtection="1">
      <alignment horizontal="right" vertical="center"/>
    </xf>
    <xf numFmtId="49" fontId="69" fillId="15" borderId="15" xfId="52" applyNumberFormat="1" applyFont="1" applyFill="1" applyBorder="1" applyAlignment="1" applyProtection="1">
      <alignment horizontal="left" vertical="center"/>
    </xf>
    <xf numFmtId="49" fontId="65" fillId="2" borderId="1"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horizontal="left" vertical="center"/>
    </xf>
    <xf numFmtId="49" fontId="65" fillId="2" borderId="12" xfId="52" applyNumberFormat="1" applyFont="1" applyFill="1" applyBorder="1" applyAlignment="1" applyProtection="1">
      <alignment horizontal="left" vertical="center"/>
    </xf>
    <xf numFmtId="49" fontId="69" fillId="2" borderId="13" xfId="0" applyNumberFormat="1" applyFont="1" applyFill="1" applyBorder="1" applyAlignment="1" applyProtection="1">
      <alignment horizontal="left" vertical="center"/>
      <protection locked="0"/>
    </xf>
    <xf numFmtId="177" fontId="49" fillId="2" borderId="0" xfId="0" applyNumberFormat="1" applyFont="1" applyFill="1" applyBorder="1" applyAlignment="1" applyProtection="1">
      <alignment horizontal="center"/>
    </xf>
    <xf numFmtId="0" fontId="74" fillId="2" borderId="84" xfId="0" applyFont="1" applyFill="1" applyBorder="1" applyAlignment="1" applyProtection="1">
      <alignment horizontal="center" vertical="center"/>
    </xf>
    <xf numFmtId="177" fontId="56" fillId="2" borderId="94" xfId="0" applyNumberFormat="1" applyFont="1" applyFill="1" applyBorder="1" applyAlignment="1" applyProtection="1">
      <alignment horizontal="right" vertical="center"/>
    </xf>
    <xf numFmtId="177" fontId="56" fillId="2" borderId="1" xfId="0" applyNumberFormat="1" applyFont="1" applyFill="1" applyBorder="1" applyAlignment="1" applyProtection="1">
      <alignment horizontal="right" vertical="center"/>
    </xf>
    <xf numFmtId="177" fontId="56" fillId="2" borderId="4"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horizontal="right" vertical="center"/>
    </xf>
    <xf numFmtId="0" fontId="74" fillId="2" borderId="1" xfId="0" applyFont="1" applyFill="1" applyBorder="1" applyAlignment="1" applyProtection="1">
      <alignment horizontal="right" vertical="center"/>
      <protection locked="0"/>
    </xf>
    <xf numFmtId="0" fontId="74" fillId="2" borderId="105" xfId="0" applyFont="1" applyFill="1" applyBorder="1" applyAlignment="1" applyProtection="1">
      <alignment horizontal="left" vertical="center"/>
    </xf>
    <xf numFmtId="0" fontId="74" fillId="2" borderId="15" xfId="0" applyFont="1" applyFill="1" applyBorder="1" applyAlignment="1" applyProtection="1">
      <alignment horizontal="left" vertical="center" wrapText="1"/>
    </xf>
    <xf numFmtId="0" fontId="10" fillId="2" borderId="1" xfId="0" applyFont="1" applyFill="1" applyBorder="1" applyAlignment="1" applyProtection="1">
      <alignment vertical="center"/>
      <protection locked="0"/>
    </xf>
    <xf numFmtId="177" fontId="25" fillId="2" borderId="1" xfId="0" applyNumberFormat="1" applyFont="1" applyFill="1" applyBorder="1" applyAlignment="1" applyProtection="1">
      <alignment horizontal="right" vertical="center"/>
      <protection locked="0"/>
    </xf>
    <xf numFmtId="177" fontId="56" fillId="2" borderId="3"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vertical="center"/>
    </xf>
    <xf numFmtId="177" fontId="56" fillId="2" borderId="3" xfId="0" applyNumberFormat="1" applyFont="1" applyFill="1" applyBorder="1" applyAlignment="1" applyProtection="1">
      <alignment vertical="center"/>
    </xf>
    <xf numFmtId="177" fontId="56" fillId="2" borderId="6" xfId="0" applyNumberFormat="1" applyFont="1" applyFill="1" applyBorder="1" applyAlignment="1" applyProtection="1">
      <alignment horizontal="right" vertical="center"/>
    </xf>
    <xf numFmtId="0" fontId="74" fillId="2" borderId="105"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81" fillId="2" borderId="1" xfId="0" applyFont="1" applyFill="1" applyBorder="1" applyAlignment="1" applyProtection="1">
      <alignment vertical="center"/>
    </xf>
    <xf numFmtId="180" fontId="23" fillId="17" borderId="13" xfId="0" applyNumberFormat="1" applyFont="1" applyFill="1" applyBorder="1" applyAlignment="1" applyProtection="1">
      <alignment horizontal="right" vertical="center"/>
    </xf>
    <xf numFmtId="0" fontId="55" fillId="17" borderId="14" xfId="0" applyFont="1" applyFill="1" applyBorder="1" applyAlignment="1" applyProtection="1">
      <alignment vertical="center"/>
    </xf>
    <xf numFmtId="49" fontId="74" fillId="2" borderId="86"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81" fillId="2" borderId="12" xfId="0" applyFont="1" applyFill="1" applyBorder="1" applyAlignment="1" applyProtection="1">
      <alignment horizontal="left" vertical="center"/>
    </xf>
    <xf numFmtId="181" fontId="56" fillId="2" borderId="1" xfId="3" applyNumberFormat="1" applyFont="1" applyFill="1" applyBorder="1" applyAlignment="1" applyProtection="1">
      <alignment horizontal="right" vertical="center"/>
    </xf>
    <xf numFmtId="180" fontId="36" fillId="2" borderId="108" xfId="0" applyNumberFormat="1" applyFont="1" applyFill="1" applyBorder="1" applyAlignment="1" applyProtection="1">
      <alignment horizontal="right" vertical="center"/>
    </xf>
    <xf numFmtId="177" fontId="56" fillId="2" borderId="93" xfId="0" applyNumberFormat="1" applyFont="1" applyFill="1" applyBorder="1" applyAlignment="1" applyProtection="1">
      <alignment horizontal="right" vertical="center"/>
    </xf>
    <xf numFmtId="177" fontId="36" fillId="14" borderId="11" xfId="0" applyNumberFormat="1" applyFont="1" applyFill="1" applyBorder="1" applyAlignment="1" applyProtection="1">
      <alignment horizontal="right" vertical="center"/>
      <protection locked="0"/>
    </xf>
    <xf numFmtId="0" fontId="80" fillId="2" borderId="1" xfId="0" applyFont="1" applyFill="1" applyBorder="1" applyAlignment="1" applyProtection="1">
      <alignment horizontal="right" vertical="center" wrapText="1"/>
    </xf>
    <xf numFmtId="180" fontId="25" fillId="2" borderId="11" xfId="0" applyNumberFormat="1" applyFont="1" applyFill="1" applyBorder="1" applyAlignment="1" applyProtection="1">
      <alignment horizontal="right"/>
    </xf>
    <xf numFmtId="49" fontId="56" fillId="2" borderId="117" xfId="0" applyNumberFormat="1" applyFont="1" applyFill="1" applyBorder="1" applyAlignment="1" applyProtection="1">
      <alignment vertical="center"/>
      <protection locked="0"/>
    </xf>
    <xf numFmtId="49" fontId="56" fillId="2" borderId="10" xfId="0" applyNumberFormat="1" applyFont="1" applyFill="1" applyBorder="1" applyAlignment="1" applyProtection="1">
      <alignment horizontal="right" vertical="center"/>
      <protection locked="0"/>
    </xf>
    <xf numFmtId="177" fontId="56" fillId="2" borderId="1"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7" xfId="0" applyNumberFormat="1" applyFont="1" applyFill="1" applyBorder="1" applyAlignment="1" applyProtection="1">
      <alignment horizontal="center" vertical="center"/>
      <protection locked="0"/>
    </xf>
    <xf numFmtId="0" fontId="26" fillId="2" borderId="23" xfId="0" applyFont="1" applyFill="1" applyBorder="1" applyAlignment="1" applyProtection="1">
      <alignment horizontal="right" vertical="center" wrapText="1"/>
    </xf>
    <xf numFmtId="49" fontId="56" fillId="2" borderId="143" xfId="0" applyNumberFormat="1" applyFont="1" applyFill="1" applyBorder="1" applyAlignment="1" applyProtection="1">
      <alignment horizontal="center" vertical="center"/>
    </xf>
    <xf numFmtId="181" fontId="74" fillId="0" borderId="6" xfId="0" applyNumberFormat="1" applyFont="1" applyFill="1" applyBorder="1" applyAlignment="1" applyProtection="1">
      <alignment horizontal="right" vertical="center"/>
      <protection locked="0"/>
    </xf>
    <xf numFmtId="182" fontId="31" fillId="2" borderId="8"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9" xfId="0" applyNumberFormat="1" applyFont="1" applyFill="1" applyBorder="1" applyAlignment="1" applyProtection="1">
      <alignment horizontal="right" vertical="center"/>
    </xf>
    <xf numFmtId="0" fontId="80" fillId="2" borderId="94" xfId="0" applyFont="1" applyFill="1" applyBorder="1" applyAlignment="1" applyProtection="1">
      <alignment vertical="center"/>
      <protection locked="0"/>
    </xf>
    <xf numFmtId="0" fontId="56" fillId="2" borderId="106" xfId="0" applyFont="1" applyFill="1" applyBorder="1" applyAlignment="1" applyProtection="1">
      <alignment vertical="center"/>
      <protection locked="0"/>
    </xf>
    <xf numFmtId="0" fontId="6" fillId="2" borderId="0" xfId="0" applyFont="1" applyFill="1" applyBorder="1" applyAlignment="1" applyProtection="1">
      <alignment vertical="center"/>
      <protection locked="0"/>
    </xf>
    <xf numFmtId="49" fontId="56" fillId="2" borderId="29" xfId="0" applyNumberFormat="1" applyFont="1" applyFill="1" applyBorder="1" applyAlignment="1" applyProtection="1">
      <alignment horizontal="center" vertical="center"/>
    </xf>
    <xf numFmtId="0" fontId="31" fillId="2" borderId="118"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23" fillId="2" borderId="0" xfId="0" applyFont="1" applyFill="1" applyBorder="1" applyAlignment="1" applyProtection="1">
      <alignment vertical="center"/>
    </xf>
    <xf numFmtId="194" fontId="25" fillId="2" borderId="24" xfId="0" applyNumberFormat="1" applyFont="1" applyFill="1" applyBorder="1" applyAlignment="1" applyProtection="1">
      <alignment horizontal="right" vertical="center" wrapText="1"/>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7"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1"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95" xfId="0" applyFont="1" applyFill="1" applyBorder="1" applyAlignment="1" applyProtection="1">
      <alignment horizontal="center" vertical="center"/>
      <protection locked="0"/>
    </xf>
    <xf numFmtId="0" fontId="56" fillId="2" borderId="23"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36" fillId="2" borderId="93" xfId="0" applyFont="1" applyFill="1" applyBorder="1" applyAlignment="1" applyProtection="1">
      <alignment vertical="center" wrapText="1"/>
      <protection locked="0"/>
    </xf>
    <xf numFmtId="0" fontId="56" fillId="2" borderId="108"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84" xfId="0" applyFont="1" applyFill="1" applyBorder="1" applyAlignment="1" applyProtection="1">
      <alignment horizontal="center" vertical="center" wrapText="1"/>
    </xf>
    <xf numFmtId="0" fontId="56" fillId="2" borderId="109" xfId="0" applyFont="1" applyFill="1" applyBorder="1" applyAlignment="1" applyProtection="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8" xfId="0" applyFont="1" applyFill="1" applyBorder="1" applyAlignment="1" applyProtection="1">
      <alignment horizontal="center" vertical="center"/>
    </xf>
    <xf numFmtId="0" fontId="56" fillId="0" borderId="10"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5" xfId="0" applyFont="1" applyFill="1" applyBorder="1" applyAlignment="1" applyProtection="1">
      <alignment horizontal="center" vertical="center" wrapText="1"/>
      <protection locked="0"/>
    </xf>
    <xf numFmtId="0" fontId="25" fillId="0" borderId="87" xfId="0" applyFont="1" applyFill="1" applyBorder="1" applyAlignment="1" applyProtection="1">
      <alignment horizontal="center" vertical="center" wrapText="1"/>
      <protection locked="0"/>
    </xf>
    <xf numFmtId="0" fontId="77" fillId="2" borderId="112"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2" xfId="0" applyFont="1" applyFill="1" applyBorder="1" applyAlignment="1" applyProtection="1">
      <alignment vertical="center" wrapText="1"/>
      <protection locked="0"/>
    </xf>
    <xf numFmtId="0" fontId="56" fillId="2" borderId="18" xfId="0" applyFont="1" applyFill="1" applyBorder="1" applyAlignment="1" applyProtection="1">
      <alignment horizontal="center" vertical="center" wrapText="1"/>
    </xf>
    <xf numFmtId="0" fontId="56" fillId="0" borderId="81" xfId="0" applyFont="1" applyFill="1" applyBorder="1" applyAlignment="1" applyProtection="1">
      <alignment horizontal="center" vertical="center" wrapText="1"/>
      <protection locked="0"/>
    </xf>
    <xf numFmtId="0" fontId="25" fillId="0" borderId="2" xfId="0" applyFont="1" applyFill="1" applyBorder="1" applyAlignment="1" applyProtection="1">
      <alignment horizontal="center" vertical="center" wrapText="1"/>
      <protection locked="0"/>
    </xf>
    <xf numFmtId="0" fontId="25" fillId="0" borderId="93" xfId="0" applyFont="1" applyFill="1" applyBorder="1" applyAlignment="1" applyProtection="1">
      <alignment horizontal="center" vertical="center" wrapText="1"/>
      <protection locked="0"/>
    </xf>
    <xf numFmtId="0" fontId="25" fillId="0" borderId="112"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56" fillId="0" borderId="148"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left" vertical="center" wrapText="1"/>
      <protection locked="0"/>
    </xf>
    <xf numFmtId="0" fontId="25" fillId="0" borderId="150" xfId="0" applyFont="1" applyFill="1" applyBorder="1" applyAlignment="1" applyProtection="1">
      <alignment horizontal="center" vertical="center" wrapText="1"/>
      <protection locked="0"/>
    </xf>
    <xf numFmtId="0" fontId="25" fillId="0" borderId="151" xfId="0" applyFont="1" applyFill="1" applyBorder="1" applyAlignment="1" applyProtection="1">
      <alignment horizontal="center" vertical="center" wrapText="1"/>
      <protection locked="0"/>
    </xf>
    <xf numFmtId="0" fontId="56" fillId="0" borderId="152" xfId="0" applyFont="1" applyFill="1" applyBorder="1" applyAlignment="1" applyProtection="1">
      <alignment horizontal="center" vertical="center" wrapText="1"/>
      <protection locked="0"/>
    </xf>
    <xf numFmtId="0" fontId="56" fillId="2" borderId="153" xfId="0" applyFont="1" applyFill="1" applyBorder="1" applyAlignment="1" applyProtection="1">
      <alignment horizontal="center" vertical="center" wrapText="1"/>
    </xf>
    <xf numFmtId="0" fontId="56" fillId="2" borderId="154" xfId="0" applyFont="1" applyFill="1" applyBorder="1" applyAlignment="1" applyProtection="1">
      <alignment horizontal="center" vertical="center" wrapText="1"/>
    </xf>
    <xf numFmtId="0" fontId="31" fillId="2" borderId="155" xfId="0" applyFont="1" applyFill="1" applyBorder="1" applyAlignment="1" applyProtection="1">
      <alignment horizontal="center" vertical="center" wrapText="1"/>
    </xf>
    <xf numFmtId="0" fontId="25" fillId="2" borderId="155" xfId="0" applyFont="1" applyFill="1" applyBorder="1" applyAlignment="1" applyProtection="1">
      <alignment horizontal="center" vertical="center" wrapText="1"/>
    </xf>
    <xf numFmtId="0" fontId="31" fillId="2" borderId="156" xfId="0" applyFont="1" applyFill="1" applyBorder="1" applyAlignment="1" applyProtection="1">
      <alignment horizontal="center" vertical="center" wrapText="1"/>
    </xf>
    <xf numFmtId="0" fontId="35" fillId="0" borderId="18" xfId="0" applyFont="1" applyFill="1" applyBorder="1" applyAlignment="1" applyProtection="1">
      <alignment horizontal="center" vertical="center" wrapText="1"/>
      <protection locked="0"/>
    </xf>
    <xf numFmtId="0" fontId="56" fillId="0" borderId="117" xfId="0" applyFont="1" applyFill="1" applyBorder="1" applyAlignment="1" applyProtection="1">
      <alignment horizontal="center" vertical="center" wrapText="1"/>
      <protection locked="0"/>
    </xf>
    <xf numFmtId="0" fontId="56" fillId="0" borderId="3"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105" xfId="0"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protection locked="0"/>
    </xf>
    <xf numFmtId="0" fontId="25" fillId="0" borderId="19" xfId="0" applyFont="1" applyFill="1" applyBorder="1" applyAlignment="1" applyProtection="1">
      <alignment horizontal="center" vertical="center"/>
      <protection locked="0"/>
    </xf>
    <xf numFmtId="0" fontId="56"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left" vertical="center" wrapText="1"/>
      <protection locked="0"/>
    </xf>
    <xf numFmtId="0" fontId="56" fillId="2" borderId="81" xfId="0" applyFont="1" applyFill="1" applyBorder="1" applyAlignment="1" applyProtection="1">
      <alignment horizontal="center" vertical="center" wrapText="1"/>
    </xf>
    <xf numFmtId="0" fontId="31" fillId="2" borderId="2" xfId="0" applyFont="1" applyFill="1" applyBorder="1" applyAlignment="1" applyProtection="1">
      <alignment horizontal="center" vertical="center" wrapText="1"/>
    </xf>
    <xf numFmtId="0" fontId="35" fillId="0" borderId="147"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wrapText="1"/>
      <protection locked="0"/>
    </xf>
    <xf numFmtId="0" fontId="56" fillId="0" borderId="157" xfId="0" applyFont="1" applyFill="1" applyBorder="1" applyAlignment="1" applyProtection="1">
      <alignment horizontal="center" vertical="center"/>
      <protection locked="0"/>
    </xf>
    <xf numFmtId="0" fontId="56" fillId="0" borderId="158" xfId="0" applyFont="1" applyFill="1" applyBorder="1" applyAlignment="1" applyProtection="1">
      <alignment horizontal="center" vertical="center" wrapText="1"/>
      <protection locked="0"/>
    </xf>
    <xf numFmtId="0" fontId="56" fillId="0" borderId="158" xfId="0" applyFont="1" applyFill="1" applyBorder="1" applyAlignment="1" applyProtection="1">
      <alignment horizontal="center" vertical="center"/>
      <protection locked="0"/>
    </xf>
    <xf numFmtId="0" fontId="56" fillId="0" borderId="152" xfId="0" applyFont="1" applyFill="1" applyBorder="1" applyAlignment="1" applyProtection="1">
      <alignment horizontal="center" vertical="center"/>
      <protection locked="0"/>
    </xf>
    <xf numFmtId="0" fontId="56" fillId="2" borderId="152" xfId="0" applyFont="1" applyFill="1" applyBorder="1" applyAlignment="1" applyProtection="1">
      <alignment horizontal="center" vertical="center" wrapText="1"/>
    </xf>
    <xf numFmtId="0" fontId="56" fillId="0" borderId="154" xfId="0" applyFont="1" applyFill="1" applyBorder="1" applyAlignment="1" applyProtection="1">
      <alignment horizontal="center" vertical="center" wrapText="1"/>
      <protection locked="0"/>
    </xf>
    <xf numFmtId="0" fontId="31" fillId="0" borderId="155" xfId="0" applyFont="1" applyFill="1" applyBorder="1" applyAlignment="1" applyProtection="1">
      <alignment horizontal="center" vertical="center" wrapText="1"/>
      <protection locked="0"/>
    </xf>
    <xf numFmtId="0" fontId="31" fillId="0" borderId="159" xfId="0" applyFont="1" applyFill="1" applyBorder="1" applyAlignment="1" applyProtection="1">
      <alignment horizontal="center" vertical="center" wrapText="1"/>
      <protection locked="0"/>
    </xf>
    <xf numFmtId="0" fontId="31" fillId="0" borderId="160"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93" xfId="0" applyFont="1" applyFill="1" applyBorder="1" applyAlignment="1" applyProtection="1">
      <alignment horizontal="center" vertical="center" wrapText="1"/>
      <protection locked="0"/>
    </xf>
    <xf numFmtId="0" fontId="31" fillId="0" borderId="112" xfId="0" applyFont="1" applyFill="1" applyBorder="1" applyAlignment="1" applyProtection="1">
      <alignment horizontal="center" vertical="center" wrapText="1"/>
      <protection locked="0"/>
    </xf>
    <xf numFmtId="0" fontId="74" fillId="2" borderId="124" xfId="0" applyFont="1" applyFill="1" applyBorder="1" applyAlignment="1" applyProtection="1">
      <alignment horizontal="center" vertical="center" wrapText="1"/>
    </xf>
    <xf numFmtId="0" fontId="56" fillId="18" borderId="108" xfId="0" applyFont="1" applyFill="1" applyBorder="1" applyAlignment="1" applyProtection="1">
      <alignment horizontal="center" vertical="center" wrapText="1"/>
    </xf>
    <xf numFmtId="0" fontId="122" fillId="18" borderId="7" xfId="0" applyFont="1" applyFill="1" applyBorder="1" applyAlignment="1" applyProtection="1">
      <alignment horizontal="center" vertical="center" wrapText="1"/>
      <protection locked="0"/>
    </xf>
    <xf numFmtId="0" fontId="56" fillId="18" borderId="7"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left" vertical="center" wrapText="1"/>
      <protection locked="0"/>
    </xf>
    <xf numFmtId="0" fontId="56" fillId="18" borderId="26" xfId="0" applyFont="1" applyFill="1" applyBorder="1" applyAlignment="1" applyProtection="1">
      <alignment horizontal="center" vertical="center" wrapText="1"/>
      <protection locked="0"/>
    </xf>
    <xf numFmtId="0" fontId="56" fillId="18" borderId="80" xfId="0" applyFont="1" applyFill="1" applyBorder="1" applyAlignment="1" applyProtection="1">
      <alignment horizontal="center" vertical="center"/>
      <protection locked="0"/>
    </xf>
    <xf numFmtId="0" fontId="56" fillId="18" borderId="21" xfId="0" applyFont="1" applyFill="1" applyBorder="1" applyAlignment="1" applyProtection="1">
      <alignment horizontal="center" vertical="center" wrapText="1"/>
      <protection locked="0"/>
    </xf>
    <xf numFmtId="0" fontId="56" fillId="18" borderId="21" xfId="0" applyFont="1" applyFill="1" applyBorder="1" applyAlignment="1" applyProtection="1">
      <alignment horizontal="center" vertical="center"/>
      <protection locked="0"/>
    </xf>
    <xf numFmtId="0" fontId="56" fillId="18" borderId="109" xfId="0" applyFont="1" applyFill="1" applyBorder="1" applyAlignment="1" applyProtection="1">
      <alignment horizontal="center" vertical="center"/>
      <protection locked="0"/>
    </xf>
    <xf numFmtId="177" fontId="74" fillId="18" borderId="126" xfId="0" applyNumberFormat="1" applyFont="1" applyFill="1" applyBorder="1" applyAlignment="1" applyProtection="1">
      <alignment vertical="center" wrapText="1"/>
      <protection locked="0"/>
    </xf>
    <xf numFmtId="177" fontId="56" fillId="18" borderId="116" xfId="0" applyNumberFormat="1" applyFont="1" applyFill="1" applyBorder="1" applyAlignment="1" applyProtection="1">
      <alignment horizontal="center" vertical="center" wrapText="1"/>
    </xf>
    <xf numFmtId="0" fontId="56" fillId="18" borderId="12" xfId="0" applyFont="1" applyFill="1" applyBorder="1" applyAlignment="1" applyProtection="1">
      <alignment horizontal="center" vertical="center" wrapText="1"/>
      <protection locked="0"/>
    </xf>
    <xf numFmtId="0" fontId="31" fillId="18" borderId="13" xfId="0" applyFont="1" applyFill="1" applyBorder="1" applyAlignment="1" applyProtection="1">
      <alignment horizontal="center" vertical="center" wrapText="1"/>
      <protection locked="0"/>
    </xf>
    <xf numFmtId="0" fontId="31" fillId="18" borderId="27" xfId="0" applyFont="1" applyFill="1" applyBorder="1" applyAlignment="1" applyProtection="1">
      <alignment horizontal="center" vertical="center" wrapText="1"/>
      <protection locked="0"/>
    </xf>
    <xf numFmtId="0" fontId="31" fillId="18" borderId="91" xfId="0" applyFont="1" applyFill="1" applyBorder="1" applyAlignment="1" applyProtection="1">
      <alignment horizontal="center" vertical="center" wrapText="1"/>
      <protection locked="0"/>
    </xf>
    <xf numFmtId="177" fontId="31" fillId="18" borderId="91" xfId="0" applyNumberFormat="1" applyFont="1" applyFill="1" applyBorder="1" applyAlignment="1" applyProtection="1">
      <alignment horizontal="center" vertical="center" wrapText="1"/>
      <protection locked="0"/>
    </xf>
    <xf numFmtId="177"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8" xfId="0" applyFont="1" applyFill="1" applyBorder="1" applyAlignment="1" applyProtection="1">
      <alignment horizontal="left" vertical="center"/>
      <protection locked="0"/>
    </xf>
    <xf numFmtId="0" fontId="56" fillId="2" borderId="25" xfId="0" applyFont="1" applyFill="1" applyBorder="1" applyAlignment="1" applyProtection="1">
      <alignment horizontal="center" vertical="center"/>
      <protection locked="0"/>
    </xf>
    <xf numFmtId="0" fontId="78" fillId="2" borderId="1" xfId="0" applyFont="1" applyFill="1" applyBorder="1" applyProtection="1">
      <alignment vertical="center"/>
    </xf>
    <xf numFmtId="0" fontId="78" fillId="2" borderId="1" xfId="0" applyFont="1" applyFill="1" applyBorder="1" applyAlignment="1" applyProtection="1">
      <alignment horizontal="right" vertical="center"/>
    </xf>
    <xf numFmtId="0" fontId="36" fillId="3" borderId="89" xfId="52" applyFont="1" applyFill="1" applyBorder="1" applyAlignment="1" applyProtection="1">
      <alignment vertical="center"/>
      <protection locked="0"/>
    </xf>
    <xf numFmtId="0" fontId="56" fillId="3" borderId="99" xfId="0" applyFont="1" applyFill="1" applyBorder="1" applyAlignment="1" applyProtection="1">
      <alignment horizontal="center" vertical="center"/>
      <protection locked="0"/>
    </xf>
    <xf numFmtId="177" fontId="56" fillId="2" borderId="13" xfId="0" applyNumberFormat="1" applyFont="1" applyFill="1" applyBorder="1" applyAlignment="1" applyProtection="1">
      <alignment horizontal="right" vertical="center"/>
    </xf>
    <xf numFmtId="0" fontId="50" fillId="3" borderId="14" xfId="52" applyFont="1" applyFill="1" applyBorder="1" applyAlignment="1" applyProtection="1">
      <alignment vertical="center"/>
      <protection locked="0"/>
    </xf>
    <xf numFmtId="0" fontId="122" fillId="14" borderId="0" xfId="0" applyFont="1" applyFill="1" applyProtection="1">
      <alignment vertical="center"/>
      <protection locked="0"/>
    </xf>
    <xf numFmtId="0" fontId="56" fillId="2" borderId="16"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Font="1" applyFill="1" applyBorder="1" applyAlignment="1" applyProtection="1">
      <alignment horizontal="right" vertical="center" wrapText="1"/>
    </xf>
    <xf numFmtId="0" fontId="56" fillId="14" borderId="0" xfId="0" applyFont="1" applyFill="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right" vertical="center"/>
      <protection locked="0"/>
    </xf>
    <xf numFmtId="177" fontId="23" fillId="2" borderId="1" xfId="0" applyNumberFormat="1" applyFont="1" applyFill="1" applyBorder="1" applyAlignment="1" applyProtection="1">
      <alignment horizontal="center" vertical="center"/>
    </xf>
    <xf numFmtId="0" fontId="23" fillId="13" borderId="1" xfId="0" applyFont="1" applyFill="1" applyBorder="1" applyAlignment="1" applyProtection="1">
      <alignment horizontal="left" vertical="center"/>
      <protection locked="0"/>
    </xf>
    <xf numFmtId="0" fontId="55" fillId="0" borderId="1" xfId="0" applyFont="1" applyBorder="1" applyAlignment="1" applyProtection="1">
      <alignment horizontal="right" vertical="center"/>
      <protection locked="0"/>
    </xf>
    <xf numFmtId="0" fontId="55" fillId="2" borderId="1" xfId="0" applyFont="1" applyFill="1" applyBorder="1" applyAlignment="1" applyProtection="1">
      <alignment horizontal="right" vertical="center"/>
    </xf>
    <xf numFmtId="0" fontId="55" fillId="14" borderId="0" xfId="0" applyFont="1" applyFill="1" applyProtection="1">
      <alignment vertical="center"/>
      <protection locked="0"/>
    </xf>
    <xf numFmtId="0" fontId="7" fillId="14" borderId="0" xfId="0" applyFont="1" applyFill="1" applyProtection="1">
      <alignment vertical="center"/>
      <protection locked="0"/>
    </xf>
    <xf numFmtId="49" fontId="116" fillId="0" borderId="1" xfId="0" applyNumberFormat="1" applyFont="1" applyBorder="1" applyProtection="1">
      <alignment vertical="center"/>
      <protection locked="0"/>
    </xf>
    <xf numFmtId="177" fontId="56" fillId="0" borderId="1" xfId="0" applyNumberFormat="1" applyFont="1" applyBorder="1" applyAlignment="1" applyProtection="1">
      <alignment horizontal="right" vertical="center"/>
      <protection locked="0"/>
    </xf>
    <xf numFmtId="177" fontId="56" fillId="2" borderId="1" xfId="0" applyNumberFormat="1" applyFont="1" applyFill="1" applyBorder="1" applyAlignment="1" applyProtection="1">
      <alignment horizontal="center" vertical="center"/>
    </xf>
    <xf numFmtId="0" fontId="55" fillId="13" borderId="1" xfId="0" applyFont="1" applyFill="1" applyBorder="1" applyAlignment="1" applyProtection="1">
      <alignment horizontal="left" vertical="center"/>
      <protection locked="0"/>
    </xf>
    <xf numFmtId="49" fontId="56" fillId="0" borderId="1" xfId="0" applyNumberFormat="1" applyFont="1" applyBorder="1" applyProtection="1">
      <alignment vertical="center"/>
      <protection locked="0"/>
    </xf>
    <xf numFmtId="0" fontId="70" fillId="0" borderId="0" xfId="0" applyFont="1" applyFill="1" applyAlignment="1" applyProtection="1">
      <alignment horizontal="left" vertical="center"/>
      <protection locked="0"/>
    </xf>
    <xf numFmtId="0" fontId="67" fillId="2" borderId="5" xfId="0" applyFont="1" applyFill="1" applyBorder="1" applyAlignment="1" applyProtection="1">
      <alignment horizontal="left" vertical="center"/>
    </xf>
    <xf numFmtId="182"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left" vertical="center"/>
    </xf>
    <xf numFmtId="182"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0" fontId="123" fillId="0" borderId="16" xfId="0" applyFont="1" applyFill="1" applyBorder="1" applyAlignment="1" applyProtection="1">
      <alignment horizontal="center" vertical="center" wrapText="1"/>
      <protection locked="0"/>
    </xf>
    <xf numFmtId="0" fontId="123" fillId="0" borderId="10" xfId="0"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124" fillId="0" borderId="82" xfId="0"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177" fontId="125" fillId="0" borderId="10" xfId="0" applyNumberFormat="1" applyFont="1" applyFill="1" applyBorder="1" applyAlignment="1" applyProtection="1">
      <alignment horizontal="center" vertical="center" wrapText="1"/>
      <protection locked="0"/>
    </xf>
    <xf numFmtId="177" fontId="125" fillId="0" borderId="16"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0" fontId="75" fillId="0" borderId="17" xfId="0" applyFont="1" applyFill="1" applyBorder="1" applyAlignment="1" applyProtection="1">
      <alignment horizontal="center" vertical="center" wrapText="1"/>
      <protection locked="0"/>
    </xf>
    <xf numFmtId="182" fontId="99" fillId="2" borderId="0" xfId="0" applyNumberFormat="1" applyFont="1" applyFill="1" applyBorder="1" applyAlignment="1" applyProtection="1">
      <alignment horizontal="center" vertical="center" wrapText="1"/>
      <protection locked="0"/>
    </xf>
    <xf numFmtId="0" fontId="124" fillId="0" borderId="15" xfId="0" applyFont="1" applyFill="1" applyBorder="1" applyAlignment="1" applyProtection="1">
      <alignment horizontal="center" vertical="center" wrapText="1"/>
      <protection locked="0"/>
    </xf>
    <xf numFmtId="0" fontId="83" fillId="0" borderId="86"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125" fillId="0" borderId="86" xfId="0" applyFont="1" applyFill="1" applyBorder="1" applyAlignment="1" applyProtection="1">
      <alignment horizontal="center" vertical="center" wrapText="1"/>
      <protection locked="0"/>
    </xf>
    <xf numFmtId="0" fontId="70" fillId="2" borderId="3" xfId="0" applyFont="1" applyFill="1" applyBorder="1" applyAlignment="1" applyProtection="1">
      <alignment horizontal="left" vertical="center" textRotation="255" wrapText="1"/>
    </xf>
    <xf numFmtId="182" fontId="70" fillId="2" borderId="0" xfId="0" applyNumberFormat="1" applyFont="1" applyFill="1" applyBorder="1" applyAlignment="1" applyProtection="1">
      <alignment vertical="center" wrapText="1"/>
      <protection locked="0"/>
    </xf>
    <xf numFmtId="182"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8"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124" fillId="0" borderId="3"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83" fillId="0" borderId="8"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124" fillId="0" borderId="122" xfId="0" applyFont="1" applyFill="1" applyBorder="1" applyAlignment="1" applyProtection="1">
      <alignment horizontal="center" vertical="center" wrapText="1"/>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125" fillId="0" borderId="122" xfId="0" applyFont="1" applyFill="1" applyBorder="1" applyAlignment="1" applyProtection="1">
      <alignment horizontal="center" vertical="center" wrapText="1"/>
      <protection locked="0"/>
    </xf>
    <xf numFmtId="0" fontId="51" fillId="0" borderId="161"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2" xfId="0" applyFont="1" applyFill="1" applyBorder="1" applyProtection="1">
      <alignment vertical="center"/>
    </xf>
    <xf numFmtId="0" fontId="72" fillId="3" borderId="2" xfId="0" applyFont="1" applyFill="1" applyBorder="1" applyAlignment="1" applyProtection="1">
      <alignment horizontal="center" vertical="center" wrapText="1"/>
      <protection locked="0"/>
    </xf>
    <xf numFmtId="0" fontId="72" fillId="3" borderId="2" xfId="0" applyFont="1" applyFill="1" applyBorder="1" applyAlignment="1" applyProtection="1">
      <alignment horizontal="center" vertical="center"/>
      <protection locked="0"/>
    </xf>
    <xf numFmtId="0" fontId="107" fillId="2" borderId="11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6" fillId="2" borderId="118" xfId="0" applyFont="1" applyFill="1" applyBorder="1" applyAlignment="1" applyProtection="1">
      <alignment horizontal="center" vertical="center"/>
    </xf>
    <xf numFmtId="0" fontId="75" fillId="2" borderId="2" xfId="0" applyFont="1" applyFill="1" applyBorder="1" applyAlignment="1" applyProtection="1">
      <alignment vertical="center" wrapText="1"/>
    </xf>
    <xf numFmtId="0" fontId="75" fillId="2" borderId="2" xfId="0" applyFont="1" applyFill="1" applyBorder="1" applyAlignment="1" applyProtection="1">
      <alignment horizontal="center" vertical="center" wrapText="1"/>
    </xf>
    <xf numFmtId="0" fontId="30" fillId="13" borderId="2"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5" fillId="2" borderId="1" xfId="0" applyFont="1" applyFill="1" applyBorder="1" applyAlignment="1" applyProtection="1">
      <alignment horizontal="right" vertical="center" wrapText="1"/>
    </xf>
    <xf numFmtId="0" fontId="75" fillId="0" borderId="2" xfId="0" applyFont="1" applyBorder="1" applyAlignment="1" applyProtection="1">
      <alignment horizontal="right" vertical="center"/>
      <protection locked="0"/>
    </xf>
    <xf numFmtId="0" fontId="75" fillId="0" borderId="1" xfId="0" applyFont="1" applyBorder="1" applyAlignment="1" applyProtection="1">
      <alignment horizontal="right" vertical="center"/>
      <protection locked="0"/>
    </xf>
    <xf numFmtId="0" fontId="56" fillId="2" borderId="17" xfId="0" applyFont="1" applyFill="1" applyBorder="1" applyAlignment="1" applyProtection="1">
      <alignment vertical="center" wrapText="1"/>
    </xf>
    <xf numFmtId="0" fontId="75" fillId="0" borderId="4" xfId="0" applyFont="1" applyBorder="1" applyAlignment="1" applyProtection="1">
      <alignment horizontal="right" vertical="center"/>
      <protection locked="0"/>
    </xf>
    <xf numFmtId="0" fontId="75" fillId="0" borderId="3" xfId="0" applyFont="1" applyBorder="1" applyAlignment="1" applyProtection="1">
      <alignment horizontal="right" vertical="center"/>
      <protection locked="0"/>
    </xf>
    <xf numFmtId="0" fontId="73" fillId="2" borderId="15" xfId="0" applyFont="1" applyFill="1" applyBorder="1" applyAlignment="1" applyProtection="1">
      <alignment horizontal="right" vertical="center"/>
    </xf>
    <xf numFmtId="0" fontId="75" fillId="2" borderId="3"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5" fillId="2" borderId="0" xfId="0" applyFont="1" applyFill="1" applyProtection="1">
      <alignment vertical="center"/>
    </xf>
    <xf numFmtId="0" fontId="75" fillId="2" borderId="2" xfId="0" applyFont="1" applyFill="1" applyBorder="1" applyAlignment="1" applyProtection="1">
      <alignment horizontal="right" vertical="center"/>
    </xf>
    <xf numFmtId="0" fontId="18" fillId="2" borderId="92"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5" fillId="2" borderId="8" xfId="0" applyFont="1" applyFill="1" applyBorder="1" applyAlignment="1" applyProtection="1">
      <alignment vertical="center"/>
    </xf>
    <xf numFmtId="0" fontId="30" fillId="2" borderId="8" xfId="0" applyFont="1" applyFill="1" applyBorder="1" applyAlignment="1" applyProtection="1">
      <alignment horizontal="right" vertical="center"/>
    </xf>
    <xf numFmtId="0" fontId="30" fillId="2" borderId="9" xfId="0" applyFont="1" applyFill="1" applyBorder="1" applyAlignment="1" applyProtection="1">
      <alignment horizontal="right" vertical="center"/>
    </xf>
    <xf numFmtId="0" fontId="75" fillId="2" borderId="26"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73" fillId="2" borderId="18" xfId="0" applyFont="1" applyFill="1" applyBorder="1" applyAlignment="1" applyProtection="1">
      <alignment vertical="center"/>
    </xf>
    <xf numFmtId="0" fontId="75" fillId="2" borderId="1" xfId="0" applyFont="1" applyFill="1" applyBorder="1" applyProtection="1">
      <alignment vertical="center"/>
    </xf>
    <xf numFmtId="0" fontId="30" fillId="2" borderId="1" xfId="0" applyFont="1" applyFill="1" applyBorder="1" applyAlignment="1" applyProtection="1">
      <alignment horizontal="right" vertical="center"/>
    </xf>
    <xf numFmtId="0" fontId="30" fillId="2" borderId="11" xfId="0" applyFont="1" applyFill="1" applyBorder="1" applyAlignment="1" applyProtection="1">
      <alignment horizontal="right" vertical="center"/>
    </xf>
    <xf numFmtId="0" fontId="91" fillId="2" borderId="13"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 xfId="0" applyFont="1" applyFill="1" applyBorder="1" applyProtection="1">
      <alignment vertical="center"/>
    </xf>
    <xf numFmtId="0" fontId="75" fillId="2" borderId="115" xfId="0" applyFont="1" applyFill="1" applyBorder="1" applyAlignment="1" applyProtection="1">
      <alignment vertical="center"/>
    </xf>
    <xf numFmtId="0" fontId="75" fillId="2" borderId="103" xfId="0" applyFont="1" applyFill="1" applyBorder="1" applyProtection="1">
      <alignment vertical="center"/>
    </xf>
    <xf numFmtId="177" fontId="75"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6" fillId="2" borderId="116" xfId="0" applyFont="1" applyFill="1" applyBorder="1" applyProtection="1">
      <alignment vertical="center"/>
      <protection locked="0"/>
    </xf>
    <xf numFmtId="0" fontId="56" fillId="2" borderId="28" xfId="0" applyFont="1" applyFill="1" applyBorder="1" applyProtection="1">
      <alignment vertical="center"/>
      <protection locked="0"/>
    </xf>
    <xf numFmtId="0" fontId="56" fillId="2" borderId="23" xfId="0" applyFont="1" applyFill="1" applyBorder="1" applyAlignment="1" applyProtection="1">
      <alignment horizontal="right" vertical="center"/>
      <protection locked="0"/>
    </xf>
    <xf numFmtId="0" fontId="56" fillId="2" borderId="24" xfId="0" applyFont="1" applyFill="1" applyBorder="1" applyProtection="1">
      <alignment vertical="center"/>
      <protection locked="0"/>
    </xf>
    <xf numFmtId="0" fontId="75" fillId="2" borderId="84" xfId="0" applyFont="1" applyFill="1" applyBorder="1" applyAlignment="1" applyProtection="1">
      <alignment horizontal="center" vertical="center"/>
    </xf>
    <xf numFmtId="0" fontId="73" fillId="2" borderId="117" xfId="0" applyFont="1" applyFill="1" applyBorder="1" applyAlignment="1" applyProtection="1">
      <alignment horizontal="left" vertical="center" wrapText="1"/>
    </xf>
    <xf numFmtId="0" fontId="75" fillId="3" borderId="1" xfId="0" applyFont="1" applyFill="1" applyBorder="1" applyProtection="1">
      <alignment vertical="center"/>
      <protection locked="0"/>
    </xf>
    <xf numFmtId="0" fontId="75" fillId="2" borderId="105"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107" fillId="0" borderId="10" xfId="0" applyFont="1" applyBorder="1" applyAlignment="1" applyProtection="1">
      <alignment horizontal="center" vertical="center"/>
      <protection locked="0"/>
    </xf>
    <xf numFmtId="0" fontId="107" fillId="0" borderId="1" xfId="0" applyFont="1" applyFill="1" applyBorder="1" applyAlignment="1" applyProtection="1">
      <alignment horizontal="center" vertical="center"/>
      <protection locked="0"/>
    </xf>
    <xf numFmtId="0" fontId="107" fillId="0" borderId="11" xfId="0" applyFont="1" applyFill="1" applyBorder="1" applyAlignment="1" applyProtection="1">
      <alignment horizontal="center" vertical="center"/>
      <protection locked="0"/>
    </xf>
    <xf numFmtId="0" fontId="107" fillId="0" borderId="1" xfId="0" applyFont="1" applyFill="1" applyBorder="1" applyAlignment="1" applyProtection="1">
      <alignment horizontal="right" vertical="center"/>
      <protection locked="0"/>
    </xf>
    <xf numFmtId="0" fontId="107" fillId="0" borderId="11"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51"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51" fillId="14" borderId="161" xfId="0" applyFont="1" applyFill="1" applyBorder="1" applyAlignment="1" applyProtection="1">
      <protection locked="0"/>
    </xf>
    <xf numFmtId="0" fontId="51" fillId="14" borderId="161" xfId="0" applyFont="1" applyFill="1" applyBorder="1" applyAlignment="1" applyProtection="1"/>
    <xf numFmtId="0" fontId="73" fillId="2" borderId="108" xfId="0" applyFont="1" applyFill="1" applyBorder="1" applyAlignment="1" applyProtection="1">
      <alignment horizontal="left" vertical="center"/>
    </xf>
    <xf numFmtId="0" fontId="75" fillId="2" borderId="25" xfId="0" applyFont="1" applyFill="1" applyBorder="1" applyProtection="1">
      <alignment vertical="center"/>
    </xf>
    <xf numFmtId="0" fontId="75" fillId="2" borderId="80" xfId="0" applyFont="1" applyFill="1" applyBorder="1" applyAlignment="1" applyProtection="1">
      <alignment horizontal="right" vertical="center"/>
    </xf>
    <xf numFmtId="0" fontId="73" fillId="3" borderId="22"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56" fillId="2" borderId="15"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87" fillId="13" borderId="11" xfId="0" applyFont="1" applyFill="1" applyBorder="1" applyAlignment="1" applyProtection="1">
      <alignment horizontal="center" vertical="center"/>
      <protection locked="0"/>
    </xf>
    <xf numFmtId="0" fontId="56" fillId="2" borderId="98" xfId="0" applyFont="1" applyFill="1" applyBorder="1" applyProtection="1">
      <alignment vertical="center"/>
    </xf>
    <xf numFmtId="0" fontId="56" fillId="2" borderId="9" xfId="0" applyFont="1" applyFill="1" applyBorder="1" applyAlignment="1" applyProtection="1">
      <alignment horizontal="center" vertical="center"/>
    </xf>
    <xf numFmtId="0" fontId="73" fillId="2" borderId="118" xfId="0" applyFont="1" applyFill="1" applyBorder="1" applyAlignment="1" applyProtection="1">
      <alignment horizontal="left" vertical="center"/>
    </xf>
    <xf numFmtId="0" fontId="75" fillId="2" borderId="106" xfId="0" applyFont="1" applyFill="1" applyBorder="1" applyAlignment="1" applyProtection="1">
      <alignment horizontal="right" vertical="center"/>
    </xf>
    <xf numFmtId="0" fontId="73" fillId="2" borderId="105" xfId="0" applyFont="1" applyFill="1" applyBorder="1" applyAlignment="1" applyProtection="1">
      <alignment horizontal="right" vertical="center"/>
    </xf>
    <xf numFmtId="182" fontId="75" fillId="2" borderId="85" xfId="3" applyNumberFormat="1" applyFont="1" applyFill="1" applyBorder="1" applyAlignment="1" applyProtection="1">
      <alignment horizontal="right" vertical="center"/>
    </xf>
    <xf numFmtId="0" fontId="56" fillId="2" borderId="16" xfId="0" applyFont="1" applyFill="1" applyBorder="1" applyProtection="1">
      <alignment vertical="center"/>
    </xf>
    <xf numFmtId="0" fontId="56" fillId="0" borderId="11" xfId="0" applyFont="1" applyBorder="1" applyAlignment="1" applyProtection="1">
      <alignment horizontal="right" vertical="center"/>
      <protection locked="0"/>
    </xf>
    <xf numFmtId="0" fontId="73" fillId="2" borderId="89" xfId="0" applyFont="1" applyFill="1" applyBorder="1" applyAlignment="1" applyProtection="1">
      <alignment horizontal="left" vertical="center"/>
    </xf>
    <xf numFmtId="0" fontId="75" fillId="2" borderId="99" xfId="0" applyFont="1" applyFill="1" applyBorder="1" applyAlignment="1" applyProtection="1">
      <alignment horizontal="right" vertical="center"/>
    </xf>
    <xf numFmtId="0" fontId="73" fillId="2" borderId="27" xfId="0" applyFont="1" applyFill="1" applyBorder="1" applyAlignment="1" applyProtection="1">
      <alignment horizontal="right" vertical="center"/>
    </xf>
    <xf numFmtId="182" fontId="75" fillId="2" borderId="14" xfId="3" applyNumberFormat="1" applyFont="1" applyFill="1" applyBorder="1" applyAlignment="1" applyProtection="1">
      <alignment horizontal="right" vertical="center"/>
    </xf>
    <xf numFmtId="0" fontId="56" fillId="2" borderId="99" xfId="0" applyFont="1" applyFill="1" applyBorder="1" applyProtection="1">
      <alignment vertical="center"/>
    </xf>
    <xf numFmtId="0" fontId="56" fillId="0" borderId="14" xfId="0" applyFont="1" applyBorder="1" applyAlignment="1" applyProtection="1">
      <alignment horizontal="right" vertical="center"/>
      <protection locked="0"/>
    </xf>
    <xf numFmtId="0" fontId="73" fillId="2" borderId="20" xfId="0" applyFont="1" applyFill="1" applyBorder="1" applyAlignment="1" applyProtection="1">
      <alignment horizontal="center" vertical="center" wrapText="1"/>
    </xf>
    <xf numFmtId="0" fontId="75" fillId="2" borderId="9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75" fillId="3" borderId="115" xfId="0" applyFont="1" applyFill="1" applyBorder="1" applyProtection="1">
      <alignment vertical="center"/>
      <protection locked="0"/>
    </xf>
    <xf numFmtId="0" fontId="75" fillId="2" borderId="111"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2" borderId="29"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3" fillId="2" borderId="30" xfId="0" applyFont="1" applyFill="1" applyBorder="1" applyAlignment="1" applyProtection="1">
      <alignment horizontal="center" vertical="center" wrapText="1"/>
    </xf>
    <xf numFmtId="0" fontId="75" fillId="2" borderId="99"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75" fillId="0" borderId="111" xfId="0" applyFont="1" applyFill="1" applyBorder="1" applyProtection="1">
      <alignment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56" fillId="2" borderId="18" xfId="0" applyFont="1" applyFill="1" applyBorder="1" applyProtection="1">
      <alignment vertical="center"/>
    </xf>
    <xf numFmtId="0" fontId="56" fillId="0" borderId="10" xfId="0" applyFont="1" applyBorder="1" applyAlignment="1" applyProtection="1">
      <alignment horizontal="right" vertical="center"/>
      <protection locked="0"/>
    </xf>
    <xf numFmtId="0" fontId="56" fillId="0" borderId="1" xfId="0" applyFont="1" applyBorder="1" applyAlignment="1" applyProtection="1">
      <alignment horizontal="right" vertical="center"/>
      <protection locked="0"/>
    </xf>
    <xf numFmtId="0" fontId="56" fillId="0" borderId="11" xfId="0" applyFont="1" applyFill="1" applyBorder="1" applyAlignment="1" applyProtection="1">
      <alignment horizontal="right" vertical="center"/>
      <protection locked="0"/>
    </xf>
    <xf numFmtId="0" fontId="56" fillId="2" borderId="116" xfId="0" applyFont="1" applyFill="1" applyBorder="1" applyProtection="1">
      <alignment vertical="center"/>
    </xf>
    <xf numFmtId="0" fontId="56" fillId="0" borderId="12" xfId="0" applyFont="1" applyBorder="1" applyAlignment="1" applyProtection="1">
      <alignment horizontal="right" vertical="center"/>
      <protection locked="0"/>
    </xf>
    <xf numFmtId="0" fontId="56" fillId="0" borderId="13"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23" fillId="2" borderId="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23" fillId="2" borderId="1" xfId="0" applyFont="1" applyFill="1" applyBorder="1" applyAlignment="1" applyProtection="1">
      <alignment horizontal="left" vertical="center" wrapText="1"/>
    </xf>
    <xf numFmtId="0" fontId="131" fillId="2" borderId="1" xfId="0" applyFont="1" applyFill="1" applyBorder="1" applyAlignment="1" applyProtection="1">
      <alignment horizontal="center" vertical="center" wrapText="1"/>
      <protection locked="0"/>
    </xf>
    <xf numFmtId="0" fontId="74" fillId="2" borderId="18"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9" fontId="56" fillId="2" borderId="11"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131" fillId="2" borderId="1" xfId="0" applyFont="1" applyFill="1" applyBorder="1" applyAlignment="1" applyProtection="1">
      <alignment horizontal="center" vertical="center" wrapText="1"/>
    </xf>
    <xf numFmtId="0" fontId="56" fillId="2" borderId="81" xfId="0" applyFont="1" applyFill="1" applyBorder="1" applyAlignment="1" applyProtection="1">
      <alignment horizontal="left" vertical="center" wrapText="1"/>
    </xf>
    <xf numFmtId="0" fontId="56" fillId="2" borderId="15" xfId="0" applyFont="1" applyFill="1" applyBorder="1" applyAlignment="1" applyProtection="1">
      <alignment horizontal="right" vertical="center"/>
    </xf>
    <xf numFmtId="10" fontId="56" fillId="2" borderId="3" xfId="0" applyNumberFormat="1" applyFont="1" applyFill="1" applyBorder="1" applyAlignment="1" applyProtection="1">
      <alignment horizontal="left" vertical="center"/>
    </xf>
    <xf numFmtId="0" fontId="77" fillId="0" borderId="11"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protection locked="0"/>
    </xf>
    <xf numFmtId="0" fontId="131" fillId="2" borderId="1" xfId="0" applyFont="1" applyFill="1" applyBorder="1" applyAlignment="1" applyProtection="1">
      <alignment horizontal="right" vertical="center" wrapText="1"/>
    </xf>
    <xf numFmtId="0" fontId="80" fillId="14" borderId="1" xfId="0" applyFont="1" applyFill="1" applyBorder="1" applyProtection="1">
      <alignment vertical="center"/>
      <protection locked="0"/>
    </xf>
    <xf numFmtId="0" fontId="56" fillId="14" borderId="1" xfId="0" applyFont="1" applyFill="1" applyBorder="1" applyProtection="1">
      <alignment vertical="center"/>
      <protection locked="0"/>
    </xf>
    <xf numFmtId="0" fontId="56" fillId="2" borderId="93" xfId="0" applyFont="1" applyFill="1" applyBorder="1" applyAlignment="1" applyProtection="1">
      <alignment horizontal="right" vertical="center"/>
    </xf>
    <xf numFmtId="0" fontId="56" fillId="2" borderId="79" xfId="0" applyFont="1" applyFill="1" applyBorder="1" applyAlignment="1" applyProtection="1">
      <alignment horizontal="left" vertical="center"/>
    </xf>
    <xf numFmtId="0" fontId="56" fillId="2" borderId="31"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1" xfId="0" applyFont="1" applyFill="1" applyBorder="1" applyAlignment="1" applyProtection="1">
      <alignment horizontal="right" vertical="center"/>
      <protection locked="0"/>
    </xf>
    <xf numFmtId="0" fontId="56" fillId="2" borderId="29" xfId="0" applyFont="1" applyFill="1" applyBorder="1" applyAlignment="1" applyProtection="1">
      <alignment horizontal="left" vertical="center" wrapText="1"/>
    </xf>
    <xf numFmtId="0" fontId="56" fillId="2" borderId="92" xfId="0" applyFont="1" applyFill="1" applyBorder="1" applyAlignment="1" applyProtection="1">
      <alignment horizontal="right" vertical="center"/>
    </xf>
    <xf numFmtId="0" fontId="56" fillId="2" borderId="88"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56" fillId="2" borderId="117"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26" fillId="2" borderId="11"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32" fillId="2" borderId="1" xfId="0" applyFont="1" applyFill="1" applyBorder="1" applyAlignment="1" applyProtection="1">
      <alignment horizontal="right" vertical="center" wrapText="1"/>
    </xf>
    <xf numFmtId="10" fontId="132" fillId="2" borderId="1" xfId="0" applyNumberFormat="1" applyFont="1" applyFill="1" applyBorder="1" applyAlignment="1" applyProtection="1">
      <alignment horizontal="right" vertical="center"/>
    </xf>
    <xf numFmtId="0" fontId="56" fillId="2" borderId="16" xfId="0" applyFont="1" applyFill="1" applyBorder="1" applyAlignment="1" applyProtection="1">
      <alignment horizontal="left" vertical="center" wrapText="1"/>
    </xf>
    <xf numFmtId="0" fontId="56" fillId="3" borderId="11" xfId="0" applyFont="1" applyFill="1" applyBorder="1" applyAlignment="1" applyProtection="1">
      <alignment horizontal="left" vertical="center"/>
      <protection locked="0"/>
    </xf>
    <xf numFmtId="0" fontId="80" fillId="2" borderId="3"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32" fillId="2" borderId="1" xfId="0" applyNumberFormat="1" applyFont="1" applyFill="1" applyBorder="1" applyAlignment="1" applyProtection="1">
      <alignment horizontal="right" vertical="center"/>
    </xf>
    <xf numFmtId="10" fontId="56" fillId="2" borderId="15" xfId="0" applyNumberFormat="1" applyFont="1" applyFill="1" applyBorder="1" applyAlignment="1" applyProtection="1">
      <alignment horizontal="center" vertical="center"/>
    </xf>
    <xf numFmtId="0" fontId="132" fillId="2" borderId="2" xfId="0" applyFont="1" applyFill="1" applyBorder="1" applyAlignment="1" applyProtection="1">
      <alignment horizontal="right" vertical="center" wrapText="1"/>
    </xf>
    <xf numFmtId="9" fontId="132" fillId="2" borderId="2" xfId="0" applyNumberFormat="1" applyFont="1" applyFill="1" applyBorder="1" applyAlignment="1" applyProtection="1">
      <alignment horizontal="right" vertical="center"/>
    </xf>
    <xf numFmtId="0" fontId="26" fillId="0" borderId="11" xfId="0" applyFont="1" applyFill="1" applyBorder="1" applyAlignment="1" applyProtection="1">
      <alignment horizontal="left" vertical="center" wrapText="1"/>
      <protection locked="0"/>
    </xf>
    <xf numFmtId="0" fontId="56" fillId="13" borderId="16"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0" fontId="56" fillId="2" borderId="0" xfId="0" applyNumberFormat="1" applyFont="1" applyFill="1" applyProtection="1">
      <alignment vertical="center"/>
      <protection locked="0"/>
    </xf>
    <xf numFmtId="0" fontId="80" fillId="14" borderId="93" xfId="0" applyFont="1" applyFill="1" applyBorder="1" applyAlignment="1" applyProtection="1">
      <alignment horizontal="left" vertical="center" wrapText="1"/>
      <protection locked="0"/>
    </xf>
    <xf numFmtId="0" fontId="80" fillId="14" borderId="94" xfId="0" applyFont="1" applyFill="1" applyBorder="1" applyAlignment="1" applyProtection="1">
      <alignment horizontal="left" vertical="center" wrapText="1"/>
      <protection locked="0"/>
    </xf>
    <xf numFmtId="0" fontId="132" fillId="2" borderId="15" xfId="0" applyFont="1" applyFill="1" applyBorder="1" applyAlignment="1" applyProtection="1">
      <alignment horizontal="left" vertical="center" wrapText="1"/>
    </xf>
    <xf numFmtId="0" fontId="132" fillId="2" borderId="17" xfId="0" applyFont="1" applyFill="1" applyBorder="1" applyAlignment="1" applyProtection="1">
      <alignment horizontal="left" vertical="center"/>
    </xf>
    <xf numFmtId="0" fontId="132" fillId="2" borderId="16" xfId="0" applyFont="1" applyFill="1" applyBorder="1" applyAlignment="1" applyProtection="1">
      <alignment horizontal="left" vertical="center" wrapText="1"/>
    </xf>
    <xf numFmtId="0" fontId="80" fillId="14" borderId="105" xfId="0" applyFont="1" applyFill="1" applyBorder="1" applyAlignment="1" applyProtection="1">
      <alignment horizontal="left" vertical="center" wrapText="1"/>
      <protection locked="0"/>
    </xf>
    <xf numFmtId="0" fontId="80" fillId="14" borderId="106" xfId="0" applyFont="1" applyFill="1" applyBorder="1" applyAlignment="1" applyProtection="1">
      <alignment horizontal="left" vertical="center" wrapText="1"/>
      <protection locked="0"/>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27" xfId="0" applyFont="1" applyFill="1" applyBorder="1" applyAlignment="1" applyProtection="1">
      <alignment horizontal="right" vertical="center"/>
    </xf>
    <xf numFmtId="10" fontId="56" fillId="2" borderId="13" xfId="0" applyNumberFormat="1" applyFont="1" applyFill="1" applyBorder="1" applyAlignment="1" applyProtection="1">
      <alignment horizontal="left" vertical="center"/>
    </xf>
    <xf numFmtId="0" fontId="26" fillId="0" borderId="14"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81" fillId="2" borderId="115" xfId="0" applyFont="1" applyFill="1" applyBorder="1" applyAlignment="1" applyProtection="1">
      <alignment horizontal="center" vertical="center"/>
    </xf>
    <xf numFmtId="0" fontId="81" fillId="2" borderId="110" xfId="0" applyFont="1" applyFill="1" applyBorder="1" applyAlignment="1" applyProtection="1">
      <alignment horizontal="center" vertical="center"/>
    </xf>
    <xf numFmtId="0" fontId="74" fillId="2" borderId="109" xfId="0" applyFont="1" applyFill="1" applyBorder="1" applyAlignment="1" applyProtection="1">
      <alignment vertical="center"/>
    </xf>
    <xf numFmtId="0" fontId="81" fillId="2" borderId="115" xfId="0" applyFont="1" applyFill="1" applyBorder="1" applyAlignment="1" applyProtection="1">
      <alignment horizontal="center" vertical="center" wrapText="1"/>
    </xf>
    <xf numFmtId="0" fontId="81" fillId="2" borderId="110" xfId="0" applyFont="1" applyFill="1" applyBorder="1" applyAlignment="1" applyProtection="1">
      <alignment horizontal="center" vertical="center" wrapText="1"/>
    </xf>
    <xf numFmtId="0" fontId="81"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9" fillId="2" borderId="82" xfId="0" applyFont="1" applyFill="1" applyBorder="1" applyAlignment="1" applyProtection="1">
      <alignment vertical="center" wrapText="1"/>
    </xf>
    <xf numFmtId="0" fontId="9" fillId="2" borderId="98" xfId="0" applyFont="1" applyFill="1" applyBorder="1" applyAlignment="1" applyProtection="1">
      <alignment vertical="center" wrapText="1"/>
    </xf>
    <xf numFmtId="0" fontId="9" fillId="2" borderId="9" xfId="0" applyFont="1" applyFill="1" applyBorder="1" applyAlignment="1" applyProtection="1">
      <alignment horizontal="left" vertical="center" wrapText="1"/>
    </xf>
    <xf numFmtId="0" fontId="81" fillId="2" borderId="107" xfId="0" applyFont="1" applyFill="1" applyBorder="1" applyAlignment="1" applyProtection="1">
      <alignment horizontal="left" vertical="center" wrapText="1"/>
    </xf>
    <xf numFmtId="0" fontId="81" fillId="2" borderId="82" xfId="0" applyFont="1" applyFill="1" applyBorder="1" applyAlignment="1" applyProtection="1">
      <alignment vertical="center" wrapText="1"/>
    </xf>
    <xf numFmtId="0" fontId="81" fillId="2" borderId="8" xfId="0" applyFont="1" applyFill="1" applyBorder="1" applyAlignment="1" applyProtection="1">
      <alignment vertical="center" wrapText="1"/>
    </xf>
    <xf numFmtId="0" fontId="81" fillId="2" borderId="9" xfId="0" applyFont="1" applyFill="1" applyBorder="1" applyAlignment="1" applyProtection="1">
      <alignment horizontal="left" vertical="center"/>
    </xf>
    <xf numFmtId="49" fontId="74" fillId="2" borderId="10" xfId="0" applyNumberFormat="1" applyFont="1" applyFill="1" applyBorder="1" applyAlignment="1" applyProtection="1">
      <alignment horizontal="left" vertical="center" wrapText="1"/>
    </xf>
    <xf numFmtId="0" fontId="133" fillId="2" borderId="3" xfId="0" applyFont="1" applyFill="1" applyBorder="1" applyAlignment="1" applyProtection="1">
      <alignment horizontal="left" vertical="center" wrapText="1"/>
    </xf>
    <xf numFmtId="0" fontId="36" fillId="2" borderId="85" xfId="0" applyFont="1" applyFill="1" applyBorder="1" applyAlignment="1" applyProtection="1">
      <alignment horizontal="left" vertical="center" wrapText="1"/>
    </xf>
    <xf numFmtId="0" fontId="134" fillId="2" borderId="136" xfId="0" applyFont="1" applyFill="1" applyBorder="1" applyAlignment="1" applyProtection="1">
      <alignment horizontal="left" vertical="center" wrapText="1"/>
    </xf>
    <xf numFmtId="0" fontId="56" fillId="2" borderId="11" xfId="0" applyFont="1" applyFill="1" applyBorder="1" applyProtection="1">
      <alignment vertical="center"/>
    </xf>
    <xf numFmtId="0" fontId="116" fillId="2" borderId="16" xfId="0"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1" xfId="0" applyFont="1" applyFill="1" applyBorder="1" applyAlignment="1">
      <alignment horizontal="right" vertical="center" wrapText="1"/>
    </xf>
    <xf numFmtId="49" fontId="56" fillId="2" borderId="10" xfId="0" applyNumberFormat="1"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9" fontId="31" fillId="2" borderId="11" xfId="0" applyNumberFormat="1" applyFont="1" applyFill="1" applyBorder="1" applyAlignment="1" applyProtection="1">
      <alignment horizontal="right" vertical="center" wrapText="1"/>
    </xf>
    <xf numFmtId="0" fontId="134" fillId="2" borderId="131" xfId="0" applyFont="1" applyFill="1" applyBorder="1" applyAlignment="1" applyProtection="1">
      <alignment horizontal="left" vertical="center" wrapText="1"/>
    </xf>
    <xf numFmtId="9" fontId="56" fillId="2" borderId="11" xfId="0" applyNumberFormat="1" applyFont="1" applyFill="1" applyBorder="1" applyProtection="1">
      <alignment vertical="center"/>
    </xf>
    <xf numFmtId="0" fontId="31" fillId="0" borderId="1" xfId="0" applyFont="1" applyFill="1" applyBorder="1" applyAlignment="1" applyProtection="1">
      <alignment horizontal="right" vertical="center" wrapText="1"/>
      <protection locked="0"/>
    </xf>
    <xf numFmtId="0" fontId="31" fillId="2" borderId="11" xfId="0" applyFont="1" applyFill="1" applyBorder="1" applyAlignment="1" applyProtection="1">
      <alignment horizontal="right" vertical="center" wrapText="1"/>
    </xf>
    <xf numFmtId="0" fontId="113" fillId="2" borderId="1" xfId="0" applyFont="1" applyFill="1" applyBorder="1" applyAlignment="1" applyProtection="1">
      <alignment horizontal="left" vertical="center" wrapText="1"/>
    </xf>
    <xf numFmtId="0" fontId="36" fillId="2" borderId="11" xfId="0" applyFont="1" applyFill="1" applyBorder="1" applyAlignment="1" applyProtection="1">
      <alignment horizontal="right" vertical="center" wrapText="1"/>
    </xf>
    <xf numFmtId="0" fontId="56" fillId="3" borderId="11" xfId="0" applyFont="1" applyFill="1" applyBorder="1" applyProtection="1">
      <alignment vertical="center"/>
    </xf>
    <xf numFmtId="0" fontId="133" fillId="2" borderId="1" xfId="0" applyFont="1" applyFill="1" applyBorder="1" applyAlignment="1" applyProtection="1">
      <alignment horizontal="left" vertical="center" wrapText="1"/>
    </xf>
    <xf numFmtId="0" fontId="56" fillId="0" borderId="1" xfId="0" applyFont="1" applyFill="1" applyBorder="1" applyAlignment="1" applyProtection="1">
      <alignment horizontal="right" vertical="center"/>
      <protection locked="0"/>
    </xf>
    <xf numFmtId="49" fontId="74" fillId="2" borderId="12" xfId="0" applyNumberFormat="1"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10" fontId="31" fillId="2" borderId="14" xfId="0" applyNumberFormat="1" applyFont="1" applyFill="1" applyBorder="1" applyAlignment="1" applyProtection="1">
      <alignment horizontal="right" vertical="center" wrapText="1"/>
    </xf>
    <xf numFmtId="0" fontId="134" fillId="2" borderId="132" xfId="0" applyFont="1" applyFill="1" applyBorder="1" applyAlignment="1" applyProtection="1">
      <alignment horizontal="left" vertical="center" wrapText="1"/>
    </xf>
    <xf numFmtId="49" fontId="56" fillId="2" borderId="12" xfId="0" applyNumberFormat="1" applyFont="1" applyFill="1" applyBorder="1" applyAlignment="1" applyProtection="1">
      <alignment horizontal="left" vertical="center" wrapText="1"/>
    </xf>
    <xf numFmtId="0" fontId="56" fillId="2" borderId="13" xfId="0" applyFont="1" applyFill="1" applyBorder="1" applyAlignment="1" applyProtection="1">
      <alignment horizontal="right" vertical="center" wrapText="1"/>
    </xf>
    <xf numFmtId="0" fontId="56" fillId="0" borderId="13" xfId="0" applyFont="1" applyFill="1" applyBorder="1" applyAlignment="1" applyProtection="1">
      <alignment horizontal="right" vertical="center"/>
      <protection locked="0"/>
    </xf>
    <xf numFmtId="9" fontId="56" fillId="2" borderId="14" xfId="0" applyNumberFormat="1" applyFont="1" applyFill="1" applyBorder="1" applyProtection="1">
      <alignment vertical="center"/>
    </xf>
    <xf numFmtId="49" fontId="74" fillId="2" borderId="18"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2" fontId="56" fillId="2" borderId="0" xfId="0" applyNumberFormat="1" applyFont="1" applyFill="1" applyAlignment="1" applyProtection="1">
      <alignment horizontal="left" vertical="center"/>
    </xf>
    <xf numFmtId="0" fontId="36" fillId="2" borderId="18"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6" fillId="2"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36" fillId="2" borderId="7" xfId="0" applyFont="1" applyFill="1" applyBorder="1" applyAlignment="1" applyProtection="1">
      <alignment horizontal="left" vertical="center" wrapText="1"/>
    </xf>
    <xf numFmtId="0" fontId="56" fillId="2" borderId="26"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5" fillId="2" borderId="84" xfId="55" applyFont="1" applyFill="1" applyBorder="1" applyAlignment="1" applyProtection="1">
      <alignment horizontal="left" vertical="center" wrapText="1"/>
    </xf>
    <xf numFmtId="0" fontId="30" fillId="2" borderId="0" xfId="55" applyFont="1" applyFill="1" applyAlignment="1" applyProtection="1">
      <alignment vertical="center" wrapText="1"/>
      <protection locked="0"/>
    </xf>
    <xf numFmtId="0" fontId="3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right" vertical="center" wrapText="1"/>
    </xf>
    <xf numFmtId="0" fontId="75" fillId="2" borderId="87" xfId="55" applyFont="1" applyFill="1" applyBorder="1" applyAlignment="1" applyProtection="1">
      <alignment horizontal="left" vertical="center" wrapText="1"/>
    </xf>
    <xf numFmtId="0" fontId="75" fillId="2" borderId="1" xfId="55" applyFont="1" applyFill="1" applyBorder="1" applyAlignment="1" applyProtection="1">
      <alignment horizontal="left" vertical="center" wrapText="1"/>
    </xf>
    <xf numFmtId="0" fontId="75" fillId="13" borderId="1" xfId="55" applyFont="1" applyFill="1" applyBorder="1" applyAlignment="1" applyProtection="1">
      <alignment horizontal="left" vertical="center" wrapText="1"/>
      <protection locked="0"/>
    </xf>
    <xf numFmtId="0" fontId="31" fillId="0" borderId="11" xfId="0" applyFont="1" applyFill="1" applyBorder="1" applyAlignment="1" applyProtection="1">
      <alignment horizontal="left" vertical="center" wrapText="1"/>
      <protection locked="0"/>
    </xf>
    <xf numFmtId="0" fontId="31" fillId="2" borderId="3"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7"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right" vertical="center" wrapText="1"/>
    </xf>
    <xf numFmtId="0" fontId="56" fillId="13" borderId="17" xfId="0" applyFont="1" applyFill="1" applyBorder="1" applyAlignment="1" applyProtection="1">
      <alignment horizontal="left" vertical="center" wrapText="1"/>
      <protection locked="0"/>
    </xf>
    <xf numFmtId="10" fontId="74" fillId="2" borderId="15" xfId="0" applyNumberFormat="1"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wrapText="1"/>
    </xf>
    <xf numFmtId="10" fontId="56" fillId="2" borderId="17"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30" fillId="2" borderId="0" xfId="55" applyFont="1" applyFill="1" applyProtection="1">
      <protection locked="0"/>
    </xf>
    <xf numFmtId="10" fontId="36" fillId="2" borderId="1" xfId="3" applyNumberFormat="1" applyFont="1" applyFill="1" applyBorder="1" applyAlignment="1" applyProtection="1">
      <alignment horizontal="right" vertical="center" wrapText="1"/>
    </xf>
    <xf numFmtId="0" fontId="36" fillId="2" borderId="13"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wrapText="1"/>
    </xf>
    <xf numFmtId="0" fontId="56" fillId="2" borderId="27"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5" fillId="2" borderId="91" xfId="55"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55" applyFont="1" applyFill="1" applyAlignment="1" applyProtection="1">
      <alignment horizontal="left"/>
    </xf>
    <xf numFmtId="0" fontId="56" fillId="2" borderId="84" xfId="55" applyFont="1" applyFill="1" applyBorder="1" applyAlignment="1" applyProtection="1">
      <alignment horizontal="left" vertical="center" wrapText="1"/>
    </xf>
    <xf numFmtId="0" fontId="56" fillId="2" borderId="87" xfId="55" applyFont="1" applyFill="1" applyBorder="1" applyAlignment="1" applyProtection="1">
      <alignment horizontal="left" vertical="center" wrapText="1"/>
    </xf>
    <xf numFmtId="0" fontId="31" fillId="2" borderId="15" xfId="0"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6"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80"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10" fontId="80" fillId="3" borderId="87" xfId="0" applyNumberFormat="1" applyFont="1" applyFill="1" applyBorder="1" applyAlignment="1" applyProtection="1">
      <alignment horizontal="left" vertical="center" wrapText="1"/>
      <protection locked="0"/>
    </xf>
    <xf numFmtId="0" fontId="30" fillId="0" borderId="10" xfId="0" applyFont="1" applyFill="1" applyBorder="1" applyProtection="1">
      <alignment vertical="center"/>
      <protection locked="0"/>
    </xf>
    <xf numFmtId="10" fontId="74" fillId="3" borderId="15"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80" fillId="2" borderId="15" xfId="0" applyNumberFormat="1" applyFont="1" applyFill="1" applyBorder="1" applyAlignment="1" applyProtection="1">
      <alignment horizontal="left" vertical="center" wrapText="1"/>
    </xf>
    <xf numFmtId="9" fontId="30" fillId="2" borderId="0" xfId="0" applyNumberFormat="1" applyFont="1" applyFill="1" applyProtection="1">
      <alignment vertical="center"/>
    </xf>
    <xf numFmtId="10" fontId="26" fillId="2" borderId="15" xfId="0" applyNumberFormat="1" applyFont="1" applyFill="1" applyBorder="1" applyAlignment="1" applyProtection="1">
      <alignment horizontal="left" vertical="center" wrapText="1"/>
    </xf>
    <xf numFmtId="10" fontId="26" fillId="2" borderId="17"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56" fillId="2" borderId="91" xfId="55"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137" fillId="2" borderId="1" xfId="0" applyFont="1" applyFill="1" applyBorder="1" applyAlignment="1" applyProtection="1">
      <alignment horizontal="left" vertical="center" wrapText="1"/>
    </xf>
    <xf numFmtId="0" fontId="137" fillId="2" borderId="11"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38" fillId="2" borderId="1" xfId="0" applyFont="1" applyFill="1" applyBorder="1" applyAlignment="1" applyProtection="1">
      <alignment vertical="center" wrapText="1"/>
    </xf>
    <xf numFmtId="0" fontId="73" fillId="2" borderId="11" xfId="0" applyFont="1" applyFill="1" applyBorder="1" applyAlignment="1" applyProtection="1">
      <alignment horizontal="right" vertical="center"/>
    </xf>
    <xf numFmtId="0" fontId="138" fillId="2" borderId="10" xfId="0" applyFont="1" applyFill="1" applyBorder="1" applyAlignment="1" applyProtection="1">
      <alignment horizontal="left" vertical="center"/>
    </xf>
    <xf numFmtId="0" fontId="138" fillId="2" borderId="1" xfId="0" applyFont="1" applyFill="1" applyBorder="1" applyAlignment="1" applyProtection="1">
      <alignment horizontal="left" vertical="center" wrapText="1"/>
    </xf>
    <xf numFmtId="0" fontId="137" fillId="2" borderId="1" xfId="0" applyFont="1" applyFill="1" applyBorder="1" applyAlignment="1" applyProtection="1">
      <alignment horizontal="right" vertical="center" wrapText="1"/>
    </xf>
    <xf numFmtId="0" fontId="137" fillId="2" borderId="11" xfId="0" applyFont="1" applyFill="1" applyBorder="1" applyAlignment="1" applyProtection="1">
      <alignment horizontal="right" vertical="center" wrapText="1"/>
    </xf>
    <xf numFmtId="0" fontId="137" fillId="2" borderId="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3" fillId="3" borderId="86"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137" fillId="2" borderId="1" xfId="0" applyFont="1" applyFill="1" applyBorder="1" applyAlignment="1" applyProtection="1">
      <alignment vertical="center" wrapText="1"/>
    </xf>
    <xf numFmtId="0" fontId="138" fillId="2" borderId="15" xfId="0" applyFont="1" applyFill="1" applyBorder="1" applyAlignment="1" applyProtection="1">
      <alignment horizontal="left" vertical="center" wrapText="1"/>
    </xf>
    <xf numFmtId="0" fontId="137" fillId="2" borderId="15" xfId="0" applyFont="1" applyFill="1" applyBorder="1" applyAlignment="1" applyProtection="1">
      <alignment horizontal="right" vertical="center" wrapText="1"/>
    </xf>
    <xf numFmtId="0" fontId="137" fillId="2" borderId="87" xfId="0" applyFont="1" applyFill="1" applyBorder="1" applyAlignment="1" applyProtection="1">
      <alignment horizontal="right" vertical="center" wrapText="1"/>
    </xf>
    <xf numFmtId="0" fontId="75" fillId="2" borderId="1" xfId="0" applyFont="1" applyFill="1" applyBorder="1" applyAlignment="1" applyProtection="1">
      <alignment horizontal="left" vertical="center"/>
    </xf>
    <xf numFmtId="0" fontId="75" fillId="10" borderId="11" xfId="0" applyFont="1" applyFill="1" applyBorder="1" applyAlignment="1" applyProtection="1">
      <alignment horizontal="right" vertical="center"/>
    </xf>
    <xf numFmtId="0" fontId="138" fillId="2" borderId="12" xfId="0" applyFont="1" applyFill="1" applyBorder="1" applyAlignment="1" applyProtection="1">
      <alignment horizontal="left" vertical="center"/>
    </xf>
    <xf numFmtId="0" fontId="138" fillId="2" borderId="27" xfId="0" applyFont="1" applyFill="1" applyBorder="1" applyAlignment="1" applyProtection="1">
      <alignment horizontal="left" vertical="center" wrapText="1"/>
    </xf>
    <xf numFmtId="0" fontId="137" fillId="2" borderId="27" xfId="0" applyFont="1" applyFill="1" applyBorder="1" applyAlignment="1" applyProtection="1">
      <alignment horizontal="right" vertical="center" wrapText="1"/>
    </xf>
    <xf numFmtId="0" fontId="137" fillId="2" borderId="91" xfId="0" applyFont="1" applyFill="1" applyBorder="1" applyAlignment="1" applyProtection="1">
      <alignment horizontal="right" vertical="center" wrapText="1"/>
    </xf>
    <xf numFmtId="0" fontId="75" fillId="2" borderId="11" xfId="0" applyFont="1" applyFill="1" applyBorder="1" applyAlignment="1" applyProtection="1">
      <alignment horizontal="right" vertical="center"/>
    </xf>
    <xf numFmtId="0" fontId="75"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38" fillId="2" borderId="13" xfId="0" applyFont="1" applyFill="1" applyBorder="1" applyAlignment="1" applyProtection="1">
      <alignment vertical="center" wrapText="1"/>
    </xf>
    <xf numFmtId="0" fontId="56" fillId="2" borderId="25" xfId="0" applyFont="1" applyFill="1" applyBorder="1" applyAlignment="1" applyProtection="1">
      <alignment horizontal="left" vertical="center" wrapText="1"/>
    </xf>
    <xf numFmtId="0" fontId="73" fillId="2" borderId="15"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5" fillId="3" borderId="2"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3" borderId="1" xfId="0" applyFont="1" applyFill="1" applyBorder="1" applyAlignment="1" applyProtection="1">
      <alignment horizontal="left" vertical="center" wrapText="1"/>
      <protection locked="0"/>
    </xf>
    <xf numFmtId="0" fontId="56" fillId="14" borderId="1" xfId="0" applyFont="1" applyFill="1" applyBorder="1" applyProtection="1">
      <alignment vertical="center"/>
    </xf>
    <xf numFmtId="0" fontId="80" fillId="14" borderId="1" xfId="0" applyFont="1" applyFill="1" applyBorder="1" applyProtection="1">
      <alignment vertical="center"/>
    </xf>
    <xf numFmtId="0" fontId="75" fillId="3" borderId="3" xfId="0" applyFont="1" applyFill="1" applyBorder="1" applyAlignment="1" applyProtection="1">
      <alignment horizontal="left" vertical="center" wrapText="1"/>
      <protection locked="0"/>
    </xf>
    <xf numFmtId="0" fontId="56" fillId="14" borderId="0" xfId="0" applyFont="1" applyFill="1" applyAlignment="1" applyProtection="1">
      <alignment horizontal="right" vertical="center"/>
    </xf>
    <xf numFmtId="0" fontId="56" fillId="14" borderId="1" xfId="0" applyFont="1" applyFill="1" applyBorder="1" applyAlignment="1" applyProtection="1">
      <alignment horizontal="right" vertical="center"/>
    </xf>
    <xf numFmtId="0" fontId="75" fillId="2" borderId="1" xfId="0" applyFont="1" applyFill="1" applyBorder="1" applyAlignment="1" applyProtection="1">
      <alignment horizontal="left" vertical="center" wrapText="1"/>
      <protection locked="0"/>
    </xf>
    <xf numFmtId="177" fontId="75" fillId="2" borderId="1"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73" fillId="2" borderId="15"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75" fillId="2" borderId="17" xfId="0" applyFont="1" applyFill="1" applyBorder="1" applyAlignment="1" applyProtection="1">
      <alignment horizontal="left" vertical="center" wrapText="1"/>
    </xf>
    <xf numFmtId="0" fontId="75" fillId="2" borderId="15" xfId="0" applyFont="1" applyFill="1" applyBorder="1" applyAlignment="1" applyProtection="1">
      <alignment vertical="center" wrapText="1"/>
    </xf>
    <xf numFmtId="0" fontId="75" fillId="2" borderId="16" xfId="0" applyFont="1" applyFill="1" applyBorder="1" applyAlignment="1" applyProtection="1">
      <alignment vertical="center" wrapText="1"/>
    </xf>
    <xf numFmtId="0" fontId="73" fillId="2" borderId="15" xfId="0" applyFont="1" applyFill="1" applyBorder="1" applyAlignment="1" applyProtection="1">
      <alignment horizontal="right" vertical="center" wrapText="1"/>
    </xf>
    <xf numFmtId="0" fontId="73" fillId="2" borderId="16"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4" xfId="0" applyFont="1" applyFill="1" applyBorder="1" applyProtection="1">
      <alignment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9" xfId="0" applyFont="1" applyFill="1" applyBorder="1" applyProtection="1">
      <alignment vertical="center"/>
      <protection locked="0"/>
    </xf>
    <xf numFmtId="0" fontId="56" fillId="14" borderId="10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6"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1"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1" xfId="65" applyNumberFormat="1" applyFont="1" applyFill="1" applyBorder="1" applyAlignment="1" applyProtection="1">
      <alignment horizontal="left" vertical="center" wrapText="1"/>
    </xf>
    <xf numFmtId="177" fontId="139" fillId="0" borderId="1" xfId="65" applyNumberFormat="1" applyFont="1" applyFill="1" applyBorder="1" applyAlignment="1" applyProtection="1">
      <alignment horizontal="left" vertical="center" wrapText="1"/>
      <protection locked="0"/>
    </xf>
    <xf numFmtId="177" fontId="139" fillId="7" borderId="0" xfId="65" applyNumberFormat="1" applyFont="1" applyFill="1" applyBorder="1" applyAlignment="1" applyProtection="1">
      <alignment horizontal="left" vertical="center" wrapText="1"/>
      <protection locked="0"/>
    </xf>
    <xf numFmtId="0" fontId="139"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0" fontId="0" fillId="7" borderId="1" xfId="65" applyFill="1" applyBorder="1" applyAlignment="1" applyProtection="1">
      <alignment horizontal="left"/>
      <protection locked="0"/>
    </xf>
    <xf numFmtId="0" fontId="13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39" fillId="2"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39"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39" fillId="0" borderId="1"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4" fillId="2" borderId="115"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11"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10" xfId="0" applyFont="1" applyFill="1" applyBorder="1" applyAlignment="1" applyProtection="1">
      <alignment vertical="center"/>
    </xf>
    <xf numFmtId="0" fontId="74" fillId="2" borderId="20" xfId="0" applyFont="1" applyFill="1" applyBorder="1" applyAlignment="1" applyProtection="1">
      <alignment vertical="center" wrapText="1"/>
    </xf>
    <xf numFmtId="0" fontId="56" fillId="2" borderId="8" xfId="0" applyFont="1" applyFill="1" applyBorder="1" applyAlignment="1" applyProtection="1">
      <alignment vertical="center" wrapText="1"/>
    </xf>
    <xf numFmtId="49" fontId="35" fillId="0" borderId="9"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9" xfId="0" applyFont="1" applyFill="1" applyBorder="1" applyAlignment="1" applyProtection="1">
      <alignment vertical="center" wrapText="1"/>
    </xf>
    <xf numFmtId="0" fontId="56" fillId="2" borderId="106" xfId="0" applyFont="1" applyFill="1" applyBorder="1" applyAlignment="1" applyProtection="1">
      <alignment vertical="center" wrapText="1"/>
    </xf>
    <xf numFmtId="0" fontId="35" fillId="0" borderId="85" xfId="0" applyFont="1" applyFill="1" applyBorder="1" applyAlignment="1" applyProtection="1">
      <alignment vertical="center" wrapText="1"/>
      <protection locked="0"/>
    </xf>
    <xf numFmtId="49" fontId="35" fillId="0" borderId="11" xfId="0" applyNumberFormat="1" applyFont="1" applyFill="1" applyBorder="1" applyAlignment="1" applyProtection="1">
      <alignment vertical="center" wrapText="1"/>
      <protection locked="0"/>
    </xf>
    <xf numFmtId="49" fontId="56" fillId="2" borderId="29" xfId="0" applyNumberFormat="1" applyFont="1" applyFill="1" applyBorder="1" applyAlignment="1" applyProtection="1">
      <alignment vertical="center" wrapText="1"/>
    </xf>
    <xf numFmtId="0" fontId="35" fillId="0" borderId="11"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9" xfId="0" applyFont="1" applyFill="1" applyBorder="1" applyAlignment="1" applyProtection="1">
      <alignment vertical="center" wrapText="1"/>
    </xf>
    <xf numFmtId="0" fontId="35" fillId="0" borderId="14"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3" xfId="0" applyFont="1" applyFill="1" applyBorder="1" applyAlignment="1" applyProtection="1">
      <alignment vertical="center" wrapText="1"/>
    </xf>
    <xf numFmtId="0" fontId="35" fillId="0" borderId="14"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4" fillId="2" borderId="167" xfId="0" applyFont="1" applyFill="1" applyBorder="1" applyAlignment="1" applyProtection="1">
      <alignment vertical="center"/>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56" fillId="2" borderId="7" xfId="0" applyFont="1" applyFill="1" applyBorder="1" applyAlignment="1" applyProtection="1">
      <alignment vertical="center" wrapText="1"/>
    </xf>
    <xf numFmtId="49" fontId="56" fillId="2" borderId="22" xfId="0" applyNumberFormat="1" applyFont="1" applyFill="1" applyBorder="1" applyAlignment="1" applyProtection="1">
      <alignment vertical="center" wrapText="1"/>
    </xf>
    <xf numFmtId="49" fontId="74" fillId="2" borderId="107"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74" fillId="2" borderId="131" xfId="0" applyFont="1" applyFill="1" applyBorder="1" applyAlignment="1" applyProtection="1">
      <alignment vertical="center" wrapText="1"/>
    </xf>
    <xf numFmtId="0" fontId="56" fillId="2" borderId="117" xfId="0" applyFont="1" applyFill="1" applyBorder="1" applyAlignment="1" applyProtection="1">
      <alignment vertical="center" wrapText="1"/>
    </xf>
    <xf numFmtId="49" fontId="56" fillId="2" borderId="11" xfId="0" applyNumberFormat="1" applyFont="1" applyFill="1" applyBorder="1" applyAlignment="1" applyProtection="1">
      <alignment vertical="center" wrapText="1"/>
    </xf>
    <xf numFmtId="49" fontId="74" fillId="2" borderId="131" xfId="0" applyNumberFormat="1" applyFont="1" applyFill="1" applyBorder="1" applyAlignment="1" applyProtection="1">
      <alignment vertical="center" wrapText="1"/>
    </xf>
    <xf numFmtId="0" fontId="56" fillId="2" borderId="10"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56" fillId="3" borderId="11" xfId="0" applyFont="1" applyFill="1" applyBorder="1" applyAlignment="1" applyProtection="1">
      <alignment vertical="center" wrapText="1"/>
      <protection locked="0"/>
    </xf>
    <xf numFmtId="49" fontId="74" fillId="2" borderId="132" xfId="0" applyNumberFormat="1" applyFont="1" applyFill="1" applyBorder="1" applyAlignment="1" applyProtection="1">
      <alignment vertical="center" wrapText="1"/>
    </xf>
    <xf numFmtId="0" fontId="56" fillId="2" borderId="12" xfId="0" applyFont="1" applyFill="1" applyBorder="1" applyAlignment="1" applyProtection="1">
      <alignment vertical="center" wrapText="1"/>
    </xf>
    <xf numFmtId="0" fontId="56" fillId="0" borderId="1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56" fillId="2" borderId="14"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5"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6" fillId="2" borderId="0" xfId="0" applyFont="1" applyFill="1" applyAlignment="1" applyProtection="1">
      <alignment vertical="center"/>
    </xf>
    <xf numFmtId="185"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100" xfId="0" applyFont="1" applyFill="1" applyBorder="1" applyAlignment="1" applyProtection="1">
      <alignment vertical="center" wrapText="1"/>
    </xf>
    <xf numFmtId="14" fontId="75" fillId="2" borderId="10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5"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10" xfId="0" applyFont="1" applyFill="1" applyBorder="1" applyAlignment="1" applyProtection="1">
      <alignment vertical="center"/>
    </xf>
    <xf numFmtId="185" fontId="75" fillId="2" borderId="110" xfId="0" applyNumberFormat="1" applyFont="1" applyFill="1" applyBorder="1" applyAlignment="1" applyProtection="1">
      <alignment vertical="center"/>
    </xf>
    <xf numFmtId="0" fontId="75" fillId="2" borderId="111" xfId="0" applyFont="1" applyFill="1" applyBorder="1" applyAlignment="1" applyProtection="1">
      <alignment vertical="center"/>
    </xf>
    <xf numFmtId="0" fontId="75"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56" fillId="2" borderId="145" xfId="0" applyFont="1" applyFill="1" applyBorder="1" applyAlignment="1" applyProtection="1">
      <alignment horizontal="center" vertical="center"/>
    </xf>
    <xf numFmtId="0" fontId="75" fillId="2" borderId="25" xfId="0" applyFont="1" applyFill="1" applyBorder="1" applyAlignment="1" applyProtection="1">
      <alignment vertical="center"/>
    </xf>
    <xf numFmtId="0" fontId="75" fillId="2" borderId="108" xfId="0" applyFont="1" applyFill="1" applyBorder="1" applyAlignment="1" applyProtection="1">
      <alignment vertical="center"/>
    </xf>
    <xf numFmtId="0" fontId="75" fillId="2" borderId="109" xfId="0" applyFont="1" applyFill="1" applyBorder="1" applyAlignment="1" applyProtection="1">
      <alignment vertical="center"/>
    </xf>
    <xf numFmtId="0" fontId="75" fillId="2" borderId="7" xfId="52" applyFont="1" applyFill="1" applyBorder="1" applyAlignment="1" applyProtection="1">
      <alignment vertical="center" wrapText="1"/>
    </xf>
    <xf numFmtId="0" fontId="75" fillId="2" borderId="8" xfId="52" applyFont="1" applyFill="1" applyBorder="1" applyAlignment="1" applyProtection="1">
      <alignment vertical="center" wrapText="1"/>
    </xf>
    <xf numFmtId="0" fontId="75" fillId="2" borderId="26" xfId="52" applyFont="1" applyFill="1" applyBorder="1" applyAlignment="1" applyProtection="1">
      <alignment vertical="center" wrapText="1"/>
    </xf>
    <xf numFmtId="184" fontId="70" fillId="2" borderId="7" xfId="52" applyNumberFormat="1" applyFont="1" applyFill="1" applyBorder="1" applyAlignment="1" applyProtection="1">
      <alignment horizontal="center" vertical="center" wrapText="1"/>
    </xf>
    <xf numFmtId="185" fontId="75" fillId="2" borderId="8" xfId="0" applyNumberFormat="1" applyFont="1" applyFill="1" applyBorder="1" applyAlignment="1" applyProtection="1">
      <alignment horizontal="center" vertical="center" wrapText="1"/>
    </xf>
    <xf numFmtId="178" fontId="75" fillId="2" borderId="7" xfId="52" applyNumberFormat="1" applyFont="1" applyFill="1" applyBorder="1" applyAlignment="1" applyProtection="1">
      <alignment horizontal="center" vertical="center" wrapText="1"/>
    </xf>
    <xf numFmtId="0" fontId="75" fillId="2" borderId="8" xfId="52" applyFont="1" applyFill="1" applyBorder="1" applyAlignment="1" applyProtection="1">
      <alignment horizontal="center" vertical="center" wrapText="1"/>
    </xf>
    <xf numFmtId="185" fontId="75" fillId="2" borderId="8" xfId="52" applyNumberFormat="1" applyFont="1" applyFill="1" applyBorder="1" applyAlignment="1" applyProtection="1">
      <alignment horizontal="center" vertical="center" wrapText="1"/>
    </xf>
    <xf numFmtId="0" fontId="75" fillId="3" borderId="8" xfId="52" applyFont="1" applyFill="1" applyBorder="1" applyAlignment="1" applyProtection="1">
      <alignment horizontal="center" vertical="center" wrapText="1"/>
      <protection locked="0"/>
    </xf>
    <xf numFmtId="0" fontId="75" fillId="2" borderId="26" xfId="52" applyFont="1" applyFill="1" applyBorder="1" applyAlignment="1" applyProtection="1">
      <alignment horizontal="center" vertical="center" wrapText="1"/>
    </xf>
    <xf numFmtId="0" fontId="75" fillId="2" borderId="7" xfId="52" applyFont="1" applyFill="1" applyBorder="1" applyAlignment="1" applyProtection="1">
      <alignment horizontal="center" vertical="center" wrapText="1"/>
    </xf>
    <xf numFmtId="0" fontId="75" fillId="2" borderId="25" xfId="52" applyFont="1" applyFill="1" applyBorder="1" applyAlignment="1" applyProtection="1">
      <alignment horizontal="center" vertical="center" wrapText="1"/>
    </xf>
    <xf numFmtId="0" fontId="75" fillId="2" borderId="22" xfId="52"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16" xfId="0" applyFont="1" applyFill="1" applyBorder="1" applyAlignment="1" applyProtection="1">
      <alignment horizontal="center" vertical="center" wrapText="1"/>
      <protection locked="0"/>
    </xf>
    <xf numFmtId="0" fontId="75" fillId="2" borderId="1" xfId="52" applyFont="1" applyFill="1" applyBorder="1" applyAlignment="1" applyProtection="1">
      <alignment horizontal="right" vertical="center" wrapText="1"/>
    </xf>
    <xf numFmtId="0" fontId="91" fillId="2" borderId="1" xfId="0" applyFont="1" applyFill="1" applyBorder="1" applyAlignment="1" applyProtection="1">
      <alignment horizontal="right" vertical="center" wrapText="1"/>
    </xf>
    <xf numFmtId="178" fontId="56" fillId="2" borderId="10" xfId="52" applyNumberFormat="1" applyFont="1" applyFill="1" applyBorder="1" applyAlignment="1" applyProtection="1">
      <alignment horizontal="left" vertical="center"/>
    </xf>
    <xf numFmtId="178" fontId="75" fillId="2" borderId="1" xfId="52" applyNumberFormat="1" applyFont="1" applyFill="1" applyBorder="1" applyAlignment="1" applyProtection="1">
      <alignment vertical="center"/>
    </xf>
    <xf numFmtId="178" fontId="75" fillId="13" borderId="15" xfId="52" applyNumberFormat="1" applyFont="1" applyFill="1" applyBorder="1" applyAlignment="1" applyProtection="1">
      <alignment vertical="center"/>
      <protection locked="0"/>
    </xf>
    <xf numFmtId="178" fontId="56" fillId="2" borderId="10" xfId="52" applyNumberFormat="1" applyFont="1" applyFill="1" applyBorder="1" applyAlignment="1" applyProtection="1">
      <alignment horizontal="right" vertical="center"/>
    </xf>
    <xf numFmtId="190" fontId="56" fillId="2" borderId="1" xfId="0" applyNumberFormat="1" applyFont="1" applyFill="1" applyBorder="1" applyAlignment="1" applyProtection="1">
      <alignment horizontal="center" vertical="center"/>
    </xf>
    <xf numFmtId="185" fontId="70" fillId="2" borderId="1" xfId="52" applyNumberFormat="1" applyFont="1" applyFill="1" applyBorder="1" applyAlignment="1" applyProtection="1">
      <alignment horizontal="right" vertical="center"/>
    </xf>
    <xf numFmtId="188" fontId="70" fillId="2" borderId="1" xfId="52" applyNumberFormat="1" applyFont="1" applyFill="1" applyBorder="1" applyAlignment="1" applyProtection="1">
      <alignment horizontal="right" vertical="center"/>
    </xf>
    <xf numFmtId="182" fontId="25" fillId="0" borderId="1" xfId="0" applyNumberFormat="1" applyFont="1" applyFill="1" applyBorder="1" applyAlignment="1" applyProtection="1">
      <alignment horizontal="right" vertical="center"/>
      <protection locked="0"/>
    </xf>
    <xf numFmtId="182" fontId="75" fillId="0" borderId="1" xfId="0" applyNumberFormat="1" applyFont="1" applyFill="1" applyBorder="1" applyAlignment="1" applyProtection="1">
      <alignment horizontal="right" vertical="center"/>
      <protection locked="0"/>
    </xf>
    <xf numFmtId="0" fontId="56" fillId="2" borderId="10" xfId="52" applyFont="1" applyFill="1" applyBorder="1" applyAlignment="1" applyProtection="1">
      <alignment horizontal="right" vertical="center"/>
    </xf>
    <xf numFmtId="0" fontId="56" fillId="0" borderId="1" xfId="52" applyFont="1" applyFill="1" applyBorder="1" applyAlignment="1" applyProtection="1">
      <alignment horizontal="right" vertical="center"/>
      <protection locked="0"/>
    </xf>
    <xf numFmtId="0" fontId="75" fillId="2" borderId="1" xfId="52" applyFont="1" applyFill="1" applyBorder="1" applyAlignment="1" applyProtection="1">
      <alignment horizontal="right" vertical="center"/>
    </xf>
    <xf numFmtId="10" fontId="56" fillId="0" borderId="1" xfId="52" applyNumberFormat="1" applyFont="1" applyFill="1" applyBorder="1" applyAlignment="1" applyProtection="1">
      <alignment horizontal="right" vertical="center"/>
      <protection locked="0"/>
    </xf>
    <xf numFmtId="9" fontId="56" fillId="0" borderId="15" xfId="0" applyNumberFormat="1" applyFont="1" applyFill="1" applyBorder="1" applyAlignment="1" applyProtection="1">
      <alignment horizontal="right" vertical="center"/>
      <protection locked="0"/>
    </xf>
    <xf numFmtId="0" fontId="75" fillId="2" borderId="10" xfId="52" applyFont="1" applyFill="1" applyBorder="1" applyAlignment="1" applyProtection="1">
      <alignment horizontal="right" vertical="center"/>
    </xf>
    <xf numFmtId="0" fontId="75" fillId="2" borderId="1" xfId="0" applyFont="1" applyFill="1" applyBorder="1" applyAlignment="1" applyProtection="1">
      <alignment horizontal="right" vertical="center"/>
    </xf>
    <xf numFmtId="0" fontId="75" fillId="2" borderId="11" xfId="52" applyFont="1" applyFill="1" applyBorder="1" applyAlignment="1" applyProtection="1">
      <alignment horizontal="right" vertical="center"/>
    </xf>
    <xf numFmtId="0" fontId="75" fillId="0" borderId="10" xfId="0" applyFont="1" applyBorder="1" applyAlignment="1" applyProtection="1">
      <alignment horizontal="center" vertical="center"/>
      <protection locked="0"/>
    </xf>
    <xf numFmtId="182" fontId="75" fillId="0" borderId="1" xfId="0" applyNumberFormat="1" applyFont="1" applyBorder="1" applyAlignment="1" applyProtection="1">
      <alignment vertical="center"/>
      <protection locked="0"/>
    </xf>
    <xf numFmtId="182" fontId="75" fillId="2" borderId="15" xfId="0" applyNumberFormat="1" applyFont="1" applyFill="1" applyBorder="1" applyAlignment="1" applyProtection="1">
      <alignment horizontal="center" vertical="center"/>
    </xf>
    <xf numFmtId="182" fontId="75" fillId="0" borderId="11" xfId="0" applyNumberFormat="1" applyFont="1" applyBorder="1" applyAlignment="1" applyProtection="1">
      <alignment vertical="center"/>
      <protection locked="0"/>
    </xf>
    <xf numFmtId="0" fontId="75" fillId="0" borderId="16" xfId="0" applyFont="1" applyBorder="1" applyAlignment="1" applyProtection="1">
      <alignment vertical="center"/>
      <protection locked="0"/>
    </xf>
    <xf numFmtId="182" fontId="75" fillId="0" borderId="1" xfId="0" applyNumberFormat="1" applyFont="1" applyFill="1" applyBorder="1" applyAlignment="1" applyProtection="1">
      <alignment horizontal="center" vertical="center"/>
      <protection locked="0"/>
    </xf>
    <xf numFmtId="182" fontId="75" fillId="0" borderId="15" xfId="0" applyNumberFormat="1" applyFont="1" applyBorder="1" applyAlignment="1" applyProtection="1">
      <alignment vertical="center"/>
      <protection locked="0"/>
    </xf>
    <xf numFmtId="0" fontId="75" fillId="2" borderId="10" xfId="0" applyFont="1" applyFill="1" applyBorder="1" applyAlignment="1" applyProtection="1">
      <alignment horizontal="center" vertical="center"/>
    </xf>
    <xf numFmtId="0" fontId="75" fillId="0" borderId="1" xfId="0" applyFont="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92" fontId="75" fillId="0" borderId="1" xfId="0" applyNumberFormat="1" applyFont="1" applyBorder="1" applyAlignment="1" applyProtection="1">
      <alignment horizontal="center" vertical="center"/>
      <protection locked="0"/>
    </xf>
    <xf numFmtId="182" fontId="75" fillId="0" borderId="11" xfId="0" applyNumberFormat="1" applyFont="1" applyBorder="1" applyAlignment="1" applyProtection="1">
      <alignment horizontal="center" vertical="center"/>
      <protection locked="0"/>
    </xf>
    <xf numFmtId="0" fontId="30" fillId="13" borderId="16" xfId="0"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182" fontId="56" fillId="0" borderId="1" xfId="0" applyNumberFormat="1" applyFont="1" applyBorder="1" applyAlignment="1" applyProtection="1">
      <alignment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82" fontId="56" fillId="0" borderId="11" xfId="0" applyNumberFormat="1" applyFont="1" applyBorder="1" applyAlignment="1" applyProtection="1">
      <alignment horizontal="center" vertical="center"/>
      <protection locked="0"/>
    </xf>
    <xf numFmtId="9" fontId="75" fillId="0" borderId="15" xfId="0" applyNumberFormat="1" applyFont="1" applyFill="1" applyBorder="1" applyAlignment="1" applyProtection="1">
      <alignment horizontal="right" vertical="center"/>
      <protection locked="0"/>
    </xf>
    <xf numFmtId="0" fontId="75" fillId="0" borderId="1" xfId="52" applyFont="1" applyFill="1" applyBorder="1" applyAlignment="1" applyProtection="1">
      <alignment horizontal="right" vertical="center"/>
      <protection locked="0"/>
    </xf>
    <xf numFmtId="0" fontId="75" fillId="0" borderId="16" xfId="0" applyFont="1" applyBorder="1" applyAlignment="1" applyProtection="1">
      <alignment horizontal="center" vertical="center"/>
      <protection locked="0"/>
    </xf>
    <xf numFmtId="10" fontId="75" fillId="0" borderId="1" xfId="0" applyNumberFormat="1" applyFont="1" applyFill="1" applyBorder="1" applyAlignment="1" applyProtection="1">
      <alignment horizontal="center" vertical="center"/>
      <protection locked="0"/>
    </xf>
    <xf numFmtId="192" fontId="75" fillId="0" borderId="1" xfId="0" applyNumberFormat="1" applyFont="1" applyFill="1" applyBorder="1" applyAlignment="1" applyProtection="1">
      <alignment horizontal="center" vertical="center"/>
      <protection locked="0"/>
    </xf>
    <xf numFmtId="182" fontId="75" fillId="0" borderId="11" xfId="0" applyNumberFormat="1" applyFont="1" applyFill="1" applyBorder="1" applyAlignment="1" applyProtection="1">
      <alignment horizontal="center" vertical="center"/>
      <protection locked="0"/>
    </xf>
    <xf numFmtId="10" fontId="75" fillId="0" borderId="1" xfId="52" applyNumberFormat="1" applyFont="1" applyFill="1" applyBorder="1" applyAlignment="1" applyProtection="1">
      <alignment horizontal="right" vertical="center"/>
      <protection locked="0"/>
    </xf>
    <xf numFmtId="0" fontId="75" fillId="0" borderId="10" xfId="0" applyFont="1" applyBorder="1" applyAlignment="1" applyProtection="1">
      <alignment vertical="center"/>
      <protection locked="0"/>
    </xf>
    <xf numFmtId="178" fontId="75" fillId="2" borderId="10" xfId="52" applyNumberFormat="1" applyFont="1" applyFill="1" applyBorder="1" applyAlignment="1" applyProtection="1">
      <alignment horizontal="left" vertical="center" wrapText="1"/>
      <protection locked="0"/>
    </xf>
    <xf numFmtId="178" fontId="75" fillId="2" borderId="15" xfId="52" applyNumberFormat="1" applyFont="1" applyFill="1" applyBorder="1" applyAlignment="1" applyProtection="1">
      <alignment vertical="center"/>
    </xf>
    <xf numFmtId="182" fontId="76" fillId="2" borderId="1" xfId="0" applyNumberFormat="1" applyFont="1" applyFill="1" applyBorder="1" applyAlignment="1" applyProtection="1">
      <alignment horizontal="right" vertical="center"/>
      <protection locked="0"/>
    </xf>
    <xf numFmtId="9" fontId="75" fillId="2" borderId="15"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2" fontId="75" fillId="2" borderId="1" xfId="0" applyNumberFormat="1" applyFont="1" applyFill="1" applyBorder="1" applyAlignment="1" applyProtection="1">
      <alignment vertical="center"/>
    </xf>
    <xf numFmtId="182" fontId="75" fillId="2" borderId="15" xfId="0" applyNumberFormat="1" applyFont="1" applyFill="1" applyBorder="1" applyAlignment="1" applyProtection="1">
      <alignment vertical="center"/>
    </xf>
    <xf numFmtId="182" fontId="75" fillId="2" borderId="11" xfId="0" applyNumberFormat="1" applyFont="1" applyFill="1" applyBorder="1" applyAlignment="1" applyProtection="1">
      <alignment vertical="center"/>
    </xf>
    <xf numFmtId="0" fontId="75" fillId="2" borderId="16" xfId="0" applyFont="1" applyFill="1" applyBorder="1" applyAlignment="1" applyProtection="1">
      <alignment vertical="center"/>
    </xf>
    <xf numFmtId="182" fontId="75" fillId="2" borderId="1" xfId="0" applyNumberFormat="1" applyFont="1" applyFill="1" applyBorder="1" applyAlignment="1" applyProtection="1">
      <alignment horizontal="center" vertical="center"/>
    </xf>
    <xf numFmtId="10" fontId="75" fillId="2" borderId="1" xfId="0" applyNumberFormat="1" applyFont="1" applyFill="1" applyBorder="1" applyAlignment="1" applyProtection="1">
      <alignment horizontal="center" vertical="center"/>
    </xf>
    <xf numFmtId="192" fontId="75" fillId="2" borderId="1" xfId="0" applyNumberFormat="1" applyFont="1" applyFill="1" applyBorder="1" applyAlignment="1" applyProtection="1">
      <alignment horizontal="center" vertical="center"/>
    </xf>
    <xf numFmtId="182" fontId="75" fillId="2" borderId="11" xfId="0" applyNumberFormat="1" applyFont="1" applyFill="1" applyBorder="1" applyAlignment="1" applyProtection="1">
      <alignment horizontal="center" vertical="center"/>
    </xf>
    <xf numFmtId="10" fontId="75" fillId="2" borderId="1" xfId="52" applyNumberFormat="1" applyFont="1" applyFill="1" applyBorder="1" applyAlignment="1" applyProtection="1">
      <alignment horizontal="right" vertical="center"/>
    </xf>
    <xf numFmtId="0" fontId="73" fillId="2" borderId="12" xfId="52" applyFont="1" applyFill="1" applyBorder="1" applyAlignment="1" applyProtection="1">
      <alignment vertical="center" wrapText="1"/>
    </xf>
    <xf numFmtId="0" fontId="73" fillId="2" borderId="13" xfId="52" applyFont="1" applyFill="1" applyBorder="1" applyAlignment="1" applyProtection="1">
      <alignment vertical="center"/>
    </xf>
    <xf numFmtId="0" fontId="73" fillId="2" borderId="27" xfId="52" applyFont="1" applyFill="1" applyBorder="1" applyAlignment="1" applyProtection="1">
      <alignment vertical="center"/>
    </xf>
    <xf numFmtId="0" fontId="73" fillId="2" borderId="12" xfId="52" applyFont="1" applyFill="1" applyBorder="1" applyAlignment="1" applyProtection="1">
      <alignment horizontal="right" vertical="center"/>
    </xf>
    <xf numFmtId="0" fontId="73" fillId="2" borderId="13" xfId="52" applyFont="1" applyFill="1" applyBorder="1" applyAlignment="1" applyProtection="1">
      <alignment horizontal="right" vertical="center"/>
    </xf>
    <xf numFmtId="188" fontId="73" fillId="2" borderId="13" xfId="52" applyNumberFormat="1" applyFont="1" applyFill="1" applyBorder="1" applyAlignment="1" applyProtection="1">
      <alignment horizontal="right" vertical="center"/>
    </xf>
    <xf numFmtId="182" fontId="73" fillId="2" borderId="13" xfId="52" applyNumberFormat="1" applyFont="1" applyFill="1" applyBorder="1" applyAlignment="1" applyProtection="1">
      <alignment horizontal="right" vertical="center"/>
    </xf>
    <xf numFmtId="0" fontId="73" fillId="2" borderId="14" xfId="52" applyFont="1" applyFill="1" applyBorder="1" applyAlignment="1" applyProtection="1">
      <alignment horizontal="right" vertical="center"/>
    </xf>
    <xf numFmtId="0" fontId="75" fillId="2" borderId="12" xfId="0" applyFont="1" applyFill="1" applyBorder="1" applyAlignment="1" applyProtection="1">
      <alignment horizontal="right" vertical="center"/>
    </xf>
    <xf numFmtId="0" fontId="75" fillId="2" borderId="13" xfId="52" applyFont="1" applyFill="1" applyBorder="1" applyAlignment="1" applyProtection="1">
      <alignment horizontal="right" vertical="center"/>
    </xf>
    <xf numFmtId="10" fontId="75" fillId="2" borderId="13" xfId="52" applyNumberFormat="1" applyFont="1" applyFill="1" applyBorder="1" applyAlignment="1" applyProtection="1">
      <alignment horizontal="right" vertical="center"/>
    </xf>
    <xf numFmtId="9" fontId="75" fillId="2" borderId="27" xfId="0" applyNumberFormat="1" applyFont="1" applyFill="1" applyBorder="1" applyAlignment="1" applyProtection="1">
      <alignment horizontal="right" vertical="center"/>
    </xf>
    <xf numFmtId="0" fontId="75" fillId="2" borderId="12" xfId="52" applyFont="1" applyFill="1" applyBorder="1" applyAlignment="1" applyProtection="1">
      <alignment horizontal="right" vertical="center"/>
    </xf>
    <xf numFmtId="0" fontId="75" fillId="2" borderId="99" xfId="52" applyFont="1" applyFill="1" applyBorder="1" applyAlignment="1" applyProtection="1">
      <alignment horizontal="right" vertical="center"/>
    </xf>
    <xf numFmtId="0" fontId="75" fillId="2" borderId="91" xfId="52" applyFont="1" applyFill="1" applyBorder="1" applyAlignment="1" applyProtection="1">
      <alignment horizontal="right" vertical="center"/>
    </xf>
    <xf numFmtId="0" fontId="75" fillId="2" borderId="12" xfId="0" applyFont="1" applyFill="1" applyBorder="1" applyAlignment="1" applyProtection="1">
      <alignment vertical="center"/>
    </xf>
    <xf numFmtId="0" fontId="75" fillId="2" borderId="13" xfId="0" applyFont="1" applyFill="1" applyBorder="1" applyAlignment="1" applyProtection="1">
      <alignment vertical="center"/>
    </xf>
    <xf numFmtId="0" fontId="75" fillId="2" borderId="27" xfId="0" applyFont="1" applyFill="1" applyBorder="1" applyAlignment="1" applyProtection="1">
      <alignment vertical="center"/>
    </xf>
    <xf numFmtId="0" fontId="75" fillId="2" borderId="14" xfId="0" applyFont="1" applyFill="1" applyBorder="1" applyAlignment="1" applyProtection="1">
      <alignment vertical="center"/>
    </xf>
    <xf numFmtId="0" fontId="75"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5"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5" fontId="75" fillId="7" borderId="0" xfId="0" applyNumberFormat="1" applyFont="1" applyFill="1" applyAlignment="1" applyProtection="1">
      <alignment vertical="center"/>
      <protection locked="0"/>
    </xf>
    <xf numFmtId="177" fontId="70" fillId="2" borderId="7" xfId="52" applyNumberFormat="1" applyFont="1" applyFill="1" applyBorder="1" applyAlignment="1" applyProtection="1">
      <alignment vertical="center" wrapText="1"/>
    </xf>
    <xf numFmtId="0" fontId="70" fillId="0" borderId="9" xfId="52" applyFont="1" applyFill="1" applyBorder="1" applyAlignment="1" applyProtection="1">
      <alignment horizontal="right" vertical="center"/>
    </xf>
    <xf numFmtId="0" fontId="18" fillId="7" borderId="86" xfId="0" applyFont="1" applyFill="1" applyBorder="1" applyAlignment="1" applyProtection="1">
      <alignment vertical="center"/>
    </xf>
    <xf numFmtId="185" fontId="75" fillId="7" borderId="17" xfId="0" applyNumberFormat="1" applyFont="1" applyFill="1" applyBorder="1" applyAlignment="1" applyProtection="1">
      <alignment vertical="center"/>
      <protection locked="0"/>
    </xf>
    <xf numFmtId="0" fontId="75" fillId="7" borderId="17" xfId="0" applyFont="1" applyFill="1" applyBorder="1" applyAlignment="1" applyProtection="1">
      <alignment vertical="center"/>
      <protection locked="0"/>
    </xf>
    <xf numFmtId="177" fontId="70" fillId="2" borderId="10" xfId="52" applyNumberFormat="1" applyFont="1" applyFill="1" applyBorder="1" applyAlignment="1" applyProtection="1">
      <alignment vertical="center" wrapText="1"/>
    </xf>
    <xf numFmtId="0" fontId="75"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vertical="center"/>
    </xf>
    <xf numFmtId="177" fontId="75" fillId="2" borderId="10" xfId="52" applyNumberFormat="1" applyFont="1" applyFill="1" applyBorder="1" applyAlignment="1" applyProtection="1">
      <alignment vertical="center" wrapText="1"/>
    </xf>
    <xf numFmtId="0" fontId="70" fillId="2" borderId="11" xfId="52" applyFont="1" applyFill="1" applyBorder="1" applyAlignment="1" applyProtection="1">
      <alignment horizontal="right" vertical="center"/>
    </xf>
    <xf numFmtId="177" fontId="70" fillId="2" borderId="12" xfId="52" applyNumberFormat="1" applyFont="1" applyFill="1" applyBorder="1" applyAlignment="1" applyProtection="1">
      <alignment vertical="center" wrapText="1"/>
    </xf>
    <xf numFmtId="0" fontId="70" fillId="2" borderId="14" xfId="52"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2" xfId="0"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31" fillId="0" borderId="9"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5" fontId="75" fillId="7" borderId="17" xfId="0" applyNumberFormat="1"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10" xfId="0" applyFont="1" applyFill="1" applyBorder="1" applyAlignment="1" applyProtection="1">
      <alignment vertical="center" wrapText="1"/>
    </xf>
    <xf numFmtId="0" fontId="31"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horizontal="center" vertical="center"/>
      <protection locked="0"/>
    </xf>
    <xf numFmtId="0" fontId="75" fillId="2" borderId="12" xfId="0" applyFont="1" applyFill="1" applyBorder="1" applyAlignment="1" applyProtection="1">
      <alignment vertical="center" wrapText="1"/>
    </xf>
    <xf numFmtId="0" fontId="31" fillId="0" borderId="14" xfId="52" applyFont="1" applyFill="1" applyBorder="1" applyAlignment="1" applyProtection="1">
      <alignment horizontal="right" vertical="center"/>
      <protection locked="0"/>
    </xf>
    <xf numFmtId="0" fontId="26" fillId="7" borderId="86" xfId="0" applyFont="1" applyFill="1" applyBorder="1" applyAlignment="1" applyProtection="1">
      <alignment horizontal="left" vertical="center"/>
    </xf>
    <xf numFmtId="0" fontId="75" fillId="2" borderId="117" xfId="0" applyFont="1" applyFill="1" applyBorder="1" applyAlignment="1" applyProtection="1">
      <alignment vertical="center" wrapText="1"/>
    </xf>
    <xf numFmtId="0" fontId="31" fillId="0" borderId="85" xfId="52"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5" fontId="75" fillId="7" borderId="0" xfId="0" applyNumberFormat="1" applyFont="1" applyFill="1" applyAlignment="1" applyProtection="1">
      <alignment horizontal="center" vertical="center"/>
      <protection locked="0"/>
    </xf>
    <xf numFmtId="0" fontId="75" fillId="2" borderId="81" xfId="0" applyFont="1" applyFill="1" applyBorder="1" applyAlignment="1" applyProtection="1">
      <alignment vertical="center" wrapText="1"/>
    </xf>
    <xf numFmtId="0" fontId="31" fillId="0"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7" xfId="0" applyFont="1" applyFill="1" applyBorder="1" applyAlignment="1" applyProtection="1">
      <alignment vertical="center" wrapText="1"/>
    </xf>
    <xf numFmtId="182" fontId="56" fillId="0" borderId="9"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2" fontId="56" fillId="0" borderId="11" xfId="3" applyNumberFormat="1" applyFont="1" applyFill="1" applyBorder="1" applyAlignment="1" applyProtection="1">
      <alignment horizontal="right" vertical="center"/>
      <protection locked="0"/>
    </xf>
    <xf numFmtId="185" fontId="2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xf>
    <xf numFmtId="180" fontId="31" fillId="0" borderId="11" xfId="52" applyNumberFormat="1" applyFont="1" applyFill="1" applyBorder="1" applyAlignment="1" applyProtection="1">
      <alignment horizontal="right" vertical="center"/>
      <protection locked="0"/>
    </xf>
    <xf numFmtId="0" fontId="91" fillId="2" borderId="10" xfId="0" applyFont="1" applyFill="1" applyBorder="1" applyAlignment="1" applyProtection="1">
      <alignment vertical="center" wrapText="1"/>
    </xf>
    <xf numFmtId="182" fontId="56" fillId="0" borderId="11"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91" fillId="2" borderId="30" xfId="0" applyFont="1" applyFill="1" applyBorder="1" applyAlignment="1" applyProtection="1">
      <alignment vertical="center" wrapText="1"/>
    </xf>
    <xf numFmtId="182" fontId="56" fillId="0" borderId="97" xfId="0" applyNumberFormat="1" applyFont="1" applyFill="1" applyBorder="1" applyAlignment="1" applyProtection="1">
      <alignment horizontal="right" vertical="center"/>
      <protection locked="0"/>
    </xf>
    <xf numFmtId="182" fontId="56" fillId="0" borderId="85" xfId="0" applyNumberFormat="1" applyFont="1" applyFill="1" applyBorder="1" applyAlignment="1" applyProtection="1">
      <alignment horizontal="right" vertical="center"/>
      <protection locked="0"/>
    </xf>
    <xf numFmtId="182"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81"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9"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9" xfId="0" applyNumberFormat="1" applyFont="1" applyFill="1" applyBorder="1" applyAlignment="1" applyProtection="1">
      <alignment horizontal="right" vertical="center"/>
    </xf>
    <xf numFmtId="0" fontId="75" fillId="2" borderId="81" xfId="0" applyFont="1" applyFill="1" applyBorder="1" applyAlignment="1" applyProtection="1">
      <alignment horizontal="left" vertical="center" wrapText="1"/>
    </xf>
    <xf numFmtId="182" fontId="75" fillId="2" borderId="31" xfId="0" applyNumberFormat="1" applyFont="1" applyFill="1" applyBorder="1" applyAlignment="1" applyProtection="1">
      <alignment horizontal="right" vertical="center"/>
      <protection locked="0"/>
    </xf>
    <xf numFmtId="182" fontId="30" fillId="7" borderId="0" xfId="0" applyNumberFormat="1" applyFont="1" applyFill="1" applyAlignment="1" applyProtection="1">
      <alignment horizontal="center" vertical="center"/>
    </xf>
    <xf numFmtId="182" fontId="75" fillId="2" borderId="31" xfId="0" applyNumberFormat="1" applyFont="1" applyFill="1" applyBorder="1" applyAlignment="1" applyProtection="1">
      <alignment horizontal="right" vertical="center"/>
    </xf>
    <xf numFmtId="0" fontId="75" fillId="2" borderId="81"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5" fontId="5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protection locked="0"/>
    </xf>
    <xf numFmtId="0" fontId="75" fillId="2" borderId="12" xfId="0" applyFont="1" applyFill="1" applyBorder="1" applyAlignment="1" applyProtection="1">
      <alignment horizontal="right" vertical="center" wrapText="1"/>
    </xf>
    <xf numFmtId="10" fontId="75" fillId="0" borderId="14" xfId="0" applyNumberFormat="1"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xf>
    <xf numFmtId="0" fontId="75" fillId="2" borderId="29" xfId="0" applyFont="1" applyFill="1" applyBorder="1" applyAlignment="1" applyProtection="1">
      <alignment vertical="center" wrapText="1"/>
    </xf>
    <xf numFmtId="10" fontId="75" fillId="0" borderId="88" xfId="0" applyNumberFormat="1" applyFont="1" applyFill="1" applyBorder="1" applyAlignment="1" applyProtection="1">
      <alignment horizontal="right" vertical="center"/>
      <protection locked="0"/>
    </xf>
    <xf numFmtId="0" fontId="75" fillId="2" borderId="20" xfId="0" applyFont="1" applyFill="1" applyBorder="1" applyAlignment="1" applyProtection="1">
      <alignment vertical="center" wrapText="1"/>
    </xf>
    <xf numFmtId="182" fontId="75" fillId="2" borderId="22" xfId="0" applyNumberFormat="1" applyFont="1" applyFill="1" applyBorder="1" applyAlignment="1" applyProtection="1">
      <alignment horizontal="right" vertical="center"/>
    </xf>
    <xf numFmtId="182" fontId="75" fillId="2" borderId="14" xfId="0" applyNumberFormat="1" applyFont="1" applyFill="1" applyBorder="1" applyAlignment="1" applyProtection="1">
      <alignment horizontal="right" vertical="center"/>
    </xf>
    <xf numFmtId="183" fontId="75" fillId="2" borderId="22" xfId="0" applyNumberFormat="1" applyFont="1" applyFill="1" applyBorder="1" applyAlignment="1" applyProtection="1">
      <alignment horizontal="right" vertical="center"/>
    </xf>
    <xf numFmtId="0" fontId="75" fillId="13" borderId="11"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5" fillId="0" borderId="10"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12" xfId="0" applyFont="1" applyBorder="1" applyAlignment="1" applyProtection="1">
      <alignment horizontal="right" vertical="center" wrapText="1"/>
      <protection locked="0"/>
    </xf>
    <xf numFmtId="0" fontId="75" fillId="0" borderId="14"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5"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5"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7" fontId="65" fillId="2" borderId="1" xfId="5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73" fillId="2" borderId="2" xfId="0" applyFont="1" applyFill="1" applyBorder="1" applyAlignment="1" applyProtection="1">
      <alignment horizontal="center" vertical="center"/>
    </xf>
    <xf numFmtId="0" fontId="73" fillId="2" borderId="2" xfId="0" applyFont="1" applyFill="1" applyBorder="1" applyAlignment="1" applyProtection="1">
      <alignment horizontal="right" vertical="center"/>
    </xf>
    <xf numFmtId="0" fontId="75" fillId="2" borderId="81" xfId="0" applyFont="1" applyFill="1" applyBorder="1" applyProtection="1">
      <alignment vertical="center"/>
    </xf>
    <xf numFmtId="177" fontId="75" fillId="2" borderId="11" xfId="0" applyNumberFormat="1"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65" fillId="2" borderId="9" xfId="52" applyNumberFormat="1" applyFont="1" applyFill="1" applyBorder="1" applyAlignment="1" applyProtection="1">
      <alignment horizontal="center" vertical="center"/>
    </xf>
    <xf numFmtId="0" fontId="75" fillId="2" borderId="117" xfId="0" applyFont="1" applyFill="1" applyBorder="1" applyProtection="1">
      <alignment vertical="center"/>
    </xf>
    <xf numFmtId="0" fontId="75" fillId="2" borderId="81"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9" xfId="0" applyFont="1" applyFill="1" applyBorder="1" applyProtection="1">
      <alignment vertical="center"/>
    </xf>
    <xf numFmtId="177" fontId="75" fillId="2" borderId="31" xfId="0" applyNumberFormat="1"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177" fontId="73" fillId="2" borderId="9" xfId="52"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9" xfId="0" applyFont="1" applyFill="1" applyBorder="1" applyProtection="1">
      <alignment vertical="center"/>
    </xf>
    <xf numFmtId="177" fontId="75" fillId="0" borderId="14"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9" xfId="0" applyFont="1" applyFill="1" applyBorder="1" applyAlignment="1" applyProtection="1">
      <alignment vertical="center"/>
    </xf>
    <xf numFmtId="0" fontId="75" fillId="2" borderId="4" xfId="0" applyFont="1" applyFill="1" applyBorder="1" applyAlignment="1" applyProtection="1">
      <alignment vertical="center"/>
    </xf>
    <xf numFmtId="0" fontId="75" fillId="0" borderId="11"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2" xfId="0" applyFont="1" applyFill="1" applyBorder="1" applyProtection="1">
      <alignment vertical="center"/>
    </xf>
    <xf numFmtId="0" fontId="75" fillId="2" borderId="84" xfId="0" applyFont="1" applyFill="1" applyBorder="1" applyProtection="1">
      <alignment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5" fillId="2" borderId="21" xfId="0" applyFont="1" applyFill="1" applyBorder="1" applyProtection="1">
      <alignment vertical="center"/>
    </xf>
    <xf numFmtId="177" fontId="65" fillId="2" borderId="80" xfId="52" applyNumberFormat="1" applyFont="1" applyFill="1" applyBorder="1" applyAlignment="1" applyProtection="1">
      <alignment horizontal="center" vertical="center"/>
    </xf>
    <xf numFmtId="177" fontId="65" fillId="2" borderId="83" xfId="52" applyNumberFormat="1" applyFont="1" applyFill="1" applyBorder="1" applyAlignment="1" applyProtection="1">
      <alignment horizontal="center" vertical="center"/>
    </xf>
    <xf numFmtId="177" fontId="65" fillId="2" borderId="84" xfId="52"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185" fontId="73" fillId="13" borderId="11"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75" fillId="2" borderId="15" xfId="0" applyFont="1" applyFill="1" applyBorder="1" applyProtection="1">
      <alignment vertical="center"/>
    </xf>
    <xf numFmtId="0" fontId="75" fillId="2" borderId="16" xfId="0" applyFont="1" applyFill="1" applyBorder="1" applyProtection="1">
      <alignment vertical="center"/>
    </xf>
    <xf numFmtId="0" fontId="75" fillId="2" borderId="3"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3" xfId="0" applyFont="1" applyFill="1" applyBorder="1" applyAlignment="1" applyProtection="1">
      <alignment horizontal="center" vertical="center"/>
    </xf>
    <xf numFmtId="177" fontId="70" fillId="2" borderId="3" xfId="52" applyNumberFormat="1"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185" fontId="75" fillId="2" borderId="11" xfId="0" applyNumberFormat="1" applyFont="1" applyFill="1" applyBorder="1" applyAlignment="1" applyProtection="1">
      <alignment horizontal="center" vertical="center"/>
    </xf>
    <xf numFmtId="0" fontId="75" fillId="2" borderId="18" xfId="0" applyFont="1" applyFill="1" applyBorder="1" applyProtection="1">
      <alignment vertical="center"/>
    </xf>
    <xf numFmtId="178" fontId="80" fillId="0" borderId="1" xfId="52" applyNumberFormat="1" applyFont="1" applyFill="1" applyBorder="1" applyAlignment="1" applyProtection="1">
      <alignment vertical="center"/>
      <protection locked="0" hidden="1"/>
    </xf>
    <xf numFmtId="0" fontId="56" fillId="0" borderId="16" xfId="0" applyFont="1" applyFill="1" applyBorder="1" applyAlignment="1" applyProtection="1">
      <alignment horizontal="right" vertical="center"/>
      <protection locked="0"/>
    </xf>
    <xf numFmtId="0" fontId="75" fillId="2" borderId="10" xfId="0" applyFont="1" applyFill="1" applyBorder="1" applyAlignment="1" applyProtection="1">
      <alignment horizontal="right" vertical="center"/>
    </xf>
    <xf numFmtId="0" fontId="75" fillId="0" borderId="10" xfId="0" applyFont="1" applyBorder="1" applyAlignment="1" applyProtection="1">
      <alignment horizontal="right" vertical="center"/>
      <protection locked="0"/>
    </xf>
    <xf numFmtId="0" fontId="75" fillId="2" borderId="18" xfId="0" applyFont="1" applyFill="1" applyBorder="1" applyAlignment="1" applyProtection="1">
      <alignment vertical="center"/>
    </xf>
    <xf numFmtId="178" fontId="91" fillId="0" borderId="1" xfId="52" applyNumberFormat="1" applyFont="1" applyFill="1" applyBorder="1" applyAlignment="1" applyProtection="1">
      <alignment vertical="center"/>
      <protection locked="0"/>
    </xf>
    <xf numFmtId="0" fontId="75" fillId="0" borderId="94"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81" xfId="0" applyFont="1" applyFill="1" applyBorder="1" applyAlignment="1" applyProtection="1">
      <alignment horizontal="right" vertical="center"/>
    </xf>
    <xf numFmtId="178" fontId="75" fillId="0" borderId="16" xfId="52" applyNumberFormat="1" applyFont="1" applyFill="1" applyBorder="1" applyAlignment="1" applyProtection="1">
      <alignment vertical="center"/>
      <protection locked="0"/>
    </xf>
    <xf numFmtId="0" fontId="75" fillId="0" borderId="81" xfId="0" applyFont="1" applyBorder="1" applyAlignment="1" applyProtection="1">
      <alignment horizontal="right" vertical="center"/>
      <protection locked="0"/>
    </xf>
    <xf numFmtId="0" fontId="73" fillId="2" borderId="12" xfId="0" applyFont="1" applyFill="1" applyBorder="1" applyAlignment="1" applyProtection="1">
      <alignment horizontal="right" vertical="center"/>
    </xf>
    <xf numFmtId="0" fontId="73" fillId="2" borderId="97" xfId="0" applyFont="1" applyFill="1" applyBorder="1" applyAlignment="1" applyProtection="1">
      <alignment horizontal="right" vertical="center"/>
    </xf>
    <xf numFmtId="0" fontId="73"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5" fillId="2" borderId="87" xfId="0" applyFont="1" applyFill="1" applyBorder="1" applyAlignment="1" applyProtection="1">
      <alignment horizontal="right" vertical="center"/>
    </xf>
    <xf numFmtId="0" fontId="75" fillId="2" borderId="94" xfId="0" applyFont="1" applyFill="1" applyBorder="1" applyAlignment="1" applyProtection="1">
      <alignment horizontal="right" vertical="center"/>
    </xf>
    <xf numFmtId="0" fontId="73" fillId="2" borderId="94" xfId="0" applyFont="1" applyFill="1" applyBorder="1" applyAlignment="1" applyProtection="1">
      <alignment horizontal="left" vertical="center"/>
    </xf>
    <xf numFmtId="0" fontId="75" fillId="2" borderId="116" xfId="0" applyFont="1" applyFill="1" applyBorder="1" applyAlignment="1" applyProtection="1">
      <alignment vertical="center"/>
    </xf>
    <xf numFmtId="0" fontId="75" fillId="2" borderId="27" xfId="0" applyFont="1" applyFill="1" applyBorder="1" applyProtection="1">
      <alignment vertical="center"/>
    </xf>
    <xf numFmtId="0" fontId="73" fillId="2" borderId="13" xfId="0" applyFont="1" applyFill="1" applyBorder="1" applyAlignment="1" applyProtection="1">
      <alignment vertical="center"/>
    </xf>
    <xf numFmtId="0" fontId="73" fillId="2" borderId="99" xfId="0" applyFont="1" applyFill="1" applyBorder="1" applyAlignment="1" applyProtection="1">
      <alignment horizontal="right" vertical="center"/>
    </xf>
    <xf numFmtId="0" fontId="75" fillId="2" borderId="3" xfId="0" applyFont="1" applyFill="1" applyBorder="1" applyProtection="1">
      <alignment vertical="center"/>
    </xf>
    <xf numFmtId="177"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3"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56" fillId="0" borderId="1" xfId="0" applyFont="1" applyBorder="1" applyAlignment="1" applyProtection="1">
      <alignment horizontal="center" vertical="center" wrapText="1"/>
      <protection locked="0"/>
    </xf>
    <xf numFmtId="0" fontId="56" fillId="13" borderId="1" xfId="0" applyFont="1" applyFill="1" applyBorder="1" applyAlignment="1" applyProtection="1">
      <alignment horizontal="center" vertical="center" wrapText="1"/>
      <protection locked="0"/>
    </xf>
    <xf numFmtId="0" fontId="56" fillId="12" borderId="15" xfId="0" applyFont="1" applyFill="1" applyBorder="1" applyAlignment="1" applyProtection="1">
      <alignment horizontal="center" vertical="center" wrapText="1"/>
      <protection locked="0"/>
    </xf>
    <xf numFmtId="177" fontId="56" fillId="0" borderId="1" xfId="0" applyNumberFormat="1" applyFont="1" applyFill="1" applyBorder="1" applyAlignment="1" applyProtection="1">
      <alignment horizontal="center" vertical="center" wrapText="1"/>
      <protection locked="0"/>
    </xf>
    <xf numFmtId="185" fontId="56" fillId="2" borderId="0" xfId="0" applyNumberFormat="1" applyFont="1" applyFill="1" applyBorder="1" applyAlignment="1" applyProtection="1">
      <alignment horizontal="center" vertical="center" wrapText="1"/>
    </xf>
    <xf numFmtId="185" fontId="77" fillId="2" borderId="0" xfId="0" applyNumberFormat="1" applyFont="1" applyFill="1" applyBorder="1" applyAlignment="1" applyProtection="1">
      <alignment horizontal="center" vertical="center" wrapText="1"/>
    </xf>
    <xf numFmtId="177" fontId="56" fillId="2" borderId="0" xfId="0" applyNumberFormat="1" applyFont="1" applyFill="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93"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2"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5" fontId="56" fillId="2" borderId="15" xfId="0" applyNumberFormat="1" applyFont="1" applyFill="1" applyBorder="1" applyAlignment="1" applyProtection="1">
      <alignment horizontal="left" vertical="center"/>
    </xf>
    <xf numFmtId="0" fontId="77" fillId="2" borderId="17" xfId="0" applyFont="1" applyFill="1" applyBorder="1" applyAlignment="1" applyProtection="1">
      <alignment horizontal="center" vertical="center"/>
    </xf>
    <xf numFmtId="185" fontId="56" fillId="2" borderId="17" xfId="0" applyNumberFormat="1" applyFont="1" applyFill="1" applyBorder="1" applyAlignment="1" applyProtection="1">
      <alignment horizontal="center" vertical="center"/>
    </xf>
    <xf numFmtId="185" fontId="56" fillId="2" borderId="16"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5" fontId="56" fillId="2" borderId="0" xfId="0" applyNumberFormat="1" applyFont="1" applyFill="1" applyBorder="1" applyAlignment="1" applyProtection="1">
      <alignment horizontal="center" vertical="center"/>
    </xf>
    <xf numFmtId="0" fontId="56" fillId="13" borderId="105" xfId="0" applyFont="1" applyFill="1" applyBorder="1" applyAlignment="1" applyProtection="1">
      <alignment horizontal="left" vertical="center"/>
      <protection locked="0"/>
    </xf>
    <xf numFmtId="0" fontId="77" fillId="2" borderId="17" xfId="0" applyFont="1" applyFill="1" applyBorder="1" applyAlignment="1" applyProtection="1">
      <alignment horizontal="left" vertical="center"/>
    </xf>
    <xf numFmtId="0" fontId="56" fillId="2" borderId="106" xfId="0" applyFont="1" applyFill="1" applyBorder="1" applyAlignment="1" applyProtection="1">
      <alignment horizontal="left" vertical="center"/>
    </xf>
    <xf numFmtId="0" fontId="56" fillId="2" borderId="79" xfId="0" applyFont="1" applyFill="1" applyBorder="1" applyAlignment="1" applyProtection="1">
      <alignment horizontal="center" vertical="center"/>
    </xf>
    <xf numFmtId="185" fontId="56" fillId="2" borderId="105"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5" fontId="56" fillId="2" borderId="106" xfId="0" applyNumberFormat="1"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56" fillId="2" borderId="16" xfId="0" applyFont="1" applyFill="1" applyBorder="1" applyAlignment="1" applyProtection="1">
      <alignment horizontal="right" vertical="center"/>
    </xf>
    <xf numFmtId="185" fontId="56" fillId="2" borderId="79" xfId="0" applyNumberFormat="1" applyFont="1" applyFill="1" applyBorder="1" applyAlignment="1" applyProtection="1">
      <alignment horizontal="center" vertical="center"/>
    </xf>
    <xf numFmtId="0" fontId="56" fillId="2" borderId="106"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3" borderId="17"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143" fillId="2" borderId="16"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5" xfId="0" applyFont="1" applyFill="1" applyBorder="1" applyAlignment="1" applyProtection="1">
      <alignment horizontal="center" vertical="center" wrapText="1"/>
    </xf>
    <xf numFmtId="185" fontId="56" fillId="2" borderId="106" xfId="0" applyNumberFormat="1" applyFont="1" applyFill="1" applyBorder="1" applyAlignment="1" applyProtection="1">
      <alignment horizontal="center" vertical="center" wrapText="1"/>
    </xf>
    <xf numFmtId="185" fontId="56" fillId="2" borderId="3" xfId="0" applyNumberFormat="1" applyFont="1" applyFill="1" applyBorder="1" applyAlignment="1" applyProtection="1">
      <alignment horizontal="center" vertical="center" wrapText="1"/>
    </xf>
    <xf numFmtId="185" fontId="56" fillId="2" borderId="105" xfId="0" applyNumberFormat="1"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79" xfId="0" applyFont="1" applyFill="1" applyBorder="1" applyAlignment="1" applyProtection="1">
      <alignment horizontal="center" vertical="center" wrapText="1"/>
    </xf>
    <xf numFmtId="185" fontId="56" fillId="2" borderId="1" xfId="0" applyNumberFormat="1" applyFont="1" applyFill="1" applyBorder="1" applyAlignment="1" applyProtection="1">
      <alignment horizontal="center" vertical="center"/>
    </xf>
    <xf numFmtId="0" fontId="56" fillId="13" borderId="3" xfId="0"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 xfId="0" applyFont="1" applyBorder="1" applyAlignment="1" applyProtection="1">
      <alignment horizontal="center" vertical="center" wrapText="1"/>
      <protection locked="0"/>
    </xf>
    <xf numFmtId="0" fontId="56" fillId="0" borderId="105" xfId="0" applyFont="1" applyBorder="1" applyAlignment="1" applyProtection="1">
      <alignment horizontal="center" vertical="center" wrapText="1"/>
      <protection locked="0"/>
    </xf>
    <xf numFmtId="177" fontId="56" fillId="2" borderId="1" xfId="0" applyNumberFormat="1" applyFont="1" applyFill="1" applyBorder="1" applyAlignment="1" applyProtection="1">
      <alignment horizontal="center" vertical="center" wrapText="1"/>
    </xf>
    <xf numFmtId="177" fontId="56" fillId="2" borderId="11" xfId="0" applyNumberFormat="1" applyFont="1" applyFill="1" applyBorder="1" applyAlignment="1" applyProtection="1">
      <alignment horizontal="center" vertical="center" wrapText="1"/>
    </xf>
    <xf numFmtId="0" fontId="75" fillId="0" borderId="1" xfId="0" applyFont="1" applyBorder="1" applyAlignment="1" applyProtection="1">
      <alignment horizontal="center" vertical="center" wrapText="1"/>
      <protection locked="0"/>
    </xf>
    <xf numFmtId="0" fontId="75" fillId="0" borderId="3" xfId="0" applyFont="1" applyBorder="1" applyAlignment="1" applyProtection="1">
      <alignment horizontal="center" vertical="center" wrapText="1"/>
      <protection locked="0"/>
    </xf>
    <xf numFmtId="0" fontId="75" fillId="3" borderId="3"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7" fontId="75" fillId="2" borderId="1" xfId="0" applyNumberFormat="1" applyFont="1" applyFill="1" applyBorder="1" applyAlignment="1" applyProtection="1">
      <alignment horizontal="center" vertical="center" wrapText="1"/>
    </xf>
    <xf numFmtId="177" fontId="75" fillId="2" borderId="11" xfId="0" applyNumberFormat="1" applyFont="1" applyFill="1" applyBorder="1" applyAlignment="1" applyProtection="1">
      <alignment horizontal="center" vertical="center" wrapText="1"/>
    </xf>
    <xf numFmtId="0" fontId="75" fillId="0" borderId="1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7"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8"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pplyProtection="1">
      <alignment vertical="center" wrapText="1"/>
    </xf>
    <xf numFmtId="0" fontId="56" fillId="2" borderId="102" xfId="0" applyFont="1" applyFill="1" applyBorder="1" applyAlignment="1" applyProtection="1">
      <alignment horizontal="left" vertical="center" wrapText="1"/>
    </xf>
    <xf numFmtId="0" fontId="56" fillId="2" borderId="110" xfId="0" applyFont="1" applyFill="1" applyBorder="1" applyAlignment="1" applyProtection="1">
      <alignment horizontal="left" vertical="center" wrapText="1"/>
    </xf>
    <xf numFmtId="0" fontId="56" fillId="2" borderId="111"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2" xfId="0" applyNumberFormat="1" applyFont="1" applyFill="1" applyBorder="1" applyAlignment="1" applyProtection="1">
      <alignment horizontal="left" vertical="center"/>
      <protection locked="0"/>
    </xf>
    <xf numFmtId="0" fontId="56" fillId="19" borderId="1" xfId="0" applyFont="1" applyFill="1" applyBorder="1" applyAlignment="1" applyProtection="1">
      <alignment vertical="center" wrapText="1"/>
    </xf>
    <xf numFmtId="14" fontId="56" fillId="3" borderId="6" xfId="0" applyNumberFormat="1" applyFont="1" applyFill="1" applyBorder="1" applyAlignment="1" applyProtection="1">
      <alignment horizontal="center" vertical="center"/>
      <protection locked="0"/>
    </xf>
    <xf numFmtId="0" fontId="56" fillId="2" borderId="6" xfId="0" applyFont="1" applyFill="1" applyBorder="1" applyAlignment="1" applyProtection="1">
      <alignment horizontal="right" vertical="center" shrinkToFit="1"/>
    </xf>
    <xf numFmtId="0" fontId="56" fillId="2" borderId="92" xfId="0" applyFont="1" applyFill="1" applyBorder="1" applyAlignment="1" applyProtection="1">
      <alignment horizontal="left" vertical="center"/>
    </xf>
    <xf numFmtId="0" fontId="56" fillId="2" borderId="105" xfId="0" applyFont="1" applyFill="1" applyBorder="1" applyAlignment="1" applyProtection="1">
      <alignment vertical="center" wrapText="1"/>
    </xf>
    <xf numFmtId="0" fontId="56" fillId="14" borderId="169"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6"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4" borderId="15" xfId="0" applyFont="1" applyFill="1" applyBorder="1" applyAlignment="1" applyProtection="1">
      <alignment vertical="center"/>
      <protection locked="0"/>
    </xf>
    <xf numFmtId="0" fontId="56" fillId="14" borderId="17"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19" borderId="93" xfId="0" applyFont="1" applyFill="1" applyBorder="1" applyAlignment="1" applyProtection="1">
      <alignment vertical="center" wrapText="1"/>
    </xf>
    <xf numFmtId="0" fontId="56" fillId="3" borderId="15" xfId="0" applyFont="1" applyFill="1" applyBorder="1" applyAlignment="1" applyProtection="1">
      <alignment horizontal="left" vertical="center" wrapText="1"/>
      <protection locked="0"/>
    </xf>
    <xf numFmtId="0" fontId="56" fillId="3" borderId="17" xfId="0" applyFont="1" applyFill="1" applyBorder="1" applyAlignment="1" applyProtection="1">
      <alignment vertical="center" wrapText="1"/>
    </xf>
    <xf numFmtId="0" fontId="56" fillId="19" borderId="2" xfId="0" applyFont="1" applyFill="1" applyBorder="1" applyAlignment="1" applyProtection="1">
      <alignment horizontal="center" vertical="center" wrapText="1"/>
    </xf>
    <xf numFmtId="0" fontId="56" fillId="3" borderId="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 borderId="92" xfId="0" applyFont="1" applyFill="1" applyBorder="1" applyAlignment="1" applyProtection="1">
      <alignment horizontal="left" vertical="center"/>
      <protection locked="0"/>
    </xf>
    <xf numFmtId="0" fontId="56" fillId="19" borderId="127" xfId="0" applyFont="1" applyFill="1" applyBorder="1" applyAlignment="1" applyProtection="1">
      <alignment vertical="center" wrapText="1"/>
    </xf>
    <xf numFmtId="0" fontId="56" fillId="3" borderId="127" xfId="0" applyFont="1" applyFill="1" applyBorder="1" applyAlignment="1" applyProtection="1">
      <alignment horizontal="left" vertical="center"/>
      <protection locked="0"/>
    </xf>
    <xf numFmtId="0" fontId="56" fillId="3" borderId="128" xfId="0" applyFont="1" applyFill="1" applyBorder="1" applyAlignment="1" applyProtection="1">
      <alignment vertical="center" wrapText="1"/>
    </xf>
    <xf numFmtId="0" fontId="56" fillId="19" borderId="130" xfId="0" applyFont="1" applyFill="1" applyBorder="1" applyAlignment="1" applyProtection="1">
      <alignment horizontal="center" vertical="center" wrapText="1"/>
    </xf>
    <xf numFmtId="0" fontId="56" fillId="3" borderId="134" xfId="0" applyFont="1" applyFill="1" applyBorder="1" applyAlignment="1" applyProtection="1">
      <alignment vertical="center" wrapText="1"/>
    </xf>
    <xf numFmtId="0" fontId="56" fillId="7" borderId="5" xfId="0" applyFont="1" applyFill="1" applyBorder="1" applyAlignment="1" applyProtection="1">
      <alignment vertical="center" wrapText="1"/>
      <protection locked="0"/>
    </xf>
    <xf numFmtId="0" fontId="56" fillId="19" borderId="3" xfId="0" applyFont="1" applyFill="1" applyBorder="1" applyAlignment="1" applyProtection="1">
      <alignment horizontal="left" vertical="center"/>
    </xf>
    <xf numFmtId="0" fontId="56" fillId="13" borderId="106"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3" xfId="0" applyNumberFormat="1" applyFont="1" applyFill="1" applyBorder="1" applyAlignment="1" applyProtection="1">
      <alignment horizontal="left" vertical="center" wrapText="1"/>
    </xf>
    <xf numFmtId="49" fontId="35" fillId="7" borderId="105"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6" xfId="0" applyFont="1" applyFill="1" applyBorder="1" applyAlignment="1" applyProtection="1">
      <alignment vertical="center" wrapText="1"/>
    </xf>
    <xf numFmtId="0" fontId="56" fillId="19" borderId="93" xfId="0" applyFont="1" applyFill="1" applyBorder="1" applyAlignment="1" applyProtection="1">
      <alignment horizontal="left" vertical="center"/>
    </xf>
    <xf numFmtId="0" fontId="56" fillId="3" borderId="2" xfId="0" applyFont="1" applyFill="1" applyBorder="1" applyAlignment="1" applyProtection="1">
      <alignment horizontal="left" vertical="center" wrapText="1"/>
      <protection locked="0"/>
    </xf>
    <xf numFmtId="0" fontId="56" fillId="14" borderId="17" xfId="0" applyFont="1" applyFill="1" applyBorder="1" applyAlignment="1" applyProtection="1">
      <alignment vertical="center" wrapText="1"/>
      <protection locked="0"/>
    </xf>
    <xf numFmtId="0" fontId="56" fillId="14" borderId="16" xfId="0" applyFont="1" applyFill="1" applyBorder="1" applyAlignment="1" applyProtection="1">
      <alignment vertical="center" wrapText="1"/>
    </xf>
    <xf numFmtId="0" fontId="56" fillId="2" borderId="79"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19"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protection locked="0"/>
    </xf>
    <xf numFmtId="49" fontId="56" fillId="2" borderId="4" xfId="0" applyNumberFormat="1" applyFont="1" applyFill="1" applyBorder="1" applyAlignment="1" applyProtection="1">
      <alignment horizontal="center" vertical="center" wrapText="1"/>
      <protection locked="0"/>
    </xf>
    <xf numFmtId="0" fontId="56" fillId="19" borderId="45" xfId="0" applyFont="1" applyFill="1" applyBorder="1" applyAlignment="1" applyProtection="1">
      <alignment vertical="center" wrapText="1"/>
    </xf>
    <xf numFmtId="190" fontId="56" fillId="0" borderId="1" xfId="0" applyNumberFormat="1" applyFont="1" applyFill="1" applyBorder="1" applyAlignment="1" applyProtection="1">
      <alignment horizontal="center" vertical="center" shrinkToFit="1"/>
      <protection locked="0"/>
    </xf>
    <xf numFmtId="178" fontId="56" fillId="3" borderId="1" xfId="52" applyNumberFormat="1" applyFont="1" applyFill="1" applyBorder="1" applyAlignment="1" applyProtection="1">
      <alignment horizontal="center" vertical="center"/>
      <protection locked="0"/>
    </xf>
    <xf numFmtId="178" fontId="56" fillId="2" borderId="4"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5" fontId="56" fillId="2" borderId="4" xfId="0" applyNumberFormat="1" applyFont="1" applyFill="1" applyBorder="1" applyAlignment="1" applyProtection="1">
      <alignment horizontal="center" vertical="center" wrapText="1"/>
      <protection locked="0"/>
    </xf>
    <xf numFmtId="49" fontId="35" fillId="0" borderId="105" xfId="0" applyNumberFormat="1" applyFont="1" applyFill="1" applyBorder="1" applyAlignment="1" applyProtection="1">
      <alignment horizontal="left" vertical="center"/>
      <protection locked="0"/>
    </xf>
    <xf numFmtId="49" fontId="35" fillId="0" borderId="17" xfId="0" applyNumberFormat="1" applyFont="1" applyFill="1" applyBorder="1" applyAlignment="1" applyProtection="1">
      <alignment horizontal="left" vertical="center"/>
      <protection locked="0"/>
    </xf>
    <xf numFmtId="49" fontId="35" fillId="0" borderId="16" xfId="0" applyNumberFormat="1" applyFont="1" applyFill="1" applyBorder="1" applyAlignment="1" applyProtection="1">
      <alignment horizontal="left" vertical="center"/>
      <protection locked="0"/>
    </xf>
    <xf numFmtId="49" fontId="56" fillId="2" borderId="4" xfId="0" applyNumberFormat="1" applyFont="1" applyFill="1" applyBorder="1" applyAlignment="1" applyProtection="1">
      <alignment horizontal="left" vertical="center" wrapText="1"/>
    </xf>
    <xf numFmtId="0" fontId="35" fillId="0" borderId="15" xfId="0" applyFont="1" applyBorder="1" applyAlignment="1" applyProtection="1">
      <alignment horizontal="left" vertical="center"/>
      <protection locked="0"/>
    </xf>
    <xf numFmtId="0" fontId="35" fillId="0" borderId="17" xfId="0" applyFont="1" applyBorder="1" applyAlignment="1" applyProtection="1">
      <alignment horizontal="left" vertical="center"/>
      <protection locked="0"/>
    </xf>
    <xf numFmtId="0" fontId="35" fillId="0" borderId="16" xfId="0" applyFont="1" applyBorder="1" applyAlignment="1" applyProtection="1">
      <alignment horizontal="left" vertical="center"/>
      <protection locked="0"/>
    </xf>
    <xf numFmtId="185" fontId="56" fillId="2" borderId="92" xfId="0" applyNumberFormat="1" applyFont="1" applyFill="1" applyBorder="1" applyAlignment="1" applyProtection="1">
      <alignment horizontal="center" vertical="center" wrapText="1"/>
      <protection locked="0"/>
    </xf>
    <xf numFmtId="49" fontId="35" fillId="14" borderId="15" xfId="0" applyNumberFormat="1" applyFont="1" applyFill="1" applyBorder="1" applyAlignment="1" applyProtection="1">
      <alignment horizontal="left" vertical="center"/>
      <protection locked="0"/>
    </xf>
    <xf numFmtId="49" fontId="35" fillId="14" borderId="17" xfId="0" applyNumberFormat="1" applyFont="1" applyFill="1" applyBorder="1" applyAlignment="1" applyProtection="1">
      <alignment horizontal="left" vertical="center"/>
      <protection locked="0"/>
    </xf>
    <xf numFmtId="49" fontId="35" fillId="14" borderId="16" xfId="0" applyNumberFormat="1" applyFont="1" applyFill="1" applyBorder="1" applyAlignment="1" applyProtection="1">
      <alignment horizontal="left" vertical="center"/>
      <protection locked="0"/>
    </xf>
    <xf numFmtId="185" fontId="56" fillId="2" borderId="92" xfId="0" applyNumberFormat="1" applyFont="1" applyFill="1" applyBorder="1" applyAlignment="1" applyProtection="1">
      <alignment horizontal="left" vertical="center"/>
      <protection locked="0"/>
    </xf>
    <xf numFmtId="0" fontId="56" fillId="3" borderId="119" xfId="0" applyFont="1" applyFill="1" applyBorder="1" applyAlignment="1" applyProtection="1">
      <alignment horizontal="left" vertical="center" wrapText="1"/>
      <protection locked="0"/>
    </xf>
    <xf numFmtId="177" fontId="56" fillId="2" borderId="6" xfId="0" applyNumberFormat="1" applyFont="1" applyFill="1" applyBorder="1" applyAlignment="1" applyProtection="1">
      <alignment horizontal="center" vertical="center" wrapText="1"/>
    </xf>
    <xf numFmtId="49" fontId="35" fillId="14" borderId="127" xfId="0" applyNumberFormat="1" applyFont="1" applyFill="1" applyBorder="1" applyAlignment="1" applyProtection="1">
      <alignment horizontal="left" vertical="center"/>
      <protection locked="0"/>
    </xf>
    <xf numFmtId="49" fontId="35" fillId="14" borderId="128" xfId="0" applyNumberFormat="1" applyFont="1" applyFill="1" applyBorder="1" applyAlignment="1" applyProtection="1">
      <alignment horizontal="left" vertical="center"/>
      <protection locked="0"/>
    </xf>
    <xf numFmtId="49" fontId="35" fillId="14" borderId="134" xfId="0" applyNumberFormat="1" applyFont="1" applyFill="1" applyBorder="1" applyAlignment="1" applyProtection="1">
      <alignment horizontal="left" vertical="center"/>
      <protection locked="0"/>
    </xf>
    <xf numFmtId="0" fontId="56" fillId="3" borderId="4" xfId="0" applyFont="1" applyFill="1" applyBorder="1" applyAlignment="1" applyProtection="1">
      <alignment horizontal="center" vertical="center" wrapText="1"/>
      <protection locked="0"/>
    </xf>
    <xf numFmtId="0" fontId="56" fillId="2" borderId="28"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protection locked="0"/>
    </xf>
    <xf numFmtId="0" fontId="26" fillId="2" borderId="28" xfId="0" applyFont="1" applyFill="1" applyBorder="1" applyAlignment="1" applyProtection="1">
      <alignment vertical="center" wrapText="1"/>
    </xf>
    <xf numFmtId="0" fontId="56" fillId="3" borderId="97" xfId="0" applyFont="1" applyFill="1" applyBorder="1" applyAlignment="1" applyProtection="1">
      <alignment horizontal="center" vertical="center" wrapText="1"/>
      <protection locked="0"/>
    </xf>
    <xf numFmtId="0" fontId="56" fillId="2" borderId="15" xfId="0" applyFont="1" applyFill="1" applyBorder="1" applyAlignment="1" applyProtection="1">
      <alignment vertical="center" wrapText="1"/>
    </xf>
    <xf numFmtId="0" fontId="56" fillId="2" borderId="7"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07" xfId="0" applyFont="1" applyFill="1" applyBorder="1" applyAlignment="1" applyProtection="1">
      <alignment horizontal="left" vertical="center"/>
    </xf>
    <xf numFmtId="0" fontId="56" fillId="3" borderId="10" xfId="0" applyFont="1" applyFill="1" applyBorder="1" applyAlignment="1" applyProtection="1">
      <alignment vertical="center" wrapText="1"/>
      <protection locked="0"/>
    </xf>
    <xf numFmtId="0" fontId="35" fillId="0" borderId="10" xfId="0" applyFont="1" applyBorder="1" applyAlignment="1" applyProtection="1">
      <alignment vertical="center" wrapText="1"/>
      <protection locked="0"/>
    </xf>
    <xf numFmtId="0" fontId="56" fillId="3" borderId="15" xfId="0" applyFont="1" applyFill="1" applyBorder="1" applyAlignment="1" applyProtection="1">
      <alignment vertical="center" wrapText="1"/>
      <protection locked="0"/>
    </xf>
    <xf numFmtId="0" fontId="56" fillId="0" borderId="126" xfId="0" applyFont="1" applyBorder="1" applyAlignment="1" applyProtection="1">
      <alignment horizontal="left" vertical="center" wrapText="1"/>
      <protection locked="0"/>
    </xf>
    <xf numFmtId="0" fontId="56" fillId="3" borderId="10" xfId="0" applyFont="1" applyFill="1" applyBorder="1" applyAlignment="1" applyProtection="1">
      <alignment vertical="center" wrapText="1" shrinkToFit="1"/>
      <protection locked="0"/>
    </xf>
    <xf numFmtId="0" fontId="56" fillId="2" borderId="18" xfId="0" applyFont="1" applyFill="1" applyBorder="1" applyAlignment="1" applyProtection="1">
      <alignment vertical="center" wrapText="1"/>
    </xf>
    <xf numFmtId="190" fontId="35" fillId="0" borderId="11" xfId="0" applyNumberFormat="1" applyFont="1" applyFill="1" applyBorder="1" applyAlignment="1" applyProtection="1">
      <alignment vertical="center" shrinkToFit="1"/>
      <protection locked="0"/>
    </xf>
    <xf numFmtId="0" fontId="56" fillId="2" borderId="108" xfId="0" applyFont="1" applyFill="1" applyBorder="1" applyAlignment="1" applyProtection="1">
      <alignment vertical="center" wrapText="1"/>
    </xf>
    <xf numFmtId="190" fontId="35" fillId="0" borderId="84" xfId="0" applyNumberFormat="1" applyFont="1" applyFill="1" applyBorder="1" applyAlignment="1" applyProtection="1">
      <alignment vertical="center" shrinkToFit="1"/>
      <protection locked="0"/>
    </xf>
    <xf numFmtId="0" fontId="35" fillId="0" borderId="11"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2" borderId="135" xfId="0" applyFont="1" applyFill="1" applyBorder="1" applyAlignment="1" applyProtection="1">
      <alignment vertical="center" wrapText="1"/>
    </xf>
    <xf numFmtId="0" fontId="56" fillId="2" borderId="143" xfId="0" applyFont="1" applyFill="1" applyBorder="1" applyAlignment="1" applyProtection="1">
      <alignment vertical="center" wrapText="1"/>
    </xf>
    <xf numFmtId="0" fontId="35" fillId="0" borderId="120" xfId="0" applyFont="1" applyFill="1" applyBorder="1" applyAlignment="1" applyProtection="1">
      <alignment vertical="center" wrapText="1"/>
      <protection locked="0"/>
    </xf>
    <xf numFmtId="0" fontId="35" fillId="0" borderId="144" xfId="0" applyFont="1" applyFill="1" applyBorder="1" applyAlignment="1" applyProtection="1">
      <alignment vertical="center" wrapText="1"/>
      <protection locked="0"/>
    </xf>
    <xf numFmtId="0" fontId="56" fillId="13" borderId="105" xfId="0" applyFont="1" applyFill="1" applyBorder="1" applyAlignment="1" applyProtection="1">
      <alignment vertical="center"/>
      <protection locked="0"/>
    </xf>
    <xf numFmtId="0" fontId="56" fillId="13" borderId="106" xfId="0" applyFont="1" applyFill="1" applyBorder="1" applyAlignment="1" applyProtection="1">
      <alignment vertical="center" wrapText="1"/>
    </xf>
    <xf numFmtId="0" fontId="56" fillId="13" borderId="106" xfId="0" applyFont="1" applyFill="1" applyBorder="1" applyAlignment="1" applyProtection="1">
      <alignment horizontal="left" vertical="center"/>
      <protection locked="0"/>
    </xf>
    <xf numFmtId="0" fontId="56" fillId="0" borderId="3" xfId="0" applyFont="1" applyBorder="1" applyAlignment="1" applyProtection="1">
      <alignment horizontal="left" vertical="center" wrapText="1"/>
      <protection locked="0"/>
    </xf>
    <xf numFmtId="0" fontId="56" fillId="13" borderId="15" xfId="0" applyFont="1" applyFill="1" applyBorder="1" applyAlignment="1" applyProtection="1">
      <alignment vertical="center"/>
      <protection locked="0"/>
    </xf>
    <xf numFmtId="0" fontId="56" fillId="13" borderId="16" xfId="0" applyFont="1" applyFill="1" applyBorder="1" applyAlignment="1" applyProtection="1">
      <alignment vertical="center"/>
    </xf>
    <xf numFmtId="0" fontId="56" fillId="0" borderId="15"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6"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2" xfId="0" applyFont="1" applyBorder="1" applyAlignment="1" applyProtection="1">
      <alignment horizontal="left" vertical="center"/>
      <protection locked="0"/>
    </xf>
    <xf numFmtId="0" fontId="31" fillId="3" borderId="1" xfId="0" applyFont="1" applyFill="1" applyBorder="1" applyAlignment="1" applyProtection="1">
      <alignment horizontal="center" vertical="center" wrapText="1"/>
      <protection locked="0"/>
    </xf>
    <xf numFmtId="0" fontId="56" fillId="19" borderId="4"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56" fillId="19" borderId="6" xfId="0" applyFont="1" applyFill="1" applyBorder="1" applyAlignment="1" applyProtection="1">
      <alignment vertical="center" wrapText="1"/>
    </xf>
    <xf numFmtId="0" fontId="56" fillId="3" borderId="6" xfId="0"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5" xfId="0" applyFont="1" applyFill="1" applyBorder="1" applyAlignment="1" applyProtection="1">
      <alignment vertical="center"/>
    </xf>
    <xf numFmtId="49" fontId="56" fillId="2" borderId="15"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1" xfId="0" applyFont="1" applyFill="1" applyBorder="1" applyAlignment="1" applyProtection="1">
      <alignment vertical="center" wrapText="1"/>
      <protection locked="0"/>
    </xf>
    <xf numFmtId="0" fontId="56" fillId="0" borderId="15"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5" xfId="0" applyNumberFormat="1" applyFont="1" applyBorder="1" applyAlignment="1" applyProtection="1">
      <alignment vertical="center" wrapText="1"/>
      <protection locked="0"/>
    </xf>
    <xf numFmtId="0" fontId="0" fillId="0" borderId="23"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5" fillId="2" borderId="108" xfId="0" applyFont="1" applyFill="1" applyBorder="1" applyAlignment="1" applyProtection="1">
      <alignment horizontal="left" vertical="center"/>
      <protection locked="0"/>
    </xf>
    <xf numFmtId="0" fontId="0" fillId="2" borderId="25"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5" fillId="2" borderId="108"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0" fillId="2" borderId="25"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8"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20" fillId="2" borderId="118"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3" xfId="0" applyFon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xf>
    <xf numFmtId="0" fontId="20" fillId="2" borderId="10" xfId="0" applyFont="1" applyFill="1" applyBorder="1" applyAlignment="1" applyProtection="1">
      <alignment horizontal="left" vertical="center"/>
    </xf>
    <xf numFmtId="0" fontId="20" fillId="2" borderId="1"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180" fontId="20" fillId="2" borderId="1" xfId="0" applyNumberFormat="1" applyFont="1" applyFill="1" applyBorder="1" applyAlignment="1" applyProtection="1">
      <alignment horizontal="right" vertical="center"/>
    </xf>
    <xf numFmtId="180" fontId="0" fillId="2" borderId="1"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0" fillId="0" borderId="10" xfId="0" applyBorder="1" applyAlignment="1" applyProtection="1">
      <alignment horizontal="right" vertical="center"/>
      <protection locked="0"/>
    </xf>
    <xf numFmtId="181" fontId="0" fillId="2" borderId="1" xfId="0" applyNumberFormat="1" applyFill="1" applyBorder="1" applyAlignment="1" applyProtection="1">
      <alignment horizontal="right" vertical="center"/>
    </xf>
    <xf numFmtId="10" fontId="0" fillId="0" borderId="1" xfId="3" applyNumberFormat="1" applyFont="1" applyBorder="1" applyAlignment="1" applyProtection="1">
      <alignment horizontal="right" vertical="center"/>
      <protection locked="0"/>
    </xf>
    <xf numFmtId="0" fontId="20" fillId="2" borderId="12" xfId="0" applyFont="1" applyFill="1" applyBorder="1" applyAlignment="1" applyProtection="1">
      <alignment horizontal="left" vertical="center"/>
    </xf>
    <xf numFmtId="180" fontId="20" fillId="2" borderId="13" xfId="0" applyNumberFormat="1" applyFont="1" applyFill="1" applyBorder="1" applyAlignment="1" applyProtection="1">
      <alignment horizontal="right" vertical="center"/>
    </xf>
    <xf numFmtId="180" fontId="0" fillId="2" borderId="13" xfId="0" applyNumberFormat="1" applyFill="1" applyBorder="1" applyAlignment="1" applyProtection="1">
      <alignment horizontal="right" vertical="center"/>
    </xf>
    <xf numFmtId="180" fontId="0" fillId="2" borderId="14" xfId="0" applyNumberFormat="1" applyFill="1" applyBorder="1" applyAlignment="1" applyProtection="1">
      <alignment horizontal="right" vertical="center"/>
    </xf>
    <xf numFmtId="0" fontId="20" fillId="2" borderId="7" xfId="0" applyFont="1" applyFill="1" applyBorder="1" applyAlignment="1" applyProtection="1">
      <alignment horizontal="left" vertical="center"/>
      <protection locked="0"/>
    </xf>
    <xf numFmtId="0" fontId="20" fillId="2" borderId="8" xfId="0" applyFont="1" applyFill="1" applyBorder="1" applyAlignment="1" applyProtection="1">
      <alignment horizontal="left" vertical="center"/>
      <protection locked="0"/>
    </xf>
    <xf numFmtId="0" fontId="20" fillId="0" borderId="8" xfId="0" applyFont="1" applyBorder="1" applyAlignment="1" applyProtection="1">
      <alignment horizontal="right" vertical="center"/>
      <protection locked="0"/>
    </xf>
    <xf numFmtId="0" fontId="144" fillId="2" borderId="25" xfId="0" applyFont="1" applyFill="1" applyBorder="1" applyAlignment="1" applyProtection="1">
      <alignment horizontal="left" vertical="center"/>
      <protection locked="0"/>
    </xf>
    <xf numFmtId="0" fontId="20" fillId="2" borderId="25" xfId="0" applyFont="1" applyFill="1" applyBorder="1" applyAlignment="1" applyProtection="1">
      <alignment horizontal="left" vertical="center"/>
      <protection locked="0"/>
    </xf>
    <xf numFmtId="0" fontId="0" fillId="2" borderId="11" xfId="0" applyFill="1" applyBorder="1" applyAlignment="1" applyProtection="1">
      <alignment horizontal="left" vertical="center"/>
    </xf>
    <xf numFmtId="0" fontId="5" fillId="0" borderId="107" xfId="0" applyFont="1" applyBorder="1" applyAlignment="1" applyProtection="1">
      <alignment horizontal="center" vertical="center" wrapText="1"/>
      <protection locked="0"/>
    </xf>
    <xf numFmtId="180" fontId="64" fillId="2" borderId="11" xfId="0" applyNumberFormat="1" applyFont="1" applyFill="1" applyBorder="1" applyAlignment="1" applyProtection="1">
      <alignment horizontal="right" vertical="center"/>
    </xf>
    <xf numFmtId="0" fontId="5" fillId="0" borderId="131" xfId="0" applyFont="1" applyBorder="1" applyAlignment="1" applyProtection="1">
      <alignment horizontal="center" vertical="center" wrapText="1"/>
      <protection locked="0"/>
    </xf>
    <xf numFmtId="0" fontId="0" fillId="2" borderId="10" xfId="0" applyFill="1" applyBorder="1" applyAlignment="1" applyProtection="1">
      <alignment horizontal="right" vertical="center"/>
    </xf>
    <xf numFmtId="0" fontId="0" fillId="0" borderId="1" xfId="0" applyFill="1" applyBorder="1" applyAlignment="1" applyProtection="1">
      <alignment horizontal="right" vertical="center"/>
      <protection locked="0"/>
    </xf>
    <xf numFmtId="0" fontId="0" fillId="2" borderId="1" xfId="0"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20" fillId="2" borderId="81" xfId="0" applyFont="1" applyFill="1" applyBorder="1" applyAlignment="1" applyProtection="1">
      <alignment horizontal="left" vertical="center"/>
    </xf>
    <xf numFmtId="0" fontId="20" fillId="2" borderId="108" xfId="0" applyFont="1" applyFill="1" applyBorder="1" applyAlignment="1" applyProtection="1">
      <alignment horizontal="left" vertical="center"/>
      <protection locked="0"/>
    </xf>
    <xf numFmtId="0" fontId="20" fillId="0" borderId="25" xfId="0" applyFont="1" applyFill="1" applyBorder="1" applyAlignment="1" applyProtection="1">
      <alignment horizontal="right" vertical="center"/>
      <protection locked="0"/>
    </xf>
    <xf numFmtId="195" fontId="20" fillId="0" borderId="25" xfId="0" applyNumberFormat="1" applyFont="1" applyFill="1" applyBorder="1" applyAlignment="1" applyProtection="1">
      <alignment horizontal="right" vertical="center"/>
      <protection locked="0"/>
    </xf>
    <xf numFmtId="177" fontId="0" fillId="0"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xf>
    <xf numFmtId="180" fontId="20" fillId="2" borderId="11" xfId="0" applyNumberFormat="1" applyFont="1" applyFill="1" applyBorder="1" applyAlignment="1" applyProtection="1">
      <alignment horizontal="right" vertical="center"/>
    </xf>
    <xf numFmtId="177" fontId="0" fillId="2" borderId="1" xfId="0" applyNumberFormat="1" applyFill="1" applyBorder="1" applyAlignment="1" applyProtection="1">
      <alignment horizontal="left" vertical="center"/>
    </xf>
    <xf numFmtId="177" fontId="0" fillId="0" borderId="1" xfId="0" applyNumberFormat="1" applyBorder="1" applyAlignment="1" applyProtection="1">
      <alignment horizontal="right" vertical="center"/>
      <protection locked="0"/>
    </xf>
    <xf numFmtId="0" fontId="5" fillId="0" borderId="132" xfId="0" applyFont="1" applyBorder="1" applyAlignment="1" applyProtection="1">
      <alignment horizontal="center" vertical="center" wrapText="1"/>
      <protection locked="0"/>
    </xf>
    <xf numFmtId="0" fontId="0" fillId="2" borderId="12" xfId="0" applyFill="1" applyBorder="1" applyAlignment="1" applyProtection="1">
      <alignment horizontal="right" vertical="center"/>
    </xf>
    <xf numFmtId="177" fontId="0" fillId="2" borderId="13" xfId="0" applyNumberFormat="1" applyFill="1" applyBorder="1" applyAlignment="1" applyProtection="1">
      <alignment horizontal="right" vertical="center"/>
    </xf>
    <xf numFmtId="181" fontId="0" fillId="2" borderId="13" xfId="0" applyNumberFormat="1" applyFill="1" applyBorder="1" applyAlignment="1" applyProtection="1">
      <alignment horizontal="right" vertical="center"/>
    </xf>
    <xf numFmtId="0" fontId="0" fillId="2" borderId="23"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20" fillId="0" borderId="23" xfId="0" applyFont="1" applyBorder="1" applyAlignment="1" applyProtection="1">
      <alignment horizontal="left" vertical="center"/>
      <protection locked="0"/>
    </xf>
    <xf numFmtId="0" fontId="5" fillId="2" borderId="18"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9"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11" xfId="0" applyFont="1" applyFill="1" applyBorder="1" applyAlignment="1" applyProtection="1">
      <alignment horizontal="left" vertical="center"/>
    </xf>
    <xf numFmtId="180" fontId="20" fillId="0" borderId="0" xfId="0" applyNumberFormat="1" applyFont="1" applyAlignment="1" applyProtection="1">
      <alignment horizontal="left" vertical="center"/>
      <protection locked="0"/>
    </xf>
    <xf numFmtId="177" fontId="20" fillId="0" borderId="0" xfId="0" applyNumberFormat="1" applyFont="1" applyAlignment="1" applyProtection="1">
      <alignment horizontal="left" vertical="center"/>
      <protection locked="0"/>
    </xf>
    <xf numFmtId="180" fontId="20" fillId="0" borderId="1" xfId="0" applyNumberFormat="1" applyFont="1" applyBorder="1" applyAlignment="1" applyProtection="1">
      <alignment horizontal="right" vertical="center"/>
      <protection locked="0"/>
    </xf>
    <xf numFmtId="177" fontId="20" fillId="0" borderId="1" xfId="0" applyNumberFormat="1" applyFont="1" applyBorder="1" applyAlignment="1" applyProtection="1">
      <alignment horizontal="right" vertical="center"/>
      <protection locked="0"/>
    </xf>
    <xf numFmtId="10" fontId="20" fillId="0" borderId="1" xfId="0" applyNumberFormat="1" applyFont="1" applyBorder="1" applyAlignment="1" applyProtection="1">
      <alignment horizontal="right" vertical="center"/>
      <protection locked="0"/>
    </xf>
    <xf numFmtId="195" fontId="20" fillId="2" borderId="1" xfId="0" applyNumberFormat="1" applyFont="1" applyFill="1" applyBorder="1" applyAlignment="1" applyProtection="1">
      <alignment horizontal="right" vertical="center"/>
    </xf>
    <xf numFmtId="177" fontId="20" fillId="2" borderId="11"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9" xfId="0" applyFont="1" applyFill="1" applyBorder="1" applyAlignment="1" applyProtection="1">
      <alignment horizontal="left" vertical="center"/>
    </xf>
    <xf numFmtId="0" fontId="20" fillId="2" borderId="18"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9" xfId="0" applyFont="1" applyFill="1" applyBorder="1" applyAlignment="1" applyProtection="1">
      <alignment horizontal="left"/>
    </xf>
    <xf numFmtId="0" fontId="20" fillId="2" borderId="10" xfId="0" applyFont="1" applyFill="1" applyBorder="1" applyAlignment="1" applyProtection="1">
      <alignment horizontal="left"/>
    </xf>
    <xf numFmtId="0" fontId="20" fillId="17" borderId="1" xfId="0" applyFont="1" applyFill="1" applyBorder="1" applyAlignment="1" applyProtection="1">
      <alignment horizontal="left"/>
    </xf>
    <xf numFmtId="0" fontId="20" fillId="2" borderId="1"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17" xfId="0" applyFont="1" applyFill="1" applyBorder="1" applyAlignment="1" applyProtection="1">
      <alignment horizontal="left"/>
    </xf>
    <xf numFmtId="0" fontId="20" fillId="2" borderId="87" xfId="0" applyFont="1" applyFill="1" applyBorder="1" applyAlignment="1" applyProtection="1">
      <alignment horizontal="left"/>
    </xf>
    <xf numFmtId="9" fontId="20" fillId="2" borderId="1" xfId="0" applyNumberFormat="1" applyFont="1" applyFill="1" applyBorder="1" applyAlignment="1" applyProtection="1">
      <alignment horizontal="left"/>
    </xf>
    <xf numFmtId="0" fontId="20" fillId="2" borderId="12" xfId="0" applyFont="1" applyFill="1" applyBorder="1" applyAlignment="1" applyProtection="1">
      <alignment horizontal="left"/>
    </xf>
    <xf numFmtId="0" fontId="20" fillId="17" borderId="13"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23" xfId="0" applyFont="1" applyFill="1" applyBorder="1" applyAlignment="1" applyProtection="1">
      <alignment horizontal="left"/>
    </xf>
    <xf numFmtId="0" fontId="20" fillId="2" borderId="24" xfId="0" applyFont="1" applyFill="1" applyBorder="1" applyAlignment="1" applyProtection="1">
      <alignment horizontal="left"/>
    </xf>
    <xf numFmtId="0" fontId="86" fillId="2" borderId="172" xfId="0" applyFont="1" applyFill="1" applyBorder="1" applyAlignment="1" applyProtection="1">
      <alignment horizontal="left" vertical="center"/>
    </xf>
    <xf numFmtId="0" fontId="30" fillId="0" borderId="171" xfId="0" applyFont="1" applyBorder="1" applyAlignment="1" applyProtection="1">
      <alignment horizontal="left" vertical="center"/>
      <protection locked="0"/>
    </xf>
    <xf numFmtId="0" fontId="1" fillId="2" borderId="173" xfId="0" applyFont="1" applyFill="1" applyBorder="1" applyAlignment="1" applyProtection="1">
      <alignment horizontal="center"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25" xfId="0" applyFont="1" applyFill="1" applyBorder="1" applyAlignment="1" applyProtection="1">
      <alignment horizontal="left" vertical="center"/>
    </xf>
    <xf numFmtId="0" fontId="146" fillId="2" borderId="8" xfId="0" applyFont="1" applyFill="1" applyBorder="1" applyAlignment="1" applyProtection="1">
      <alignment horizontal="left" vertical="center"/>
    </xf>
    <xf numFmtId="0" fontId="146" fillId="2" borderId="9"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20" fillId="2" borderId="8" xfId="0" applyFont="1" applyFill="1" applyBorder="1" applyAlignment="1" applyProtection="1">
      <alignment horizontal="left" vertical="center"/>
    </xf>
    <xf numFmtId="0" fontId="20" fillId="2" borderId="9"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87" fillId="2" borderId="10" xfId="0" applyFont="1" applyFill="1" applyBorder="1" applyAlignment="1" applyProtection="1">
      <alignment horizontal="left" vertical="center"/>
    </xf>
    <xf numFmtId="177" fontId="87"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80" fontId="87" fillId="2" borderId="11" xfId="0" applyNumberFormat="1" applyFont="1" applyFill="1" applyBorder="1" applyAlignment="1" applyProtection="1">
      <alignment horizontal="right" vertical="center"/>
    </xf>
    <xf numFmtId="182" fontId="87" fillId="2" borderId="125" xfId="3" applyNumberFormat="1" applyFont="1" applyFill="1" applyBorder="1" applyAlignment="1" applyProtection="1">
      <alignment horizontal="left" vertical="center"/>
    </xf>
    <xf numFmtId="0" fontId="0" fillId="2" borderId="10"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147" fillId="2" borderId="10" xfId="0" applyFont="1" applyFill="1" applyBorder="1" applyAlignment="1" applyProtection="1">
      <alignment horizontal="right" vertical="center"/>
    </xf>
    <xf numFmtId="177" fontId="147" fillId="0" borderId="1"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80" fontId="147" fillId="0" borderId="1" xfId="0" applyNumberFormat="1" applyFont="1" applyBorder="1" applyAlignment="1" applyProtection="1">
      <alignment horizontal="right" vertical="center"/>
      <protection locked="0"/>
    </xf>
    <xf numFmtId="180" fontId="147" fillId="2" borderId="11" xfId="0" applyNumberFormat="1" applyFont="1" applyFill="1" applyBorder="1" applyAlignment="1" applyProtection="1">
      <alignment horizontal="right" vertical="center"/>
    </xf>
    <xf numFmtId="182" fontId="30" fillId="2" borderId="125" xfId="3"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80" fontId="25" fillId="2" borderId="10" xfId="0" applyNumberFormat="1" applyFont="1" applyFill="1" applyBorder="1" applyAlignment="1" applyProtection="1">
      <alignment horizontal="right" vertical="center"/>
    </xf>
    <xf numFmtId="180" fontId="25" fillId="2" borderId="11" xfId="0" applyNumberFormat="1" applyFont="1" applyFill="1" applyBorder="1" applyAlignment="1" applyProtection="1">
      <alignment horizontal="right" vertical="center"/>
    </xf>
    <xf numFmtId="180" fontId="25"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5" fillId="2" borderId="12" xfId="0" applyNumberFormat="1" applyFont="1" applyFill="1" applyBorder="1" applyAlignment="1" applyProtection="1">
      <alignment horizontal="right" vertical="center"/>
    </xf>
    <xf numFmtId="180" fontId="25" fillId="2" borderId="13" xfId="0" applyNumberFormat="1" applyFont="1" applyFill="1" applyBorder="1" applyAlignment="1" applyProtection="1">
      <alignment horizontal="right" vertical="center"/>
    </xf>
    <xf numFmtId="180" fontId="25" fillId="2" borderId="14" xfId="0" applyNumberFormat="1" applyFont="1" applyFill="1" applyBorder="1" applyAlignment="1" applyProtection="1">
      <alignment horizontal="right" vertical="center"/>
    </xf>
    <xf numFmtId="180" fontId="25" fillId="2" borderId="89" xfId="0" applyNumberFormat="1" applyFont="1" applyFill="1" applyBorder="1" applyAlignment="1" applyProtection="1">
      <alignment horizontal="right" vertical="center"/>
    </xf>
    <xf numFmtId="0" fontId="87" fillId="2" borderId="1" xfId="0" applyFont="1" applyFill="1" applyBorder="1" applyAlignment="1" applyProtection="1">
      <alignment horizontal="right" vertical="center"/>
    </xf>
    <xf numFmtId="177" fontId="147" fillId="2" borderId="1" xfId="0" applyNumberFormat="1" applyFont="1" applyFill="1" applyBorder="1" applyAlignment="1" applyProtection="1">
      <alignment horizontal="right" vertical="center"/>
    </xf>
    <xf numFmtId="180" fontId="147" fillId="14" borderId="1" xfId="0" applyNumberFormat="1" applyFont="1" applyFill="1" applyBorder="1" applyAlignment="1" applyProtection="1">
      <alignment horizontal="right" vertical="center"/>
      <protection locked="0"/>
    </xf>
    <xf numFmtId="0" fontId="120" fillId="2" borderId="10" xfId="0" applyFont="1" applyFill="1" applyBorder="1" applyAlignment="1" applyProtection="1">
      <alignment horizontal="left" vertical="center"/>
    </xf>
    <xf numFmtId="0" fontId="19"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7" fontId="147" fillId="0" borderId="1" xfId="0" applyNumberFormat="1" applyFont="1" applyFill="1" applyBorder="1" applyAlignment="1" applyProtection="1">
      <alignment horizontal="right" vertical="center"/>
      <protection locked="0"/>
    </xf>
    <xf numFmtId="0" fontId="147" fillId="2" borderId="1" xfId="0" applyFont="1" applyFill="1" applyBorder="1" applyAlignment="1" applyProtection="1">
      <alignment horizontal="right" vertical="center"/>
    </xf>
    <xf numFmtId="180" fontId="25" fillId="2" borderId="15" xfId="0" applyNumberFormat="1" applyFont="1" applyFill="1" applyBorder="1" applyAlignment="1" applyProtection="1">
      <alignment horizontal="right" vertical="center"/>
    </xf>
    <xf numFmtId="182" fontId="148" fillId="2" borderId="1" xfId="3" applyNumberFormat="1" applyFont="1" applyFill="1" applyBorder="1" applyAlignment="1" applyProtection="1">
      <alignment horizontal="right" vertical="center"/>
    </xf>
    <xf numFmtId="182" fontId="148" fillId="2" borderId="15" xfId="3" applyNumberFormat="1" applyFont="1" applyFill="1" applyBorder="1" applyAlignment="1" applyProtection="1">
      <alignment horizontal="right" vertical="center"/>
    </xf>
    <xf numFmtId="177" fontId="87" fillId="0" borderId="1" xfId="0" applyNumberFormat="1" applyFont="1" applyBorder="1" applyAlignment="1" applyProtection="1">
      <alignment horizontal="right" vertical="center"/>
      <protection locked="0"/>
    </xf>
    <xf numFmtId="180" fontId="87" fillId="2" borderId="1" xfId="0" applyNumberFormat="1" applyFont="1" applyFill="1" applyBorder="1" applyAlignment="1" applyProtection="1">
      <alignment horizontal="right" vertical="center"/>
    </xf>
    <xf numFmtId="182" fontId="30"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87" fillId="2" borderId="0" xfId="0" applyNumberFormat="1" applyFont="1" applyFill="1" applyBorder="1" applyAlignment="1" applyProtection="1">
      <alignment horizontal="right" vertical="center"/>
      <protection locked="0"/>
    </xf>
    <xf numFmtId="10" fontId="87" fillId="0" borderId="1" xfId="0" applyNumberFormat="1" applyFont="1" applyBorder="1" applyAlignment="1" applyProtection="1">
      <alignment horizontal="right" vertical="center"/>
      <protection locked="0"/>
    </xf>
    <xf numFmtId="0" fontId="87" fillId="2" borderId="12" xfId="0" applyFont="1" applyFill="1" applyBorder="1" applyAlignment="1" applyProtection="1">
      <alignment horizontal="left" vertical="center"/>
    </xf>
    <xf numFmtId="177" fontId="87" fillId="2" borderId="13" xfId="0" applyNumberFormat="1" applyFont="1" applyFill="1" applyBorder="1" applyAlignment="1" applyProtection="1">
      <alignment horizontal="right" vertical="center"/>
    </xf>
    <xf numFmtId="177" fontId="86" fillId="2" borderId="13" xfId="0" applyNumberFormat="1" applyFont="1" applyFill="1" applyBorder="1" applyAlignment="1" applyProtection="1">
      <alignment horizontal="right" vertical="center"/>
    </xf>
    <xf numFmtId="177" fontId="87" fillId="2" borderId="23" xfId="0" applyNumberFormat="1" applyFont="1" applyFill="1" applyBorder="1" applyAlignment="1" applyProtection="1">
      <alignment horizontal="right" vertical="center"/>
    </xf>
    <xf numFmtId="180" fontId="87" fillId="0" borderId="14" xfId="0" applyNumberFormat="1" applyFont="1" applyBorder="1" applyAlignment="1" applyProtection="1">
      <alignment horizontal="right" vertical="center"/>
      <protection locked="0"/>
    </xf>
    <xf numFmtId="182" fontId="30"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7"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4"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2" xfId="58" applyFont="1" applyFill="1" applyBorder="1" applyAlignment="1">
      <alignment horizontal="left" vertical="center"/>
    </xf>
    <xf numFmtId="0" fontId="156" fillId="0" borderId="1" xfId="58" applyFont="1" applyBorder="1" applyAlignment="1">
      <alignment horizontal="left" vertical="center"/>
    </xf>
    <xf numFmtId="0" fontId="156" fillId="0" borderId="15" xfId="58" applyFont="1" applyBorder="1" applyAlignment="1">
      <alignment horizontal="left" vertical="center"/>
    </xf>
    <xf numFmtId="0" fontId="155" fillId="3" borderId="174" xfId="58" applyFont="1" applyFill="1" applyBorder="1" applyAlignment="1">
      <alignment horizontal="left" vertical="center"/>
    </xf>
    <xf numFmtId="0" fontId="156" fillId="0" borderId="1" xfId="58" applyFont="1" applyFill="1" applyBorder="1" applyAlignment="1">
      <alignment horizontal="left" vertical="center"/>
    </xf>
    <xf numFmtId="49" fontId="156" fillId="0" borderId="1" xfId="58" applyNumberFormat="1" applyFont="1" applyFill="1" applyBorder="1" applyAlignment="1">
      <alignment horizontal="left" vertical="center"/>
    </xf>
    <xf numFmtId="196" fontId="156" fillId="0" borderId="1" xfId="58" applyNumberFormat="1" applyFont="1" applyFill="1" applyBorder="1" applyAlignment="1">
      <alignment horizontal="left" vertical="center"/>
    </xf>
    <xf numFmtId="0" fontId="157" fillId="0" borderId="15" xfId="58" applyFont="1" applyFill="1" applyBorder="1" applyAlignment="1">
      <alignment horizontal="left" vertical="center"/>
    </xf>
    <xf numFmtId="0" fontId="156" fillId="0" borderId="175" xfId="58" applyFont="1" applyFill="1" applyBorder="1" applyAlignment="1">
      <alignment horizontal="left" vertical="center"/>
    </xf>
    <xf numFmtId="190" fontId="156" fillId="0" borderId="1" xfId="58" applyNumberFormat="1" applyFont="1" applyFill="1" applyBorder="1" applyAlignment="1">
      <alignment horizontal="left" vertical="center"/>
    </xf>
    <xf numFmtId="0" fontId="157" fillId="0" borderId="1" xfId="58" applyFont="1" applyFill="1" applyBorder="1" applyAlignment="1">
      <alignment horizontal="left" vertical="center"/>
    </xf>
    <xf numFmtId="196" fontId="156" fillId="0" borderId="15"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1" xfId="58" applyFont="1" applyFill="1" applyBorder="1" applyAlignment="1">
      <alignment horizontal="left" vertical="center"/>
    </xf>
    <xf numFmtId="0" fontId="156" fillId="0" borderId="175" xfId="58" applyFont="1" applyBorder="1" applyAlignment="1">
      <alignment horizontal="left" vertical="center"/>
    </xf>
    <xf numFmtId="0" fontId="155" fillId="0" borderId="1" xfId="58" applyFont="1" applyFill="1" applyBorder="1" applyAlignment="1">
      <alignment horizontal="left" vertical="center"/>
    </xf>
    <xf numFmtId="0" fontId="153" fillId="0" borderId="1" xfId="58" applyFont="1" applyBorder="1" applyAlignment="1">
      <alignment horizontal="left" vertical="center"/>
    </xf>
    <xf numFmtId="190" fontId="156" fillId="0" borderId="15"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1" xfId="58" applyFont="1" applyBorder="1" applyAlignment="1">
      <alignment horizontal="left" vertical="center"/>
    </xf>
    <xf numFmtId="190" fontId="158" fillId="0" borderId="1" xfId="0" applyNumberFormat="1" applyFont="1" applyFill="1" applyBorder="1" applyAlignment="1">
      <alignment horizontal="left" vertical="center"/>
    </xf>
    <xf numFmtId="14" fontId="153" fillId="0" borderId="1" xfId="58" applyNumberFormat="1" applyFont="1" applyBorder="1" applyAlignment="1">
      <alignment horizontal="left" vertical="center"/>
    </xf>
    <xf numFmtId="14" fontId="153" fillId="0" borderId="15"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1"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0" fontId="162" fillId="20" borderId="1" xfId="0" applyFont="1" applyFill="1" applyBorder="1" applyAlignment="1" applyProtection="1">
      <alignment horizontal="center" vertical="center"/>
    </xf>
    <xf numFmtId="0" fontId="163" fillId="0" borderId="1" xfId="0" applyFont="1" applyFill="1" applyBorder="1" applyAlignment="1" applyProtection="1">
      <alignment horizontal="center" vertical="center"/>
    </xf>
    <xf numFmtId="0" fontId="149" fillId="0" borderId="0" xfId="0" applyFont="1" applyProtection="1">
      <alignment vertical="center"/>
    </xf>
    <xf numFmtId="0" fontId="151"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49"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1" borderId="15" xfId="0" applyFont="1" applyFill="1" applyBorder="1" applyAlignment="1" applyProtection="1">
      <alignment vertical="center"/>
    </xf>
    <xf numFmtId="0" fontId="0" fillId="14" borderId="17" xfId="0" applyFont="1" applyFill="1" applyBorder="1" applyAlignment="1" applyProtection="1">
      <alignment vertical="center"/>
    </xf>
    <xf numFmtId="0" fontId="0" fillId="14" borderId="16"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3"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7"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30" fillId="0" borderId="0" xfId="0" applyFont="1" applyProtection="1">
      <alignment vertical="center"/>
    </xf>
    <xf numFmtId="0" fontId="72"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78" fillId="0" borderId="1"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7" fillId="0" borderId="0" xfId="0" applyFont="1" applyProtection="1">
      <alignment vertical="center"/>
      <protection locked="0"/>
    </xf>
    <xf numFmtId="0" fontId="30" fillId="0" borderId="0" xfId="63" applyFont="1">
      <alignment vertical="center"/>
    </xf>
    <xf numFmtId="0" fontId="165" fillId="0" borderId="0" xfId="63" applyFont="1" applyProtection="1">
      <alignment vertical="center"/>
    </xf>
    <xf numFmtId="0" fontId="30"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5" xfId="63" applyFont="1" applyBorder="1" applyAlignment="1" applyProtection="1">
      <alignment horizontal="center" vertical="center"/>
    </xf>
    <xf numFmtId="0" fontId="78" fillId="0" borderId="4" xfId="63" applyFont="1" applyFill="1" applyBorder="1" applyAlignment="1" applyProtection="1">
      <alignment horizontal="left" vertical="center" wrapText="1"/>
    </xf>
    <xf numFmtId="0" fontId="89" fillId="0" borderId="3" xfId="63" applyFont="1" applyFill="1" applyBorder="1" applyAlignment="1" applyProtection="1">
      <alignment horizontal="left" vertical="center" wrapText="1"/>
    </xf>
    <xf numFmtId="0" fontId="78" fillId="0" borderId="3" xfId="63" applyFont="1" applyFill="1" applyBorder="1" applyAlignment="1" applyProtection="1">
      <alignment horizontal="center" vertical="center" wrapText="1"/>
    </xf>
    <xf numFmtId="0" fontId="78" fillId="0" borderId="3" xfId="63" applyFont="1" applyFill="1" applyBorder="1" applyAlignment="1" applyProtection="1">
      <alignment horizontal="left" vertical="center" wrapText="1"/>
    </xf>
    <xf numFmtId="0" fontId="138"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78" fillId="0" borderId="2" xfId="63" applyFont="1" applyFill="1" applyBorder="1" applyAlignment="1" applyProtection="1">
      <alignment vertical="center" wrapText="1"/>
    </xf>
    <xf numFmtId="0" fontId="171" fillId="0" borderId="1" xfId="63" applyFont="1" applyFill="1" applyBorder="1" applyAlignment="1" applyProtection="1">
      <alignment horizontal="left" vertical="center" wrapText="1"/>
    </xf>
    <xf numFmtId="0" fontId="78" fillId="0" borderId="3" xfId="63" applyFont="1" applyFill="1" applyBorder="1" applyAlignment="1" applyProtection="1">
      <alignment vertical="center" wrapText="1"/>
    </xf>
    <xf numFmtId="0" fontId="72"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72" fillId="0" borderId="1" xfId="63" applyFont="1" applyFill="1" applyBorder="1" applyAlignment="1" applyProtection="1">
      <alignment horizontal="center" vertical="center" wrapText="1"/>
    </xf>
    <xf numFmtId="0" fontId="78" fillId="0" borderId="2" xfId="63" applyFont="1" applyFill="1" applyBorder="1" applyAlignment="1" applyProtection="1">
      <alignment horizontal="left" vertical="center" wrapText="1"/>
    </xf>
    <xf numFmtId="0" fontId="89" fillId="0" borderId="1"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2" fillId="0" borderId="16"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78" fillId="0" borderId="4" xfId="63" applyFont="1" applyFill="1" applyBorder="1" applyAlignment="1" applyProtection="1">
      <alignment vertical="center" wrapText="1"/>
    </xf>
    <xf numFmtId="0" fontId="78" fillId="0" borderId="119" xfId="63" applyFont="1" applyFill="1" applyBorder="1" applyAlignment="1" applyProtection="1">
      <alignment horizontal="left" vertical="center" wrapText="1"/>
    </xf>
    <xf numFmtId="0" fontId="138" fillId="0" borderId="6" xfId="63" applyFont="1" applyFill="1" applyBorder="1" applyAlignment="1" applyProtection="1">
      <alignment horizontal="left" vertical="center" wrapText="1"/>
    </xf>
    <xf numFmtId="0" fontId="72" fillId="0" borderId="6" xfId="63" applyFont="1" applyFill="1" applyBorder="1" applyAlignment="1" applyProtection="1">
      <alignment horizontal="center" vertical="center" wrapText="1"/>
    </xf>
    <xf numFmtId="0" fontId="25" fillId="0" borderId="0" xfId="63" applyFont="1" applyProtection="1">
      <alignment vertical="center"/>
    </xf>
    <xf numFmtId="0" fontId="30"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3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5"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1" xfId="64"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6" xfId="64" applyFont="1" applyBorder="1" applyAlignment="1" applyProtection="1">
      <alignment vertical="center" wrapText="1"/>
    </xf>
    <xf numFmtId="0" fontId="150" fillId="0" borderId="6" xfId="0" applyFont="1" applyBorder="1" applyAlignment="1" applyProtection="1">
      <alignment horizontal="left" vertical="center"/>
    </xf>
    <xf numFmtId="0" fontId="150" fillId="0" borderId="3" xfId="64" applyFont="1" applyBorder="1" applyAlignment="1" applyProtection="1">
      <alignment vertical="center" wrapText="1"/>
    </xf>
    <xf numFmtId="14" fontId="150" fillId="0" borderId="3" xfId="0" applyNumberFormat="1" applyFont="1" applyBorder="1" applyAlignment="1" applyProtection="1">
      <alignment horizontal="left" vertical="center"/>
    </xf>
    <xf numFmtId="14" fontId="150" fillId="0" borderId="1" xfId="0" applyNumberFormat="1" applyFont="1" applyBorder="1" applyAlignment="1" applyProtection="1">
      <alignment horizontal="left" vertical="center"/>
    </xf>
    <xf numFmtId="0" fontId="4"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114300</xdr:rowOff>
    </xdr:from>
    <xdr:to>
      <xdr:col>17</xdr:col>
      <xdr:colOff>295275</xdr:colOff>
      <xdr:row>33</xdr:row>
      <xdr:rowOff>123825</xdr:rowOff>
    </xdr:to>
    <xdr:pic>
      <xdr:nvPicPr>
        <xdr:cNvPr id="2" name="图片 1"/>
        <xdr:cNvPicPr>
          <a:picLocks noChangeAspect="1"/>
        </xdr:cNvPicPr>
      </xdr:nvPicPr>
      <xdr:blipFill>
        <a:blip r:embed="rId1"/>
        <a:stretch>
          <a:fillRect/>
        </a:stretch>
      </xdr:blipFill>
      <xdr:spPr>
        <a:xfrm>
          <a:off x="190500" y="285750"/>
          <a:ext cx="11763375" cy="5495925"/>
        </a:xfrm>
        <a:prstGeom prst="rect">
          <a:avLst/>
        </a:prstGeom>
        <a:noFill/>
        <a:ln w="9525">
          <a:noFill/>
        </a:ln>
      </xdr:spPr>
    </xdr:pic>
    <xdr:clientData/>
  </xdr:twoCellAnchor>
  <xdr:twoCellAnchor editAs="oneCell">
    <xdr:from>
      <xdr:col>0</xdr:col>
      <xdr:colOff>126365</xdr:colOff>
      <xdr:row>35</xdr:row>
      <xdr:rowOff>147320</xdr:rowOff>
    </xdr:from>
    <xdr:to>
      <xdr:col>18</xdr:col>
      <xdr:colOff>135890</xdr:colOff>
      <xdr:row>69</xdr:row>
      <xdr:rowOff>128270</xdr:rowOff>
    </xdr:to>
    <xdr:pic>
      <xdr:nvPicPr>
        <xdr:cNvPr id="7" name="图片 6"/>
        <xdr:cNvPicPr>
          <a:picLocks noChangeAspect="1"/>
        </xdr:cNvPicPr>
      </xdr:nvPicPr>
      <xdr:blipFill>
        <a:blip r:embed="rId2"/>
        <a:stretch>
          <a:fillRect/>
        </a:stretch>
      </xdr:blipFill>
      <xdr:spPr>
        <a:xfrm>
          <a:off x="126365" y="6148070"/>
          <a:ext cx="12353925" cy="5810250"/>
        </a:xfrm>
        <a:prstGeom prst="rect">
          <a:avLst/>
        </a:prstGeom>
        <a:noFill/>
        <a:ln w="9525">
          <a:noFill/>
        </a:ln>
      </xdr:spPr>
    </xdr:pic>
    <xdr:clientData/>
  </xdr:twoCellAnchor>
  <xdr:twoCellAnchor editAs="oneCell">
    <xdr:from>
      <xdr:col>19</xdr:col>
      <xdr:colOff>0</xdr:colOff>
      <xdr:row>39</xdr:row>
      <xdr:rowOff>0</xdr:rowOff>
    </xdr:from>
    <xdr:to>
      <xdr:col>25</xdr:col>
      <xdr:colOff>0</xdr:colOff>
      <xdr:row>58</xdr:row>
      <xdr:rowOff>19050</xdr:rowOff>
    </xdr:to>
    <xdr:pic>
      <xdr:nvPicPr>
        <xdr:cNvPr id="8" name="图片 7"/>
        <xdr:cNvPicPr>
          <a:picLocks noChangeAspect="1"/>
        </xdr:cNvPicPr>
      </xdr:nvPicPr>
      <xdr:blipFill>
        <a:blip r:embed="rId3"/>
        <a:stretch>
          <a:fillRect/>
        </a:stretch>
      </xdr:blipFill>
      <xdr:spPr>
        <a:xfrm>
          <a:off x="13030200" y="6686550"/>
          <a:ext cx="4114800" cy="3276600"/>
        </a:xfrm>
        <a:prstGeom prst="rect">
          <a:avLst/>
        </a:prstGeom>
        <a:noFill/>
        <a:ln w="9525">
          <a:noFill/>
        </a:ln>
      </xdr:spPr>
    </xdr:pic>
    <xdr:clientData/>
  </xdr:twoCellAnchor>
  <xdr:twoCellAnchor editAs="oneCell">
    <xdr:from>
      <xdr:col>0</xdr:col>
      <xdr:colOff>554355</xdr:colOff>
      <xdr:row>73</xdr:row>
      <xdr:rowOff>75565</xdr:rowOff>
    </xdr:from>
    <xdr:to>
      <xdr:col>18</xdr:col>
      <xdr:colOff>325755</xdr:colOff>
      <xdr:row>108</xdr:row>
      <xdr:rowOff>123190</xdr:rowOff>
    </xdr:to>
    <xdr:pic>
      <xdr:nvPicPr>
        <xdr:cNvPr id="9" name="图片 8"/>
        <xdr:cNvPicPr>
          <a:picLocks noChangeAspect="1"/>
        </xdr:cNvPicPr>
      </xdr:nvPicPr>
      <xdr:blipFill>
        <a:blip r:embed="rId4"/>
        <a:stretch>
          <a:fillRect/>
        </a:stretch>
      </xdr:blipFill>
      <xdr:spPr>
        <a:xfrm>
          <a:off x="554355" y="12591415"/>
          <a:ext cx="12115800" cy="6048375"/>
        </a:xfrm>
        <a:prstGeom prst="rect">
          <a:avLst/>
        </a:prstGeom>
        <a:noFill/>
        <a:ln w="9525">
          <a:noFill/>
        </a:ln>
      </xdr:spPr>
    </xdr:pic>
    <xdr:clientData/>
  </xdr:twoCellAnchor>
  <xdr:twoCellAnchor editAs="oneCell">
    <xdr:from>
      <xdr:col>18</xdr:col>
      <xdr:colOff>436245</xdr:colOff>
      <xdr:row>81</xdr:row>
      <xdr:rowOff>0</xdr:rowOff>
    </xdr:from>
    <xdr:to>
      <xdr:col>26</xdr:col>
      <xdr:colOff>321945</xdr:colOff>
      <xdr:row>99</xdr:row>
      <xdr:rowOff>142875</xdr:rowOff>
    </xdr:to>
    <xdr:pic>
      <xdr:nvPicPr>
        <xdr:cNvPr id="10" name="图片 9"/>
        <xdr:cNvPicPr>
          <a:picLocks noChangeAspect="1"/>
        </xdr:cNvPicPr>
      </xdr:nvPicPr>
      <xdr:blipFill>
        <a:blip r:embed="rId5"/>
        <a:stretch>
          <a:fillRect/>
        </a:stretch>
      </xdr:blipFill>
      <xdr:spPr>
        <a:xfrm>
          <a:off x="12780645" y="13887450"/>
          <a:ext cx="5372100" cy="3228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2</xdr:row>
      <xdr:rowOff>123825</xdr:rowOff>
    </xdr:from>
    <xdr:to>
      <xdr:col>11</xdr:col>
      <xdr:colOff>648335</xdr:colOff>
      <xdr:row>35</xdr:row>
      <xdr:rowOff>120650</xdr:rowOff>
    </xdr:to>
    <xdr:pic>
      <xdr:nvPicPr>
        <xdr:cNvPr id="2" name="图片 1"/>
        <xdr:cNvPicPr>
          <a:picLocks noChangeAspect="1"/>
        </xdr:cNvPicPr>
      </xdr:nvPicPr>
      <xdr:blipFill>
        <a:blip r:embed="rId1"/>
        <a:stretch>
          <a:fillRect/>
        </a:stretch>
      </xdr:blipFill>
      <xdr:spPr>
        <a:xfrm>
          <a:off x="485775" y="466725"/>
          <a:ext cx="7706360" cy="5654675"/>
        </a:xfrm>
        <a:prstGeom prst="rect">
          <a:avLst/>
        </a:prstGeom>
        <a:noFill/>
        <a:ln w="9525">
          <a:noFill/>
        </a:ln>
      </xdr:spPr>
    </xdr:pic>
    <xdr:clientData/>
  </xdr:twoCellAnchor>
  <xdr:twoCellAnchor editAs="oneCell">
    <xdr:from>
      <xdr:col>13</xdr:col>
      <xdr:colOff>274320</xdr:colOff>
      <xdr:row>3</xdr:row>
      <xdr:rowOff>6350</xdr:rowOff>
    </xdr:from>
    <xdr:to>
      <xdr:col>27</xdr:col>
      <xdr:colOff>683895</xdr:colOff>
      <xdr:row>46</xdr:row>
      <xdr:rowOff>139700</xdr:rowOff>
    </xdr:to>
    <xdr:pic>
      <xdr:nvPicPr>
        <xdr:cNvPr id="3" name="图片 2"/>
        <xdr:cNvPicPr>
          <a:picLocks noChangeAspect="1"/>
        </xdr:cNvPicPr>
      </xdr:nvPicPr>
      <xdr:blipFill>
        <a:blip r:embed="rId2"/>
        <a:stretch>
          <a:fillRect/>
        </a:stretch>
      </xdr:blipFill>
      <xdr:spPr>
        <a:xfrm>
          <a:off x="9189720" y="520700"/>
          <a:ext cx="10010775" cy="7505700"/>
        </a:xfrm>
        <a:prstGeom prst="rect">
          <a:avLst/>
        </a:prstGeom>
        <a:noFill/>
        <a:ln w="9525">
          <a:noFill/>
        </a:ln>
      </xdr:spPr>
    </xdr:pic>
    <xdr:clientData/>
  </xdr:twoCellAnchor>
  <xdr:twoCellAnchor editAs="oneCell">
    <xdr:from>
      <xdr:col>13</xdr:col>
      <xdr:colOff>422275</xdr:colOff>
      <xdr:row>47</xdr:row>
      <xdr:rowOff>169545</xdr:rowOff>
    </xdr:from>
    <xdr:to>
      <xdr:col>28</xdr:col>
      <xdr:colOff>498475</xdr:colOff>
      <xdr:row>70</xdr:row>
      <xdr:rowOff>112395</xdr:rowOff>
    </xdr:to>
    <xdr:pic>
      <xdr:nvPicPr>
        <xdr:cNvPr id="4" name="图片 3"/>
        <xdr:cNvPicPr>
          <a:picLocks noChangeAspect="1"/>
        </xdr:cNvPicPr>
      </xdr:nvPicPr>
      <xdr:blipFill>
        <a:blip r:embed="rId3"/>
        <a:stretch>
          <a:fillRect/>
        </a:stretch>
      </xdr:blipFill>
      <xdr:spPr>
        <a:xfrm>
          <a:off x="9337675" y="8227695"/>
          <a:ext cx="10363200" cy="3886200"/>
        </a:xfrm>
        <a:prstGeom prst="rect">
          <a:avLst/>
        </a:prstGeom>
        <a:noFill/>
        <a:ln w="9525">
          <a:noFill/>
        </a:ln>
      </xdr:spPr>
    </xdr:pic>
    <xdr:clientData/>
  </xdr:twoCellAnchor>
  <xdr:twoCellAnchor editAs="oneCell">
    <xdr:from>
      <xdr:col>13</xdr:col>
      <xdr:colOff>443865</xdr:colOff>
      <xdr:row>70</xdr:row>
      <xdr:rowOff>165100</xdr:rowOff>
    </xdr:from>
    <xdr:to>
      <xdr:col>28</xdr:col>
      <xdr:colOff>310515</xdr:colOff>
      <xdr:row>105</xdr:row>
      <xdr:rowOff>165100</xdr:rowOff>
    </xdr:to>
    <xdr:pic>
      <xdr:nvPicPr>
        <xdr:cNvPr id="5" name="图片 4"/>
        <xdr:cNvPicPr>
          <a:picLocks noChangeAspect="1"/>
        </xdr:cNvPicPr>
      </xdr:nvPicPr>
      <xdr:blipFill>
        <a:blip r:embed="rId4"/>
        <a:stretch>
          <a:fillRect/>
        </a:stretch>
      </xdr:blipFill>
      <xdr:spPr>
        <a:xfrm>
          <a:off x="9359265" y="12166600"/>
          <a:ext cx="10153650" cy="600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0" customWidth="1"/>
    <col min="2" max="2" width="81" style="4761" customWidth="1"/>
    <col min="3" max="16384" width="9" style="4762"/>
  </cols>
  <sheetData>
    <row r="1" s="4757" customFormat="1" ht="16.5" spans="1:2">
      <c r="A1" s="4763" t="s">
        <v>0</v>
      </c>
      <c r="B1" s="4764" t="s">
        <v>1</v>
      </c>
    </row>
    <row r="2" s="4758" customFormat="1" ht="15" spans="1:2">
      <c r="A2" s="4765" t="s">
        <v>2</v>
      </c>
      <c r="B2" s="4766" t="str">
        <f>'预评函-封皮'!B37:I37</f>
        <v>北京市房地产抵押价值预评估</v>
      </c>
    </row>
    <row r="3" s="4759" customFormat="1" spans="1:2">
      <c r="A3" s="4767" t="s">
        <v>3</v>
      </c>
      <c r="B3" s="4768">
        <f>'预评函-封皮'!B40</f>
        <v>0</v>
      </c>
    </row>
    <row r="4" s="4759" customFormat="1" spans="1:2">
      <c r="A4" s="4767" t="s">
        <v>4</v>
      </c>
      <c r="B4" s="4768" t="str">
        <f ca="1">'预评函-封皮'!B46</f>
        <v>（注册号：0)、（注册号：0)</v>
      </c>
    </row>
    <row r="5" s="4757" customFormat="1" ht="15" spans="1:2">
      <c r="A5" s="4769" t="s">
        <v>5</v>
      </c>
      <c r="B5" s="4770" t="str">
        <f>'预评函-封皮'!B49</f>
        <v>康正预评字号</v>
      </c>
    </row>
    <row r="6" s="4758" customFormat="1" ht="15" spans="1:2">
      <c r="A6" s="4765" t="s">
        <v>6</v>
      </c>
      <c r="B6" s="4766" t="str">
        <f>'预评函-1'!A4</f>
        <v>受贵公司委托，我公司对北京市房地产抵押价值进行了预评估。</v>
      </c>
    </row>
    <row r="7" s="4759" customFormat="1" spans="1:2">
      <c r="A7" s="4767" t="s">
        <v>7</v>
      </c>
      <c r="B7" s="4768" t="str">
        <f>'预评函-1'!A7</f>
        <v>估价对象为北京市房地产，为所有。根据《国有土地使用证》[]，估价对象（分摊）出让国有建设用地使用权面积为0平方米，建筑面积为20903.38平方米。</v>
      </c>
    </row>
    <row r="8" s="4759" customFormat="1" spans="1:2">
      <c r="A8" s="4767" t="s">
        <v>8</v>
      </c>
      <c r="B8" s="4768" t="str">
        <f>'预评函-1'!A8</f>
        <v>估价对象简述。项目推广名，项目类型（用途），估价对象分布，各用途面积明细情况：XX用途建筑面积XX平方米，XX用途建筑面积XX平方米，……。复杂面积清单需设‘附表’列示：抵押物清单详见附表</v>
      </c>
    </row>
    <row r="9" s="4759" customFormat="1" spans="1:2">
      <c r="A9" s="4767" t="s">
        <v>9</v>
      </c>
      <c r="B9" s="4768" t="str">
        <f>'预评函-1'!A10</f>
        <v>估价对象为北京市房地产,属开发建设的，该项目尚在开发建设中。根据《国有土地使用证》[]，估价对象（分摊）出让国有建设用地使用权面积为0平方米，规划建筑面积为20903.38平方米。</v>
      </c>
    </row>
    <row r="10" s="4759" customFormat="1" spans="1:2">
      <c r="A10" s="4767" t="s">
        <v>10</v>
      </c>
      <c r="B10" s="47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9" customFormat="1" spans="1:2">
      <c r="A11" s="4767" t="s">
        <v>11</v>
      </c>
      <c r="B11" s="47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9" customFormat="1" spans="1:2">
      <c r="A12" s="4767" t="s">
        <v>12</v>
      </c>
      <c r="B12" s="4768" t="str">
        <f>'预评函-1'!A15</f>
        <v>2026年3月5日</v>
      </c>
    </row>
    <row r="13" s="4759" customFormat="1" spans="1:2">
      <c r="A13" s="4767" t="s">
        <v>13</v>
      </c>
      <c r="B13" s="4768" t="str">
        <f>'预评函-1'!A18</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4" s="4759" customFormat="1" spans="1:2">
      <c r="A14" s="4767" t="s">
        <v>14</v>
      </c>
      <c r="B14" s="47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9" customFormat="1" spans="1:2">
      <c r="A15" s="4767" t="s">
        <v>15</v>
      </c>
      <c r="B15" s="4768" t="str">
        <f>'预评函-1'!A20</f>
        <v>本次估价的“房地产抵押价值”是指估价对象在价值时点的“房地产价值”扣减估价师于价值时点所知悉的法定优先受偿款后的余额。</v>
      </c>
    </row>
    <row r="16" s="4759" customFormat="1" spans="1:2">
      <c r="A16" s="4767" t="s">
        <v>16</v>
      </c>
      <c r="B16" s="4768" t="str">
        <f>'预评函-1'!A21</f>
        <v>法定优先受偿款是指假定在价值时点实现抵押权时，法律规定优先于本次抵押贷款受偿的款额，包括发包人拖欠承包人的建筑工程款，已抵押担保的债权数额以及其他法定优先受偿款。</v>
      </c>
    </row>
    <row r="17" s="4759" customFormat="1" spans="1:2">
      <c r="A17" s="4767" t="s">
        <v>17</v>
      </c>
      <c r="B17" s="4768" t="str">
        <f>'预评函-1'!A22</f>
        <v>本次估价的“抵押净值”是指估价对象“房地产抵押价值”减去估价对象在价值时点以“房地产销售收入”为基数计算的预计抵押权实现进行处置时需缴纳的各项费用、税金等相关费用后的价值。</v>
      </c>
    </row>
    <row r="18" s="4757" customFormat="1" ht="15" spans="1:2">
      <c r="A18" s="4769" t="s">
        <v>18</v>
      </c>
      <c r="B18" s="4770" t="str">
        <f>'预评函-1'!A24</f>
        <v>本次评估采用的主估价方法为基准地价系数修正法和收益法。</v>
      </c>
    </row>
    <row r="19" s="4758" customFormat="1" ht="15" spans="1:2">
      <c r="A19" s="4765" t="s">
        <v>19</v>
      </c>
      <c r="B19" s="47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59" customFormat="1" spans="1:2">
      <c r="A20" s="4767" t="s">
        <v>20</v>
      </c>
      <c r="B20" s="4768">
        <f ca="1">'预评函-2'!D5</f>
        <v>26223</v>
      </c>
    </row>
    <row r="21" s="4759" customFormat="1" spans="1:2">
      <c r="A21" s="4767" t="s">
        <v>21</v>
      </c>
      <c r="B21" s="4768">
        <f ca="1">'预评函-2'!D7</f>
        <v>12545</v>
      </c>
    </row>
    <row r="22" s="4759" customFormat="1" spans="1:2">
      <c r="A22" s="4767" t="s">
        <v>22</v>
      </c>
      <c r="B22" s="4768" t="str">
        <f ca="1">'预评函-2'!D6</f>
        <v>贰亿陆仟贰佰贰拾叁万元整</v>
      </c>
    </row>
    <row r="23" s="4759" customFormat="1" spans="1:2">
      <c r="A23" s="4767" t="s">
        <v>23</v>
      </c>
      <c r="B23" s="4768" t="str">
        <f>'预评函-2'!B8</f>
        <v>2.估价师知悉的法定优先受偿款</v>
      </c>
    </row>
    <row r="24" s="4759" customFormat="1" spans="1:2">
      <c r="A24" s="4767" t="s">
        <v>24</v>
      </c>
      <c r="B24" s="4768">
        <f>'预评函-2'!D8</f>
        <v>0</v>
      </c>
    </row>
    <row r="25" s="4759" customFormat="1" spans="1:2">
      <c r="A25" s="4767" t="s">
        <v>25</v>
      </c>
      <c r="B25" s="4768" t="str">
        <f>'预评函-2'!D9</f>
        <v>零元整</v>
      </c>
    </row>
    <row r="26" s="4759" customFormat="1" spans="1:2">
      <c r="A26" s="4767" t="s">
        <v>26</v>
      </c>
      <c r="B26" s="4768">
        <f>'预评函-2'!D10</f>
        <v>0</v>
      </c>
    </row>
    <row r="27" s="4759" customFormat="1" spans="1:2">
      <c r="A27" s="4767" t="s">
        <v>27</v>
      </c>
      <c r="B27" s="4768">
        <f>'预评函-2'!D11</f>
        <v>0</v>
      </c>
    </row>
    <row r="28" s="4759" customFormat="1" spans="1:2">
      <c r="A28" s="4767" t="s">
        <v>28</v>
      </c>
      <c r="B28" s="4768">
        <f>'预评函-2'!D12</f>
        <v>0</v>
      </c>
    </row>
    <row r="29" s="4759" customFormat="1" spans="1:2">
      <c r="A29" s="4767" t="s">
        <v>29</v>
      </c>
      <c r="B29" s="4768" t="str">
        <f>'预评函-2'!B13</f>
        <v>3.房地产抵押价值</v>
      </c>
    </row>
    <row r="30" s="4759" customFormat="1" spans="1:2">
      <c r="A30" s="4767" t="s">
        <v>30</v>
      </c>
      <c r="B30" s="4768">
        <f ca="1">'预评函-2'!D13</f>
        <v>26223</v>
      </c>
    </row>
    <row r="31" s="4759" customFormat="1" spans="1:2">
      <c r="A31" s="4767" t="s">
        <v>31</v>
      </c>
      <c r="B31" s="4768">
        <f ca="1">'预评函-2'!D15</f>
        <v>12545</v>
      </c>
    </row>
    <row r="32" s="4759" customFormat="1" spans="1:2">
      <c r="A32" s="4767" t="s">
        <v>32</v>
      </c>
      <c r="B32" s="4768" t="str">
        <f ca="1">'预评函-2'!D14</f>
        <v>贰亿陆仟贰佰贰拾叁万元整</v>
      </c>
    </row>
    <row r="33" s="4759" customFormat="1" spans="1:2">
      <c r="A33" s="4767" t="s">
        <v>33</v>
      </c>
      <c r="B33" s="4768" t="str">
        <f>'预评函-2'!B16</f>
        <v>——</v>
      </c>
    </row>
    <row r="34" s="4759" customFormat="1" spans="1:2">
      <c r="A34" s="4767" t="s">
        <v>34</v>
      </c>
      <c r="B34" s="4768" t="str">
        <f ca="1">'预评函-2'!D16</f>
        <v>——</v>
      </c>
    </row>
    <row r="35" s="4759" customFormat="1" spans="1:2">
      <c r="A35" s="4767" t="s">
        <v>35</v>
      </c>
      <c r="B35" s="4768" t="str">
        <f ca="1">'预评函-2'!D18</f>
        <v>——</v>
      </c>
    </row>
    <row r="36" s="4759" customFormat="1" spans="1:2">
      <c r="A36" s="4767" t="s">
        <v>36</v>
      </c>
      <c r="B36" s="4768" t="e">
        <f ca="1">'预评函-2'!D17</f>
        <v>#VALUE!</v>
      </c>
    </row>
    <row r="37" s="4759" customFormat="1" spans="1:2">
      <c r="A37" s="4767" t="s">
        <v>37</v>
      </c>
      <c r="B37" s="4768" t="str">
        <f>'预评函-2'!B19</f>
        <v>4.抵押净值</v>
      </c>
    </row>
    <row r="38" s="4759" customFormat="1" spans="1:2">
      <c r="A38" s="4767" t="s">
        <v>38</v>
      </c>
      <c r="B38" s="4768">
        <f ca="1">'预评函-2'!D19</f>
        <v>13119</v>
      </c>
    </row>
    <row r="39" s="4759" customFormat="1" spans="1:2">
      <c r="A39" s="4767" t="s">
        <v>39</v>
      </c>
      <c r="B39" s="4768">
        <f ca="1">'预评函-2'!D21</f>
        <v>6276</v>
      </c>
    </row>
    <row r="40" s="4759" customFormat="1" spans="1:2">
      <c r="A40" s="4767" t="s">
        <v>40</v>
      </c>
      <c r="B40" s="4768" t="str">
        <f ca="1">'预评函-2'!D20</f>
        <v>壹亿叁仟壹佰壹拾玖万元整</v>
      </c>
    </row>
    <row r="41" s="4759" customFormat="1" spans="1:2">
      <c r="A41" s="4767" t="s">
        <v>41</v>
      </c>
      <c r="B41" s="4768" t="str">
        <f>'预评函-3'!A4</f>
        <v>北京市房地产</v>
      </c>
    </row>
    <row r="42" s="4759" customFormat="1" spans="1:2">
      <c r="A42" s="4767" t="s">
        <v>42</v>
      </c>
      <c r="B42" s="4768" t="str">
        <f>'预评函-3'!B2</f>
        <v>建筑面积</v>
      </c>
    </row>
    <row r="43" s="4759" customFormat="1" spans="1:2">
      <c r="A43" s="4767" t="s">
        <v>43</v>
      </c>
      <c r="B43" s="4768">
        <f>'预评函-3'!B4</f>
        <v>20903.38</v>
      </c>
    </row>
    <row r="44" s="4759" customFormat="1" spans="1:2">
      <c r="A44" s="4767" t="s">
        <v>44</v>
      </c>
      <c r="B44" s="4768" t="str">
        <f>'预评函-3'!C2</f>
        <v>(分摊)土地面积</v>
      </c>
    </row>
    <row r="45" s="4759" customFormat="1" spans="1:2">
      <c r="A45" s="4767" t="s">
        <v>45</v>
      </c>
      <c r="B45" s="4768">
        <f>'预评函-3'!C4</f>
        <v>0</v>
      </c>
    </row>
    <row r="46" s="4759" customFormat="1" spans="1:2">
      <c r="A46" s="4767" t="s">
        <v>46</v>
      </c>
      <c r="B46" s="4768" t="str">
        <f>'预评函-3'!D2</f>
        <v>出让国有建设用地使用权价值</v>
      </c>
    </row>
    <row r="47" s="4759" customFormat="1" spans="1:2">
      <c r="A47" s="4767" t="s">
        <v>47</v>
      </c>
      <c r="B47" s="4768">
        <f ca="1">'预评函-3'!D4</f>
        <v>16442</v>
      </c>
    </row>
    <row r="48" s="4759" customFormat="1" spans="1:2">
      <c r="A48" s="4767" t="s">
        <v>48</v>
      </c>
      <c r="B48" s="4768">
        <f ca="1">'预评函-3'!E4</f>
        <v>7866</v>
      </c>
    </row>
    <row r="49" s="4759" customFormat="1" spans="1:2">
      <c r="A49" s="4767" t="s">
        <v>49</v>
      </c>
      <c r="B49" s="4768" t="str">
        <f ca="1">'预评函-3'!D5</f>
        <v>壹亿陆仟肆佰肆拾贰万元整</v>
      </c>
    </row>
    <row r="50" s="4759" customFormat="1" spans="1:2">
      <c r="A50" s="4767" t="s">
        <v>50</v>
      </c>
      <c r="B50" s="4768">
        <f>'预评函-3'!F2</f>
        <v>0</v>
      </c>
    </row>
    <row r="51" s="4759" customFormat="1" spans="1:2">
      <c r="A51" s="4767" t="s">
        <v>51</v>
      </c>
      <c r="B51" s="4768">
        <f ca="1">'预评函-3'!F4</f>
        <v>9781</v>
      </c>
    </row>
    <row r="52" s="4759" customFormat="1" spans="1:2">
      <c r="A52" s="4767" t="s">
        <v>52</v>
      </c>
      <c r="B52" s="4768">
        <f ca="1">'预评函-3'!G4</f>
        <v>4679</v>
      </c>
    </row>
    <row r="53" s="4759" customFormat="1" spans="1:2">
      <c r="A53" s="4767" t="s">
        <v>53</v>
      </c>
      <c r="B53" s="4768" t="str">
        <f ca="1">'预评函-3'!F5</f>
        <v>玖仟柒佰捌拾壹万元整</v>
      </c>
    </row>
    <row r="54" s="4759" customFormat="1" spans="1:2">
      <c r="A54" s="4767" t="s">
        <v>54</v>
      </c>
      <c r="B54" s="4768" t="str">
        <f>'预评函-3'!A8</f>
        <v>房地产抵押价值</v>
      </c>
    </row>
    <row r="55" s="4759" customFormat="1" spans="1:2">
      <c r="A55" s="4767" t="s">
        <v>55</v>
      </c>
      <c r="B55" s="4768" t="str">
        <f>'预评函-3'!A10</f>
        <v/>
      </c>
    </row>
    <row r="56" s="4759" customFormat="1" spans="1:2">
      <c r="A56" s="4767" t="s">
        <v>56</v>
      </c>
      <c r="B56" s="4768" t="str">
        <f>'预评函-3'!A12</f>
        <v>抵押净值</v>
      </c>
    </row>
    <row r="57" s="4757" customFormat="1" ht="15" spans="1:2">
      <c r="A57" s="4769" t="s">
        <v>57</v>
      </c>
      <c r="B57" s="4770" t="str">
        <f>'预评函-3'!A6</f>
        <v>估价师知悉的法定优先受偿款</v>
      </c>
    </row>
    <row r="58" s="4758" customFormat="1" ht="15" spans="1:2">
      <c r="A58" s="4765" t="s">
        <v>58</v>
      </c>
      <c r="B58" s="4766" t="str">
        <f>'预评函-4'!A12</f>
        <v>2.本《评估意见函》仅供金融机构进行内部审核使用，不做其他目的之用。</v>
      </c>
    </row>
    <row r="59" s="4759" customFormat="1" spans="1:2">
      <c r="A59" s="4767" t="s">
        <v>59</v>
      </c>
      <c r="B59" s="4768" t="str">
        <f>'预评函-4'!A13</f>
        <v>3.抵押双方在办理抵押登记手续时，应使用本公司出具的正式《房地产评估报告》，特提醒报告使用者注意。</v>
      </c>
    </row>
    <row r="60" s="4759" customFormat="1" spans="1:2">
      <c r="A60" s="4767" t="s">
        <v>60</v>
      </c>
      <c r="B60" s="4768" t="str">
        <f>'预评函-4'!A14</f>
        <v>4.本次评估估价师所知悉的法定优先受偿款情况说明如下：</v>
      </c>
    </row>
    <row r="61" s="4759" customFormat="1" spans="1:2">
      <c r="A61" s="4767" t="s">
        <v>61</v>
      </c>
      <c r="B61" s="47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9" customFormat="1" spans="1:2">
      <c r="A62" s="4767" t="s">
        <v>62</v>
      </c>
      <c r="B62" s="4768" t="str">
        <f>'预评函-4'!A16</f>
        <v>（2）根据《工程款支付情况说明》，截至价值时点，估价对象不存在应付未付工程款项。（只要没有施工方盖章的，均“设定”进行表述）</v>
      </c>
    </row>
    <row r="63" s="4759" customFormat="1" spans="1:2">
      <c r="A63" s="4767" t="s">
        <v>63</v>
      </c>
      <c r="B63" s="47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9" customFormat="1" spans="1:2">
      <c r="A64" s="4767" t="s">
        <v>64</v>
      </c>
      <c r="B64" s="4768" t="str">
        <f>'预评函-4'!A18</f>
        <v>故，本次评估不存在估价师知悉的法定优先受偿款</v>
      </c>
    </row>
    <row r="65" s="4759" customFormat="1" spans="1:2">
      <c r="A65" s="4767" t="s">
        <v>65</v>
      </c>
      <c r="B65" s="47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9" customFormat="1" spans="1:2">
      <c r="A66" s="4767" t="s">
        <v>66</v>
      </c>
      <c r="B66" s="47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9" customFormat="1" spans="1:2">
      <c r="A67" s="4767" t="s">
        <v>67</v>
      </c>
      <c r="B67" s="47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9" customFormat="1" spans="1:2">
      <c r="A68" s="4767" t="s">
        <v>68</v>
      </c>
      <c r="B68" s="4768" t="str">
        <f>'预评函-4'!A22</f>
        <v>8.其他需特殊说明事项：无（注意调整序号）</v>
      </c>
    </row>
    <row r="69" s="4757" customFormat="1" ht="15" spans="1:2">
      <c r="A69" s="4769" t="s">
        <v>69</v>
      </c>
      <c r="B69" s="4770">
        <f>'预评函-4'!C31</f>
        <v>42551</v>
      </c>
    </row>
    <row r="70" ht="15" spans="1:2">
      <c r="A70" s="4771" t="s">
        <v>70</v>
      </c>
      <c r="B70" s="4772">
        <f>'预评函-4'!A4</f>
        <v>0</v>
      </c>
    </row>
    <row r="71" spans="1:2">
      <c r="A71" s="4767" t="s">
        <v>71</v>
      </c>
      <c r="B71" s="4768">
        <f ca="1">'预评函-4'!B4</f>
        <v>0</v>
      </c>
    </row>
    <row r="72" spans="1:2">
      <c r="A72" s="4767" t="s">
        <v>72</v>
      </c>
      <c r="B72" s="4773">
        <f>'预评函-4'!A5</f>
        <v>0</v>
      </c>
    </row>
    <row r="73" s="4757" customFormat="1" ht="15" spans="1:2">
      <c r="A73" s="4769" t="s">
        <v>73</v>
      </c>
      <c r="B73" s="4770">
        <f ca="1">'预评函-4'!B5</f>
        <v>0</v>
      </c>
    </row>
    <row r="74" ht="15" spans="1:2">
      <c r="A74" s="4760" t="s">
        <v>74</v>
      </c>
      <c r="B74" s="476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2" workbookViewId="0">
      <selection activeCell="G2" sqref="G2:G5"/>
    </sheetView>
  </sheetViews>
  <sheetFormatPr defaultColWidth="9" defaultRowHeight="13.5"/>
  <cols>
    <col min="1" max="1" width="13.5" style="4599" customWidth="1"/>
    <col min="2" max="2" width="23.25" style="530" customWidth="1"/>
    <col min="3" max="3" width="13" style="4600" customWidth="1"/>
    <col min="4" max="4" width="5.75" style="4601" customWidth="1"/>
    <col min="5" max="5" width="7.125" style="4601" customWidth="1"/>
    <col min="6" max="6" width="10.625" style="4601" customWidth="1"/>
    <col min="7" max="7" width="7.5" style="4601" customWidth="1"/>
    <col min="8" max="8" width="11.875" style="4600" customWidth="1"/>
    <col min="9" max="9" width="11.625" style="4600" customWidth="1"/>
    <col min="10" max="10" width="9" style="4600" customWidth="1"/>
    <col min="11" max="19" width="9" style="4601" customWidth="1"/>
    <col min="20" max="23" width="9" style="4600" customWidth="1"/>
    <col min="24" max="28" width="15.125" style="4600" customWidth="1"/>
    <col min="29" max="16384" width="9" style="530"/>
  </cols>
  <sheetData>
    <row r="1" s="4598" customFormat="1" ht="40.5" spans="1:28">
      <c r="A1" s="4602" t="s">
        <v>206</v>
      </c>
      <c r="B1" s="4603" t="s">
        <v>207</v>
      </c>
      <c r="C1" s="4604" t="s">
        <v>208</v>
      </c>
      <c r="D1" s="4605" t="s">
        <v>209</v>
      </c>
      <c r="E1" s="4606" t="s">
        <v>210</v>
      </c>
      <c r="F1" s="4606" t="s">
        <v>211</v>
      </c>
      <c r="G1" s="4606" t="s">
        <v>212</v>
      </c>
      <c r="H1" s="4606" t="s">
        <v>213</v>
      </c>
      <c r="I1" s="4606" t="s">
        <v>214</v>
      </c>
      <c r="J1" s="4606" t="s">
        <v>215</v>
      </c>
      <c r="K1" s="4606" t="s">
        <v>216</v>
      </c>
      <c r="L1" s="4606" t="s">
        <v>217</v>
      </c>
      <c r="M1" s="4606" t="s">
        <v>218</v>
      </c>
      <c r="N1" s="4606" t="s">
        <v>219</v>
      </c>
      <c r="O1" s="4606" t="s">
        <v>220</v>
      </c>
      <c r="P1" s="4605" t="s">
        <v>221</v>
      </c>
      <c r="Q1" s="4605" t="s">
        <v>222</v>
      </c>
      <c r="R1" s="4606" t="s">
        <v>223</v>
      </c>
      <c r="S1" s="4606" t="s">
        <v>224</v>
      </c>
      <c r="T1" s="4607" t="s">
        <v>225</v>
      </c>
      <c r="U1" s="4606" t="s">
        <v>226</v>
      </c>
      <c r="V1" s="4606" t="s">
        <v>227</v>
      </c>
      <c r="W1" s="4606" t="s">
        <v>228</v>
      </c>
      <c r="X1" s="4606" t="s">
        <v>229</v>
      </c>
      <c r="Y1" s="4606" t="s">
        <v>230</v>
      </c>
      <c r="Z1" s="4606" t="s">
        <v>231</v>
      </c>
      <c r="AA1" s="4606" t="s">
        <v>232</v>
      </c>
      <c r="AB1" s="4606" t="s">
        <v>233</v>
      </c>
    </row>
    <row r="2" spans="1:28">
      <c r="A2" s="4608" t="s">
        <v>124</v>
      </c>
      <c r="B2" s="4608" t="s">
        <v>234</v>
      </c>
      <c r="C2" s="4609" t="s">
        <v>235</v>
      </c>
      <c r="D2" s="4601" t="s">
        <v>236</v>
      </c>
      <c r="E2" s="4601" t="s">
        <v>237</v>
      </c>
      <c r="F2" s="4601" t="s">
        <v>159</v>
      </c>
      <c r="G2" s="4610">
        <v>20</v>
      </c>
      <c r="H2" s="4601" t="s">
        <v>159</v>
      </c>
      <c r="I2" s="4601" t="s">
        <v>238</v>
      </c>
      <c r="J2" s="4601" t="s">
        <v>239</v>
      </c>
      <c r="K2" s="4601" t="s">
        <v>240</v>
      </c>
      <c r="L2" s="4601" t="s">
        <v>240</v>
      </c>
      <c r="M2" s="4601" t="s">
        <v>240</v>
      </c>
      <c r="N2" s="4601" t="s">
        <v>240</v>
      </c>
      <c r="O2" s="4601" t="s">
        <v>240</v>
      </c>
      <c r="P2" s="4601" t="s">
        <v>240</v>
      </c>
      <c r="Q2" s="4601" t="s">
        <v>240</v>
      </c>
      <c r="R2" s="4601" t="s">
        <v>241</v>
      </c>
      <c r="S2" s="4601" t="s">
        <v>240</v>
      </c>
      <c r="T2" s="4601" t="s">
        <v>242</v>
      </c>
      <c r="U2" s="4601" t="s">
        <v>240</v>
      </c>
      <c r="V2" s="4601" t="s">
        <v>243</v>
      </c>
      <c r="W2" s="4601" t="s">
        <v>240</v>
      </c>
      <c r="X2" s="4600" t="s">
        <v>244</v>
      </c>
      <c r="Y2" s="4600" t="s">
        <v>245</v>
      </c>
      <c r="Z2" s="4600" t="s">
        <v>246</v>
      </c>
      <c r="AA2" s="4600" t="s">
        <v>247</v>
      </c>
      <c r="AB2" s="4600" t="s">
        <v>248</v>
      </c>
    </row>
    <row r="3" spans="1:28">
      <c r="A3" s="4608" t="s">
        <v>249</v>
      </c>
      <c r="B3" s="4611" t="s">
        <v>250</v>
      </c>
      <c r="C3" s="4612" t="s">
        <v>251</v>
      </c>
      <c r="D3" s="4601" t="s">
        <v>252</v>
      </c>
      <c r="E3" s="4601" t="s">
        <v>124</v>
      </c>
      <c r="F3" s="4601" t="s">
        <v>160</v>
      </c>
      <c r="G3" s="4610">
        <v>40</v>
      </c>
      <c r="H3" s="4601" t="s">
        <v>160</v>
      </c>
      <c r="I3" s="4601" t="s">
        <v>253</v>
      </c>
      <c r="J3" s="4601" t="s">
        <v>254</v>
      </c>
      <c r="K3" s="4601" t="s">
        <v>255</v>
      </c>
      <c r="L3" s="4601" t="s">
        <v>255</v>
      </c>
      <c r="M3" s="4601" t="s">
        <v>255</v>
      </c>
      <c r="N3" s="4601" t="s">
        <v>255</v>
      </c>
      <c r="O3" s="4601" t="s">
        <v>255</v>
      </c>
      <c r="P3" s="4601" t="s">
        <v>255</v>
      </c>
      <c r="Q3" s="4601" t="s">
        <v>255</v>
      </c>
      <c r="R3" s="4601" t="s">
        <v>256</v>
      </c>
      <c r="S3" s="4601" t="s">
        <v>255</v>
      </c>
      <c r="T3" s="4601" t="s">
        <v>257</v>
      </c>
      <c r="U3" s="4601" t="s">
        <v>255</v>
      </c>
      <c r="V3" s="4601" t="s">
        <v>258</v>
      </c>
      <c r="W3" s="4601" t="s">
        <v>255</v>
      </c>
      <c r="X3" s="4600" t="s">
        <v>259</v>
      </c>
      <c r="Z3" s="4600" t="s">
        <v>260</v>
      </c>
      <c r="AB3" s="4600" t="s">
        <v>261</v>
      </c>
    </row>
    <row r="4" spans="1:28">
      <c r="A4" s="4608" t="s">
        <v>262</v>
      </c>
      <c r="B4" s="4608" t="s">
        <v>263</v>
      </c>
      <c r="C4" s="4609" t="s">
        <v>264</v>
      </c>
      <c r="D4" s="4601" t="s">
        <v>124</v>
      </c>
      <c r="E4" s="4601" t="s">
        <v>265</v>
      </c>
      <c r="F4" s="4601" t="s">
        <v>161</v>
      </c>
      <c r="G4" s="4610">
        <v>50</v>
      </c>
      <c r="H4" s="4601" t="s">
        <v>161</v>
      </c>
      <c r="I4" s="4601" t="s">
        <v>266</v>
      </c>
      <c r="K4" s="4601" t="s">
        <v>267</v>
      </c>
      <c r="L4" s="4601" t="s">
        <v>267</v>
      </c>
      <c r="M4" s="4601" t="s">
        <v>267</v>
      </c>
      <c r="N4" s="4601" t="s">
        <v>267</v>
      </c>
      <c r="O4" s="4601" t="s">
        <v>267</v>
      </c>
      <c r="P4" s="4601" t="s">
        <v>267</v>
      </c>
      <c r="Q4" s="4601" t="s">
        <v>267</v>
      </c>
      <c r="R4" s="4601" t="s">
        <v>268</v>
      </c>
      <c r="S4" s="4601" t="s">
        <v>267</v>
      </c>
      <c r="T4" s="4601" t="s">
        <v>269</v>
      </c>
      <c r="U4" s="4601" t="s">
        <v>267</v>
      </c>
      <c r="W4" s="4601" t="s">
        <v>267</v>
      </c>
      <c r="X4" s="4600" t="s">
        <v>270</v>
      </c>
      <c r="Z4" s="4600" t="s">
        <v>271</v>
      </c>
      <c r="AB4" s="4600" t="s">
        <v>272</v>
      </c>
    </row>
    <row r="5" spans="1:28">
      <c r="A5" s="4608" t="s">
        <v>273</v>
      </c>
      <c r="B5" s="4608" t="s">
        <v>274</v>
      </c>
      <c r="C5" s="4609" t="s">
        <v>275</v>
      </c>
      <c r="F5" s="4601" t="s">
        <v>162</v>
      </c>
      <c r="G5" s="4610">
        <v>70</v>
      </c>
      <c r="H5" s="4601" t="s">
        <v>276</v>
      </c>
      <c r="I5" s="4601" t="s">
        <v>277</v>
      </c>
      <c r="K5" s="4601" t="s">
        <v>278</v>
      </c>
      <c r="L5" s="4601" t="s">
        <v>278</v>
      </c>
      <c r="M5" s="4601" t="s">
        <v>278</v>
      </c>
      <c r="N5" s="4601" t="s">
        <v>278</v>
      </c>
      <c r="O5" s="4601" t="s">
        <v>278</v>
      </c>
      <c r="P5" s="4601" t="s">
        <v>278</v>
      </c>
      <c r="Q5" s="4601" t="s">
        <v>278</v>
      </c>
      <c r="R5" s="4601" t="s">
        <v>279</v>
      </c>
      <c r="S5" s="4601" t="s">
        <v>278</v>
      </c>
      <c r="T5" s="4601" t="s">
        <v>280</v>
      </c>
      <c r="U5" s="4601" t="s">
        <v>278</v>
      </c>
      <c r="W5" s="4601" t="s">
        <v>278</v>
      </c>
      <c r="X5" s="4600" t="s">
        <v>281</v>
      </c>
      <c r="Z5" s="4600" t="s">
        <v>282</v>
      </c>
      <c r="AB5" s="4600" t="s">
        <v>283</v>
      </c>
    </row>
    <row r="6" spans="1:28">
      <c r="A6" s="4608" t="s">
        <v>284</v>
      </c>
      <c r="B6" s="4611" t="s">
        <v>285</v>
      </c>
      <c r="C6" s="4613" t="s">
        <v>286</v>
      </c>
      <c r="F6" s="4601" t="s">
        <v>276</v>
      </c>
      <c r="H6" s="4601" t="s">
        <v>164</v>
      </c>
      <c r="I6" s="4601" t="s">
        <v>287</v>
      </c>
      <c r="K6" s="4601" t="s">
        <v>288</v>
      </c>
      <c r="L6" s="4601" t="s">
        <v>288</v>
      </c>
      <c r="M6" s="4601" t="s">
        <v>288</v>
      </c>
      <c r="N6" s="4601" t="s">
        <v>288</v>
      </c>
      <c r="O6" s="4601" t="s">
        <v>288</v>
      </c>
      <c r="P6" s="4601" t="s">
        <v>288</v>
      </c>
      <c r="Q6" s="4601" t="s">
        <v>288</v>
      </c>
      <c r="R6" s="4601" t="s">
        <v>289</v>
      </c>
      <c r="S6" s="4601" t="s">
        <v>288</v>
      </c>
      <c r="T6" s="4601"/>
      <c r="U6" s="4601" t="s">
        <v>288</v>
      </c>
      <c r="W6" s="4601" t="s">
        <v>288</v>
      </c>
      <c r="X6" s="4600" t="s">
        <v>290</v>
      </c>
      <c r="Z6" s="4600" t="s">
        <v>291</v>
      </c>
      <c r="AB6" s="4600" t="s">
        <v>292</v>
      </c>
    </row>
    <row r="7" spans="1:28">
      <c r="A7" s="4608" t="s">
        <v>293</v>
      </c>
      <c r="B7" s="4611" t="s">
        <v>294</v>
      </c>
      <c r="C7" s="4609" t="s">
        <v>295</v>
      </c>
      <c r="F7" s="4601" t="s">
        <v>296</v>
      </c>
      <c r="H7" s="4601" t="s">
        <v>162</v>
      </c>
      <c r="I7" s="4601" t="s">
        <v>297</v>
      </c>
      <c r="X7" s="4600" t="s">
        <v>298</v>
      </c>
      <c r="Z7" s="4600" t="s">
        <v>299</v>
      </c>
      <c r="AB7" s="4600" t="s">
        <v>300</v>
      </c>
    </row>
    <row r="8" spans="1:28">
      <c r="A8" s="4608" t="s">
        <v>301</v>
      </c>
      <c r="B8" s="4608" t="s">
        <v>302</v>
      </c>
      <c r="C8" s="4609" t="s">
        <v>303</v>
      </c>
      <c r="F8" s="4601" t="s">
        <v>304</v>
      </c>
      <c r="H8" s="4601" t="s">
        <v>231</v>
      </c>
      <c r="I8" s="4601" t="s">
        <v>305</v>
      </c>
      <c r="X8" s="4600" t="s">
        <v>306</v>
      </c>
      <c r="Z8" s="4600" t="s">
        <v>307</v>
      </c>
      <c r="AB8" s="4600" t="s">
        <v>308</v>
      </c>
    </row>
    <row r="9" spans="1:28">
      <c r="A9" s="4608" t="s">
        <v>309</v>
      </c>
      <c r="B9" s="4608" t="s">
        <v>310</v>
      </c>
      <c r="C9" s="4609" t="s">
        <v>311</v>
      </c>
      <c r="F9" s="4601" t="s">
        <v>164</v>
      </c>
      <c r="H9" s="4601"/>
      <c r="I9" s="4600" t="s">
        <v>312</v>
      </c>
      <c r="X9" s="4600" t="s">
        <v>313</v>
      </c>
      <c r="Z9" s="4600" t="s">
        <v>314</v>
      </c>
      <c r="AB9" s="4600" t="s">
        <v>315</v>
      </c>
    </row>
    <row r="10" spans="1:28">
      <c r="A10" s="4608" t="s">
        <v>316</v>
      </c>
      <c r="B10" s="4608" t="s">
        <v>317</v>
      </c>
      <c r="C10" s="4609" t="s">
        <v>318</v>
      </c>
      <c r="F10" s="4601" t="s">
        <v>231</v>
      </c>
      <c r="I10" s="4600" t="s">
        <v>319</v>
      </c>
      <c r="Z10" s="4600" t="s">
        <v>320</v>
      </c>
      <c r="AB10" s="4600" t="s">
        <v>321</v>
      </c>
    </row>
    <row r="11" spans="1:28">
      <c r="A11" s="4608" t="s">
        <v>322</v>
      </c>
      <c r="B11" s="4608" t="s">
        <v>323</v>
      </c>
      <c r="C11" s="4609" t="s">
        <v>324</v>
      </c>
      <c r="F11" s="4601" t="s">
        <v>124</v>
      </c>
      <c r="I11" s="4600" t="s">
        <v>325</v>
      </c>
      <c r="Z11" s="4600" t="s">
        <v>326</v>
      </c>
      <c r="AB11" s="4600" t="s">
        <v>327</v>
      </c>
    </row>
    <row r="12" spans="1:28">
      <c r="A12" s="4608" t="s">
        <v>328</v>
      </c>
      <c r="B12" s="4608" t="s">
        <v>329</v>
      </c>
      <c r="C12" s="4609" t="s">
        <v>330</v>
      </c>
      <c r="I12" s="4600" t="s">
        <v>331</v>
      </c>
      <c r="Z12" s="4600" t="s">
        <v>332</v>
      </c>
      <c r="AB12" s="4600" t="s">
        <v>333</v>
      </c>
    </row>
    <row r="13" spans="1:28">
      <c r="A13" s="4608" t="s">
        <v>334</v>
      </c>
      <c r="B13" s="4608" t="s">
        <v>335</v>
      </c>
      <c r="C13" s="4609" t="s">
        <v>336</v>
      </c>
      <c r="I13" s="4600" t="s">
        <v>337</v>
      </c>
      <c r="Z13" s="4600" t="s">
        <v>338</v>
      </c>
    </row>
    <row r="14" spans="1:28">
      <c r="A14" s="4608" t="s">
        <v>339</v>
      </c>
      <c r="B14" s="4608" t="s">
        <v>340</v>
      </c>
      <c r="C14" s="4601" t="s">
        <v>124</v>
      </c>
      <c r="I14" s="4600" t="s">
        <v>341</v>
      </c>
      <c r="Z14" s="4600" t="s">
        <v>342</v>
      </c>
    </row>
    <row r="15" spans="1:28">
      <c r="A15" s="4608" t="s">
        <v>343</v>
      </c>
      <c r="B15" s="4608" t="s">
        <v>344</v>
      </c>
      <c r="C15" s="4609"/>
      <c r="I15" s="4600" t="s">
        <v>345</v>
      </c>
    </row>
    <row r="16" spans="1:28">
      <c r="A16" s="4608" t="s">
        <v>346</v>
      </c>
      <c r="B16" s="4608" t="s">
        <v>347</v>
      </c>
      <c r="C16" s="4609"/>
    </row>
    <row r="17" spans="1:3">
      <c r="A17" s="4608" t="s">
        <v>348</v>
      </c>
      <c r="B17" s="4608" t="s">
        <v>349</v>
      </c>
      <c r="C17" s="4609"/>
    </row>
    <row r="18" spans="1:3">
      <c r="A18" s="4608" t="s">
        <v>350</v>
      </c>
      <c r="B18" s="4608" t="s">
        <v>351</v>
      </c>
      <c r="C18" s="4609"/>
    </row>
    <row r="19" spans="1:3">
      <c r="A19" s="4608" t="s">
        <v>352</v>
      </c>
      <c r="B19" s="4608" t="s">
        <v>353</v>
      </c>
      <c r="C19" s="4609"/>
    </row>
    <row r="20" spans="1:3">
      <c r="A20" s="4608" t="s">
        <v>354</v>
      </c>
      <c r="B20" s="4608" t="s">
        <v>355</v>
      </c>
      <c r="C20" s="4609"/>
    </row>
    <row r="21" spans="1:3">
      <c r="A21" s="4608" t="s">
        <v>276</v>
      </c>
      <c r="B21" s="4608" t="s">
        <v>344</v>
      </c>
      <c r="C21" s="4609"/>
    </row>
    <row r="22" spans="1:3">
      <c r="A22" s="4608" t="s">
        <v>356</v>
      </c>
      <c r="B22" s="4608" t="s">
        <v>357</v>
      </c>
      <c r="C22" s="4609"/>
    </row>
    <row r="23" spans="1:3">
      <c r="A23" s="4608" t="s">
        <v>358</v>
      </c>
      <c r="B23" s="4608" t="s">
        <v>359</v>
      </c>
      <c r="C23" s="4609"/>
    </row>
    <row r="24" spans="1:3">
      <c r="A24" s="4608" t="s">
        <v>360</v>
      </c>
      <c r="B24" s="4608" t="s">
        <v>359</v>
      </c>
      <c r="C24" s="4609"/>
    </row>
    <row r="25" spans="1:3">
      <c r="A25" s="4608" t="s">
        <v>361</v>
      </c>
      <c r="B25" s="4608" t="s">
        <v>359</v>
      </c>
      <c r="C25" s="4609"/>
    </row>
    <row r="26" spans="1:3">
      <c r="A26" s="4608" t="s">
        <v>362</v>
      </c>
      <c r="B26" s="4608" t="s">
        <v>359</v>
      </c>
      <c r="C26" s="4609"/>
    </row>
    <row r="27" spans="1:3">
      <c r="A27" s="4608" t="s">
        <v>359</v>
      </c>
      <c r="B27" s="4608" t="s">
        <v>359</v>
      </c>
      <c r="C27" s="4609"/>
    </row>
    <row r="28" spans="1:3">
      <c r="A28" s="4608" t="s">
        <v>359</v>
      </c>
      <c r="B28" s="4608" t="s">
        <v>359</v>
      </c>
      <c r="C28" s="4609"/>
    </row>
    <row r="29" spans="1:3">
      <c r="A29" s="4608" t="s">
        <v>359</v>
      </c>
      <c r="B29" s="4608" t="s">
        <v>359</v>
      </c>
      <c r="C29" s="4609"/>
    </row>
    <row r="30" spans="1:3">
      <c r="A30" s="4608" t="s">
        <v>359</v>
      </c>
      <c r="B30" s="4608" t="s">
        <v>359</v>
      </c>
      <c r="C30" s="4609"/>
    </row>
    <row r="31" spans="1:3">
      <c r="A31" s="4608" t="s">
        <v>359</v>
      </c>
      <c r="B31" s="4608" t="s">
        <v>359</v>
      </c>
      <c r="C31" s="4609"/>
    </row>
    <row r="32" spans="1:3">
      <c r="A32" s="4608" t="s">
        <v>359</v>
      </c>
      <c r="B32" s="4608" t="s">
        <v>359</v>
      </c>
      <c r="C32" s="4609"/>
    </row>
    <row r="33" spans="1:3">
      <c r="A33" s="4608" t="s">
        <v>359</v>
      </c>
      <c r="B33" s="4608" t="s">
        <v>359</v>
      </c>
      <c r="C33" s="4609"/>
    </row>
    <row r="34" spans="1:3">
      <c r="A34" s="4608" t="s">
        <v>359</v>
      </c>
      <c r="B34" s="4608" t="s">
        <v>359</v>
      </c>
      <c r="C34" s="4609"/>
    </row>
    <row r="35" spans="1:3">
      <c r="A35" s="4608" t="s">
        <v>359</v>
      </c>
      <c r="B35" s="4608" t="s">
        <v>359</v>
      </c>
      <c r="C35" s="4609"/>
    </row>
    <row r="36" spans="1:3">
      <c r="A36" s="4608" t="s">
        <v>359</v>
      </c>
      <c r="B36" s="4608" t="s">
        <v>359</v>
      </c>
      <c r="C36" s="4609"/>
    </row>
    <row r="37" spans="1:3">
      <c r="A37" s="4608" t="s">
        <v>359</v>
      </c>
      <c r="B37" s="4608" t="s">
        <v>359</v>
      </c>
      <c r="C37" s="4609"/>
    </row>
    <row r="38" spans="1:3">
      <c r="A38" s="4608" t="s">
        <v>359</v>
      </c>
      <c r="B38" s="4608" t="s">
        <v>359</v>
      </c>
      <c r="C38" s="4609"/>
    </row>
    <row r="39" spans="1:3">
      <c r="A39" s="4608" t="s">
        <v>359</v>
      </c>
      <c r="B39" s="4608" t="s">
        <v>359</v>
      </c>
      <c r="C39" s="4609"/>
    </row>
    <row r="40" spans="1:3">
      <c r="A40" s="4608" t="s">
        <v>359</v>
      </c>
      <c r="B40" s="4608" t="s">
        <v>359</v>
      </c>
      <c r="C40" s="4609"/>
    </row>
    <row r="41" spans="1:3">
      <c r="A41" s="4608" t="s">
        <v>359</v>
      </c>
      <c r="B41" s="4608" t="s">
        <v>359</v>
      </c>
      <c r="C41" s="4609"/>
    </row>
    <row r="42" spans="1:3">
      <c r="A42" s="4608" t="s">
        <v>359</v>
      </c>
      <c r="B42" s="4608" t="s">
        <v>359</v>
      </c>
      <c r="C42" s="4609"/>
    </row>
    <row r="43" spans="1:3">
      <c r="A43" s="4608" t="s">
        <v>359</v>
      </c>
      <c r="B43" s="4608" t="s">
        <v>359</v>
      </c>
      <c r="C43" s="4609"/>
    </row>
    <row r="44" spans="1:3">
      <c r="A44" s="4608" t="s">
        <v>359</v>
      </c>
      <c r="B44" s="4608" t="s">
        <v>359</v>
      </c>
      <c r="C44" s="4609"/>
    </row>
    <row r="45" spans="1:3">
      <c r="A45" s="4608" t="s">
        <v>359</v>
      </c>
      <c r="B45" s="4608" t="s">
        <v>359</v>
      </c>
      <c r="C45" s="4609"/>
    </row>
    <row r="46" spans="1:3">
      <c r="A46" s="4608" t="s">
        <v>359</v>
      </c>
      <c r="B46" s="4608" t="s">
        <v>359</v>
      </c>
      <c r="C46" s="4609"/>
    </row>
    <row r="47" spans="1:3">
      <c r="A47" s="4608" t="s">
        <v>359</v>
      </c>
      <c r="B47" s="4608" t="s">
        <v>359</v>
      </c>
      <c r="C47" s="4609"/>
    </row>
    <row r="48" spans="1:3">
      <c r="A48" s="4608" t="s">
        <v>359</v>
      </c>
      <c r="B48" s="4608" t="s">
        <v>359</v>
      </c>
      <c r="C48" s="4609"/>
    </row>
    <row r="49" spans="1:4">
      <c r="A49" s="4608" t="s">
        <v>359</v>
      </c>
      <c r="B49" s="4608" t="s">
        <v>359</v>
      </c>
      <c r="C49" s="4609"/>
    </row>
    <row r="50" spans="1:4">
      <c r="A50" s="4608" t="s">
        <v>359</v>
      </c>
      <c r="B50" s="4608" t="s">
        <v>359</v>
      </c>
      <c r="C50" s="4609"/>
    </row>
    <row r="51" spans="1:4">
      <c r="A51" s="4614" t="s">
        <v>363</v>
      </c>
      <c r="B51" s="46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5" t="s">
        <v>364</v>
      </c>
    </row>
    <row r="52" spans="1:4">
      <c r="A52" s="4614" t="s">
        <v>365</v>
      </c>
      <c r="B52" s="4614" t="s">
        <v>366</v>
      </c>
      <c r="C52" s="4600" t="s">
        <v>367</v>
      </c>
      <c r="D52" s="4600" t="s">
        <v>368</v>
      </c>
    </row>
    <row r="53" spans="1:4">
      <c r="A53" s="4604" t="s">
        <v>369</v>
      </c>
      <c r="B53" s="4615" t="s">
        <v>370</v>
      </c>
      <c r="C53" s="46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4"/>
      <c r="B54" s="4615" t="s">
        <v>371</v>
      </c>
      <c r="C54" s="4600" t="s">
        <v>372</v>
      </c>
    </row>
    <row r="55" spans="1:4">
      <c r="A55" s="4604"/>
      <c r="B55" s="4615" t="s">
        <v>373</v>
      </c>
      <c r="C55" s="4600" t="s">
        <v>374</v>
      </c>
    </row>
    <row r="56" spans="1:4">
      <c r="A56" s="4604"/>
      <c r="B56" s="4615" t="s">
        <v>375</v>
      </c>
      <c r="C56" s="4600" t="s">
        <v>376</v>
      </c>
    </row>
    <row r="57" spans="1:4">
      <c r="A57" s="4604"/>
      <c r="B57" s="4615" t="s">
        <v>377</v>
      </c>
      <c r="C57" s="4600" t="s">
        <v>378</v>
      </c>
    </row>
    <row r="58" spans="1:4">
      <c r="A58" s="4616"/>
      <c r="B58" s="4600"/>
    </row>
    <row r="59" spans="1:4">
      <c r="A59" s="4616"/>
      <c r="B59" s="4600"/>
    </row>
    <row r="60" spans="1:4">
      <c r="A60" s="4616"/>
      <c r="B60" s="4600"/>
    </row>
    <row r="61" spans="1:4">
      <c r="A61" s="4616"/>
      <c r="B61" s="4600"/>
    </row>
    <row r="62" spans="1:4">
      <c r="A62" s="4616"/>
      <c r="B62" s="4600"/>
    </row>
    <row r="63" spans="1:4">
      <c r="A63" s="4616"/>
      <c r="B63" s="4600"/>
    </row>
    <row r="64" spans="1:4">
      <c r="A64" s="4616"/>
      <c r="B64" s="4600"/>
    </row>
    <row r="65" spans="1:2">
      <c r="A65" s="4616"/>
      <c r="B65" s="4600"/>
    </row>
    <row r="66" spans="1:2">
      <c r="A66" s="4616"/>
      <c r="B66" s="4600"/>
    </row>
    <row r="67" spans="1:2">
      <c r="A67" s="4616"/>
      <c r="B67" s="4600"/>
    </row>
    <row r="68" spans="1:2">
      <c r="A68" s="4616"/>
      <c r="B68" s="4600"/>
    </row>
    <row r="69" spans="1:2">
      <c r="A69" s="4616"/>
      <c r="B69" s="4600"/>
    </row>
    <row r="70" spans="1:2">
      <c r="A70" s="4616"/>
      <c r="B70" s="4600"/>
    </row>
    <row r="71" spans="1:2">
      <c r="A71" s="4616"/>
      <c r="B71" s="4600"/>
    </row>
    <row r="72" spans="1:2">
      <c r="A72" s="4616"/>
      <c r="B72" s="4600"/>
    </row>
    <row r="73" spans="1:2">
      <c r="A73" s="4616"/>
      <c r="B73" s="4600"/>
    </row>
    <row r="74" spans="1:2">
      <c r="A74" s="4616"/>
      <c r="B74" s="4600"/>
    </row>
    <row r="75" spans="1:2">
      <c r="A75" s="4616"/>
      <c r="B75" s="4600"/>
    </row>
    <row r="76" spans="1:2">
      <c r="A76" s="4616"/>
      <c r="B76" s="4600"/>
    </row>
    <row r="77" spans="1:2">
      <c r="A77" s="4616"/>
      <c r="B77" s="4600"/>
    </row>
    <row r="78" spans="1:2">
      <c r="A78" s="4616"/>
      <c r="B78" s="4600"/>
    </row>
    <row r="79" spans="1:2">
      <c r="A79" s="4616"/>
      <c r="B79" s="4600"/>
    </row>
    <row r="80" spans="1:2">
      <c r="A80" s="4616"/>
      <c r="B80" s="4600"/>
    </row>
    <row r="81" spans="1:2">
      <c r="A81" s="4616"/>
      <c r="B81" s="4600"/>
    </row>
    <row r="82" spans="1:2">
      <c r="A82" s="4616"/>
      <c r="B82" s="4600"/>
    </row>
    <row r="83" spans="1:2">
      <c r="A83" s="4616"/>
      <c r="B83" s="4600"/>
    </row>
    <row r="84" spans="1:2">
      <c r="A84" s="4616"/>
      <c r="B84" s="4600"/>
    </row>
    <row r="85" spans="1:2">
      <c r="A85" s="4616"/>
      <c r="B85" s="4600"/>
    </row>
    <row r="86" spans="1:2">
      <c r="A86" s="4616"/>
      <c r="B86" s="4600"/>
    </row>
    <row r="87" spans="1:2">
      <c r="A87" s="4616"/>
      <c r="B87" s="4600"/>
    </row>
    <row r="88" spans="1:2">
      <c r="A88" s="4616"/>
      <c r="B88" s="4600"/>
    </row>
    <row r="89" spans="1:2">
      <c r="A89" s="4616"/>
      <c r="B89" s="4600"/>
    </row>
    <row r="90" spans="1:2">
      <c r="A90" s="4616"/>
      <c r="B90" s="4600"/>
    </row>
    <row r="91" spans="1:2">
      <c r="A91" s="4616"/>
      <c r="B91" s="4600"/>
    </row>
    <row r="92" spans="1:2">
      <c r="A92" s="4616"/>
      <c r="B92" s="4600"/>
    </row>
    <row r="93" spans="1:2">
      <c r="A93" s="4616"/>
      <c r="B93" s="4600"/>
    </row>
    <row r="94" spans="1:2">
      <c r="A94" s="4616"/>
      <c r="B94" s="4600"/>
    </row>
    <row r="95" spans="1:2">
      <c r="A95" s="4616"/>
      <c r="B95" s="4600"/>
    </row>
    <row r="96" spans="1:2">
      <c r="A96" s="4616"/>
      <c r="B96" s="4600"/>
    </row>
    <row r="97" spans="1:2">
      <c r="A97" s="4616"/>
      <c r="B97" s="4600"/>
    </row>
    <row r="98" spans="1:2">
      <c r="A98" s="4616"/>
      <c r="B98" s="4600"/>
    </row>
    <row r="99" spans="1:2">
      <c r="A99" s="4616"/>
      <c r="B99" s="4600"/>
    </row>
    <row r="100" spans="1:2">
      <c r="A100" s="4616"/>
      <c r="B100" s="4600"/>
    </row>
    <row r="101" spans="1:2">
      <c r="A101" s="4616"/>
      <c r="B101" s="4600"/>
    </row>
    <row r="102" spans="1:2">
      <c r="A102" s="4616"/>
      <c r="B102" s="4600"/>
    </row>
    <row r="103" spans="1:2">
      <c r="A103" s="4616"/>
      <c r="B103" s="4600"/>
    </row>
    <row r="104" spans="1:2">
      <c r="A104" s="4616"/>
      <c r="B104" s="4600"/>
    </row>
    <row r="105" spans="1:2">
      <c r="A105" s="4616"/>
      <c r="B105" s="4600"/>
    </row>
    <row r="106" spans="1:2">
      <c r="A106" s="4616"/>
      <c r="B106" s="4600"/>
    </row>
    <row r="107" spans="1:2">
      <c r="A107" s="4616"/>
      <c r="B107" s="4600"/>
    </row>
    <row r="108" spans="1:2">
      <c r="A108" s="4616"/>
      <c r="B108" s="4600"/>
    </row>
    <row r="109" spans="1:2">
      <c r="A109" s="4616"/>
      <c r="B109" s="4600"/>
    </row>
    <row r="110" spans="1:2">
      <c r="A110" s="4616"/>
      <c r="B110" s="4600"/>
    </row>
    <row r="111" spans="1:2">
      <c r="A111" s="4616"/>
      <c r="B111" s="4600"/>
    </row>
    <row r="112" spans="1:2">
      <c r="A112" s="4616"/>
      <c r="B112" s="4600"/>
    </row>
    <row r="113" spans="1:2">
      <c r="A113" s="4616"/>
      <c r="B113" s="4600"/>
    </row>
    <row r="114" spans="1:2">
      <c r="A114" s="4616"/>
      <c r="B114" s="4600"/>
    </row>
    <row r="115" spans="1:2">
      <c r="A115" s="4616"/>
      <c r="B115" s="4600"/>
    </row>
    <row r="116" spans="1:2">
      <c r="A116" s="4616"/>
      <c r="B116" s="4600"/>
    </row>
    <row r="117" spans="1:2">
      <c r="A117" s="4616"/>
      <c r="B117" s="4600"/>
    </row>
    <row r="118" spans="1:2">
      <c r="A118" s="4616"/>
      <c r="B118" s="4600"/>
    </row>
    <row r="119" spans="1:2">
      <c r="A119" s="4616"/>
      <c r="B119" s="4600"/>
    </row>
    <row r="120" spans="1:2">
      <c r="A120" s="4616"/>
      <c r="B120" s="4600"/>
    </row>
    <row r="121" spans="1:2">
      <c r="A121" s="4616"/>
      <c r="B121" s="4600"/>
    </row>
    <row r="122" spans="1:2">
      <c r="A122" s="4616"/>
      <c r="B122" s="4600"/>
    </row>
    <row r="123" spans="1:2">
      <c r="A123" s="4616"/>
      <c r="B123" s="4600"/>
    </row>
    <row r="124" spans="1:2">
      <c r="A124" s="4616"/>
      <c r="B124" s="4600"/>
    </row>
    <row r="125" spans="1:2">
      <c r="A125" s="4616"/>
      <c r="B125" s="4600"/>
    </row>
    <row r="126" spans="1:2">
      <c r="A126" s="4616"/>
      <c r="B126" s="4600"/>
    </row>
    <row r="127" spans="1:2">
      <c r="A127" s="4616"/>
      <c r="B127" s="460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54" sqref="D54"/>
    </sheetView>
  </sheetViews>
  <sheetFormatPr defaultColWidth="15.25" defaultRowHeight="13.5"/>
  <cols>
    <col min="1" max="7" width="15.25" style="4438"/>
    <col min="8" max="8" width="15" style="4438" customWidth="1"/>
    <col min="9" max="13" width="11.5" style="4439" customWidth="1"/>
    <col min="14" max="15" width="11.5" style="4438" customWidth="1"/>
    <col min="16" max="18" width="9.5" style="4438" customWidth="1"/>
    <col min="19" max="19" width="3.75" style="4438" customWidth="1"/>
    <col min="20" max="16384" width="15.25" style="4438"/>
  </cols>
  <sheetData>
    <row r="1" spans="1:19">
      <c r="A1" s="4440" t="s">
        <v>379</v>
      </c>
      <c r="B1" s="4441"/>
      <c r="C1" s="4441"/>
      <c r="D1" s="4441"/>
      <c r="E1" s="4441"/>
      <c r="F1" s="4442"/>
      <c r="I1" s="4443" t="s">
        <v>380</v>
      </c>
      <c r="J1" s="4444"/>
      <c r="K1" s="4444"/>
      <c r="L1" s="4444"/>
      <c r="M1" s="4444"/>
      <c r="N1" s="4445"/>
      <c r="O1" s="4445"/>
      <c r="P1" s="4445"/>
      <c r="Q1" s="4445"/>
      <c r="R1" s="4446"/>
    </row>
    <row r="2" spans="1:19">
      <c r="A2" s="4447"/>
      <c r="B2" s="4448"/>
      <c r="C2" s="4448"/>
      <c r="D2" s="4448"/>
      <c r="E2" s="4448"/>
      <c r="F2" s="4449"/>
      <c r="I2" s="4450" t="s">
        <v>381</v>
      </c>
      <c r="J2" s="4451"/>
      <c r="K2" s="4451"/>
      <c r="L2" s="4451"/>
      <c r="M2" s="4451"/>
      <c r="N2" s="4451"/>
      <c r="O2" s="4451"/>
      <c r="P2" s="4451"/>
      <c r="Q2" s="4451"/>
      <c r="R2" s="4452"/>
    </row>
    <row r="3" spans="1:19">
      <c r="A3" s="545" t="s">
        <v>382</v>
      </c>
      <c r="B3" s="4453">
        <f>项目基本情况!D3</f>
        <v>46086</v>
      </c>
      <c r="C3" s="4454"/>
      <c r="D3" s="4454"/>
      <c r="E3" s="4454"/>
      <c r="F3" s="4449"/>
      <c r="I3" s="4455"/>
      <c r="J3" s="4456" t="s">
        <v>383</v>
      </c>
      <c r="K3" s="4456" t="s">
        <v>384</v>
      </c>
      <c r="L3" s="4456" t="s">
        <v>385</v>
      </c>
      <c r="M3" s="4456" t="s">
        <v>386</v>
      </c>
      <c r="N3" s="4457" t="s">
        <v>387</v>
      </c>
      <c r="O3" s="4457" t="s">
        <v>388</v>
      </c>
      <c r="P3" s="4457" t="s">
        <v>389</v>
      </c>
      <c r="Q3" s="4457" t="s">
        <v>390</v>
      </c>
      <c r="R3" s="4458" t="s">
        <v>391</v>
      </c>
    </row>
    <row r="4" spans="1:19">
      <c r="A4" s="545" t="s">
        <v>392</v>
      </c>
      <c r="B4" s="4454" t="s">
        <v>393</v>
      </c>
      <c r="C4" s="4454" t="s">
        <v>394</v>
      </c>
      <c r="D4" s="4454" t="s">
        <v>395</v>
      </c>
      <c r="E4" s="4454" t="s">
        <v>396</v>
      </c>
      <c r="F4" s="4449"/>
      <c r="I4" s="4455" t="s">
        <v>397</v>
      </c>
      <c r="J4" s="4459">
        <v>80</v>
      </c>
      <c r="K4" s="4459">
        <v>70</v>
      </c>
      <c r="L4" s="4459">
        <v>20</v>
      </c>
      <c r="M4" s="4459">
        <v>30</v>
      </c>
      <c r="N4" s="4460">
        <v>45</v>
      </c>
      <c r="O4" s="4460">
        <v>60</v>
      </c>
      <c r="P4" s="4460">
        <v>50</v>
      </c>
      <c r="Q4" s="4460">
        <v>20</v>
      </c>
      <c r="R4" s="4461">
        <v>375</v>
      </c>
    </row>
    <row r="5" spans="1:19">
      <c r="A5" s="4462">
        <v>40</v>
      </c>
      <c r="B5" s="4453">
        <v>46375</v>
      </c>
      <c r="C5" s="4460">
        <f>ROUNDDOWN(MIN((B5-B3)/365,A5),2)</f>
        <v>0.79</v>
      </c>
      <c r="D5" s="4463">
        <f>IF(ISERROR(ROUND(POWER(1+E5,A5-C5)*(POWER(1+E5,C5)-1)/(POWER(1+E5,A5)-1),3)),0,ROUND(POWER(1+E5,A5-C5)*(POWER(1+E5,C5)-1)/(POWER(1+E5,A5)-1),4))</f>
        <v>0.0385</v>
      </c>
      <c r="E5" s="4464">
        <v>0.04</v>
      </c>
      <c r="F5" s="4449"/>
      <c r="I5" s="4455" t="s">
        <v>398</v>
      </c>
      <c r="J5" s="4459">
        <v>70</v>
      </c>
      <c r="K5" s="4459">
        <v>60</v>
      </c>
      <c r="L5" s="4459">
        <v>15</v>
      </c>
      <c r="M5" s="4459">
        <v>25</v>
      </c>
      <c r="N5" s="4460">
        <v>40</v>
      </c>
      <c r="O5" s="4460">
        <v>50</v>
      </c>
      <c r="P5" s="4460">
        <v>40</v>
      </c>
      <c r="Q5" s="4460">
        <v>15</v>
      </c>
      <c r="R5" s="4461">
        <v>315</v>
      </c>
    </row>
    <row r="6" ht="14.25" spans="1:19">
      <c r="A6" s="4462">
        <v>50</v>
      </c>
      <c r="B6" s="4453">
        <v>50028</v>
      </c>
      <c r="C6" s="4460">
        <f>ROUNDDOWN(MIN((B6-B3)/365,A6),2)</f>
        <v>10.8</v>
      </c>
      <c r="D6" s="4463">
        <f>IF(ISERROR(ROUND(POWER(1+E6,A6-C6)*(POWER(1+E6,C6)-1)/(POWER(1+E6,A6)-1),3)),0,ROUND(POWER(1+E6,A6-C6)*(POWER(1+E6,C6)-1)/(POWER(1+E6,A6)-1),4))</f>
        <v>0.4018</v>
      </c>
      <c r="E6" s="4464">
        <v>0.04</v>
      </c>
      <c r="F6" s="4449"/>
      <c r="I6" s="4465" t="s">
        <v>399</v>
      </c>
      <c r="J6" s="4466">
        <v>60</v>
      </c>
      <c r="K6" s="4466">
        <v>50</v>
      </c>
      <c r="L6" s="4466">
        <v>10</v>
      </c>
      <c r="M6" s="4466">
        <v>20</v>
      </c>
      <c r="N6" s="4467">
        <v>35</v>
      </c>
      <c r="O6" s="4467">
        <v>40</v>
      </c>
      <c r="P6" s="4467">
        <v>30</v>
      </c>
      <c r="Q6" s="4467">
        <v>10</v>
      </c>
      <c r="R6" s="4468">
        <v>255</v>
      </c>
    </row>
    <row r="7" spans="1:19">
      <c r="A7" s="4462">
        <v>70</v>
      </c>
      <c r="B7" s="4453">
        <v>57333</v>
      </c>
      <c r="C7" s="4460">
        <f>ROUNDDOWN(MIN((B7-B3)/365,A7),2)</f>
        <v>30.81</v>
      </c>
      <c r="D7" s="4463">
        <f>IF(ISERROR(ROUND(POWER(1+E7,A7-C7)*(POWER(1+E7,C7)-1)/(POWER(1+E7,A7)-1),3)),0,ROUND(POWER(1+E7,A7-C7)*(POWER(1+E7,C7)-1)/(POWER(1+E7,A7)-1),4))</f>
        <v>0.7495</v>
      </c>
      <c r="E7" s="4464">
        <v>0.04</v>
      </c>
      <c r="F7" s="4449"/>
      <c r="I7" s="4469" t="s">
        <v>400</v>
      </c>
      <c r="J7" s="4470" t="s">
        <v>401</v>
      </c>
      <c r="K7" s="4471">
        <v>1.2</v>
      </c>
      <c r="L7" s="4472"/>
      <c r="M7" s="4473"/>
      <c r="N7" s="4441"/>
      <c r="O7" s="4441"/>
      <c r="P7" s="4441"/>
      <c r="Q7" s="4441"/>
      <c r="R7" s="4442"/>
    </row>
    <row r="8" ht="14.25" spans="1:19">
      <c r="A8" s="4447"/>
      <c r="B8" s="4448"/>
      <c r="C8" s="4448"/>
      <c r="D8" s="4448"/>
      <c r="E8" s="4448"/>
      <c r="F8" s="4449"/>
      <c r="I8" s="4450" t="s">
        <v>402</v>
      </c>
      <c r="J8" s="4451"/>
      <c r="K8" s="4451"/>
      <c r="L8" s="4451"/>
      <c r="M8" s="4451"/>
      <c r="N8" s="4451"/>
      <c r="O8" s="4451"/>
      <c r="P8" s="4451"/>
      <c r="Q8" s="4451"/>
      <c r="R8" s="4452"/>
    </row>
    <row r="9" spans="1:19">
      <c r="A9" s="545" t="s">
        <v>403</v>
      </c>
      <c r="B9" s="4454"/>
      <c r="C9" s="4454"/>
      <c r="D9" s="4454"/>
      <c r="E9" s="4454"/>
      <c r="F9" s="4474"/>
      <c r="I9" s="4455"/>
      <c r="J9" s="4456" t="s">
        <v>383</v>
      </c>
      <c r="K9" s="4456" t="s">
        <v>384</v>
      </c>
      <c r="L9" s="4456" t="s">
        <v>385</v>
      </c>
      <c r="M9" s="4456" t="s">
        <v>386</v>
      </c>
      <c r="N9" s="4457" t="s">
        <v>387</v>
      </c>
      <c r="O9" s="4457" t="s">
        <v>388</v>
      </c>
      <c r="P9" s="4457" t="s">
        <v>389</v>
      </c>
      <c r="Q9" s="4457" t="s">
        <v>390</v>
      </c>
      <c r="R9" s="4458" t="s">
        <v>391</v>
      </c>
      <c r="S9" s="4475" t="s">
        <v>404</v>
      </c>
    </row>
    <row r="10" spans="1:19">
      <c r="A10" s="545" t="s">
        <v>405</v>
      </c>
      <c r="B10" s="4454"/>
      <c r="C10" s="4454"/>
      <c r="D10" s="4454" t="s">
        <v>396</v>
      </c>
      <c r="E10" s="4454"/>
      <c r="F10" s="4474" t="s">
        <v>395</v>
      </c>
      <c r="I10" s="4455" t="s">
        <v>397</v>
      </c>
      <c r="J10" s="4459">
        <f>ROUND(J4/$K$7,0)</f>
        <v>67</v>
      </c>
      <c r="K10" s="4459">
        <f t="shared" ref="K10:Q12" si="0">ROUND(K4/$K$7,0)</f>
        <v>58</v>
      </c>
      <c r="L10" s="4459">
        <f t="shared" si="0"/>
        <v>17</v>
      </c>
      <c r="M10" s="4459">
        <f t="shared" si="0"/>
        <v>25</v>
      </c>
      <c r="N10" s="4459">
        <f t="shared" si="0"/>
        <v>38</v>
      </c>
      <c r="O10" s="4459">
        <f t="shared" si="0"/>
        <v>50</v>
      </c>
      <c r="P10" s="4459">
        <f t="shared" si="0"/>
        <v>42</v>
      </c>
      <c r="Q10" s="4459">
        <f t="shared" si="0"/>
        <v>17</v>
      </c>
      <c r="R10" s="4476">
        <f>SUM(J10:Q10)</f>
        <v>314</v>
      </c>
      <c r="S10" s="4477"/>
    </row>
    <row r="11" spans="1:19">
      <c r="A11" s="4478" t="s">
        <v>406</v>
      </c>
      <c r="B11" s="4479">
        <v>70</v>
      </c>
      <c r="C11" s="4480" t="s">
        <v>407</v>
      </c>
      <c r="D11" s="4464">
        <v>0.045</v>
      </c>
      <c r="E11" s="4480" t="s">
        <v>408</v>
      </c>
      <c r="F11" s="4481">
        <f>ROUND(1-(1/(POWER(1+D11,B11))),4)</f>
        <v>0.9541</v>
      </c>
      <c r="I11" s="4455" t="s">
        <v>398</v>
      </c>
      <c r="J11" s="4459">
        <f>ROUND(J5/$K$7,0)</f>
        <v>58</v>
      </c>
      <c r="K11" s="4459">
        <f t="shared" si="0"/>
        <v>50</v>
      </c>
      <c r="L11" s="4459">
        <f t="shared" si="0"/>
        <v>13</v>
      </c>
      <c r="M11" s="4459">
        <f t="shared" si="0"/>
        <v>21</v>
      </c>
      <c r="N11" s="4459">
        <f t="shared" si="0"/>
        <v>33</v>
      </c>
      <c r="O11" s="4459">
        <f t="shared" si="0"/>
        <v>42</v>
      </c>
      <c r="P11" s="4459">
        <f t="shared" si="0"/>
        <v>33</v>
      </c>
      <c r="Q11" s="4459">
        <f t="shared" si="0"/>
        <v>13</v>
      </c>
      <c r="R11" s="4476">
        <f t="shared" ref="R11:R12" si="1">SUM(J11:Q11)</f>
        <v>263</v>
      </c>
      <c r="S11" s="4477"/>
    </row>
    <row r="12" ht="14.25" spans="1:19">
      <c r="A12" s="4478" t="s">
        <v>409</v>
      </c>
      <c r="B12" s="4479">
        <v>40</v>
      </c>
      <c r="C12" s="4480" t="s">
        <v>410</v>
      </c>
      <c r="D12" s="4464">
        <v>0.045</v>
      </c>
      <c r="E12" s="4480" t="s">
        <v>411</v>
      </c>
      <c r="F12" s="4481">
        <f>ROUND(1-(1/(POWER(1+D12,B12))),4)</f>
        <v>0.8281</v>
      </c>
      <c r="I12" s="4482" t="s">
        <v>399</v>
      </c>
      <c r="J12" s="4459">
        <f>ROUND(J6/$K$7,0)</f>
        <v>50</v>
      </c>
      <c r="K12" s="4459">
        <f t="shared" si="0"/>
        <v>42</v>
      </c>
      <c r="L12" s="4459">
        <f t="shared" si="0"/>
        <v>8</v>
      </c>
      <c r="M12" s="4459">
        <f t="shared" si="0"/>
        <v>17</v>
      </c>
      <c r="N12" s="4459">
        <f t="shared" si="0"/>
        <v>29</v>
      </c>
      <c r="O12" s="4459">
        <f t="shared" si="0"/>
        <v>33</v>
      </c>
      <c r="P12" s="4459">
        <f t="shared" si="0"/>
        <v>25</v>
      </c>
      <c r="Q12" s="4459">
        <f t="shared" si="0"/>
        <v>8</v>
      </c>
      <c r="R12" s="4476">
        <f t="shared" si="1"/>
        <v>212</v>
      </c>
      <c r="S12" s="4477"/>
    </row>
    <row r="13" spans="1:19">
      <c r="A13" s="545" t="s">
        <v>412</v>
      </c>
      <c r="B13" s="4454"/>
      <c r="C13" s="4454"/>
      <c r="D13" s="4448"/>
      <c r="E13" s="4448"/>
      <c r="F13" s="4449"/>
      <c r="I13" s="4483" t="s">
        <v>413</v>
      </c>
      <c r="J13" s="4484">
        <v>1</v>
      </c>
      <c r="K13" s="4473" t="s">
        <v>414</v>
      </c>
      <c r="L13" s="4485">
        <v>1.0583</v>
      </c>
      <c r="M13" s="4473"/>
      <c r="N13" s="4441"/>
      <c r="O13" s="4441"/>
      <c r="P13" s="4441"/>
      <c r="Q13" s="4441"/>
      <c r="R13" s="4442"/>
      <c r="S13" s="4477"/>
    </row>
    <row r="14" spans="1:19">
      <c r="A14" s="4478" t="s">
        <v>415</v>
      </c>
      <c r="B14" s="4486">
        <v>5000</v>
      </c>
      <c r="C14" s="4487"/>
      <c r="D14" s="4448"/>
      <c r="E14" s="4448"/>
      <c r="F14" s="4449"/>
      <c r="I14" s="4455"/>
      <c r="J14" s="4456" t="s">
        <v>383</v>
      </c>
      <c r="K14" s="4456" t="s">
        <v>384</v>
      </c>
      <c r="L14" s="4456" t="s">
        <v>385</v>
      </c>
      <c r="M14" s="4456" t="s">
        <v>386</v>
      </c>
      <c r="N14" s="4457" t="s">
        <v>387</v>
      </c>
      <c r="O14" s="4457" t="s">
        <v>388</v>
      </c>
      <c r="P14" s="4457" t="s">
        <v>389</v>
      </c>
      <c r="Q14" s="4457" t="s">
        <v>390</v>
      </c>
      <c r="R14" s="4458" t="s">
        <v>391</v>
      </c>
      <c r="S14" s="4477"/>
    </row>
    <row r="15" spans="1:19">
      <c r="A15" s="4478" t="s">
        <v>416</v>
      </c>
      <c r="B15" s="4488">
        <f>ROUND(B14*F12/F11,2)</f>
        <v>4339.69</v>
      </c>
      <c r="C15" s="4463">
        <f>ROUND(F12/F11,4)</f>
        <v>0.8679</v>
      </c>
      <c r="D15" s="4448"/>
      <c r="E15" s="4448"/>
      <c r="F15" s="4449"/>
      <c r="I15" s="4455" t="s">
        <v>397</v>
      </c>
      <c r="J15" s="4459">
        <f>ROUND(J10*$L$13,0)</f>
        <v>71</v>
      </c>
      <c r="K15" s="4459">
        <f t="shared" ref="K15:Q15" si="2">ROUND(K10*$L$13,0)</f>
        <v>61</v>
      </c>
      <c r="L15" s="4459">
        <f t="shared" si="2"/>
        <v>18</v>
      </c>
      <c r="M15" s="4459">
        <f t="shared" si="2"/>
        <v>26</v>
      </c>
      <c r="N15" s="4459">
        <f t="shared" si="2"/>
        <v>40</v>
      </c>
      <c r="O15" s="4459">
        <f t="shared" si="2"/>
        <v>53</v>
      </c>
      <c r="P15" s="4459">
        <f t="shared" si="2"/>
        <v>44</v>
      </c>
      <c r="Q15" s="4459">
        <f t="shared" si="2"/>
        <v>18</v>
      </c>
      <c r="R15" s="4489">
        <f>SUM(J15:Q15)</f>
        <v>331</v>
      </c>
      <c r="S15" s="4477"/>
    </row>
    <row r="16" spans="1:19">
      <c r="A16" s="545" t="s">
        <v>417</v>
      </c>
      <c r="B16" s="4490"/>
      <c r="C16" s="4490"/>
      <c r="D16" s="4448"/>
      <c r="E16" s="4448"/>
      <c r="F16" s="4449"/>
      <c r="I16" s="4455" t="s">
        <v>398</v>
      </c>
      <c r="J16" s="4459">
        <f t="shared" ref="J16:Q16" si="3">ROUND(J11*$L$13,0)</f>
        <v>61</v>
      </c>
      <c r="K16" s="4459">
        <f t="shared" si="3"/>
        <v>53</v>
      </c>
      <c r="L16" s="4459">
        <f t="shared" si="3"/>
        <v>14</v>
      </c>
      <c r="M16" s="4459">
        <f t="shared" si="3"/>
        <v>22</v>
      </c>
      <c r="N16" s="4459">
        <f t="shared" si="3"/>
        <v>35</v>
      </c>
      <c r="O16" s="4459">
        <f t="shared" si="3"/>
        <v>44</v>
      </c>
      <c r="P16" s="4459">
        <f t="shared" si="3"/>
        <v>35</v>
      </c>
      <c r="Q16" s="4459">
        <f t="shared" si="3"/>
        <v>14</v>
      </c>
      <c r="R16" s="4489">
        <f t="shared" ref="R16:R17" si="4">SUM(J16:Q16)</f>
        <v>278</v>
      </c>
      <c r="S16" s="4477"/>
    </row>
    <row r="17" ht="14.25" spans="1:19">
      <c r="A17" s="4478" t="s">
        <v>416</v>
      </c>
      <c r="B17" s="4491">
        <v>4810</v>
      </c>
      <c r="C17" s="4487"/>
      <c r="D17" s="4448"/>
      <c r="E17" s="4448"/>
      <c r="F17" s="4449"/>
      <c r="I17" s="4465" t="s">
        <v>399</v>
      </c>
      <c r="J17" s="4459">
        <f t="shared" ref="J17:Q17" si="5">ROUND(J12*$L$13,0)</f>
        <v>53</v>
      </c>
      <c r="K17" s="4459">
        <f t="shared" si="5"/>
        <v>44</v>
      </c>
      <c r="L17" s="4459">
        <f t="shared" si="5"/>
        <v>8</v>
      </c>
      <c r="M17" s="4459">
        <f t="shared" si="5"/>
        <v>18</v>
      </c>
      <c r="N17" s="4459">
        <f t="shared" si="5"/>
        <v>31</v>
      </c>
      <c r="O17" s="4459">
        <f t="shared" si="5"/>
        <v>35</v>
      </c>
      <c r="P17" s="4459">
        <f t="shared" si="5"/>
        <v>26</v>
      </c>
      <c r="Q17" s="4459">
        <f t="shared" si="5"/>
        <v>8</v>
      </c>
      <c r="R17" s="4489">
        <f t="shared" si="4"/>
        <v>223</v>
      </c>
      <c r="S17" s="4492"/>
    </row>
    <row r="18" ht="14.25" spans="1:19">
      <c r="A18" s="4493" t="s">
        <v>415</v>
      </c>
      <c r="B18" s="4494">
        <f>ROUND(B17*F11/F12,2)</f>
        <v>5541.87</v>
      </c>
      <c r="C18" s="4495">
        <f>ROUND(F11/F12,4)</f>
        <v>1.1522</v>
      </c>
      <c r="D18" s="4496"/>
      <c r="E18" s="4496"/>
      <c r="F18" s="4497"/>
    </row>
    <row r="19" s="4435" customFormat="1" ht="14.25" spans="1:19">
      <c r="I19" s="4498"/>
      <c r="J19" s="4498"/>
      <c r="K19" s="4498"/>
      <c r="L19" s="4498"/>
      <c r="M19" s="4498"/>
    </row>
    <row r="20" s="4436" customFormat="1" spans="1:19">
      <c r="A20" s="4499" t="s">
        <v>418</v>
      </c>
      <c r="B20" s="4500"/>
      <c r="C20" s="4500"/>
      <c r="D20" s="4500"/>
      <c r="E20" s="4500"/>
      <c r="F20" s="4500"/>
      <c r="G20" s="4501"/>
      <c r="I20" s="4502" t="s">
        <v>419</v>
      </c>
      <c r="J20" s="4502" t="s">
        <v>420</v>
      </c>
      <c r="K20" s="4502"/>
      <c r="L20" s="4502"/>
      <c r="M20" s="4502"/>
    </row>
    <row r="21" spans="1:19">
      <c r="A21" s="4455"/>
      <c r="B21" s="4456" t="s">
        <v>421</v>
      </c>
      <c r="C21" s="4456" t="s">
        <v>394</v>
      </c>
      <c r="D21" s="4456" t="s">
        <v>422</v>
      </c>
      <c r="E21" s="4456" t="s">
        <v>395</v>
      </c>
      <c r="F21" s="4456" t="s">
        <v>423</v>
      </c>
      <c r="G21" s="4503" t="s">
        <v>424</v>
      </c>
      <c r="I21" s="4504">
        <v>5</v>
      </c>
      <c r="J21" s="4505">
        <v>54.2</v>
      </c>
      <c r="K21" s="4505"/>
    </row>
    <row r="22" spans="1:19">
      <c r="A22" s="4455" t="s">
        <v>425</v>
      </c>
      <c r="B22" s="4506">
        <v>70</v>
      </c>
      <c r="C22" s="4507">
        <v>30</v>
      </c>
      <c r="D22" s="4508">
        <v>0.04</v>
      </c>
      <c r="E22" s="4509">
        <f>ROUND(POWER(1+D22,B22-C22)*(POWER(1+D22,C22)-1)/(POWER(1+D22,B22)-1),4)</f>
        <v>0.7391</v>
      </c>
      <c r="F22" s="4508">
        <v>0.7</v>
      </c>
      <c r="G22" s="4510">
        <f>ROUND(100*(1-(1-E22)*F22),1)</f>
        <v>81.7</v>
      </c>
      <c r="I22" s="4504">
        <v>10</v>
      </c>
      <c r="J22" s="4505">
        <v>65.4</v>
      </c>
      <c r="K22" s="4505">
        <f>J22-J21</f>
        <v>11.2</v>
      </c>
    </row>
    <row r="23" spans="1:19">
      <c r="A23" s="4455" t="s">
        <v>426</v>
      </c>
      <c r="B23" s="4506">
        <v>70</v>
      </c>
      <c r="C23" s="4507">
        <v>40</v>
      </c>
      <c r="D23" s="4508">
        <v>0.04</v>
      </c>
      <c r="E23" s="4509">
        <f>ROUND(POWER(1+D23,B23-C23)*(POWER(1+D23,C23)-1)/(POWER(1+D23,B23)-1),4)</f>
        <v>0.846</v>
      </c>
      <c r="F23" s="4508">
        <f>F22</f>
        <v>0.7</v>
      </c>
      <c r="G23" s="4510">
        <f t="shared" ref="G23:G25" si="6">ROUND(100*(1-(1-E23)*F23),1)</f>
        <v>89.2</v>
      </c>
      <c r="I23" s="4504">
        <v>15</v>
      </c>
      <c r="J23" s="4505">
        <v>74.1</v>
      </c>
      <c r="K23" s="4505">
        <f t="shared" ref="K23:K30" si="7">J23-J22</f>
        <v>8.69999999999999</v>
      </c>
      <c r="L23" s="4439" t="s">
        <v>427</v>
      </c>
      <c r="N23" s="4511" t="s">
        <v>428</v>
      </c>
    </row>
    <row r="24" spans="1:19">
      <c r="A24" s="4455" t="s">
        <v>429</v>
      </c>
      <c r="B24" s="4506">
        <v>70</v>
      </c>
      <c r="C24" s="4507">
        <v>50</v>
      </c>
      <c r="D24" s="4508">
        <v>0.04</v>
      </c>
      <c r="E24" s="4509">
        <f>ROUND(POWER(1+D24,B24-C24)*(POWER(1+D24,C24)-1)/(POWER(1+D24,B24)-1),4)</f>
        <v>0.9183</v>
      </c>
      <c r="F24" s="4508">
        <f>F23</f>
        <v>0.7</v>
      </c>
      <c r="G24" s="4510">
        <f t="shared" si="6"/>
        <v>94.3</v>
      </c>
      <c r="I24" s="4504">
        <v>20</v>
      </c>
      <c r="J24" s="4505">
        <v>81</v>
      </c>
      <c r="K24" s="4505">
        <f t="shared" si="7"/>
        <v>6.90000000000001</v>
      </c>
      <c r="L24" s="4439" t="s">
        <v>430</v>
      </c>
      <c r="N24" s="4512">
        <v>10</v>
      </c>
    </row>
    <row r="25" spans="1:19">
      <c r="A25" s="4455" t="s">
        <v>431</v>
      </c>
      <c r="B25" s="4506">
        <v>70</v>
      </c>
      <c r="C25" s="4507">
        <v>60</v>
      </c>
      <c r="D25" s="4508">
        <v>0.04</v>
      </c>
      <c r="E25" s="4509">
        <f>ROUND(POWER(1+D25,B25-C25)*(POWER(1+D25,C25)-1)/(POWER(1+D25,B25)-1),4)</f>
        <v>0.967</v>
      </c>
      <c r="F25" s="4508">
        <f>F24</f>
        <v>0.7</v>
      </c>
      <c r="G25" s="4510">
        <f t="shared" si="6"/>
        <v>97.7</v>
      </c>
      <c r="I25" s="4504">
        <v>25</v>
      </c>
      <c r="J25" s="4505">
        <v>86.3</v>
      </c>
      <c r="K25" s="4505">
        <f t="shared" si="7"/>
        <v>5.3</v>
      </c>
      <c r="L25" s="4439" t="s">
        <v>432</v>
      </c>
      <c r="N25" s="4512">
        <v>8</v>
      </c>
    </row>
    <row r="26" spans="1:19">
      <c r="A26" s="97"/>
      <c r="B26" s="4513"/>
      <c r="C26" s="4513"/>
      <c r="D26" s="4513"/>
      <c r="E26" s="4513"/>
      <c r="F26" s="4513"/>
      <c r="G26" s="4514"/>
      <c r="I26" s="4504">
        <v>30</v>
      </c>
      <c r="J26" s="4505">
        <v>90.5</v>
      </c>
      <c r="K26" s="4505">
        <f t="shared" si="7"/>
        <v>4.2</v>
      </c>
      <c r="L26" s="4439" t="s">
        <v>433</v>
      </c>
      <c r="N26" s="4512">
        <v>5</v>
      </c>
    </row>
    <row r="27" spans="1:19">
      <c r="A27" s="97" t="s">
        <v>434</v>
      </c>
      <c r="B27" s="4513"/>
      <c r="C27" s="4513"/>
      <c r="D27" s="4513"/>
      <c r="E27" s="4513"/>
      <c r="F27" s="4513"/>
      <c r="G27" s="4514"/>
      <c r="I27" s="4504">
        <v>35</v>
      </c>
      <c r="J27" s="4505">
        <v>93.8</v>
      </c>
      <c r="K27" s="4505">
        <f t="shared" si="7"/>
        <v>3.3</v>
      </c>
      <c r="L27" s="4439" t="s">
        <v>435</v>
      </c>
      <c r="N27" s="4512">
        <v>3</v>
      </c>
    </row>
    <row r="28" spans="1:19">
      <c r="A28" s="97" t="s">
        <v>436</v>
      </c>
      <c r="B28" s="4513"/>
      <c r="C28" s="4513"/>
      <c r="D28" s="4513"/>
      <c r="E28" s="4513"/>
      <c r="F28" s="4513"/>
      <c r="G28" s="4514"/>
      <c r="I28" s="4504">
        <v>40</v>
      </c>
      <c r="J28" s="4505">
        <v>96.4</v>
      </c>
      <c r="K28" s="4505">
        <f t="shared" si="7"/>
        <v>2.60000000000001</v>
      </c>
      <c r="L28" s="4439" t="s">
        <v>437</v>
      </c>
      <c r="N28" s="4512">
        <v>2</v>
      </c>
    </row>
    <row r="29" spans="1:19">
      <c r="A29" s="97" t="s">
        <v>438</v>
      </c>
      <c r="B29" s="4513"/>
      <c r="C29" s="4513"/>
      <c r="D29" s="4513"/>
      <c r="E29" s="4513"/>
      <c r="F29" s="4513"/>
      <c r="G29" s="4514"/>
      <c r="I29" s="4504">
        <v>45</v>
      </c>
      <c r="J29" s="4505">
        <v>98.4</v>
      </c>
      <c r="K29" s="4505">
        <f t="shared" si="7"/>
        <v>2</v>
      </c>
    </row>
    <row r="30" spans="1:19">
      <c r="A30" s="97" t="s">
        <v>439</v>
      </c>
      <c r="B30" s="4513"/>
      <c r="C30" s="4513"/>
      <c r="D30" s="4513"/>
      <c r="E30" s="4513"/>
      <c r="F30" s="4513"/>
      <c r="G30" s="4514"/>
      <c r="I30" s="4504">
        <v>50</v>
      </c>
      <c r="J30" s="4505">
        <v>100</v>
      </c>
      <c r="K30" s="4505">
        <f t="shared" si="7"/>
        <v>1.59999999999999</v>
      </c>
    </row>
    <row r="31" spans="1:19">
      <c r="A31" s="97" t="s">
        <v>440</v>
      </c>
      <c r="B31" s="4513"/>
      <c r="C31" s="4513"/>
      <c r="D31" s="4513"/>
      <c r="E31" s="4513"/>
      <c r="F31" s="4513"/>
      <c r="G31" s="4514"/>
      <c r="I31" s="4439" t="s">
        <v>441</v>
      </c>
    </row>
    <row r="32" spans="1:19">
      <c r="A32" s="97" t="s">
        <v>442</v>
      </c>
      <c r="B32" s="4513"/>
      <c r="C32" s="4513"/>
      <c r="D32" s="4513"/>
      <c r="E32" s="4513"/>
      <c r="F32" s="4513"/>
      <c r="G32" s="4514"/>
    </row>
    <row r="33" spans="1:15">
      <c r="A33" s="97" t="s">
        <v>443</v>
      </c>
      <c r="B33" s="4513"/>
      <c r="C33" s="4513"/>
      <c r="D33" s="4513"/>
      <c r="E33" s="4513"/>
      <c r="F33" s="4513"/>
      <c r="G33" s="4514"/>
      <c r="I33" s="4439" t="s">
        <v>419</v>
      </c>
      <c r="J33" s="4439" t="s">
        <v>444</v>
      </c>
    </row>
    <row r="34" spans="1:15">
      <c r="A34" s="97" t="s">
        <v>445</v>
      </c>
      <c r="B34" s="4513"/>
      <c r="C34" s="4513"/>
      <c r="D34" s="4513"/>
      <c r="E34" s="4513"/>
      <c r="F34" s="4513"/>
      <c r="G34" s="4514"/>
      <c r="I34" s="4504">
        <v>5</v>
      </c>
      <c r="J34" s="4505">
        <v>55.1</v>
      </c>
      <c r="K34" s="4505"/>
    </row>
    <row r="35" spans="1:15">
      <c r="A35" s="97" t="s">
        <v>446</v>
      </c>
      <c r="B35" s="4513"/>
      <c r="C35" s="4513"/>
      <c r="D35" s="4513"/>
      <c r="E35" s="4513"/>
      <c r="F35" s="4513"/>
      <c r="G35" s="4514"/>
      <c r="I35" s="4504">
        <v>10</v>
      </c>
      <c r="J35" s="4505">
        <v>67</v>
      </c>
      <c r="K35" s="4505">
        <f>J35-J34</f>
        <v>11.9</v>
      </c>
    </row>
    <row r="36" spans="1:15">
      <c r="A36" s="97" t="s">
        <v>447</v>
      </c>
      <c r="B36" s="4513"/>
      <c r="C36" s="4513"/>
      <c r="D36" s="4513"/>
      <c r="E36" s="4513"/>
      <c r="F36" s="4513"/>
      <c r="G36" s="4514"/>
      <c r="I36" s="4504">
        <v>15</v>
      </c>
      <c r="J36" s="4505">
        <v>76.3</v>
      </c>
      <c r="K36" s="4505">
        <f t="shared" ref="K36:K41" si="8">J36-J35</f>
        <v>9.3</v>
      </c>
      <c r="L36" s="4439" t="s">
        <v>427</v>
      </c>
      <c r="N36" s="4511" t="s">
        <v>428</v>
      </c>
    </row>
    <row r="37" spans="1:15">
      <c r="A37" s="97" t="s">
        <v>448</v>
      </c>
      <c r="B37" s="4513"/>
      <c r="C37" s="4513"/>
      <c r="D37" s="4513"/>
      <c r="E37" s="4513"/>
      <c r="F37" s="4513"/>
      <c r="G37" s="4514"/>
      <c r="I37" s="4504">
        <v>20</v>
      </c>
      <c r="J37" s="4505">
        <v>83.6</v>
      </c>
      <c r="K37" s="4505">
        <f t="shared" si="8"/>
        <v>7.3</v>
      </c>
      <c r="L37" s="4439" t="s">
        <v>430</v>
      </c>
      <c r="N37" s="4512">
        <v>10</v>
      </c>
    </row>
    <row r="38" spans="1:15">
      <c r="A38" s="97" t="s">
        <v>449</v>
      </c>
      <c r="B38" s="4513"/>
      <c r="C38" s="4513"/>
      <c r="D38" s="4513"/>
      <c r="E38" s="4513"/>
      <c r="F38" s="4513"/>
      <c r="G38" s="4514"/>
      <c r="I38" s="4504">
        <v>25</v>
      </c>
      <c r="J38" s="4505">
        <v>89.3</v>
      </c>
      <c r="K38" s="4505">
        <f t="shared" si="8"/>
        <v>5.7</v>
      </c>
      <c r="L38" s="4439" t="s">
        <v>432</v>
      </c>
      <c r="N38" s="4512">
        <v>8</v>
      </c>
    </row>
    <row r="39" spans="1:15">
      <c r="A39" s="97"/>
      <c r="B39" s="4513"/>
      <c r="C39" s="4513"/>
      <c r="D39" s="4513"/>
      <c r="E39" s="4513"/>
      <c r="F39" s="4513"/>
      <c r="G39" s="4514"/>
      <c r="I39" s="4504">
        <v>30</v>
      </c>
      <c r="J39" s="4505">
        <v>93.8</v>
      </c>
      <c r="K39" s="4505">
        <f t="shared" si="8"/>
        <v>4.5</v>
      </c>
      <c r="L39" s="4439" t="s">
        <v>433</v>
      </c>
      <c r="N39" s="4512">
        <v>6</v>
      </c>
    </row>
    <row r="40" spans="1:15">
      <c r="A40" s="4515" t="s">
        <v>450</v>
      </c>
      <c r="B40" s="4516"/>
      <c r="C40" s="4516"/>
      <c r="D40" s="4516"/>
      <c r="E40" s="4516"/>
      <c r="F40" s="4516"/>
      <c r="G40" s="4517"/>
      <c r="I40" s="4504">
        <v>35</v>
      </c>
      <c r="J40" s="4505">
        <v>97.2</v>
      </c>
      <c r="K40" s="4505">
        <f t="shared" si="8"/>
        <v>3.40000000000001</v>
      </c>
      <c r="L40" s="4439" t="s">
        <v>435</v>
      </c>
      <c r="N40" s="4512">
        <v>3</v>
      </c>
    </row>
    <row r="41" spans="1:15">
      <c r="A41" s="4518" t="s">
        <v>451</v>
      </c>
      <c r="B41" s="4519" t="s">
        <v>452</v>
      </c>
      <c r="C41" s="4520" t="s">
        <v>453</v>
      </c>
      <c r="D41" s="4520" t="s">
        <v>454</v>
      </c>
      <c r="E41" s="4521"/>
      <c r="F41" s="4522"/>
      <c r="G41" s="4523"/>
      <c r="I41" s="4504">
        <v>40</v>
      </c>
      <c r="J41" s="4505">
        <v>100</v>
      </c>
      <c r="K41" s="4505">
        <f t="shared" si="8"/>
        <v>2.8</v>
      </c>
    </row>
    <row r="42" spans="1:15">
      <c r="A42" s="4518" t="s">
        <v>233</v>
      </c>
      <c r="B42" s="4519" t="s">
        <v>455</v>
      </c>
      <c r="C42" s="4520" t="s">
        <v>455</v>
      </c>
      <c r="D42" s="4524" t="s">
        <v>456</v>
      </c>
      <c r="E42" s="4516" t="s">
        <v>457</v>
      </c>
      <c r="F42" s="4516"/>
      <c r="G42" s="4517"/>
    </row>
    <row r="43" spans="1:15">
      <c r="A43" s="4518" t="s">
        <v>232</v>
      </c>
      <c r="B43" s="4519" t="s">
        <v>458</v>
      </c>
      <c r="C43" s="4520" t="s">
        <v>459</v>
      </c>
      <c r="D43" s="4520" t="s">
        <v>460</v>
      </c>
      <c r="E43" s="4521" t="s">
        <v>461</v>
      </c>
      <c r="F43" s="4522"/>
      <c r="G43" s="4523"/>
      <c r="I43" s="4439" t="s">
        <v>419</v>
      </c>
      <c r="J43" s="4439" t="s">
        <v>462</v>
      </c>
    </row>
    <row r="44" spans="1:15">
      <c r="A44" s="4518" t="s">
        <v>463</v>
      </c>
      <c r="B44" s="4519" t="s">
        <v>464</v>
      </c>
      <c r="C44" s="4520" t="s">
        <v>465</v>
      </c>
      <c r="D44" s="4524">
        <v>0.5</v>
      </c>
      <c r="E44" s="4521" t="s">
        <v>466</v>
      </c>
      <c r="F44" s="4522"/>
      <c r="G44" s="4523"/>
      <c r="I44" s="4504">
        <v>30</v>
      </c>
      <c r="J44" s="4505">
        <v>81.7</v>
      </c>
      <c r="K44" s="4505"/>
    </row>
    <row r="45" ht="14.25" spans="1:15">
      <c r="A45" s="4525" t="s">
        <v>467</v>
      </c>
      <c r="B45" s="4526" t="s">
        <v>455</v>
      </c>
      <c r="C45" s="4527" t="s">
        <v>455</v>
      </c>
      <c r="D45" s="4527" t="s">
        <v>468</v>
      </c>
      <c r="E45" s="4528" t="s">
        <v>469</v>
      </c>
      <c r="F45" s="4528"/>
      <c r="G45" s="4529"/>
      <c r="I45" s="4504">
        <v>40</v>
      </c>
      <c r="J45" s="4505">
        <v>89.2</v>
      </c>
      <c r="K45" s="4505">
        <f>J45-J44</f>
        <v>7.5</v>
      </c>
    </row>
    <row r="46" spans="1:15">
      <c r="I46" s="4504">
        <v>50</v>
      </c>
      <c r="J46" s="4505">
        <v>94.3</v>
      </c>
      <c r="K46" s="4505">
        <f t="shared" ref="K46:K47" si="9">J46-J45</f>
        <v>5.09999999999999</v>
      </c>
    </row>
    <row r="47" spans="1:15">
      <c r="I47" s="4504">
        <v>60</v>
      </c>
      <c r="J47" s="4505">
        <v>97.7</v>
      </c>
      <c r="K47" s="4505">
        <f t="shared" si="9"/>
        <v>3.40000000000001</v>
      </c>
    </row>
    <row r="48" ht="14.25" spans="1:15">
      <c r="N48" s="4435"/>
      <c r="O48" s="4435"/>
    </row>
    <row r="49" s="4437" customFormat="1" ht="15.75" spans="1:16">
      <c r="A49" s="4530" t="s">
        <v>470</v>
      </c>
      <c r="B49" s="4531"/>
      <c r="C49" s="4531"/>
      <c r="D49" s="4531"/>
      <c r="E49" s="4531"/>
      <c r="I49" s="4532" t="s">
        <v>471</v>
      </c>
      <c r="J49" s="4532"/>
      <c r="K49" s="4532"/>
      <c r="L49" s="4532"/>
      <c r="M49" s="4532"/>
      <c r="N49" s="4496"/>
      <c r="O49" s="4496"/>
    </row>
    <row r="50" spans="1:16">
      <c r="A50" s="4533" t="s">
        <v>472</v>
      </c>
      <c r="B50" s="4534" t="s">
        <v>473</v>
      </c>
      <c r="C50" s="4535" t="s">
        <v>474</v>
      </c>
      <c r="D50" s="4536" t="s">
        <v>475</v>
      </c>
      <c r="E50" s="4537" t="s">
        <v>476</v>
      </c>
      <c r="F50" s="4538" t="s">
        <v>477</v>
      </c>
      <c r="I50" s="4539" t="s">
        <v>478</v>
      </c>
      <c r="J50" s="4540" t="s">
        <v>479</v>
      </c>
      <c r="K50" s="4540" t="s">
        <v>480</v>
      </c>
      <c r="L50" s="4540" t="s">
        <v>481</v>
      </c>
      <c r="M50" s="4541" t="s">
        <v>482</v>
      </c>
      <c r="N50" s="4542" t="s">
        <v>391</v>
      </c>
      <c r="O50" s="4541" t="s">
        <v>483</v>
      </c>
    </row>
    <row r="51" ht="15" spans="1:16">
      <c r="A51" s="4543" t="s">
        <v>484</v>
      </c>
      <c r="B51" s="4544">
        <f>B52+B53</f>
        <v>20903.38</v>
      </c>
      <c r="C51" s="4544">
        <f>E51/B51</f>
        <v>2537.09280508702</v>
      </c>
      <c r="D51" s="4545"/>
      <c r="E51" s="4546">
        <f>E52+E53</f>
        <v>53033815</v>
      </c>
      <c r="F51" s="4547">
        <f>E51/$E$62</f>
        <v>0.572371654285801</v>
      </c>
      <c r="I51" s="4455"/>
      <c r="J51" s="4456"/>
      <c r="K51" s="4456"/>
      <c r="L51" s="4456"/>
      <c r="M51" s="4503"/>
      <c r="N51" s="4548"/>
      <c r="O51" s="4549"/>
    </row>
    <row r="52" ht="14.25" spans="1:16">
      <c r="A52" s="4550" t="s">
        <v>485</v>
      </c>
      <c r="B52" s="4551">
        <f>'数据-汇总表'!F31</f>
        <v>20386.47</v>
      </c>
      <c r="C52" s="4552"/>
      <c r="D52" s="4553">
        <v>2500</v>
      </c>
      <c r="E52" s="4554">
        <f>D52*B52</f>
        <v>50966175</v>
      </c>
      <c r="F52" s="4555"/>
      <c r="G52" s="4556" t="s">
        <v>486</v>
      </c>
      <c r="H52" s="4556"/>
      <c r="I52" s="4557">
        <f>E52</f>
        <v>50966175</v>
      </c>
      <c r="J52" s="1122">
        <f>E55</f>
        <v>24463764</v>
      </c>
      <c r="K52" s="1122">
        <f>E58</f>
        <v>6115941</v>
      </c>
      <c r="L52" s="1122">
        <f>E60*B52/B51</f>
        <v>5708211.6</v>
      </c>
      <c r="M52" s="4558">
        <f>E61*B52/B51</f>
        <v>2631990.38380433</v>
      </c>
      <c r="N52" s="4559">
        <f>SUM(I52:M52)</f>
        <v>89886081.9838043</v>
      </c>
      <c r="O52" s="4558">
        <f>N52/B52</f>
        <v>4409.10476329665</v>
      </c>
      <c r="P52" s="4560" t="s">
        <v>487</v>
      </c>
    </row>
    <row r="53" ht="15" spans="1:16">
      <c r="A53" s="4550" t="s">
        <v>488</v>
      </c>
      <c r="B53" s="4551">
        <f>'数据-汇总表'!G31</f>
        <v>516.91</v>
      </c>
      <c r="C53" s="4552"/>
      <c r="D53" s="4553">
        <v>4000</v>
      </c>
      <c r="E53" s="4554">
        <f>D53*B53</f>
        <v>2067640</v>
      </c>
      <c r="F53" s="4555"/>
      <c r="G53" s="4556" t="s">
        <v>489</v>
      </c>
      <c r="H53" s="4556"/>
      <c r="I53" s="4561">
        <f>E53</f>
        <v>2067640</v>
      </c>
      <c r="J53" s="4562">
        <f>E56</f>
        <v>335991.5</v>
      </c>
      <c r="K53" s="4562">
        <f>E59</f>
        <v>155073</v>
      </c>
      <c r="L53" s="4562">
        <f>E60-L52</f>
        <v>144734.8</v>
      </c>
      <c r="M53" s="4563">
        <f>E61-M52</f>
        <v>66735.5431956728</v>
      </c>
      <c r="N53" s="4564">
        <f>SUM(I53:M53)</f>
        <v>2770174.84319567</v>
      </c>
      <c r="O53" s="4563">
        <f>N53/B53</f>
        <v>5359.10476329665</v>
      </c>
      <c r="P53" s="4560" t="s">
        <v>490</v>
      </c>
    </row>
    <row r="54" ht="15" spans="1:16">
      <c r="A54" s="4543" t="s">
        <v>491</v>
      </c>
      <c r="B54" s="4544">
        <f>B51</f>
        <v>20903.38</v>
      </c>
      <c r="C54" s="4544">
        <f>E54/B54</f>
        <v>1186.39930480142</v>
      </c>
      <c r="D54" s="4565"/>
      <c r="E54" s="4546">
        <f>E55+E56</f>
        <v>24799755.5</v>
      </c>
      <c r="F54" s="4547">
        <f>E54/$E$62</f>
        <v>0.26765332800249</v>
      </c>
      <c r="G54" s="4556"/>
      <c r="H54" s="4556"/>
    </row>
    <row r="55" ht="15" spans="1:16">
      <c r="A55" s="4550" t="s">
        <v>487</v>
      </c>
      <c r="B55" s="4566">
        <f>B52</f>
        <v>20386.47</v>
      </c>
      <c r="C55" s="4544"/>
      <c r="D55" s="4567">
        <v>1200</v>
      </c>
      <c r="E55" s="4554">
        <f>D55*B55</f>
        <v>24463764</v>
      </c>
      <c r="F55" s="4555"/>
      <c r="G55" s="4556" t="s">
        <v>492</v>
      </c>
      <c r="H55" s="4556"/>
    </row>
    <row r="56" ht="15" spans="1:16">
      <c r="A56" s="4550" t="s">
        <v>490</v>
      </c>
      <c r="B56" s="4566">
        <f>B53</f>
        <v>516.91</v>
      </c>
      <c r="C56" s="4544"/>
      <c r="D56" s="4567">
        <v>650</v>
      </c>
      <c r="E56" s="4554">
        <f>D56*B56</f>
        <v>335991.5</v>
      </c>
      <c r="F56" s="4555"/>
      <c r="G56" s="4556" t="s">
        <v>493</v>
      </c>
      <c r="H56" s="4556"/>
    </row>
    <row r="57" ht="15" spans="1:16">
      <c r="A57" s="4568" t="s">
        <v>494</v>
      </c>
      <c r="B57" s="4544">
        <f>B51</f>
        <v>20903.38</v>
      </c>
      <c r="C57" s="4544">
        <f>E57/B57</f>
        <v>300</v>
      </c>
      <c r="D57" s="4565"/>
      <c r="E57" s="4546">
        <f>E58+E59</f>
        <v>6271014</v>
      </c>
      <c r="F57" s="4555">
        <f>E57/$E$62</f>
        <v>0.067680415923867</v>
      </c>
      <c r="G57" s="4556"/>
      <c r="H57" s="4556"/>
      <c r="I57" s="4569" t="s">
        <v>495</v>
      </c>
      <c r="J57" s="4569"/>
      <c r="K57" s="4569"/>
      <c r="L57" s="4569"/>
      <c r="M57" s="4569"/>
      <c r="N57" s="4570"/>
    </row>
    <row r="58" ht="14.25" spans="1:16">
      <c r="A58" s="4550" t="s">
        <v>487</v>
      </c>
      <c r="B58" s="4566">
        <f>B52</f>
        <v>20386.47</v>
      </c>
      <c r="C58" s="4571">
        <v>300</v>
      </c>
      <c r="D58" s="4572"/>
      <c r="E58" s="4554">
        <f>C58*B58</f>
        <v>6115941</v>
      </c>
      <c r="F58" s="4555"/>
      <c r="G58" s="4556"/>
      <c r="H58" s="4556"/>
      <c r="I58" s="1122">
        <f>I52+I53</f>
        <v>53033815</v>
      </c>
      <c r="J58" s="1122">
        <f t="shared" ref="J58:M58" si="10">J52+J53</f>
        <v>24799755.5</v>
      </c>
      <c r="K58" s="1122">
        <f t="shared" si="10"/>
        <v>6271014</v>
      </c>
      <c r="L58" s="1122">
        <f t="shared" si="10"/>
        <v>5852946.4</v>
      </c>
      <c r="M58" s="4573">
        <f t="shared" si="10"/>
        <v>2698725.927</v>
      </c>
      <c r="N58" s="4573">
        <f>SUM(I58:M58)</f>
        <v>92656256.827</v>
      </c>
    </row>
    <row r="59" ht="14.25" spans="1:16">
      <c r="A59" s="4550" t="s">
        <v>490</v>
      </c>
      <c r="B59" s="4566">
        <f>B53</f>
        <v>516.91</v>
      </c>
      <c r="C59" s="4571">
        <v>300</v>
      </c>
      <c r="D59" s="4572"/>
      <c r="E59" s="4554">
        <f>C59*B59</f>
        <v>155073</v>
      </c>
      <c r="F59" s="4555"/>
      <c r="G59" s="4556" t="s">
        <v>496</v>
      </c>
      <c r="H59" s="4556"/>
      <c r="I59" s="4574">
        <f>I58/$E$62</f>
        <v>0.572371654285801</v>
      </c>
      <c r="J59" s="4574">
        <f t="shared" ref="J59:M59" si="11">J58/$E$62</f>
        <v>0.26765332800249</v>
      </c>
      <c r="K59" s="4574">
        <f t="shared" si="11"/>
        <v>0.067680415923867</v>
      </c>
      <c r="L59" s="4574">
        <f t="shared" si="11"/>
        <v>0.0631683881956092</v>
      </c>
      <c r="M59" s="4575">
        <f t="shared" si="11"/>
        <v>0.029126213592233</v>
      </c>
      <c r="N59" s="4575">
        <f>SUM(I59:M59)</f>
        <v>1</v>
      </c>
    </row>
    <row r="60" ht="15" spans="1:16">
      <c r="A60" s="4543" t="s">
        <v>497</v>
      </c>
      <c r="B60" s="4576">
        <f>B51*0.07</f>
        <v>1463.2366</v>
      </c>
      <c r="C60" s="4544">
        <f>E60/B51</f>
        <v>280</v>
      </c>
      <c r="D60" s="4577">
        <f>D53</f>
        <v>4000</v>
      </c>
      <c r="E60" s="4546">
        <f>D60*B60</f>
        <v>5852946.4</v>
      </c>
      <c r="F60" s="4555">
        <f>E60/$E$62</f>
        <v>0.0631683881956092</v>
      </c>
      <c r="G60" s="4578">
        <f>B60/(B62+B60)</f>
        <v>0.0654205607476636</v>
      </c>
      <c r="H60" s="4579" t="s">
        <v>498</v>
      </c>
    </row>
    <row r="61" ht="15" spans="1:16">
      <c r="A61" s="4543" t="s">
        <v>499</v>
      </c>
      <c r="B61" s="4580">
        <f>B51</f>
        <v>20903.38</v>
      </c>
      <c r="C61" s="4544">
        <f>E61/B61</f>
        <v>129.104763296653</v>
      </c>
      <c r="D61" s="4581">
        <v>0.03</v>
      </c>
      <c r="E61" s="4546">
        <f>(E51+E54+E57+E60)*D61</f>
        <v>2698725.927</v>
      </c>
      <c r="F61" s="4555">
        <f>E61/$E$62</f>
        <v>0.029126213592233</v>
      </c>
      <c r="G61" s="4556" t="s">
        <v>500</v>
      </c>
    </row>
    <row r="62" ht="15.75" spans="1:16">
      <c r="A62" s="4582" t="s">
        <v>501</v>
      </c>
      <c r="B62" s="4583">
        <f>B51</f>
        <v>20903.38</v>
      </c>
      <c r="C62" s="4584">
        <f>C51+C54+C57+C61+C60</f>
        <v>4432.5968731851</v>
      </c>
      <c r="D62" s="4585">
        <f>E62/B62</f>
        <v>4432.5968731851</v>
      </c>
      <c r="E62" s="4586">
        <f>E51+E54+E57+E61+E60</f>
        <v>92656256.827</v>
      </c>
      <c r="F62" s="4587">
        <f>F51+F54+F57+F60+F61</f>
        <v>1</v>
      </c>
      <c r="G62" s="4560"/>
    </row>
    <row r="63" spans="1:16">
      <c r="B63" s="4588"/>
      <c r="C63" s="4588"/>
      <c r="D63" s="4588"/>
    </row>
    <row r="65" ht="14.25" spans="1:4">
      <c r="B65" s="4588"/>
      <c r="C65" s="4588"/>
      <c r="D65" s="4588"/>
    </row>
    <row r="66" spans="1:4">
      <c r="A66" s="4589" t="s">
        <v>502</v>
      </c>
      <c r="B66" s="4590"/>
      <c r="C66" s="4590"/>
      <c r="D66" s="4591"/>
    </row>
    <row r="67" spans="1:4">
      <c r="A67" s="4592" t="s">
        <v>503</v>
      </c>
      <c r="B67" s="4593"/>
      <c r="C67" s="4593"/>
      <c r="D67" s="4594" t="s">
        <v>504</v>
      </c>
    </row>
    <row r="68" spans="1:4">
      <c r="A68" s="4592" t="s">
        <v>505</v>
      </c>
      <c r="B68" s="4593"/>
      <c r="C68" s="4593"/>
      <c r="D68" s="4594" t="s">
        <v>506</v>
      </c>
    </row>
    <row r="69" ht="14.25" spans="1:4">
      <c r="A69" s="4595" t="s">
        <v>507</v>
      </c>
      <c r="B69" s="4596"/>
      <c r="C69" s="4596"/>
      <c r="D69" s="459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22" sqref="M22"/>
    </sheetView>
  </sheetViews>
  <sheetFormatPr defaultColWidth="10" defaultRowHeight="12.75"/>
  <cols>
    <col min="1" max="1" width="16.875" style="3922" customWidth="1"/>
    <col min="2" max="2" width="10" style="3922" customWidth="1"/>
    <col min="3" max="3" width="11.5" style="3922" customWidth="1"/>
    <col min="4" max="4" width="10" style="3922" customWidth="1"/>
    <col min="5" max="5" width="12.625" style="3922" customWidth="1"/>
    <col min="6" max="6" width="10" style="3922" customWidth="1"/>
    <col min="7" max="7" width="10.75" style="3922" customWidth="1"/>
    <col min="8" max="8" width="10" style="3922" customWidth="1"/>
    <col min="9" max="9" width="11.125" style="4213" customWidth="1"/>
    <col min="10" max="10" width="10" style="4133" customWidth="1"/>
    <col min="11" max="11" width="10" style="4291" customWidth="1"/>
    <col min="12" max="13" width="10" style="4292" customWidth="1"/>
    <col min="14" max="14" width="10" style="4133" customWidth="1"/>
    <col min="15" max="15" width="10" style="3273" customWidth="1"/>
    <col min="16" max="17" width="10" style="4133"/>
    <col min="18" max="18" width="10" style="4133" customWidth="1"/>
    <col min="19" max="30" width="10" style="4133"/>
    <col min="31" max="16384" width="10" style="3922"/>
  </cols>
  <sheetData>
    <row r="1" ht="13.5" spans="1:30">
      <c r="A1" s="4293" t="s">
        <v>509</v>
      </c>
      <c r="B1" s="4294" t="str">
        <f>IF(B10="北京市","北京市",C10)&amp;F10&amp;IF(结果表!G1="在建","出让国有建设用地使用权及在建建筑物",IF(结果表!G1="土地","出让国有建设用地使用权",))&amp;B9&amp;"预评估"</f>
        <v>北京市房地产抵押价值预评估</v>
      </c>
      <c r="C1" s="4295"/>
      <c r="D1" s="4295"/>
      <c r="E1" s="4295"/>
      <c r="F1" s="4295"/>
      <c r="G1" s="4295"/>
      <c r="H1" s="4295"/>
      <c r="I1" s="4296"/>
      <c r="J1" s="3881"/>
      <c r="K1" s="4297"/>
      <c r="L1" s="4298"/>
      <c r="M1" s="4298"/>
      <c r="N1" s="4299"/>
      <c r="O1" s="4221"/>
      <c r="P1" s="4299"/>
      <c r="Q1" s="4299"/>
      <c r="R1" s="4299"/>
      <c r="S1" s="3923" t="str">
        <f>IF(B10="北京市","北京市",C10)&amp;F10&amp;IF(结果表!G1="在建","出让国有建设用地使用权及在建建筑物房地产抵押价值",IF(结果表!G1="土地","出让国有建设用地使用权抵押价值",B9))</f>
        <v>北京市房地产抵押价值</v>
      </c>
      <c r="T1" s="3922"/>
      <c r="U1" s="3922"/>
      <c r="V1" s="3922"/>
      <c r="W1" s="3922"/>
      <c r="X1" s="3922"/>
      <c r="Y1" s="3922"/>
      <c r="Z1" s="3922"/>
      <c r="AA1" s="3922"/>
      <c r="AB1" s="3922"/>
    </row>
    <row r="2" spans="1:30">
      <c r="A2" s="4300" t="s">
        <v>510</v>
      </c>
      <c r="B2" s="4301"/>
      <c r="C2" s="4302"/>
      <c r="D2" s="4303"/>
      <c r="E2" s="4304"/>
      <c r="F2" s="4304"/>
      <c r="G2" s="4305"/>
      <c r="H2" s="4305"/>
      <c r="I2" s="4305"/>
      <c r="J2" s="3881"/>
      <c r="K2" s="4297"/>
      <c r="L2" s="4298"/>
      <c r="M2" s="4298"/>
      <c r="N2" s="4299"/>
      <c r="O2" s="4221"/>
      <c r="P2" s="4299"/>
      <c r="Q2" s="4299"/>
      <c r="R2" s="4299"/>
      <c r="S2" s="3923" t="str">
        <f>IF(B10="北京市","北京市",C10)&amp;F10&amp;IF(结果表!G1="在建","出让国有建设用地使用权及在建建筑物房地产",IF(结果表!G1="土地","出让国有建设用地使用权","房地产"))</f>
        <v>北京市房地产</v>
      </c>
      <c r="T2" s="3922"/>
      <c r="U2" s="3922"/>
      <c r="V2" s="3922"/>
      <c r="W2" s="3922"/>
      <c r="X2" s="3922"/>
      <c r="Y2" s="3922"/>
      <c r="Z2" s="3922"/>
      <c r="AA2" s="3922"/>
      <c r="AB2" s="3922"/>
    </row>
    <row r="3" spans="1:30">
      <c r="A3" s="1320" t="s">
        <v>511</v>
      </c>
      <c r="B3" s="4306"/>
      <c r="C3" s="4307" t="s">
        <v>512</v>
      </c>
      <c r="D3" s="4306">
        <v>46086</v>
      </c>
      <c r="E3" s="4305"/>
      <c r="F3" s="4305"/>
      <c r="G3" s="4305"/>
      <c r="H3" s="4305"/>
      <c r="I3" s="4305"/>
      <c r="J3" s="3881"/>
      <c r="K3" s="4297"/>
      <c r="L3" s="4298"/>
      <c r="M3" s="4298"/>
      <c r="N3" s="4299"/>
      <c r="O3" s="4221"/>
      <c r="P3" s="4299"/>
      <c r="Q3" s="4299"/>
      <c r="R3" s="4299"/>
      <c r="S3" s="3923"/>
      <c r="T3" s="3922"/>
      <c r="U3" s="3922"/>
      <c r="V3" s="3922"/>
      <c r="W3" s="3922"/>
      <c r="X3" s="3922"/>
      <c r="Y3" s="3922"/>
      <c r="Z3" s="3922"/>
      <c r="AA3" s="3922"/>
      <c r="AB3" s="3922"/>
    </row>
    <row r="4" ht="13.5" spans="1:30">
      <c r="A4" s="2633" t="s">
        <v>513</v>
      </c>
      <c r="B4" s="4308"/>
      <c r="C4" s="4309">
        <f ca="1">SUMIF(注册房地产估价师,B4,估价师及机构信息!B3:B24)</f>
        <v>0</v>
      </c>
      <c r="D4" s="4308"/>
      <c r="E4" s="4309">
        <f ca="1">SUMIF(注册房地产估价师,D4,估价师及机构信息!B3:B24)</f>
        <v>0</v>
      </c>
      <c r="F4" s="4308"/>
      <c r="G4" s="4309">
        <f ca="1">SUMIF(注册房地产估价师,F4,估价师及机构信息!B3:B24)</f>
        <v>0</v>
      </c>
      <c r="H4" s="4308"/>
      <c r="I4" s="4309">
        <f ca="1">SUMIF(注册房地产估价师,H4,估价师及机构信息!B3:B24)</f>
        <v>0</v>
      </c>
      <c r="J4" s="3917"/>
      <c r="K4" s="4310" t="str">
        <f ca="1">CONCATENATE(B4,"（注册号：",C4,")、",D4,"（注册号：",E4,")")</f>
        <v>（注册号：0)、（注册号：0)</v>
      </c>
      <c r="L4" s="4298"/>
      <c r="M4" s="4298"/>
      <c r="N4" s="4299"/>
      <c r="O4" s="4221"/>
      <c r="P4" s="4299"/>
      <c r="Q4" s="4299"/>
      <c r="R4" s="4299"/>
      <c r="S4" s="3923"/>
      <c r="T4" s="3922"/>
      <c r="U4" s="3922"/>
      <c r="V4" s="3922"/>
      <c r="W4" s="3922"/>
      <c r="X4" s="3922"/>
      <c r="Y4" s="3922"/>
      <c r="Z4" s="3922"/>
      <c r="AA4" s="3922"/>
      <c r="AB4" s="3922"/>
    </row>
    <row r="5" ht="13.5" spans="1:30">
      <c r="A5" s="4311" t="s">
        <v>514</v>
      </c>
      <c r="B5" s="4312"/>
      <c r="C5" s="4313"/>
      <c r="D5" s="4314"/>
      <c r="E5" s="4130"/>
      <c r="F5" s="4130"/>
      <c r="G5" s="4130"/>
      <c r="H5" s="4130"/>
      <c r="I5" s="4130"/>
      <c r="J5" s="3917"/>
      <c r="K5" s="4310" t="str">
        <f ca="1">IF(F4="——","",IF(H4="——",F4&amp;"（注册号："&amp;G4&amp;")",CONCATENATE(F4,"（注册号：",G4,")、",H4,"（注册号：",I4,")")))</f>
        <v>（注册号：0)、（注册号：0)</v>
      </c>
      <c r="L5" s="4298"/>
      <c r="M5" s="4298"/>
      <c r="N5" s="4299"/>
      <c r="O5" s="4221"/>
      <c r="P5" s="4299"/>
      <c r="Q5" s="4299"/>
      <c r="R5" s="4299"/>
      <c r="S5" s="3922"/>
      <c r="T5" s="3922"/>
      <c r="U5" s="3922"/>
      <c r="V5" s="3922"/>
      <c r="W5" s="3922"/>
      <c r="X5" s="3922"/>
      <c r="Y5" s="3922"/>
      <c r="Z5" s="3922"/>
      <c r="AA5" s="3922"/>
      <c r="AB5" s="3922"/>
    </row>
    <row r="6" spans="1:30">
      <c r="A6" s="4315" t="s">
        <v>515</v>
      </c>
      <c r="B6" s="4316"/>
      <c r="C6" s="4317"/>
      <c r="D6" s="4318"/>
      <c r="E6" s="4304"/>
      <c r="F6" s="4130"/>
      <c r="G6" s="4130"/>
      <c r="H6" s="4130"/>
      <c r="I6" s="4130"/>
      <c r="J6" s="3917"/>
      <c r="K6" s="4319" t="str">
        <f>IF(COUNTIF(B6,"*上海银行*"),"上海银行","")</f>
        <v/>
      </c>
      <c r="L6" s="4320"/>
      <c r="M6" s="4320"/>
      <c r="N6" s="3917"/>
      <c r="O6" s="4321"/>
      <c r="P6" s="3917"/>
      <c r="Q6" s="3917"/>
      <c r="R6" s="3917"/>
    </row>
    <row r="7" spans="1:30">
      <c r="A7" s="4315" t="s">
        <v>516</v>
      </c>
      <c r="B7" s="4322"/>
      <c r="C7" s="4317"/>
      <c r="D7" s="4318"/>
      <c r="E7" s="4304"/>
      <c r="F7" s="4130"/>
      <c r="G7" s="4130"/>
      <c r="H7" s="4130"/>
      <c r="I7" s="4130"/>
      <c r="J7" s="3917"/>
      <c r="K7" s="4323"/>
      <c r="L7" s="4320"/>
      <c r="M7" s="4320"/>
      <c r="N7" s="3917"/>
      <c r="O7" s="4321"/>
      <c r="P7" s="3917"/>
      <c r="Q7" s="3917"/>
      <c r="R7" s="3917"/>
    </row>
    <row r="8" spans="1:30">
      <c r="A8" s="4324" t="s">
        <v>517</v>
      </c>
      <c r="B8" s="4325" t="s">
        <v>366</v>
      </c>
      <c r="C8" s="4326"/>
      <c r="D8" s="4327" t="s">
        <v>518</v>
      </c>
      <c r="E8" s="4328" t="s">
        <v>371</v>
      </c>
      <c r="F8" s="4329"/>
      <c r="G8" s="4305"/>
      <c r="H8" s="4305"/>
      <c r="I8" s="4305"/>
      <c r="J8" s="3917"/>
      <c r="K8" s="4330"/>
      <c r="L8" s="4320"/>
      <c r="M8" s="4320"/>
      <c r="N8" s="3917"/>
      <c r="O8" s="4321"/>
      <c r="P8" s="3917"/>
      <c r="Q8" s="3917"/>
      <c r="R8" s="3917"/>
    </row>
    <row r="9" ht="13.5" spans="1:30">
      <c r="A9" s="4331" t="s">
        <v>519</v>
      </c>
      <c r="B9" s="4332" t="s">
        <v>371</v>
      </c>
      <c r="C9" s="4333"/>
      <c r="D9" s="4334"/>
      <c r="E9" s="4332" t="s">
        <v>377</v>
      </c>
      <c r="F9" s="4335"/>
      <c r="G9" s="4336"/>
      <c r="H9" s="4336"/>
      <c r="I9" s="4336"/>
      <c r="J9" s="3917"/>
      <c r="K9" s="4323"/>
      <c r="L9" s="4320"/>
      <c r="M9" s="4320"/>
      <c r="N9" s="3917"/>
      <c r="O9" s="4321"/>
      <c r="P9" s="3917"/>
      <c r="Q9" s="3917"/>
      <c r="R9" s="3917"/>
    </row>
    <row r="10" ht="13.5" spans="1:30">
      <c r="A10" s="4337" t="s">
        <v>520</v>
      </c>
      <c r="B10" s="4338" t="s">
        <v>521</v>
      </c>
      <c r="C10" s="4339"/>
      <c r="D10" s="4314"/>
      <c r="E10" s="4340" t="s">
        <v>522</v>
      </c>
      <c r="F10" s="4341"/>
      <c r="G10" s="4342"/>
      <c r="H10" s="4343"/>
      <c r="I10" s="4344"/>
      <c r="J10" s="3917"/>
      <c r="K10" s="4323"/>
      <c r="L10" s="4320"/>
      <c r="M10" s="4320"/>
      <c r="N10" s="3917"/>
      <c r="O10" s="4321"/>
      <c r="P10" s="3917"/>
      <c r="Q10" s="3917"/>
      <c r="R10" s="3917"/>
    </row>
    <row r="11" spans="1:30">
      <c r="A11" s="4345" t="s">
        <v>523</v>
      </c>
      <c r="B11" s="4346" t="s">
        <v>524</v>
      </c>
      <c r="C11" s="4347"/>
      <c r="D11" s="4348"/>
      <c r="E11" s="4299"/>
      <c r="F11" s="4299"/>
      <c r="G11" s="4299"/>
      <c r="H11" s="4299"/>
      <c r="I11" s="4299"/>
      <c r="J11" s="4349"/>
      <c r="K11" s="4350"/>
      <c r="L11" s="4320"/>
      <c r="M11" s="4320"/>
      <c r="N11" s="3917"/>
      <c r="O11" s="4321"/>
      <c r="P11" s="3917"/>
      <c r="Q11" s="3917"/>
      <c r="R11" s="3917"/>
    </row>
    <row r="12" spans="1:30">
      <c r="A12" s="4351" t="s">
        <v>525</v>
      </c>
      <c r="B12" s="2667" t="s">
        <v>526</v>
      </c>
      <c r="C12" s="4352" t="s">
        <v>527</v>
      </c>
      <c r="D12" s="4352" t="s">
        <v>528</v>
      </c>
      <c r="E12" s="4352" t="s">
        <v>529</v>
      </c>
      <c r="F12" s="4352" t="s">
        <v>530</v>
      </c>
      <c r="G12" s="4352" t="s">
        <v>531</v>
      </c>
      <c r="H12" s="4352" t="s">
        <v>532</v>
      </c>
      <c r="I12" s="4353" t="s">
        <v>231</v>
      </c>
      <c r="J12" s="4354"/>
      <c r="K12" s="4320"/>
      <c r="L12" s="4320"/>
      <c r="M12" s="3917"/>
      <c r="N12" s="4321"/>
      <c r="O12" s="3917"/>
      <c r="P12" s="3917"/>
      <c r="Q12" s="3917"/>
      <c r="AD12" s="3922"/>
    </row>
    <row r="13" spans="1:30">
      <c r="A13" s="4346" t="s">
        <v>533</v>
      </c>
      <c r="B13" s="4355" t="s">
        <v>534</v>
      </c>
      <c r="C13" s="4356"/>
      <c r="D13" s="4356"/>
      <c r="E13" s="4356"/>
      <c r="F13" s="4356"/>
      <c r="G13" s="4356"/>
      <c r="H13" s="4356">
        <v>55590</v>
      </c>
      <c r="I13" s="4356"/>
      <c r="J13" s="4354"/>
      <c r="K13" s="4320"/>
      <c r="L13" s="4320"/>
      <c r="M13" s="3917"/>
      <c r="N13" s="4321"/>
      <c r="O13" s="3917"/>
      <c r="P13" s="3917"/>
      <c r="Q13" s="3917"/>
      <c r="AD13" s="3922"/>
    </row>
    <row r="14" spans="1:30">
      <c r="A14" s="2640"/>
      <c r="B14" s="4355" t="s">
        <v>535</v>
      </c>
      <c r="C14" s="4357"/>
      <c r="D14" s="4357"/>
      <c r="E14" s="4357"/>
      <c r="F14" s="4357"/>
      <c r="G14" s="4357"/>
      <c r="H14" s="4357">
        <v>50</v>
      </c>
      <c r="I14" s="4357"/>
      <c r="J14" s="4358"/>
      <c r="K14" s="4320"/>
      <c r="L14" s="4320"/>
      <c r="M14" s="3917"/>
      <c r="N14" s="4321"/>
      <c r="O14" s="3917"/>
      <c r="P14" s="3917"/>
      <c r="Q14" s="3917"/>
      <c r="AD14" s="3922"/>
    </row>
    <row r="15" spans="1:30">
      <c r="A15" s="2651"/>
      <c r="B15" s="4359" t="s">
        <v>536</v>
      </c>
      <c r="C15" s="3374" t="str">
        <f>IF(A13="出让",IF(C13="","",ROUNDDOWN(MIN((C13-$D$3)/365,C14),2)),C14)</f>
        <v/>
      </c>
      <c r="D15" s="3374" t="str">
        <f>IF(A13="出让",IF(D13="","",ROUNDDOWN(MIN((D13-$D$3)/365,D14),2)),D14)</f>
        <v/>
      </c>
      <c r="E15" s="3374" t="str">
        <f>IF(A13="出让",IF(E13="","",ROUNDDOWN(MIN((E13-$D$3)/365,E14),2)),E14)</f>
        <v/>
      </c>
      <c r="F15" s="3374" t="str">
        <f>IF(A13="出让",IF(F13="","",ROUNDDOWN(MIN((F13-$D$3)/365,F14),2)),F14)</f>
        <v/>
      </c>
      <c r="G15" s="3374" t="str">
        <f>IF(A13="出让",IF(G13="","",ROUNDDOWN(MIN((G13-$D$3)/365,G14),2)),G14)</f>
        <v/>
      </c>
      <c r="H15" s="3374">
        <f>IF(A13="出让",IF(H13="","",ROUNDDOWN(MIN((H13-$D$3)/365,H14),2)),H14)</f>
        <v>26.03</v>
      </c>
      <c r="I15" s="3374" t="str">
        <f>IF(A13="出让",IF(I13="","",ROUNDDOWN(MIN((I13-$D$3)/365,I14),2)),I14)</f>
        <v/>
      </c>
      <c r="J15" s="4360"/>
      <c r="K15" s="4321"/>
      <c r="L15" s="4321"/>
      <c r="M15" s="3917"/>
      <c r="N15" s="4321"/>
      <c r="O15" s="3917"/>
      <c r="P15" s="3917"/>
      <c r="Q15" s="3917"/>
      <c r="AD15" s="3922"/>
    </row>
    <row r="16" spans="1:30">
      <c r="A16" s="4340" t="s">
        <v>537</v>
      </c>
      <c r="B16" s="4361"/>
      <c r="C16" s="4362"/>
      <c r="D16" s="4363"/>
      <c r="E16" s="4364" t="s">
        <v>538</v>
      </c>
      <c r="F16" s="4365"/>
      <c r="G16" s="4366"/>
      <c r="H16" s="4366"/>
      <c r="I16" s="4367"/>
      <c r="J16" s="3917"/>
      <c r="K16" s="4368"/>
      <c r="L16" s="4321"/>
      <c r="M16" s="4321"/>
      <c r="N16" s="3917"/>
      <c r="O16" s="4321"/>
      <c r="P16" s="3917"/>
      <c r="Q16" s="3917"/>
      <c r="R16" s="3917"/>
    </row>
    <row r="17" spans="1:28">
      <c r="A17" s="2616" t="s">
        <v>539</v>
      </c>
      <c r="B17" s="1320" t="s">
        <v>540</v>
      </c>
      <c r="C17" s="4276">
        <f>'数据-汇总表'!E3</f>
        <v>20903.38</v>
      </c>
      <c r="D17" s="2662" t="s">
        <v>541</v>
      </c>
      <c r="E17" s="4369" t="s">
        <v>542</v>
      </c>
      <c r="F17" s="4370"/>
      <c r="G17" s="4370"/>
      <c r="H17" s="4370"/>
      <c r="I17" s="4371"/>
      <c r="J17" s="3917"/>
      <c r="K17" s="4372"/>
      <c r="L17" s="4321"/>
      <c r="M17" s="4321"/>
      <c r="N17" s="3917"/>
      <c r="O17" s="4321"/>
      <c r="P17" s="3917"/>
      <c r="Q17" s="3917"/>
      <c r="R17" s="3917"/>
      <c r="S17" s="3917"/>
      <c r="T17" s="3917"/>
      <c r="U17" s="3917"/>
      <c r="V17" s="3917"/>
    </row>
    <row r="18" ht="24.75" spans="1:28">
      <c r="A18" s="4373" t="s">
        <v>543</v>
      </c>
      <c r="B18" s="2633" t="s">
        <v>544</v>
      </c>
      <c r="C18" s="4374">
        <f>'数据-汇总表'!D3</f>
        <v>0</v>
      </c>
      <c r="D18" s="2679" t="s">
        <v>541</v>
      </c>
      <c r="E18" s="4375" t="s">
        <v>545</v>
      </c>
      <c r="F18" s="4376"/>
      <c r="G18" s="4376"/>
      <c r="H18" s="4376"/>
      <c r="I18" s="4377"/>
      <c r="J18" s="3917"/>
      <c r="K18" s="4372"/>
      <c r="L18" s="4321"/>
      <c r="M18" s="4321"/>
      <c r="N18" s="3917"/>
      <c r="O18" s="4321"/>
      <c r="P18" s="3917"/>
      <c r="Q18" s="3917"/>
      <c r="R18" s="3917"/>
      <c r="S18" s="3917"/>
      <c r="T18" s="3917"/>
      <c r="U18" s="3917"/>
      <c r="V18" s="3917"/>
    </row>
    <row r="19" ht="37.5" spans="1:28">
      <c r="A19" s="2674" t="s">
        <v>546</v>
      </c>
      <c r="B19" s="2610" t="s">
        <v>547</v>
      </c>
      <c r="C19" s="4378"/>
      <c r="D19" s="4379" t="s">
        <v>548</v>
      </c>
      <c r="E19" s="4380"/>
      <c r="F19" s="4381" t="str">
        <f>IF(AND(C19="是",E19="否"),"是否提供他项权证或相关说明","")</f>
        <v/>
      </c>
      <c r="G19" s="4382"/>
      <c r="H19" s="4130"/>
      <c r="I19" s="4130"/>
      <c r="J19" s="3917"/>
      <c r="K19" s="4323"/>
      <c r="L19" s="4320"/>
      <c r="M19" s="4320"/>
      <c r="N19" s="3917"/>
      <c r="O19" s="4321"/>
      <c r="P19" s="3917"/>
      <c r="Q19" s="3917"/>
      <c r="R19" s="3917"/>
      <c r="S19" s="3917"/>
      <c r="T19" s="3917"/>
      <c r="U19" s="3917"/>
      <c r="V19" s="3917"/>
    </row>
    <row r="20" spans="1:28">
      <c r="A20" s="4383" t="s">
        <v>549</v>
      </c>
      <c r="B20" s="4384" t="s">
        <v>550</v>
      </c>
      <c r="C20" s="2972"/>
      <c r="D20" s="4385" t="s">
        <v>551</v>
      </c>
      <c r="E20" s="4386"/>
      <c r="F20" s="4387" t="s">
        <v>552</v>
      </c>
      <c r="G20" s="4130"/>
      <c r="H20" s="4130"/>
      <c r="I20" s="4130"/>
      <c r="J20" s="3917"/>
      <c r="K20" s="4235" t="s">
        <v>553</v>
      </c>
      <c r="L20" s="26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8"/>
      <c r="N20" s="4299"/>
      <c r="O20" s="4221"/>
      <c r="P20" s="4299"/>
      <c r="Q20" s="4299"/>
      <c r="R20" s="4299"/>
      <c r="S20" s="4299"/>
      <c r="T20" s="4299"/>
      <c r="U20" s="4299"/>
      <c r="V20" s="4299"/>
      <c r="W20" s="3922"/>
      <c r="X20" s="3922"/>
      <c r="Y20" s="3922"/>
      <c r="Z20" s="3922"/>
      <c r="AA20" s="3922"/>
      <c r="AB20" s="3922"/>
    </row>
    <row r="21" ht="24.75" spans="1:28">
      <c r="A21" s="4383"/>
      <c r="B21" s="4388" t="s">
        <v>554</v>
      </c>
      <c r="C21" s="3911" t="s">
        <v>555</v>
      </c>
      <c r="D21" s="4389" t="s">
        <v>556</v>
      </c>
      <c r="E21" s="4390" t="s">
        <v>555</v>
      </c>
      <c r="F21" s="4391"/>
      <c r="G21" s="4130"/>
      <c r="H21" s="4130"/>
      <c r="I21" s="4130"/>
      <c r="J21" s="3917"/>
      <c r="K21" s="4235"/>
      <c r="L21" s="26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8"/>
      <c r="N21" s="4299"/>
      <c r="O21" s="4221"/>
      <c r="P21" s="4299"/>
      <c r="Q21" s="4299"/>
      <c r="R21" s="4299"/>
      <c r="S21" s="4299"/>
      <c r="T21" s="4299"/>
      <c r="U21" s="4299"/>
      <c r="V21" s="4299"/>
      <c r="W21" s="3922"/>
      <c r="X21" s="3922"/>
      <c r="Y21" s="3922"/>
      <c r="Z21" s="3922"/>
      <c r="AA21" s="3922"/>
      <c r="AB21" s="3922"/>
    </row>
    <row r="22" ht="24.75" spans="1:28">
      <c r="A22" s="4383"/>
      <c r="B22" s="4392" t="s">
        <v>557</v>
      </c>
      <c r="C22" s="3911" t="s">
        <v>558</v>
      </c>
      <c r="D22" s="4305"/>
      <c r="E22" s="4305"/>
      <c r="F22" s="4305"/>
      <c r="G22" s="4130"/>
      <c r="H22" s="4130"/>
      <c r="I22" s="4130"/>
      <c r="J22" s="3917"/>
      <c r="K22" s="4235"/>
      <c r="L22" s="26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8"/>
      <c r="N22" s="4299"/>
      <c r="O22" s="4221"/>
      <c r="P22" s="4299"/>
      <c r="Q22" s="4299"/>
      <c r="R22" s="4299"/>
      <c r="S22" s="4299"/>
      <c r="T22" s="4299"/>
      <c r="U22" s="4299"/>
      <c r="V22" s="4299"/>
      <c r="W22" s="3922"/>
      <c r="X22" s="3922"/>
      <c r="Y22" s="3922"/>
      <c r="Z22" s="3922"/>
      <c r="AA22" s="3922"/>
      <c r="AB22" s="3922"/>
    </row>
    <row r="23" spans="1:28">
      <c r="A23" s="4393" t="s">
        <v>559</v>
      </c>
      <c r="B23" s="3908" t="s">
        <v>560</v>
      </c>
      <c r="C23" s="4394"/>
      <c r="D23" s="4395" t="s">
        <v>560</v>
      </c>
      <c r="E23" s="4396"/>
      <c r="F23" s="4305"/>
      <c r="G23" s="4130"/>
      <c r="H23" s="4130"/>
      <c r="I23" s="4130"/>
      <c r="J23" s="3917"/>
      <c r="K23" s="4319"/>
      <c r="L23" s="2697"/>
      <c r="M23" s="4320"/>
      <c r="N23" s="3917"/>
      <c r="O23" s="4321"/>
      <c r="P23" s="3917"/>
      <c r="Q23" s="3917"/>
      <c r="R23" s="3917"/>
      <c r="S23" s="3917"/>
      <c r="T23" s="3917"/>
      <c r="U23" s="3917"/>
      <c r="V23" s="3917"/>
    </row>
    <row r="24" spans="1:28">
      <c r="A24" s="4393"/>
      <c r="B24" s="3908" t="s">
        <v>561</v>
      </c>
      <c r="C24" s="4397"/>
      <c r="D24" s="4393" t="s">
        <v>561</v>
      </c>
      <c r="E24" s="4398"/>
      <c r="F24" s="4305"/>
      <c r="G24" s="4130"/>
      <c r="H24" s="4130"/>
      <c r="I24" s="4130"/>
      <c r="J24" s="3917"/>
      <c r="K24" s="4319"/>
      <c r="L24" s="2697"/>
      <c r="M24" s="4320"/>
      <c r="N24" s="3917"/>
      <c r="O24" s="4321"/>
      <c r="P24" s="3917"/>
      <c r="Q24" s="3917"/>
      <c r="R24" s="3917"/>
      <c r="S24" s="3917"/>
      <c r="T24" s="3917"/>
      <c r="U24" s="3917"/>
      <c r="V24" s="3917"/>
    </row>
    <row r="25" spans="1:28">
      <c r="A25" s="4393"/>
      <c r="B25" s="3908" t="s">
        <v>562</v>
      </c>
      <c r="C25" s="4397"/>
      <c r="D25" s="4393" t="s">
        <v>562</v>
      </c>
      <c r="E25" s="4398"/>
      <c r="F25" s="4305"/>
      <c r="G25" s="4130"/>
      <c r="H25" s="4130"/>
      <c r="I25" s="4130"/>
      <c r="J25" s="3917"/>
      <c r="K25" s="4323"/>
      <c r="L25" s="4320"/>
      <c r="M25" s="4320"/>
      <c r="N25" s="3917"/>
      <c r="O25" s="4321"/>
      <c r="P25" s="3917"/>
      <c r="Q25" s="3917"/>
      <c r="R25" s="3917"/>
      <c r="S25" s="3917"/>
      <c r="T25" s="3917"/>
      <c r="U25" s="3917"/>
      <c r="V25" s="3917"/>
    </row>
    <row r="26" ht="13.5" spans="1:28">
      <c r="A26" s="4399"/>
      <c r="B26" s="4400" t="s">
        <v>563</v>
      </c>
      <c r="C26" s="4401"/>
      <c r="D26" s="4399" t="s">
        <v>563</v>
      </c>
      <c r="E26" s="4402"/>
      <c r="F26" s="4336"/>
      <c r="G26" s="4336"/>
      <c r="H26" s="4336"/>
      <c r="I26" s="4336"/>
      <c r="J26" s="3917"/>
      <c r="K26" s="4323"/>
      <c r="L26" s="4320"/>
      <c r="M26" s="4320"/>
      <c r="N26" s="3917"/>
      <c r="O26" s="4321"/>
      <c r="P26" s="3917"/>
      <c r="Q26" s="3917"/>
      <c r="R26" s="3917"/>
      <c r="S26" s="3917"/>
      <c r="T26" s="3917"/>
      <c r="U26" s="3917"/>
      <c r="V26" s="3917"/>
    </row>
    <row r="27" ht="13.5" spans="1:28">
      <c r="A27" s="2640" t="s">
        <v>564</v>
      </c>
      <c r="B27" s="2651" t="s">
        <v>565</v>
      </c>
      <c r="C27" s="4403"/>
      <c r="D27" s="4404"/>
      <c r="E27" s="4130"/>
      <c r="F27" s="4130"/>
      <c r="G27" s="4130"/>
      <c r="H27" s="4130"/>
      <c r="I27" s="4130"/>
      <c r="J27" s="3917"/>
      <c r="K27" s="4368"/>
      <c r="L27" s="4321"/>
      <c r="M27" s="4321"/>
      <c r="N27" s="3917"/>
      <c r="O27" s="4321"/>
      <c r="P27" s="3917"/>
      <c r="Q27" s="3917"/>
      <c r="R27" s="3917"/>
      <c r="S27" s="3917"/>
      <c r="T27" s="3917"/>
      <c r="U27" s="3917"/>
      <c r="V27" s="3917"/>
    </row>
    <row r="28" spans="1:28">
      <c r="A28" s="2640"/>
      <c r="B28" s="1320" t="s">
        <v>566</v>
      </c>
      <c r="C28" s="4405"/>
      <c r="D28" s="4406"/>
      <c r="E28" s="4130"/>
      <c r="F28" s="4130"/>
      <c r="G28" s="4130"/>
      <c r="H28" s="4130"/>
      <c r="I28" s="4130"/>
      <c r="J28" s="3917"/>
      <c r="K28" s="4323"/>
      <c r="L28" s="4320"/>
      <c r="M28" s="4320"/>
      <c r="N28" s="3917"/>
      <c r="O28" s="4321"/>
      <c r="P28" s="3917"/>
      <c r="Q28" s="3917"/>
      <c r="R28" s="3917"/>
      <c r="S28" s="3917"/>
      <c r="T28" s="3917"/>
      <c r="U28" s="3917"/>
      <c r="V28" s="3917"/>
    </row>
    <row r="29" spans="1:28">
      <c r="A29" s="2640"/>
      <c r="B29" s="1320" t="s">
        <v>567</v>
      </c>
      <c r="C29" s="4407"/>
      <c r="D29" s="4408"/>
      <c r="E29" s="4130"/>
      <c r="F29" s="4130"/>
      <c r="G29" s="4130"/>
      <c r="H29" s="4130"/>
      <c r="I29" s="4130"/>
      <c r="J29" s="3917"/>
      <c r="K29" s="4323"/>
      <c r="L29" s="4320"/>
      <c r="M29" s="4320"/>
      <c r="N29" s="3917"/>
      <c r="O29" s="4321"/>
      <c r="P29" s="3917"/>
      <c r="Q29" s="3917"/>
      <c r="R29" s="3917"/>
      <c r="S29" s="3917"/>
      <c r="T29" s="3917"/>
      <c r="U29" s="3917"/>
      <c r="V29" s="3917"/>
    </row>
    <row r="30" spans="1:28">
      <c r="A30" s="2651"/>
      <c r="B30" s="1320" t="s">
        <v>568</v>
      </c>
      <c r="C30" s="4409"/>
      <c r="D30" s="4410"/>
      <c r="E30" s="4130"/>
      <c r="F30" s="4130"/>
      <c r="G30" s="4130"/>
      <c r="H30" s="4130"/>
      <c r="I30" s="4130"/>
      <c r="J30" s="3917"/>
      <c r="K30" s="4323"/>
      <c r="L30" s="4320"/>
      <c r="M30" s="4320"/>
      <c r="N30" s="3917"/>
      <c r="O30" s="4321"/>
      <c r="P30" s="3917"/>
      <c r="Q30" s="3917"/>
      <c r="R30" s="3917"/>
      <c r="S30" s="3917"/>
      <c r="T30" s="3917"/>
      <c r="U30" s="3917"/>
      <c r="V30" s="3917"/>
    </row>
    <row r="31" spans="1:28">
      <c r="A31" s="4411" t="s">
        <v>569</v>
      </c>
      <c r="B31" s="4412"/>
      <c r="C31" s="2650" t="str">
        <f>IF(B31="现房","成新及维护状况正常否",IF(B31="在建","工程状态是否正常",IF(B31="土地","是否闲置","-")))</f>
        <v>-</v>
      </c>
      <c r="D31" s="3040"/>
      <c r="E31" s="4413"/>
      <c r="F31" s="4130"/>
      <c r="G31" s="4130"/>
      <c r="H31" s="4130"/>
      <c r="I31" s="4130"/>
      <c r="J31" s="3917"/>
      <c r="K31" s="4319"/>
      <c r="L31" s="4320"/>
      <c r="M31" s="4320"/>
      <c r="N31" s="3917"/>
      <c r="O31" s="4321"/>
      <c r="P31" s="3917"/>
      <c r="Q31" s="3917"/>
      <c r="R31" s="3917"/>
      <c r="S31" s="3917"/>
      <c r="T31" s="3917"/>
      <c r="U31" s="3917"/>
      <c r="V31" s="3917"/>
    </row>
    <row r="32" spans="1:28">
      <c r="A32" s="3594"/>
      <c r="B32" s="4412"/>
      <c r="C32" s="2650" t="str">
        <f>IF(B32="现房","成新及维护状况是否正常",IF(B32="在建","工程状态是否正常",IF(B32="土地","是否闲置","-")))</f>
        <v>-</v>
      </c>
      <c r="D32" s="3040"/>
      <c r="E32" s="4413"/>
      <c r="F32" s="4130"/>
      <c r="G32" s="4130"/>
      <c r="H32" s="4130"/>
      <c r="I32" s="4130"/>
      <c r="J32" s="3917"/>
      <c r="K32" s="4323"/>
      <c r="L32" s="4320"/>
      <c r="M32" s="4320"/>
      <c r="N32" s="3917"/>
      <c r="O32" s="4321"/>
      <c r="P32" s="3917"/>
      <c r="Q32" s="3917"/>
      <c r="R32" s="3917"/>
      <c r="S32" s="3917"/>
      <c r="T32" s="3917"/>
      <c r="U32" s="3917"/>
      <c r="V32" s="3917"/>
    </row>
    <row r="33" spans="1:30">
      <c r="A33" s="3594"/>
      <c r="B33" s="4414"/>
      <c r="C33" s="4236" t="str">
        <f>IF(B33="现房","成新及维护状况是否正常",IF(B33="在建","工程状态是否正常",IF(B33="土地","是否闲置","-")))</f>
        <v>-</v>
      </c>
      <c r="D33" s="2618"/>
      <c r="E33" s="4415"/>
      <c r="F33" s="4130"/>
      <c r="G33" s="4130"/>
      <c r="H33" s="4130"/>
      <c r="I33" s="4130"/>
      <c r="J33" s="3917"/>
      <c r="K33" s="4323"/>
      <c r="L33" s="4320"/>
      <c r="M33" s="4320"/>
      <c r="N33" s="3917"/>
      <c r="O33" s="4321"/>
      <c r="P33" s="3917"/>
      <c r="Q33" s="3917"/>
      <c r="R33" s="3917"/>
      <c r="S33" s="3917"/>
      <c r="T33" s="3917"/>
      <c r="U33" s="3917"/>
      <c r="V33" s="3917"/>
    </row>
    <row r="34" spans="1:30">
      <c r="A34" s="1320" t="s">
        <v>570</v>
      </c>
      <c r="B34" s="4416"/>
      <c r="C34" s="4416"/>
      <c r="D34" s="4416"/>
      <c r="E34" s="4416"/>
      <c r="F34" s="4416"/>
      <c r="G34" s="4416"/>
      <c r="H34" s="4416"/>
      <c r="I34" s="4130"/>
      <c r="J34" s="3917"/>
      <c r="K34" s="3374">
        <f>COUNTIF(B34:H34,"——")</f>
        <v>0</v>
      </c>
      <c r="L34" s="2667" t="s">
        <v>571</v>
      </c>
      <c r="M34" s="2667" t="s">
        <v>572</v>
      </c>
      <c r="N34" s="2667" t="s">
        <v>573</v>
      </c>
      <c r="O34" s="2667" t="s">
        <v>574</v>
      </c>
      <c r="P34" s="2667" t="s">
        <v>575</v>
      </c>
      <c r="Q34" s="2667" t="s">
        <v>576</v>
      </c>
      <c r="R34" s="2667" t="s">
        <v>577</v>
      </c>
      <c r="S34" s="3374" t="s">
        <v>578</v>
      </c>
      <c r="T34" s="2667" t="str">
        <f>NUMBERSTRING(7-K34,1)&amp;"通"</f>
        <v>七通</v>
      </c>
      <c r="U34" s="3917"/>
      <c r="V34" s="3917"/>
    </row>
    <row r="35" spans="1:30">
      <c r="A35" s="2920"/>
      <c r="B35" s="3374" t="s">
        <v>579</v>
      </c>
      <c r="C35" s="3374"/>
      <c r="D35" s="3374"/>
      <c r="E35" s="3374"/>
      <c r="F35" s="3374">
        <f>C10</f>
        <v>0</v>
      </c>
      <c r="G35" s="4130"/>
      <c r="H35" s="4130"/>
      <c r="I35" s="4130"/>
      <c r="J35" s="3917"/>
      <c r="K35" s="2667"/>
      <c r="L35" s="2667">
        <f>B34</f>
        <v>0</v>
      </c>
      <c r="M35" s="1299" t="str">
        <f>B34&amp;"、"&amp;C34</f>
        <v>、</v>
      </c>
      <c r="N35" s="1299" t="str">
        <f>B34&amp;"、"&amp;C34&amp;"、"&amp;D34</f>
        <v>、、</v>
      </c>
      <c r="O35" s="1299" t="str">
        <f>B34&amp;"、"&amp;C34&amp;"、"&amp;D34&amp;"、"&amp;E34</f>
        <v>、、、</v>
      </c>
      <c r="P35" s="1299" t="str">
        <f>B34&amp;"、"&amp;C34&amp;"、"&amp;D34&amp;"、"&amp;E34&amp;"、"&amp;F34</f>
        <v>、、、、</v>
      </c>
      <c r="Q35" s="1299" t="str">
        <f>B34&amp;"、"&amp;C34&amp;"、"&amp;D34&amp;"、"&amp;E34&amp;"、"&amp;F34&amp;"、"&amp;G34</f>
        <v>、、、、、</v>
      </c>
      <c r="R35" s="1299" t="str">
        <f>B34&amp;"、"&amp;C34&amp;"、"&amp;D34&amp;"、"&amp;E34&amp;"、"&amp;F34&amp;"、"&amp;G34&amp;"、"&amp;H34</f>
        <v>、、、、、、</v>
      </c>
      <c r="S35" s="3374"/>
      <c r="T35" s="1299" t="str">
        <f>IF(T34="一通",L35,IF(T34="二通",M35,IF(T34="三通",N35,IF(T34="四通",O35,IF(T34="五通",P35,IF(T34="六通",Q35,R35))))))</f>
        <v>、、、、、、</v>
      </c>
      <c r="U35" s="3917"/>
      <c r="V35" s="3917"/>
    </row>
    <row r="36" spans="1:30">
      <c r="A36" s="4297"/>
      <c r="B36" s="3374" t="s">
        <v>528</v>
      </c>
      <c r="C36" s="3374" t="s">
        <v>529</v>
      </c>
      <c r="D36" s="3374" t="s">
        <v>527</v>
      </c>
      <c r="E36" s="3374" t="s">
        <v>532</v>
      </c>
      <c r="F36" s="4353" t="s">
        <v>231</v>
      </c>
      <c r="G36" s="4130"/>
      <c r="H36" s="4130"/>
      <c r="I36" s="4130"/>
      <c r="J36" s="3917"/>
      <c r="K36" s="4323"/>
      <c r="L36" s="4320"/>
      <c r="M36" s="4320"/>
      <c r="N36" s="3917"/>
      <c r="O36" s="4321"/>
      <c r="P36" s="3917"/>
      <c r="Q36" s="3917"/>
      <c r="R36" s="3917"/>
      <c r="S36" s="3917"/>
      <c r="T36" s="3917"/>
      <c r="U36" s="3917"/>
      <c r="V36" s="3917"/>
    </row>
    <row r="37" spans="1:30">
      <c r="A37" s="4417" t="s">
        <v>580</v>
      </c>
      <c r="B37" s="4418"/>
      <c r="C37" s="4418"/>
      <c r="D37" s="4418"/>
      <c r="E37" s="4418" t="s">
        <v>295</v>
      </c>
      <c r="F37" s="4418"/>
      <c r="G37" s="4130"/>
      <c r="H37" s="4130"/>
      <c r="I37" s="4130"/>
      <c r="J37" s="3917"/>
      <c r="K37" s="4323"/>
      <c r="L37" s="4320"/>
      <c r="M37" s="4320"/>
      <c r="N37" s="3917"/>
      <c r="O37" s="4321"/>
      <c r="P37" s="3917"/>
      <c r="Q37" s="3917"/>
      <c r="R37" s="3917"/>
      <c r="S37" s="3917"/>
      <c r="T37" s="3917"/>
      <c r="U37" s="3917"/>
      <c r="V37" s="3917"/>
    </row>
    <row r="38" ht="13.5" spans="1:30">
      <c r="A38" s="4419" t="s">
        <v>581</v>
      </c>
      <c r="B38" s="4420"/>
      <c r="C38" s="4420"/>
      <c r="D38" s="4420"/>
      <c r="E38" s="4420" t="s">
        <v>582</v>
      </c>
      <c r="F38" s="4420"/>
      <c r="G38" s="4336"/>
      <c r="H38" s="4336"/>
      <c r="I38" s="4336"/>
      <c r="J38" s="3917"/>
      <c r="K38" s="4323"/>
      <c r="L38" s="4320"/>
      <c r="M38" s="4320"/>
      <c r="N38" s="3917"/>
      <c r="O38" s="4321"/>
      <c r="P38" s="3917"/>
      <c r="Q38" s="3917"/>
      <c r="R38" s="3917"/>
      <c r="S38" s="3917"/>
      <c r="T38" s="3917"/>
      <c r="U38" s="3917"/>
      <c r="V38" s="3917"/>
    </row>
    <row r="39" s="4290" customFormat="1" ht="14.25" spans="1:30">
      <c r="A39" s="4421" t="s">
        <v>583</v>
      </c>
      <c r="B39" s="4422"/>
      <c r="C39" s="4422"/>
      <c r="D39" s="4422"/>
      <c r="E39" s="4422"/>
      <c r="F39" s="4422"/>
      <c r="G39" s="4422"/>
      <c r="H39" s="4422"/>
      <c r="I39" s="4422"/>
      <c r="J39" s="4423"/>
      <c r="K39" s="4424"/>
      <c r="L39" s="4423"/>
      <c r="M39" s="4423"/>
      <c r="N39" s="4423"/>
      <c r="O39" s="4425"/>
      <c r="P39" s="4423"/>
      <c r="Q39" s="4423"/>
      <c r="R39" s="4423"/>
      <c r="S39" s="4423"/>
      <c r="T39" s="4423"/>
      <c r="U39" s="4423"/>
      <c r="V39" s="4423"/>
      <c r="W39" s="4426"/>
      <c r="X39" s="4426"/>
      <c r="Y39" s="4426"/>
      <c r="Z39" s="4426"/>
      <c r="AA39" s="4426"/>
      <c r="AB39" s="4426"/>
      <c r="AC39" s="4426"/>
      <c r="AD39" s="4426"/>
    </row>
    <row r="40" spans="1:30">
      <c r="A40" s="4299"/>
      <c r="B40" s="4299"/>
      <c r="C40" s="4299"/>
      <c r="D40" s="4299"/>
      <c r="E40" s="4299"/>
      <c r="F40" s="4299"/>
      <c r="G40" s="4299"/>
      <c r="H40" s="4299"/>
      <c r="I40" s="3646"/>
      <c r="J40" s="3917"/>
      <c r="K40" s="4319"/>
      <c r="L40" s="4321"/>
      <c r="M40" s="4321"/>
      <c r="N40" s="3917"/>
      <c r="O40" s="4321"/>
      <c r="P40" s="3917"/>
      <c r="Q40" s="3917"/>
      <c r="R40" s="3917"/>
      <c r="S40" s="3917"/>
      <c r="T40" s="3917"/>
      <c r="U40" s="3917"/>
      <c r="V40" s="3917"/>
    </row>
    <row r="41" spans="1:30">
      <c r="A41" s="4427" t="s">
        <v>584</v>
      </c>
      <c r="B41" s="3465"/>
      <c r="C41" s="3040"/>
      <c r="D41" s="4299"/>
      <c r="E41" s="4299"/>
      <c r="F41" s="4299"/>
      <c r="G41" s="4299"/>
      <c r="H41" s="4299"/>
      <c r="I41" s="4221"/>
      <c r="J41" s="3917"/>
      <c r="K41" s="4323"/>
      <c r="L41" s="4320"/>
      <c r="M41" s="4320"/>
      <c r="N41" s="3917"/>
      <c r="O41" s="4321"/>
      <c r="P41" s="3917"/>
      <c r="Q41" s="3917"/>
      <c r="R41" s="3917"/>
      <c r="S41" s="3917"/>
      <c r="T41" s="3917"/>
      <c r="U41" s="3917"/>
      <c r="V41" s="3917"/>
    </row>
    <row r="42" ht="24.75" spans="1:30">
      <c r="A42" s="2667" t="s">
        <v>585</v>
      </c>
      <c r="B42" s="3374" t="s">
        <v>586</v>
      </c>
      <c r="C42" s="3374" t="s">
        <v>587</v>
      </c>
      <c r="D42" s="3374" t="s">
        <v>588</v>
      </c>
      <c r="E42" s="3374" t="s">
        <v>589</v>
      </c>
      <c r="F42" s="3374" t="s">
        <v>590</v>
      </c>
      <c r="G42" s="3374" t="s">
        <v>591</v>
      </c>
      <c r="H42" s="3374" t="s">
        <v>592</v>
      </c>
      <c r="I42" s="3374" t="s">
        <v>593</v>
      </c>
      <c r="J42" s="4428" t="s">
        <v>594</v>
      </c>
      <c r="K42" s="4429" t="s">
        <v>595</v>
      </c>
      <c r="L42" s="4429" t="s">
        <v>596</v>
      </c>
      <c r="M42" s="4429" t="s">
        <v>597</v>
      </c>
      <c r="N42" s="4430" t="s">
        <v>598</v>
      </c>
      <c r="O42" s="4430" t="s">
        <v>599</v>
      </c>
      <c r="P42" s="4430" t="s">
        <v>600</v>
      </c>
      <c r="Q42" s="4431" t="s">
        <v>601</v>
      </c>
      <c r="R42" s="4431" t="s">
        <v>602</v>
      </c>
      <c r="S42" s="3917"/>
      <c r="T42" s="3917"/>
      <c r="U42" s="3917"/>
      <c r="V42" s="3917"/>
    </row>
    <row r="43" s="4133" customFormat="1" spans="1:30">
      <c r="A43" s="4273"/>
      <c r="B43" s="4224"/>
      <c r="C43" s="4224"/>
      <c r="D43" s="4224"/>
      <c r="E43" s="4224"/>
      <c r="F43" s="4224"/>
      <c r="G43" s="4224"/>
      <c r="H43" s="4224"/>
      <c r="I43" s="4224"/>
      <c r="J43" s="4432"/>
      <c r="K43" s="4433"/>
      <c r="L43" s="4433"/>
      <c r="M43" s="4224"/>
      <c r="N43" s="4224"/>
      <c r="O43" s="4224"/>
      <c r="P43" s="4224"/>
      <c r="Q43" s="4224"/>
      <c r="R43" s="4224"/>
      <c r="S43" s="3917"/>
      <c r="T43" s="3917"/>
      <c r="U43" s="3917"/>
      <c r="V43" s="3917"/>
    </row>
    <row r="44" s="4133" customFormat="1" spans="1:30">
      <c r="A44" s="4273"/>
      <c r="B44" s="4273"/>
      <c r="C44" s="4224"/>
      <c r="D44" s="4224"/>
      <c r="E44" s="4224"/>
      <c r="F44" s="4224"/>
      <c r="G44" s="4224"/>
      <c r="H44" s="4224"/>
      <c r="I44" s="4224"/>
      <c r="J44" s="4432"/>
      <c r="K44" s="4433"/>
      <c r="L44" s="4433"/>
      <c r="M44" s="4224"/>
      <c r="N44" s="4224"/>
      <c r="O44" s="4224"/>
      <c r="P44" s="4224"/>
      <c r="Q44" s="4224"/>
      <c r="R44" s="4224"/>
      <c r="S44" s="3917"/>
      <c r="T44" s="3917"/>
      <c r="U44" s="3917"/>
      <c r="V44" s="3917"/>
    </row>
    <row r="45" s="4133" customFormat="1" spans="1:30">
      <c r="A45" s="4273"/>
      <c r="B45" s="4273"/>
      <c r="C45" s="4224"/>
      <c r="D45" s="4224"/>
      <c r="E45" s="4224"/>
      <c r="F45" s="4224"/>
      <c r="G45" s="4224"/>
      <c r="H45" s="4224"/>
      <c r="I45" s="4224"/>
      <c r="J45" s="4432"/>
      <c r="K45" s="4433"/>
      <c r="L45" s="4433"/>
      <c r="M45" s="4224"/>
      <c r="N45" s="4224"/>
      <c r="O45" s="4224"/>
      <c r="P45" s="4224"/>
      <c r="Q45" s="4224"/>
      <c r="R45" s="4224"/>
      <c r="S45" s="3917"/>
      <c r="T45" s="3917"/>
      <c r="U45" s="3917"/>
      <c r="V45" s="3917"/>
    </row>
    <row r="46" s="4133" customFormat="1" spans="1:30">
      <c r="A46" s="4273"/>
      <c r="B46" s="4273"/>
      <c r="C46" s="4224"/>
      <c r="D46" s="4224"/>
      <c r="E46" s="4224"/>
      <c r="F46" s="4224"/>
      <c r="G46" s="4224"/>
      <c r="H46" s="4224"/>
      <c r="I46" s="4224"/>
      <c r="J46" s="4432"/>
      <c r="K46" s="4433"/>
      <c r="L46" s="4433"/>
      <c r="M46" s="4224"/>
      <c r="N46" s="4224"/>
      <c r="O46" s="4224"/>
      <c r="P46" s="4224"/>
      <c r="Q46" s="4224"/>
      <c r="R46" s="4224"/>
      <c r="S46" s="3917"/>
      <c r="T46" s="3917"/>
      <c r="U46" s="3917"/>
      <c r="V46" s="3917"/>
    </row>
    <row r="47" s="4133" customFormat="1" spans="1:30">
      <c r="A47" s="4273"/>
      <c r="B47" s="4273"/>
      <c r="C47" s="4224"/>
      <c r="D47" s="4224"/>
      <c r="E47" s="4224"/>
      <c r="F47" s="4224"/>
      <c r="G47" s="4224"/>
      <c r="H47" s="4224"/>
      <c r="I47" s="4224"/>
      <c r="J47" s="4432"/>
      <c r="K47" s="4433"/>
      <c r="L47" s="4433"/>
      <c r="M47" s="4224"/>
      <c r="N47" s="4224"/>
      <c r="O47" s="4224"/>
      <c r="P47" s="4224"/>
      <c r="Q47" s="4224"/>
      <c r="R47" s="4224"/>
      <c r="S47" s="3917"/>
      <c r="T47" s="3917"/>
      <c r="U47" s="3917"/>
      <c r="V47" s="3917"/>
    </row>
    <row r="48" s="4133" customFormat="1" spans="1:30">
      <c r="A48" s="4273"/>
      <c r="B48" s="4273"/>
      <c r="C48" s="4224"/>
      <c r="D48" s="4224"/>
      <c r="E48" s="4224"/>
      <c r="F48" s="4224"/>
      <c r="G48" s="4224"/>
      <c r="H48" s="4224"/>
      <c r="I48" s="4224"/>
      <c r="J48" s="4432"/>
      <c r="K48" s="4433"/>
      <c r="L48" s="4433"/>
      <c r="M48" s="4224"/>
      <c r="N48" s="4224"/>
      <c r="O48" s="4224"/>
      <c r="P48" s="4224"/>
      <c r="Q48" s="4224"/>
      <c r="R48" s="4224"/>
      <c r="S48" s="3917"/>
      <c r="T48" s="3917"/>
      <c r="U48" s="3917"/>
      <c r="V48" s="3917"/>
    </row>
    <row r="49" s="4133" customFormat="1" spans="1:22">
      <c r="A49" s="4273"/>
      <c r="B49" s="4273"/>
      <c r="C49" s="4224"/>
      <c r="D49" s="4224"/>
      <c r="E49" s="4224"/>
      <c r="F49" s="4224"/>
      <c r="G49" s="4224"/>
      <c r="H49" s="4224"/>
      <c r="I49" s="4224"/>
      <c r="J49" s="4432"/>
      <c r="K49" s="4433"/>
      <c r="L49" s="4433"/>
      <c r="M49" s="4224"/>
      <c r="N49" s="4224"/>
      <c r="O49" s="4224"/>
      <c r="P49" s="4224"/>
      <c r="Q49" s="4224"/>
      <c r="R49" s="4224"/>
      <c r="S49" s="3917"/>
      <c r="T49" s="3917"/>
      <c r="U49" s="3917"/>
      <c r="V49" s="3917"/>
    </row>
    <row r="50" s="4133" customFormat="1" spans="1:22">
      <c r="A50" s="4273"/>
      <c r="B50" s="4273"/>
      <c r="C50" s="4224"/>
      <c r="D50" s="4224"/>
      <c r="E50" s="4224"/>
      <c r="F50" s="4224"/>
      <c r="G50" s="4224"/>
      <c r="H50" s="4224"/>
      <c r="I50" s="4224"/>
      <c r="J50" s="4432"/>
      <c r="K50" s="4433"/>
      <c r="L50" s="4433"/>
      <c r="M50" s="4224"/>
      <c r="N50" s="4224"/>
      <c r="O50" s="4224"/>
      <c r="P50" s="4224"/>
      <c r="Q50" s="4224"/>
      <c r="R50" s="4224"/>
      <c r="S50" s="3917"/>
      <c r="T50" s="3917"/>
      <c r="U50" s="3917"/>
      <c r="V50" s="3917"/>
    </row>
    <row r="51" s="4133" customFormat="1" spans="1:22">
      <c r="A51" s="4273"/>
      <c r="B51" s="4273"/>
      <c r="C51" s="4224"/>
      <c r="D51" s="4224"/>
      <c r="E51" s="4224"/>
      <c r="F51" s="4224"/>
      <c r="G51" s="4224"/>
      <c r="H51" s="4224"/>
      <c r="I51" s="4224"/>
      <c r="J51" s="4432"/>
      <c r="K51" s="4433"/>
      <c r="L51" s="4433"/>
      <c r="M51" s="4224"/>
      <c r="N51" s="4224"/>
      <c r="O51" s="4224"/>
      <c r="P51" s="4224"/>
      <c r="Q51" s="4224"/>
      <c r="R51" s="4224"/>
    </row>
    <row r="52" s="4133" customFormat="1" spans="1:22">
      <c r="A52" s="4273"/>
      <c r="B52" s="4273"/>
      <c r="C52" s="4273"/>
      <c r="D52" s="4273"/>
      <c r="E52" s="4273"/>
      <c r="F52" s="4224"/>
      <c r="G52" s="4273"/>
      <c r="H52" s="4273"/>
      <c r="I52" s="4273"/>
      <c r="J52" s="4434"/>
      <c r="K52" s="4433"/>
      <c r="L52" s="4433"/>
      <c r="M52" s="4433"/>
      <c r="N52" s="4273"/>
      <c r="O52" s="4273"/>
      <c r="P52" s="4273"/>
      <c r="Q52" s="4273"/>
      <c r="R52" s="4273"/>
    </row>
    <row r="53" s="4133" customFormat="1" spans="1:22">
      <c r="A53" s="4273"/>
      <c r="B53" s="4273"/>
      <c r="C53" s="4273"/>
      <c r="D53" s="4273"/>
      <c r="E53" s="4273"/>
      <c r="F53" s="4224"/>
      <c r="G53" s="4273"/>
      <c r="H53" s="4273"/>
      <c r="I53" s="4273"/>
      <c r="J53" s="4434"/>
      <c r="K53" s="4433"/>
      <c r="L53" s="4433"/>
      <c r="M53" s="4433"/>
      <c r="N53" s="4273"/>
      <c r="O53" s="4273"/>
      <c r="P53" s="4273"/>
      <c r="Q53" s="4273"/>
      <c r="R53" s="4273"/>
    </row>
    <row r="54" s="4133" customFormat="1" spans="1:22">
      <c r="A54" s="4273"/>
      <c r="B54" s="4273"/>
      <c r="C54" s="4273"/>
      <c r="D54" s="4273"/>
      <c r="E54" s="4273"/>
      <c r="F54" s="4224"/>
      <c r="G54" s="4273"/>
      <c r="H54" s="4273"/>
      <c r="I54" s="4273"/>
      <c r="J54" s="4434"/>
      <c r="K54" s="4433"/>
      <c r="L54" s="4433"/>
      <c r="M54" s="4433"/>
      <c r="N54" s="4273"/>
      <c r="O54" s="4273"/>
      <c r="P54" s="4273"/>
      <c r="Q54" s="4273"/>
      <c r="R54" s="4273"/>
    </row>
    <row r="55" s="4133" customFormat="1" spans="1:22">
      <c r="A55" s="4273"/>
      <c r="B55" s="4273"/>
      <c r="C55" s="4273"/>
      <c r="D55" s="4273"/>
      <c r="E55" s="4273"/>
      <c r="F55" s="4224"/>
      <c r="G55" s="4273"/>
      <c r="H55" s="4273"/>
      <c r="I55" s="4273"/>
      <c r="J55" s="4434"/>
      <c r="K55" s="4433"/>
      <c r="L55" s="4433"/>
      <c r="M55" s="4433"/>
      <c r="N55" s="4273"/>
      <c r="O55" s="4273"/>
      <c r="P55" s="4273"/>
      <c r="Q55" s="4273"/>
      <c r="R55" s="4273"/>
    </row>
    <row r="56" s="4133" customFormat="1" spans="1:22">
      <c r="A56" s="4273"/>
      <c r="B56" s="4273"/>
      <c r="C56" s="4273"/>
      <c r="D56" s="4273"/>
      <c r="E56" s="4273"/>
      <c r="F56" s="4224"/>
      <c r="G56" s="4273"/>
      <c r="H56" s="4273"/>
      <c r="I56" s="4273"/>
      <c r="J56" s="4434"/>
      <c r="K56" s="4433"/>
      <c r="L56" s="4433"/>
      <c r="M56" s="4433"/>
      <c r="N56" s="4273"/>
      <c r="O56" s="4273"/>
      <c r="P56" s="4273"/>
      <c r="Q56" s="4273"/>
      <c r="R56" s="427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4" sqref="K34"/>
    </sheetView>
  </sheetViews>
  <sheetFormatPr defaultColWidth="8.875" defaultRowHeight="14.25"/>
  <cols>
    <col min="1" max="1" width="10.625" style="4217" customWidth="1"/>
    <col min="2" max="2" width="11" style="4217" customWidth="1"/>
    <col min="3" max="3" width="10.375" style="4217" customWidth="1"/>
    <col min="4" max="4" width="9.125" style="4217" customWidth="1"/>
    <col min="5" max="6" width="10" style="4215" customWidth="1"/>
    <col min="7" max="8" width="10" style="4217" customWidth="1"/>
    <col min="9" max="9" width="10.625" style="4217" customWidth="1"/>
    <col min="10" max="10" width="9.5" style="4217" customWidth="1"/>
    <col min="11" max="11" width="11" style="4217" customWidth="1"/>
    <col min="12" max="14" width="9.5" style="4217" customWidth="1"/>
    <col min="15" max="15" width="9.875" style="4217" customWidth="1"/>
    <col min="16" max="16" width="9.75" style="4217" customWidth="1"/>
    <col min="17" max="17" width="9.375" style="4217" customWidth="1"/>
    <col min="18" max="18" width="9.25" style="4217" customWidth="1"/>
    <col min="19" max="19" width="10.875" style="4217" customWidth="1"/>
    <col min="20" max="21" width="10.75" style="4217" customWidth="1"/>
    <col min="22" max="22" width="10.875" style="4217" customWidth="1"/>
    <col min="23" max="27" width="10.75" style="4217" customWidth="1"/>
    <col min="28" max="28" width="10.875" style="4217" customWidth="1"/>
    <col min="29" max="29" width="11" style="4217" customWidth="1"/>
    <col min="30" max="30" width="10" style="4217" customWidth="1"/>
    <col min="31" max="31" width="9.75" style="4217" customWidth="1"/>
    <col min="32" max="46" width="9.5" style="4217" customWidth="1"/>
    <col min="47" max="47" width="18.125" style="4217" customWidth="1"/>
    <col min="48" max="50" width="9.75" style="4217" customWidth="1"/>
    <col min="51" max="55" width="10.5" style="4217" customWidth="1"/>
    <col min="56" max="56" width="9.5" style="4217" customWidth="1"/>
    <col min="57" max="63" width="9.125" style="4217" customWidth="1"/>
    <col min="64" max="64" width="9.5" style="4217" customWidth="1"/>
    <col min="65" max="65" width="9.125" style="4217" customWidth="1"/>
    <col min="66" max="66" width="9.5" style="4217" customWidth="1"/>
    <col min="67" max="69" width="9.125" style="4217" customWidth="1"/>
    <col min="70" max="70" width="9.5" style="4217" customWidth="1"/>
    <col min="71" max="71" width="9" style="4217" customWidth="1"/>
    <col min="72" max="72" width="9.125" style="4217" customWidth="1"/>
    <col min="73" max="16384" width="8.875" style="4217"/>
  </cols>
  <sheetData>
    <row r="1" ht="20.25" spans="1:72">
      <c r="A1" s="4218" t="s">
        <v>603</v>
      </c>
      <c r="B1" s="4219"/>
      <c r="C1" s="4219"/>
      <c r="D1" s="4219"/>
      <c r="E1" s="4219"/>
      <c r="F1" s="4219"/>
      <c r="G1" s="4219"/>
      <c r="H1" s="4219"/>
      <c r="I1" s="4219"/>
      <c r="J1" s="4219"/>
      <c r="K1" s="4219"/>
      <c r="L1" s="4219"/>
      <c r="M1" s="4219"/>
      <c r="N1" s="4219"/>
      <c r="O1" s="4219"/>
      <c r="P1" s="4219"/>
      <c r="Q1" s="4219"/>
      <c r="R1" s="4219"/>
      <c r="S1" s="4219"/>
      <c r="T1" s="4219"/>
      <c r="U1" s="4219"/>
      <c r="V1" s="4219"/>
      <c r="W1" s="4219"/>
      <c r="X1" s="4219"/>
      <c r="Y1" s="4219"/>
      <c r="Z1" s="4219"/>
      <c r="AA1" s="4219"/>
      <c r="AB1" s="4219"/>
      <c r="AC1" s="4219"/>
      <c r="AD1" s="4219"/>
      <c r="AE1" s="4219"/>
      <c r="AF1" s="4219"/>
      <c r="AG1" s="4219"/>
      <c r="AH1" s="4219"/>
      <c r="AI1" s="4219"/>
      <c r="AJ1" s="4219"/>
      <c r="AK1" s="4219"/>
      <c r="AL1" s="4219"/>
      <c r="AM1" s="4219"/>
      <c r="AN1" s="4219"/>
      <c r="AO1" s="4219"/>
      <c r="AP1" s="4219"/>
      <c r="AQ1" s="4219"/>
      <c r="AR1" s="4219"/>
      <c r="AS1" s="4219"/>
      <c r="AT1" s="4219"/>
      <c r="AU1" s="4219"/>
      <c r="AV1" s="4220" t="s">
        <v>604</v>
      </c>
      <c r="AW1" s="4219"/>
      <c r="AX1" s="4219"/>
      <c r="AY1" s="4219"/>
      <c r="AZ1" s="4219"/>
      <c r="BA1" s="4219"/>
      <c r="BB1" s="4219"/>
      <c r="BC1" s="4219"/>
      <c r="BD1" s="4219"/>
      <c r="BE1" s="4219"/>
      <c r="BF1" s="4219"/>
      <c r="BG1" s="4219"/>
      <c r="BH1" s="4219"/>
      <c r="BI1" s="4219"/>
      <c r="BJ1" s="4219"/>
      <c r="BK1" s="4219"/>
      <c r="BL1" s="4219"/>
      <c r="BM1" s="4219"/>
      <c r="BN1" s="4219"/>
      <c r="BO1" s="4219"/>
      <c r="BP1" s="4219"/>
      <c r="BQ1" s="4219"/>
      <c r="BR1" s="4219"/>
      <c r="BS1" s="4219"/>
      <c r="BT1" s="4219"/>
    </row>
    <row r="2" s="4213" customFormat="1" ht="24" spans="1:72">
      <c r="A2" s="3374" t="s">
        <v>544</v>
      </c>
      <c r="B2" s="3374" t="s">
        <v>540</v>
      </c>
      <c r="C2" s="3374" t="s">
        <v>605</v>
      </c>
      <c r="D2" s="4221"/>
      <c r="E2" s="3558"/>
      <c r="F2" s="3646"/>
      <c r="G2" s="4221"/>
      <c r="H2" s="4221"/>
      <c r="I2" s="4221"/>
      <c r="J2" s="4221"/>
      <c r="K2" s="4221"/>
      <c r="L2" s="4221"/>
      <c r="M2" s="4221"/>
      <c r="N2" s="4221"/>
      <c r="O2" s="4221"/>
      <c r="P2" s="4221"/>
      <c r="Q2" s="4221"/>
      <c r="R2" s="4221"/>
      <c r="S2" s="4221"/>
      <c r="T2" s="4221"/>
      <c r="U2" s="4221"/>
      <c r="V2" s="4221"/>
      <c r="W2" s="4221"/>
      <c r="X2" s="4221"/>
      <c r="Y2" s="4221"/>
      <c r="Z2" s="4221"/>
      <c r="AA2" s="4221"/>
      <c r="AB2" s="4221"/>
      <c r="AC2" s="4221"/>
      <c r="AD2" s="4221"/>
      <c r="AE2" s="4221"/>
      <c r="AF2" s="4221"/>
      <c r="AG2" s="4221"/>
      <c r="AH2" s="4221"/>
      <c r="AI2" s="4221"/>
      <c r="AJ2" s="4221"/>
      <c r="AK2" s="4221"/>
      <c r="AL2" s="4221"/>
      <c r="AM2" s="4221"/>
      <c r="AN2" s="4221"/>
      <c r="AO2" s="4221"/>
      <c r="AP2" s="4221"/>
      <c r="AQ2" s="4221"/>
      <c r="AR2" s="4221"/>
      <c r="AS2" s="4221"/>
      <c r="AT2" s="4221"/>
      <c r="AU2" s="4221"/>
      <c r="AV2" s="4221"/>
      <c r="AW2" s="4221"/>
      <c r="AX2" s="4221"/>
      <c r="AY2" s="4222" t="s">
        <v>606</v>
      </c>
      <c r="AZ2" s="4223" t="s">
        <v>607</v>
      </c>
      <c r="BA2" s="3374" t="s">
        <v>608</v>
      </c>
      <c r="BB2" s="4221"/>
      <c r="BC2" s="4221"/>
      <c r="BD2" s="4221"/>
      <c r="BE2" s="4221"/>
      <c r="BF2" s="4221"/>
      <c r="BG2" s="4221"/>
      <c r="BH2" s="4221"/>
      <c r="BI2" s="4221"/>
      <c r="BJ2" s="4221"/>
      <c r="BK2" s="4221"/>
      <c r="BL2" s="4221"/>
      <c r="BM2" s="4221"/>
      <c r="BN2" s="4221"/>
      <c r="BO2" s="4221"/>
      <c r="BP2" s="4221"/>
      <c r="BQ2" s="4221"/>
      <c r="BR2" s="4221"/>
      <c r="BS2" s="4221"/>
      <c r="BT2" s="4221"/>
    </row>
    <row r="3" s="4213" customFormat="1" ht="12.75" spans="1:72">
      <c r="A3" s="4224"/>
      <c r="B3" s="1184">
        <f>IF(C3="否",G5-AT5,G5)</f>
        <v>20903.38</v>
      </c>
      <c r="C3" s="4225"/>
      <c r="D3" s="4221"/>
      <c r="E3" s="4221"/>
      <c r="F3" s="4221"/>
      <c r="G3" s="4221"/>
      <c r="H3" s="4221"/>
      <c r="I3" s="4221"/>
      <c r="J3" s="4221"/>
      <c r="K3" s="4221"/>
      <c r="L3" s="4221"/>
      <c r="M3" s="4221"/>
      <c r="N3" s="4221"/>
      <c r="O3" s="4221"/>
      <c r="P3" s="4221"/>
      <c r="Q3" s="4221"/>
      <c r="R3" s="4221"/>
      <c r="S3" s="4221"/>
      <c r="T3" s="4221"/>
      <c r="U3" s="4221"/>
      <c r="V3" s="4221"/>
      <c r="W3" s="4221"/>
      <c r="X3" s="4221"/>
      <c r="Y3" s="4221"/>
      <c r="Z3" s="4221"/>
      <c r="AA3" s="4221"/>
      <c r="AB3" s="4221"/>
      <c r="AC3" s="4221"/>
      <c r="AD3" s="4221"/>
      <c r="AE3" s="4221"/>
      <c r="AF3" s="4221"/>
      <c r="AG3" s="4221"/>
      <c r="AH3" s="4221"/>
      <c r="AI3" s="4221"/>
      <c r="AJ3" s="4221"/>
      <c r="AK3" s="4221"/>
      <c r="AL3" s="4221"/>
      <c r="AM3" s="4221"/>
      <c r="AN3" s="4221"/>
      <c r="AO3" s="4221"/>
      <c r="AP3" s="4221"/>
      <c r="AQ3" s="4221"/>
      <c r="AR3" s="4221"/>
      <c r="AS3" s="4221"/>
      <c r="AT3" s="4221"/>
      <c r="AU3" s="4221"/>
      <c r="AV3" s="4221"/>
      <c r="AW3" s="4221"/>
      <c r="AX3" s="4221"/>
      <c r="AY3" s="4226"/>
      <c r="AZ3" s="4224"/>
      <c r="BA3" s="4227"/>
      <c r="BB3" s="4221"/>
      <c r="BC3" s="4221"/>
      <c r="BD3" s="4221"/>
      <c r="BE3" s="4221"/>
      <c r="BF3" s="4221"/>
      <c r="BG3" s="4221"/>
      <c r="BH3" s="4221"/>
      <c r="BI3" s="4221"/>
      <c r="BJ3" s="4221"/>
      <c r="BK3" s="4221"/>
      <c r="BL3" s="4221"/>
      <c r="BM3" s="4221"/>
      <c r="BN3" s="4221"/>
      <c r="BO3" s="4221"/>
      <c r="BP3" s="4221"/>
      <c r="BQ3" s="4221"/>
      <c r="BR3" s="4221"/>
      <c r="BS3" s="4221"/>
      <c r="BT3" s="4221"/>
    </row>
    <row r="4" s="4214" customFormat="1" ht="13.5" spans="1:72">
      <c r="A4" s="970"/>
      <c r="B4" s="4228"/>
      <c r="C4" s="4229"/>
      <c r="D4" s="4221"/>
      <c r="E4" s="4221"/>
      <c r="F4" s="4221"/>
      <c r="G4" s="4221"/>
      <c r="H4" s="4221"/>
      <c r="I4" s="4221"/>
      <c r="J4" s="4221"/>
      <c r="K4" s="4221"/>
      <c r="L4" s="4221"/>
      <c r="M4" s="4221"/>
      <c r="N4" s="4221"/>
      <c r="O4" s="4221"/>
      <c r="P4" s="4221"/>
      <c r="Q4" s="4221"/>
      <c r="R4" s="4221"/>
      <c r="S4" s="4221"/>
      <c r="T4" s="4221"/>
      <c r="U4" s="4221"/>
      <c r="V4" s="4221"/>
      <c r="W4" s="4221"/>
      <c r="X4" s="4221"/>
      <c r="Y4" s="4221"/>
      <c r="Z4" s="4221"/>
      <c r="AA4" s="4221"/>
      <c r="AB4" s="4221"/>
      <c r="AC4" s="4221"/>
      <c r="AD4" s="4221"/>
      <c r="AE4" s="4221"/>
      <c r="AF4" s="4221"/>
      <c r="AG4" s="4221"/>
      <c r="AH4" s="4221"/>
      <c r="AI4" s="4221"/>
      <c r="AJ4" s="4221"/>
      <c r="AK4" s="4221"/>
      <c r="AL4" s="4221"/>
      <c r="AM4" s="4221"/>
      <c r="AN4" s="4221"/>
      <c r="AO4" s="4221"/>
      <c r="AP4" s="4221"/>
      <c r="AQ4" s="4221"/>
      <c r="AR4" s="4221"/>
      <c r="AS4" s="4221"/>
      <c r="AT4" s="4221"/>
      <c r="AU4" s="4221"/>
      <c r="AV4" s="4221"/>
      <c r="AW4" s="4221"/>
      <c r="AX4" s="4221"/>
      <c r="AY4" s="4221"/>
      <c r="AZ4" s="4221"/>
      <c r="BA4" s="4230"/>
      <c r="BB4" s="4221"/>
      <c r="BC4" s="4221"/>
      <c r="BD4" s="4221"/>
      <c r="BE4" s="4221"/>
      <c r="BF4" s="4221"/>
      <c r="BG4" s="4221"/>
      <c r="BH4" s="4221"/>
      <c r="BI4" s="4221"/>
      <c r="BJ4" s="4221"/>
      <c r="BK4" s="4221"/>
      <c r="BL4" s="4221"/>
      <c r="BM4" s="4221"/>
      <c r="BN4" s="4221"/>
      <c r="BO4" s="4221"/>
      <c r="BP4" s="4221"/>
      <c r="BQ4" s="4221"/>
      <c r="BR4" s="4221"/>
      <c r="BS4" s="4221"/>
      <c r="BT4" s="4221"/>
    </row>
    <row r="5" s="4213" customFormat="1" ht="12.75" spans="1:72">
      <c r="A5" s="2650" t="s">
        <v>609</v>
      </c>
      <c r="B5" s="3460"/>
      <c r="C5" s="3460"/>
      <c r="D5" s="3461"/>
      <c r="E5" s="3374" t="s">
        <v>124</v>
      </c>
      <c r="F5" s="3374">
        <f>SUM(F13:F587)</f>
        <v>0</v>
      </c>
      <c r="G5" s="3374">
        <f>SUM(G13:G587)</f>
        <v>20903.38</v>
      </c>
      <c r="H5" s="3374">
        <f t="shared" ref="H5:AT5" si="0">SUM(H13:H656)</f>
        <v>20903.38</v>
      </c>
      <c r="I5" s="3374">
        <f t="shared" si="0"/>
        <v>20386.47</v>
      </c>
      <c r="J5" s="3374">
        <f t="shared" si="0"/>
        <v>0</v>
      </c>
      <c r="K5" s="3374">
        <f t="shared" si="0"/>
        <v>516.91</v>
      </c>
      <c r="L5" s="3374">
        <f t="shared" si="0"/>
        <v>0</v>
      </c>
      <c r="M5" s="3374">
        <f t="shared" si="0"/>
        <v>0</v>
      </c>
      <c r="N5" s="3374">
        <f t="shared" si="0"/>
        <v>0</v>
      </c>
      <c r="O5" s="3374">
        <f t="shared" si="0"/>
        <v>0</v>
      </c>
      <c r="P5" s="3374">
        <f t="shared" si="0"/>
        <v>0</v>
      </c>
      <c r="Q5" s="3374">
        <f t="shared" si="0"/>
        <v>0</v>
      </c>
      <c r="R5" s="3374">
        <f t="shared" si="0"/>
        <v>0</v>
      </c>
      <c r="S5" s="3374">
        <f t="shared" si="0"/>
        <v>0</v>
      </c>
      <c r="T5" s="3374">
        <f t="shared" si="0"/>
        <v>0</v>
      </c>
      <c r="U5" s="3374">
        <f t="shared" si="0"/>
        <v>0</v>
      </c>
      <c r="V5" s="3374">
        <f t="shared" si="0"/>
        <v>0</v>
      </c>
      <c r="W5" s="3374">
        <f t="shared" si="0"/>
        <v>0</v>
      </c>
      <c r="X5" s="3374">
        <f t="shared" si="0"/>
        <v>0</v>
      </c>
      <c r="Y5" s="3374">
        <f t="shared" si="0"/>
        <v>0</v>
      </c>
      <c r="Z5" s="3374">
        <f t="shared" si="0"/>
        <v>0</v>
      </c>
      <c r="AA5" s="3374">
        <f t="shared" si="0"/>
        <v>0</v>
      </c>
      <c r="AB5" s="3374">
        <f t="shared" si="0"/>
        <v>0</v>
      </c>
      <c r="AC5" s="3374">
        <f t="shared" si="0"/>
        <v>0</v>
      </c>
      <c r="AD5" s="3374">
        <f t="shared" si="0"/>
        <v>0</v>
      </c>
      <c r="AE5" s="3374">
        <f t="shared" si="0"/>
        <v>0</v>
      </c>
      <c r="AF5" s="3374">
        <f t="shared" si="0"/>
        <v>0</v>
      </c>
      <c r="AG5" s="3374">
        <f t="shared" si="0"/>
        <v>0</v>
      </c>
      <c r="AH5" s="3374">
        <f t="shared" si="0"/>
        <v>0</v>
      </c>
      <c r="AI5" s="3374">
        <f t="shared" si="0"/>
        <v>0</v>
      </c>
      <c r="AJ5" s="3374">
        <f t="shared" si="0"/>
        <v>0</v>
      </c>
      <c r="AK5" s="3374">
        <f t="shared" si="0"/>
        <v>0</v>
      </c>
      <c r="AL5" s="3374">
        <f t="shared" si="0"/>
        <v>0</v>
      </c>
      <c r="AM5" s="3374">
        <f t="shared" si="0"/>
        <v>0</v>
      </c>
      <c r="AN5" s="3374">
        <f t="shared" si="0"/>
        <v>0</v>
      </c>
      <c r="AO5" s="3374">
        <f t="shared" si="0"/>
        <v>0</v>
      </c>
      <c r="AP5" s="3374">
        <f t="shared" si="0"/>
        <v>0</v>
      </c>
      <c r="AQ5" s="3374">
        <f t="shared" si="0"/>
        <v>0</v>
      </c>
      <c r="AR5" s="3374">
        <f t="shared" si="0"/>
        <v>0</v>
      </c>
      <c r="AS5" s="3374">
        <f t="shared" si="0"/>
        <v>0</v>
      </c>
      <c r="AT5" s="3374">
        <f t="shared" si="0"/>
        <v>0</v>
      </c>
      <c r="AU5" s="3459"/>
      <c r="AV5" s="2650" t="s">
        <v>609</v>
      </c>
      <c r="AW5" s="3460"/>
      <c r="AX5" s="3460"/>
      <c r="AY5" s="3285" t="s">
        <v>124</v>
      </c>
      <c r="AZ5" s="3286">
        <f t="shared" ref="AZ5:BT5" si="1">SUM(AZ13:AZ656)</f>
        <v>20903.38</v>
      </c>
      <c r="BA5" s="3286">
        <f t="shared" si="1"/>
        <v>20903.38</v>
      </c>
      <c r="BB5" s="3286">
        <f t="shared" si="1"/>
        <v>20386.47</v>
      </c>
      <c r="BC5" s="3286">
        <f t="shared" si="1"/>
        <v>516.91</v>
      </c>
      <c r="BD5" s="3286">
        <f t="shared" si="1"/>
        <v>0</v>
      </c>
      <c r="BE5" s="3286">
        <f t="shared" si="1"/>
        <v>0</v>
      </c>
      <c r="BF5" s="3286">
        <f t="shared" si="1"/>
        <v>0</v>
      </c>
      <c r="BG5" s="3286">
        <f t="shared" si="1"/>
        <v>0</v>
      </c>
      <c r="BH5" s="3286">
        <f t="shared" si="1"/>
        <v>0</v>
      </c>
      <c r="BI5" s="3286">
        <f t="shared" si="1"/>
        <v>0</v>
      </c>
      <c r="BJ5" s="3286">
        <f t="shared" si="1"/>
        <v>0</v>
      </c>
      <c r="BK5" s="3286">
        <f t="shared" si="1"/>
        <v>0</v>
      </c>
      <c r="BL5" s="3286">
        <f t="shared" si="1"/>
        <v>0</v>
      </c>
      <c r="BM5" s="3286">
        <f t="shared" si="1"/>
        <v>0</v>
      </c>
      <c r="BN5" s="3286">
        <f t="shared" si="1"/>
        <v>0</v>
      </c>
      <c r="BO5" s="3286">
        <f t="shared" si="1"/>
        <v>0</v>
      </c>
      <c r="BP5" s="3286">
        <f t="shared" si="1"/>
        <v>0</v>
      </c>
      <c r="BQ5" s="3286">
        <f t="shared" si="1"/>
        <v>0</v>
      </c>
      <c r="BR5" s="3286">
        <f t="shared" si="1"/>
        <v>0</v>
      </c>
      <c r="BS5" s="3286">
        <f t="shared" si="1"/>
        <v>0</v>
      </c>
      <c r="BT5" s="4231">
        <f t="shared" si="1"/>
        <v>0</v>
      </c>
    </row>
    <row r="6" s="4213" customFormat="1" ht="12.75" spans="1:72">
      <c r="A6" s="2650" t="s">
        <v>610</v>
      </c>
      <c r="B6" s="3460"/>
      <c r="C6" s="3460"/>
      <c r="D6" s="3461"/>
      <c r="E6" s="3374">
        <f>H6+AC6+AT6</f>
        <v>0</v>
      </c>
      <c r="F6" s="3374" t="s">
        <v>124</v>
      </c>
      <c r="G6" s="3374" t="s">
        <v>124</v>
      </c>
      <c r="H6" s="4232">
        <f>SUMIF(I$12:AB$12,"总值",I6:AB6)</f>
        <v>0</v>
      </c>
      <c r="I6" s="3374">
        <f t="shared" ref="I6:AB6" si="2">ROUND($A$3*I5/$B$3,2)</f>
        <v>0</v>
      </c>
      <c r="J6" s="3374">
        <f t="shared" si="2"/>
        <v>0</v>
      </c>
      <c r="K6" s="3374">
        <f t="shared" si="2"/>
        <v>0</v>
      </c>
      <c r="L6" s="3374">
        <f t="shared" si="2"/>
        <v>0</v>
      </c>
      <c r="M6" s="3374">
        <f t="shared" si="2"/>
        <v>0</v>
      </c>
      <c r="N6" s="3374">
        <f t="shared" si="2"/>
        <v>0</v>
      </c>
      <c r="O6" s="3374">
        <f t="shared" si="2"/>
        <v>0</v>
      </c>
      <c r="P6" s="3374">
        <f t="shared" si="2"/>
        <v>0</v>
      </c>
      <c r="Q6" s="3374">
        <f t="shared" si="2"/>
        <v>0</v>
      </c>
      <c r="R6" s="3374">
        <f t="shared" si="2"/>
        <v>0</v>
      </c>
      <c r="S6" s="3374">
        <f t="shared" si="2"/>
        <v>0</v>
      </c>
      <c r="T6" s="3374">
        <f t="shared" si="2"/>
        <v>0</v>
      </c>
      <c r="U6" s="3374">
        <f t="shared" si="2"/>
        <v>0</v>
      </c>
      <c r="V6" s="3374">
        <f t="shared" si="2"/>
        <v>0</v>
      </c>
      <c r="W6" s="3374">
        <f t="shared" si="2"/>
        <v>0</v>
      </c>
      <c r="X6" s="3374">
        <f t="shared" si="2"/>
        <v>0</v>
      </c>
      <c r="Y6" s="3374">
        <f t="shared" si="2"/>
        <v>0</v>
      </c>
      <c r="Z6" s="3374">
        <f t="shared" si="2"/>
        <v>0</v>
      </c>
      <c r="AA6" s="3374">
        <f t="shared" si="2"/>
        <v>0</v>
      </c>
      <c r="AB6" s="3374">
        <f t="shared" si="2"/>
        <v>0</v>
      </c>
      <c r="AC6" s="4232">
        <f>SUMIF(AD$12:AS$12,"总值",AD6:AS6)</f>
        <v>0</v>
      </c>
      <c r="AD6" s="3374">
        <f t="shared" ref="AD6:AS6" si="3">ROUND($A$3*AD5/$B$3,2)</f>
        <v>0</v>
      </c>
      <c r="AE6" s="3374">
        <f t="shared" si="3"/>
        <v>0</v>
      </c>
      <c r="AF6" s="3374">
        <f t="shared" si="3"/>
        <v>0</v>
      </c>
      <c r="AG6" s="3374">
        <f t="shared" si="3"/>
        <v>0</v>
      </c>
      <c r="AH6" s="3374">
        <f t="shared" si="3"/>
        <v>0</v>
      </c>
      <c r="AI6" s="3374">
        <f t="shared" si="3"/>
        <v>0</v>
      </c>
      <c r="AJ6" s="3374">
        <f t="shared" si="3"/>
        <v>0</v>
      </c>
      <c r="AK6" s="3374">
        <f t="shared" si="3"/>
        <v>0</v>
      </c>
      <c r="AL6" s="3374">
        <f t="shared" si="3"/>
        <v>0</v>
      </c>
      <c r="AM6" s="3374">
        <f t="shared" si="3"/>
        <v>0</v>
      </c>
      <c r="AN6" s="3374">
        <f t="shared" si="3"/>
        <v>0</v>
      </c>
      <c r="AO6" s="3374">
        <f t="shared" si="3"/>
        <v>0</v>
      </c>
      <c r="AP6" s="3374">
        <f t="shared" si="3"/>
        <v>0</v>
      </c>
      <c r="AQ6" s="3374">
        <f t="shared" si="3"/>
        <v>0</v>
      </c>
      <c r="AR6" s="3374">
        <f t="shared" si="3"/>
        <v>0</v>
      </c>
      <c r="AS6" s="3374">
        <f t="shared" si="3"/>
        <v>0</v>
      </c>
      <c r="AT6" s="4232">
        <f>IF(C3="是",ROUND($A$3*AT5/$B$3,2),0)</f>
        <v>0</v>
      </c>
      <c r="AU6" s="3459"/>
      <c r="AV6" s="2650" t="s">
        <v>610</v>
      </c>
      <c r="AW6" s="3460"/>
      <c r="AX6" s="3460"/>
      <c r="AY6" s="4233">
        <f>IF(AY3&gt;0,AY3,ROUND($A$3*AZ5/$B$3,2))</f>
        <v>0</v>
      </c>
      <c r="AZ6" s="3374" t="s">
        <v>124</v>
      </c>
      <c r="BA6" s="3374">
        <f>ROUND($AY$6*BA5/$AZ$5,2)</f>
        <v>0</v>
      </c>
      <c r="BB6" s="3374">
        <f>ROUND($AY$6*BB5/$AZ$5,2)</f>
        <v>0</v>
      </c>
      <c r="BC6" s="3374">
        <f t="shared" ref="BC6:BH6" si="4">ROUND($AY$6*BC5/$AZ$5,2)</f>
        <v>0</v>
      </c>
      <c r="BD6" s="3374">
        <f t="shared" si="4"/>
        <v>0</v>
      </c>
      <c r="BE6" s="3374">
        <f t="shared" si="4"/>
        <v>0</v>
      </c>
      <c r="BF6" s="3374">
        <f t="shared" si="4"/>
        <v>0</v>
      </c>
      <c r="BG6" s="3374">
        <f t="shared" si="4"/>
        <v>0</v>
      </c>
      <c r="BH6" s="3374">
        <f t="shared" si="4"/>
        <v>0</v>
      </c>
      <c r="BI6" s="3374">
        <f t="shared" ref="BI6:BT6" si="5">ROUND($AY$6*BI5/$AZ$5,2)</f>
        <v>0</v>
      </c>
      <c r="BJ6" s="3374">
        <f t="shared" si="5"/>
        <v>0</v>
      </c>
      <c r="BK6" s="3374">
        <f t="shared" si="5"/>
        <v>0</v>
      </c>
      <c r="BL6" s="3374">
        <f t="shared" si="5"/>
        <v>0</v>
      </c>
      <c r="BM6" s="3374">
        <f t="shared" si="5"/>
        <v>0</v>
      </c>
      <c r="BN6" s="3374">
        <f t="shared" si="5"/>
        <v>0</v>
      </c>
      <c r="BO6" s="3374">
        <f t="shared" si="5"/>
        <v>0</v>
      </c>
      <c r="BP6" s="3374">
        <f t="shared" si="5"/>
        <v>0</v>
      </c>
      <c r="BQ6" s="3374">
        <f t="shared" si="5"/>
        <v>0</v>
      </c>
      <c r="BR6" s="3374">
        <f t="shared" si="5"/>
        <v>0</v>
      </c>
      <c r="BS6" s="3374">
        <f t="shared" si="5"/>
        <v>0</v>
      </c>
      <c r="BT6" s="4234">
        <f t="shared" si="5"/>
        <v>0</v>
      </c>
    </row>
    <row r="7" s="4213" customFormat="1" ht="24.75" spans="1:72">
      <c r="A7" s="4235" t="s">
        <v>611</v>
      </c>
      <c r="B7" s="4235" t="s">
        <v>612</v>
      </c>
      <c r="C7" s="4235" t="s">
        <v>586</v>
      </c>
      <c r="D7" s="4235" t="s">
        <v>613</v>
      </c>
      <c r="E7" s="4235" t="s">
        <v>610</v>
      </c>
      <c r="F7" s="4235" t="s">
        <v>614</v>
      </c>
      <c r="G7" s="4236" t="s">
        <v>615</v>
      </c>
      <c r="H7" s="4237"/>
      <c r="I7" s="4237"/>
      <c r="J7" s="4237"/>
      <c r="K7" s="4237"/>
      <c r="L7" s="4237"/>
      <c r="M7" s="4237"/>
      <c r="N7" s="4237"/>
      <c r="O7" s="4237"/>
      <c r="P7" s="4237"/>
      <c r="Q7" s="4237"/>
      <c r="R7" s="4237"/>
      <c r="S7" s="4237"/>
      <c r="T7" s="4237"/>
      <c r="U7" s="4237"/>
      <c r="V7" s="4237"/>
      <c r="W7" s="4237"/>
      <c r="X7" s="4237"/>
      <c r="Y7" s="4237"/>
      <c r="Z7" s="4237"/>
      <c r="AA7" s="4237"/>
      <c r="AB7" s="4237"/>
      <c r="AC7" s="4237"/>
      <c r="AD7" s="4237"/>
      <c r="AE7" s="4237"/>
      <c r="AF7" s="4237"/>
      <c r="AG7" s="4237"/>
      <c r="AH7" s="4237"/>
      <c r="AI7" s="4237"/>
      <c r="AJ7" s="4237"/>
      <c r="AK7" s="4237"/>
      <c r="AL7" s="4237"/>
      <c r="AM7" s="4237"/>
      <c r="AN7" s="4237"/>
      <c r="AO7" s="4237"/>
      <c r="AP7" s="4237"/>
      <c r="AQ7" s="4237"/>
      <c r="AR7" s="4237"/>
      <c r="AS7" s="4237"/>
      <c r="AT7" s="3461"/>
      <c r="AU7" s="4237" t="s">
        <v>616</v>
      </c>
      <c r="AV7" s="4232" t="s">
        <v>611</v>
      </c>
      <c r="AW7" s="3646" t="s">
        <v>612</v>
      </c>
      <c r="AX7" s="4232" t="s">
        <v>586</v>
      </c>
      <c r="AY7" s="3460" t="s">
        <v>617</v>
      </c>
      <c r="AZ7" s="4238"/>
      <c r="BA7" s="4237"/>
      <c r="BB7" s="4237"/>
      <c r="BC7" s="4237"/>
      <c r="BD7" s="4237"/>
      <c r="BE7" s="4237"/>
      <c r="BF7" s="4237"/>
      <c r="BG7" s="4237"/>
      <c r="BH7" s="4237"/>
      <c r="BI7" s="4237"/>
      <c r="BJ7" s="4237"/>
      <c r="BK7" s="4237"/>
      <c r="BL7" s="4237"/>
      <c r="BM7" s="4237"/>
      <c r="BN7" s="4237"/>
      <c r="BO7" s="4237"/>
      <c r="BP7" s="4237"/>
      <c r="BQ7" s="4237"/>
      <c r="BR7" s="4237"/>
      <c r="BS7" s="4237"/>
      <c r="BT7" s="4239"/>
    </row>
    <row r="8" s="3925" customFormat="1" ht="24" spans="1:72">
      <c r="A8" s="4240"/>
      <c r="B8" s="4240"/>
      <c r="C8" s="4240"/>
      <c r="D8" s="4240"/>
      <c r="E8" s="4240"/>
      <c r="F8" s="4240"/>
      <c r="G8" s="4241" t="s">
        <v>618</v>
      </c>
      <c r="H8" s="4242" t="s">
        <v>619</v>
      </c>
      <c r="I8" s="4243"/>
      <c r="J8" s="2665"/>
      <c r="K8" s="2665"/>
      <c r="L8" s="2665"/>
      <c r="M8" s="2665"/>
      <c r="N8" s="2665"/>
      <c r="O8" s="2665"/>
      <c r="P8" s="2665"/>
      <c r="Q8" s="2665"/>
      <c r="R8" s="2665"/>
      <c r="S8" s="2665"/>
      <c r="T8" s="2665"/>
      <c r="U8" s="2665"/>
      <c r="V8" s="4244"/>
      <c r="W8" s="2665"/>
      <c r="X8" s="2665"/>
      <c r="Y8" s="2665"/>
      <c r="Z8" s="2665"/>
      <c r="AA8" s="4244"/>
      <c r="AB8" s="4245"/>
      <c r="AC8" s="808" t="s">
        <v>620</v>
      </c>
      <c r="AD8" s="4246"/>
      <c r="AE8" s="4238"/>
      <c r="AF8" s="2665"/>
      <c r="AG8" s="2665"/>
      <c r="AH8" s="2665"/>
      <c r="AI8" s="2665"/>
      <c r="AJ8" s="2665"/>
      <c r="AK8" s="2665"/>
      <c r="AL8" s="2665"/>
      <c r="AM8" s="2665"/>
      <c r="AN8" s="2665"/>
      <c r="AO8" s="2665"/>
      <c r="AP8" s="2665"/>
      <c r="AQ8" s="2665"/>
      <c r="AR8" s="2665"/>
      <c r="AS8" s="2665"/>
      <c r="AT8" s="2596" t="s">
        <v>621</v>
      </c>
      <c r="AU8" s="4240" t="s">
        <v>622</v>
      </c>
      <c r="AV8" s="2596"/>
      <c r="AW8" s="3558"/>
      <c r="AX8" s="2596"/>
      <c r="AY8" s="3646" t="s">
        <v>610</v>
      </c>
      <c r="AZ8" s="2741" t="s">
        <v>540</v>
      </c>
      <c r="BA8" s="2665"/>
      <c r="BB8" s="2665"/>
      <c r="BC8" s="2665"/>
      <c r="BD8" s="2665"/>
      <c r="BE8" s="2665"/>
      <c r="BF8" s="2665"/>
      <c r="BG8" s="2665"/>
      <c r="BH8" s="2665"/>
      <c r="BI8" s="2665"/>
      <c r="BJ8" s="2665"/>
      <c r="BK8" s="2665"/>
      <c r="BL8" s="2665"/>
      <c r="BM8" s="2665"/>
      <c r="BN8" s="2665"/>
      <c r="BO8" s="2665"/>
      <c r="BP8" s="2665"/>
      <c r="BQ8" s="2665"/>
      <c r="BR8" s="2665"/>
      <c r="BS8" s="2665"/>
      <c r="BT8" s="2660"/>
    </row>
    <row r="9" s="3925" customFormat="1" ht="12.75" spans="1:72">
      <c r="A9" s="4240"/>
      <c r="B9" s="4240"/>
      <c r="C9" s="4240"/>
      <c r="D9" s="4240"/>
      <c r="E9" s="4240"/>
      <c r="F9" s="4240"/>
      <c r="G9" s="2596"/>
      <c r="H9" s="4247" t="s">
        <v>623</v>
      </c>
      <c r="I9" s="4248" t="s">
        <v>487</v>
      </c>
      <c r="J9" s="808"/>
      <c r="K9" s="4248" t="s">
        <v>490</v>
      </c>
      <c r="L9" s="808"/>
      <c r="M9" s="4248"/>
      <c r="N9" s="808"/>
      <c r="O9" s="4248"/>
      <c r="P9" s="808"/>
      <c r="Q9" s="4248"/>
      <c r="R9" s="808"/>
      <c r="S9" s="4248"/>
      <c r="T9" s="808"/>
      <c r="U9" s="4248"/>
      <c r="V9" s="808"/>
      <c r="W9" s="4248"/>
      <c r="X9" s="4249"/>
      <c r="Y9" s="4248"/>
      <c r="Z9" s="808"/>
      <c r="AA9" s="4248"/>
      <c r="AB9" s="808"/>
      <c r="AC9" s="4241" t="s">
        <v>623</v>
      </c>
      <c r="AD9" s="2650" t="s">
        <v>624</v>
      </c>
      <c r="AE9" s="2611"/>
      <c r="AF9" s="2650" t="s">
        <v>625</v>
      </c>
      <c r="AG9" s="2611"/>
      <c r="AH9" s="2650" t="s">
        <v>624</v>
      </c>
      <c r="AI9" s="2611"/>
      <c r="AJ9" s="2650" t="s">
        <v>625</v>
      </c>
      <c r="AK9" s="2611"/>
      <c r="AL9" s="2650" t="s">
        <v>624</v>
      </c>
      <c r="AM9" s="2611"/>
      <c r="AN9" s="2650" t="s">
        <v>625</v>
      </c>
      <c r="AO9" s="2611"/>
      <c r="AP9" s="2650" t="s">
        <v>624</v>
      </c>
      <c r="AQ9" s="2611"/>
      <c r="AR9" s="2650" t="s">
        <v>625</v>
      </c>
      <c r="AS9" s="4250"/>
      <c r="AT9" s="4240"/>
      <c r="AU9" s="4240" t="s">
        <v>626</v>
      </c>
      <c r="AV9" s="2596"/>
      <c r="AW9" s="3558"/>
      <c r="AX9" s="2596"/>
      <c r="AY9" s="4251"/>
      <c r="AZ9" s="4251" t="s">
        <v>618</v>
      </c>
      <c r="BA9" s="4252" t="s">
        <v>627</v>
      </c>
      <c r="BB9" s="4253"/>
      <c r="BC9" s="2659"/>
      <c r="BD9" s="2659"/>
      <c r="BE9" s="2659"/>
      <c r="BF9" s="2659"/>
      <c r="BG9" s="2659"/>
      <c r="BH9" s="2659"/>
      <c r="BI9" s="2659"/>
      <c r="BJ9" s="2659"/>
      <c r="BK9" s="4254"/>
      <c r="BL9" s="2650" t="s">
        <v>628</v>
      </c>
      <c r="BM9" s="2665"/>
      <c r="BN9" s="4243"/>
      <c r="BO9" s="2665"/>
      <c r="BP9" s="2665"/>
      <c r="BQ9" s="2665"/>
      <c r="BR9" s="2665"/>
      <c r="BS9" s="2665"/>
      <c r="BT9" s="2660"/>
    </row>
    <row r="10" s="3925" customFormat="1" ht="12.75" spans="1:72">
      <c r="A10" s="4240"/>
      <c r="B10" s="4240"/>
      <c r="C10" s="4240"/>
      <c r="D10" s="4240"/>
      <c r="E10" s="4240"/>
      <c r="F10" s="4240"/>
      <c r="G10" s="2596"/>
      <c r="H10" s="4251"/>
      <c r="I10" s="4248" t="s">
        <v>233</v>
      </c>
      <c r="J10" s="808"/>
      <c r="K10" s="4255" t="s">
        <v>233</v>
      </c>
      <c r="L10" s="808"/>
      <c r="M10" s="4255"/>
      <c r="N10" s="808"/>
      <c r="O10" s="4255"/>
      <c r="P10" s="808"/>
      <c r="Q10" s="4255"/>
      <c r="R10" s="808"/>
      <c r="S10" s="4255"/>
      <c r="T10" s="808"/>
      <c r="U10" s="4255"/>
      <c r="V10" s="808"/>
      <c r="W10" s="4255"/>
      <c r="X10" s="808"/>
      <c r="Y10" s="4255"/>
      <c r="Z10" s="808"/>
      <c r="AA10" s="4255"/>
      <c r="AB10" s="808"/>
      <c r="AC10" s="2596"/>
      <c r="AD10" s="2650" t="s">
        <v>629</v>
      </c>
      <c r="AE10" s="4256"/>
      <c r="AF10" s="2650" t="s">
        <v>629</v>
      </c>
      <c r="AG10" s="4256"/>
      <c r="AH10" s="2650" t="s">
        <v>630</v>
      </c>
      <c r="AI10" s="4256"/>
      <c r="AJ10" s="2650" t="s">
        <v>630</v>
      </c>
      <c r="AK10" s="4256"/>
      <c r="AL10" s="2650" t="s">
        <v>631</v>
      </c>
      <c r="AM10" s="2611"/>
      <c r="AN10" s="2650" t="s">
        <v>631</v>
      </c>
      <c r="AO10" s="2611"/>
      <c r="AP10" s="2650" t="s">
        <v>632</v>
      </c>
      <c r="AQ10" s="2611"/>
      <c r="AR10" s="2650" t="s">
        <v>632</v>
      </c>
      <c r="AS10" s="2611"/>
      <c r="AT10" s="4240"/>
      <c r="AU10" s="4240"/>
      <c r="AV10" s="2596"/>
      <c r="AW10" s="3558"/>
      <c r="AX10" s="2596"/>
      <c r="AY10" s="4251"/>
      <c r="AZ10" s="4251"/>
      <c r="BA10" s="4257" t="s">
        <v>623</v>
      </c>
      <c r="BB10" s="4258" t="str">
        <f>I9</f>
        <v>地上</v>
      </c>
      <c r="BC10" s="2673" t="str">
        <f>K9</f>
        <v>地下</v>
      </c>
      <c r="BD10" s="2673">
        <f>M9</f>
        <v>0</v>
      </c>
      <c r="BE10" s="2673">
        <f>O9</f>
        <v>0</v>
      </c>
      <c r="BF10" s="2673">
        <f>Q9</f>
        <v>0</v>
      </c>
      <c r="BG10" s="2673">
        <f>S9</f>
        <v>0</v>
      </c>
      <c r="BH10" s="2673">
        <f>U9</f>
        <v>0</v>
      </c>
      <c r="BI10" s="2673">
        <f>W9</f>
        <v>0</v>
      </c>
      <c r="BJ10" s="2673">
        <f>Y9</f>
        <v>0</v>
      </c>
      <c r="BK10" s="2673">
        <f>AA9</f>
        <v>0</v>
      </c>
      <c r="BL10" s="2668" t="s">
        <v>623</v>
      </c>
      <c r="BM10" s="2741" t="str">
        <f>AD9</f>
        <v>地上</v>
      </c>
      <c r="BN10" s="2673" t="str">
        <f>AF9</f>
        <v>地下</v>
      </c>
      <c r="BO10" s="2741" t="str">
        <f>AH9</f>
        <v>地上</v>
      </c>
      <c r="BP10" s="2673" t="str">
        <f>AJ9</f>
        <v>地下</v>
      </c>
      <c r="BQ10" s="2741" t="str">
        <f>AL9</f>
        <v>地上</v>
      </c>
      <c r="BR10" s="2673" t="str">
        <f>AN9</f>
        <v>地下</v>
      </c>
      <c r="BS10" s="2741" t="str">
        <f>AP9</f>
        <v>地上</v>
      </c>
      <c r="BT10" s="4259" t="str">
        <f>AR9</f>
        <v>地下</v>
      </c>
    </row>
    <row r="11" s="3925" customFormat="1" ht="12.75" spans="1:72">
      <c r="A11" s="4240"/>
      <c r="B11" s="4240"/>
      <c r="C11" s="4240"/>
      <c r="D11" s="4240"/>
      <c r="E11" s="4240"/>
      <c r="F11" s="4240"/>
      <c r="G11" s="2596"/>
      <c r="H11" s="4257"/>
      <c r="I11" s="4260"/>
      <c r="J11" s="4261"/>
      <c r="K11" s="4260"/>
      <c r="L11" s="4261"/>
      <c r="M11" s="4260"/>
      <c r="N11" s="4261"/>
      <c r="O11" s="4260"/>
      <c r="P11" s="4261"/>
      <c r="Q11" s="4260"/>
      <c r="R11" s="4261"/>
      <c r="S11" s="4260"/>
      <c r="T11" s="4261"/>
      <c r="U11" s="4260"/>
      <c r="V11" s="4261"/>
      <c r="W11" s="4260"/>
      <c r="X11" s="4261"/>
      <c r="Y11" s="4260"/>
      <c r="Z11" s="4261"/>
      <c r="AA11" s="4260"/>
      <c r="AB11" s="4261"/>
      <c r="AC11" s="2596"/>
      <c r="AD11" s="4262" t="s">
        <v>633</v>
      </c>
      <c r="AE11" s="3373"/>
      <c r="AF11" s="4262" t="s">
        <v>633</v>
      </c>
      <c r="AG11" s="3373"/>
      <c r="AH11" s="4262" t="s">
        <v>634</v>
      </c>
      <c r="AI11" s="4263"/>
      <c r="AJ11" s="4262" t="s">
        <v>634</v>
      </c>
      <c r="AK11" s="3373"/>
      <c r="AL11" s="2741"/>
      <c r="AM11" s="3373"/>
      <c r="AN11" s="2741"/>
      <c r="AO11" s="3373"/>
      <c r="AP11" s="2741"/>
      <c r="AQ11" s="3373"/>
      <c r="AR11" s="2741"/>
      <c r="AS11" s="3373"/>
      <c r="AT11" s="3558"/>
      <c r="AU11" s="4240"/>
      <c r="AV11" s="2596"/>
      <c r="AW11" s="3558"/>
      <c r="AX11" s="2596"/>
      <c r="AY11" s="4251"/>
      <c r="AZ11" s="4251"/>
      <c r="BA11" s="4251"/>
      <c r="BB11" s="4245" t="str">
        <f>I10</f>
        <v>工业</v>
      </c>
      <c r="BC11" s="4245" t="str">
        <f>K10</f>
        <v>工业</v>
      </c>
      <c r="BD11" s="4245">
        <f>M10</f>
        <v>0</v>
      </c>
      <c r="BE11" s="4245">
        <f>O10</f>
        <v>0</v>
      </c>
      <c r="BF11" s="4245">
        <f>Q10</f>
        <v>0</v>
      </c>
      <c r="BG11" s="4245">
        <f>S10</f>
        <v>0</v>
      </c>
      <c r="BH11" s="4245">
        <f>U10</f>
        <v>0</v>
      </c>
      <c r="BI11" s="4245">
        <f>W10</f>
        <v>0</v>
      </c>
      <c r="BJ11" s="4245">
        <f>Y10</f>
        <v>0</v>
      </c>
      <c r="BK11" s="4245">
        <f>AA10</f>
        <v>0</v>
      </c>
      <c r="BL11" s="2596"/>
      <c r="BM11" s="2741" t="str">
        <f>AD10</f>
        <v>公共配套设施</v>
      </c>
      <c r="BN11" s="2741" t="str">
        <f>AF10</f>
        <v>公共配套设施</v>
      </c>
      <c r="BO11" s="1310" t="str">
        <f>AH10</f>
        <v>物业管理用房</v>
      </c>
      <c r="BP11" s="1310" t="str">
        <f>AJ10</f>
        <v>物业管理用房</v>
      </c>
      <c r="BQ11" s="1310" t="str">
        <f>AL10</f>
        <v>设备及其他</v>
      </c>
      <c r="BR11" s="1310" t="str">
        <f>AN10</f>
        <v>设备及其他</v>
      </c>
      <c r="BS11" s="2668" t="str">
        <f>AP10</f>
        <v>未注明</v>
      </c>
      <c r="BT11" s="4264" t="str">
        <f>AR10</f>
        <v>未注明</v>
      </c>
    </row>
    <row r="12" s="4213" customFormat="1" ht="12.75" spans="1:72">
      <c r="A12" s="4265"/>
      <c r="B12" s="4265"/>
      <c r="C12" s="4265"/>
      <c r="D12" s="4265"/>
      <c r="E12" s="4265"/>
      <c r="F12" s="4265"/>
      <c r="G12" s="964"/>
      <c r="H12" s="4266"/>
      <c r="I12" s="3461" t="s">
        <v>635</v>
      </c>
      <c r="J12" s="3374" t="s">
        <v>636</v>
      </c>
      <c r="K12" s="3374" t="s">
        <v>635</v>
      </c>
      <c r="L12" s="3374" t="s">
        <v>636</v>
      </c>
      <c r="M12" s="3374" t="s">
        <v>635</v>
      </c>
      <c r="N12" s="3374" t="s">
        <v>636</v>
      </c>
      <c r="O12" s="3374" t="s">
        <v>635</v>
      </c>
      <c r="P12" s="3374" t="s">
        <v>636</v>
      </c>
      <c r="Q12" s="3374" t="s">
        <v>635</v>
      </c>
      <c r="R12" s="3374" t="s">
        <v>636</v>
      </c>
      <c r="S12" s="3374" t="s">
        <v>635</v>
      </c>
      <c r="T12" s="3374" t="s">
        <v>636</v>
      </c>
      <c r="U12" s="3374" t="s">
        <v>635</v>
      </c>
      <c r="V12" s="3459" t="s">
        <v>636</v>
      </c>
      <c r="W12" s="3374" t="s">
        <v>635</v>
      </c>
      <c r="X12" s="3374" t="s">
        <v>636</v>
      </c>
      <c r="Y12" s="3374" t="s">
        <v>635</v>
      </c>
      <c r="Z12" s="3374" t="s">
        <v>636</v>
      </c>
      <c r="AA12" s="3374" t="s">
        <v>635</v>
      </c>
      <c r="AB12" s="3374" t="s">
        <v>636</v>
      </c>
      <c r="AC12" s="4267"/>
      <c r="AD12" s="3461" t="s">
        <v>635</v>
      </c>
      <c r="AE12" s="3374" t="s">
        <v>636</v>
      </c>
      <c r="AF12" s="3374" t="s">
        <v>635</v>
      </c>
      <c r="AG12" s="3374" t="s">
        <v>636</v>
      </c>
      <c r="AH12" s="3374" t="s">
        <v>635</v>
      </c>
      <c r="AI12" s="3374" t="s">
        <v>636</v>
      </c>
      <c r="AJ12" s="3374" t="s">
        <v>635</v>
      </c>
      <c r="AK12" s="3374" t="s">
        <v>636</v>
      </c>
      <c r="AL12" s="3374" t="s">
        <v>635</v>
      </c>
      <c r="AM12" s="3374" t="s">
        <v>636</v>
      </c>
      <c r="AN12" s="3374" t="s">
        <v>635</v>
      </c>
      <c r="AO12" s="3374" t="s">
        <v>636</v>
      </c>
      <c r="AP12" s="3374" t="s">
        <v>635</v>
      </c>
      <c r="AQ12" s="3374" t="s">
        <v>636</v>
      </c>
      <c r="AR12" s="964" t="s">
        <v>635</v>
      </c>
      <c r="AS12" s="4265" t="s">
        <v>636</v>
      </c>
      <c r="AT12" s="4268"/>
      <c r="AU12" s="4265"/>
      <c r="AV12" s="4269"/>
      <c r="AW12" s="3646"/>
      <c r="AX12" s="4269"/>
      <c r="AY12" s="4270"/>
      <c r="AZ12" s="4251"/>
      <c r="BA12" s="4257"/>
      <c r="BB12" s="1310">
        <f>I11</f>
        <v>0</v>
      </c>
      <c r="BC12" s="4271">
        <f>K11</f>
        <v>0</v>
      </c>
      <c r="BD12" s="4271">
        <f>M11</f>
        <v>0</v>
      </c>
      <c r="BE12" s="4245">
        <f>O11</f>
        <v>0</v>
      </c>
      <c r="BF12" s="4245">
        <f>Q11</f>
        <v>0</v>
      </c>
      <c r="BG12" s="4245">
        <f>S11</f>
        <v>0</v>
      </c>
      <c r="BH12" s="4245">
        <f>U11</f>
        <v>0</v>
      </c>
      <c r="BI12" s="4245">
        <f>W11</f>
        <v>0</v>
      </c>
      <c r="BJ12" s="4245">
        <f>Y11</f>
        <v>0</v>
      </c>
      <c r="BK12" s="4245">
        <f>AA11</f>
        <v>0</v>
      </c>
      <c r="BL12" s="2596"/>
      <c r="BM12" s="2741" t="str">
        <f>AD11</f>
        <v>（住宅）</v>
      </c>
      <c r="BN12" s="2741" t="str">
        <f>AF11</f>
        <v>（住宅）</v>
      </c>
      <c r="BO12" s="1310" t="str">
        <f>AH11</f>
        <v>（住宅、计出让金）</v>
      </c>
      <c r="BP12" s="1310" t="str">
        <f>AJ11</f>
        <v>（住宅、计出让金）</v>
      </c>
      <c r="BQ12" s="1310">
        <f>AL11</f>
        <v>0</v>
      </c>
      <c r="BR12" s="1310">
        <f>AN11</f>
        <v>0</v>
      </c>
      <c r="BS12" s="2668">
        <f>AP11</f>
        <v>0</v>
      </c>
      <c r="BT12" s="4264">
        <f>AR11</f>
        <v>0</v>
      </c>
    </row>
    <row r="13" s="4213" customFormat="1" ht="12.75" spans="1:72">
      <c r="A13" s="4224"/>
      <c r="B13" s="4224"/>
      <c r="C13" s="4224"/>
      <c r="D13" s="4272" t="s">
        <v>637</v>
      </c>
      <c r="E13" s="3374">
        <f>IF($C$3="是",ROUND($A$3*G13/$B$3,2),ROUND($A$3*(G13-AT13)/$B$3,2))</f>
        <v>0</v>
      </c>
      <c r="F13" s="3318"/>
      <c r="G13" s="964">
        <f>H13+AC13+AT13</f>
        <v>20903.38</v>
      </c>
      <c r="H13" s="4232">
        <f>SUMIF(I$12:AB$12,"总值",I13:AB13)</f>
        <v>20903.38</v>
      </c>
      <c r="I13" s="4273">
        <f>清单!G6+清单!G7+清单!G9-ROUND(清单!G11/4,2)</f>
        <v>20386.47</v>
      </c>
      <c r="J13" s="4273"/>
      <c r="K13" s="4273">
        <f>ROUND(清单!G11/4,2)</f>
        <v>516.91</v>
      </c>
      <c r="L13" s="4273"/>
      <c r="M13" s="4273"/>
      <c r="N13" s="4273"/>
      <c r="O13" s="4273"/>
      <c r="P13" s="4273"/>
      <c r="Q13" s="4273"/>
      <c r="R13" s="4273"/>
      <c r="S13" s="4273"/>
      <c r="T13" s="4273"/>
      <c r="U13" s="4273"/>
      <c r="V13" s="4273"/>
      <c r="W13" s="4273"/>
      <c r="X13" s="4273"/>
      <c r="Y13" s="4273"/>
      <c r="Z13" s="4273"/>
      <c r="AA13" s="4273"/>
      <c r="AB13" s="4273"/>
      <c r="AC13" s="3374">
        <f>SUMIF(AD$12:AS$12,"总值",AD13:AS13)</f>
        <v>0</v>
      </c>
      <c r="AD13" s="4224"/>
      <c r="AE13" s="4224"/>
      <c r="AF13" s="4224"/>
      <c r="AG13" s="4224"/>
      <c r="AH13" s="4224"/>
      <c r="AI13" s="4224"/>
      <c r="AJ13" s="4224"/>
      <c r="AK13" s="4224"/>
      <c r="AL13" s="4224"/>
      <c r="AM13" s="4224"/>
      <c r="AN13" s="4224"/>
      <c r="AO13" s="4224"/>
      <c r="AP13" s="4224"/>
      <c r="AQ13" s="4224"/>
      <c r="AR13" s="4224"/>
      <c r="AS13" s="4224"/>
      <c r="AT13" s="4274"/>
      <c r="AU13" s="4275"/>
      <c r="AV13" s="3374">
        <f t="shared" ref="AV13:AX17" si="6">A13</f>
        <v>0</v>
      </c>
      <c r="AW13" s="3374">
        <f t="shared" si="6"/>
        <v>0</v>
      </c>
      <c r="AX13" s="3374">
        <f t="shared" si="6"/>
        <v>0</v>
      </c>
      <c r="AY13" s="3461">
        <f>ROUND($AY$6*AZ13/$AZ$5,2)</f>
        <v>0</v>
      </c>
      <c r="AZ13" s="4276">
        <f>BA13+BL13</f>
        <v>20903.38</v>
      </c>
      <c r="BA13" s="4276">
        <f>SUM(BB13:BK13)</f>
        <v>20903.38</v>
      </c>
      <c r="BB13" s="4276">
        <f>IF($D13="是",I13-J13,0)</f>
        <v>20386.47</v>
      </c>
      <c r="BC13" s="4276">
        <f>IF($D13="是",K13-L13,0)</f>
        <v>516.91</v>
      </c>
      <c r="BD13" s="4276">
        <f>IF($D13="是",M13-N13,0)</f>
        <v>0</v>
      </c>
      <c r="BE13" s="4276">
        <f>IF($D13="是",O13-P13,0)</f>
        <v>0</v>
      </c>
      <c r="BF13" s="4276">
        <f>IF($D13="是",Q13-R13,0)</f>
        <v>0</v>
      </c>
      <c r="BG13" s="4276">
        <f>IF($D13="是",S13-T13,0)</f>
        <v>0</v>
      </c>
      <c r="BH13" s="4276">
        <f>IF($D13="是",U13-V13,0)</f>
        <v>0</v>
      </c>
      <c r="BI13" s="4276">
        <f>IF($D13="是",W13-X13,0)</f>
        <v>0</v>
      </c>
      <c r="BJ13" s="4276">
        <f>IF($D13="是",Y13-Z13,0)</f>
        <v>0</v>
      </c>
      <c r="BK13" s="4276">
        <f>IF($D13="是",AA13-AB13,0)</f>
        <v>0</v>
      </c>
      <c r="BL13" s="4276">
        <f>SUM(BM13:BT13)</f>
        <v>0</v>
      </c>
      <c r="BM13" s="4276">
        <f>IF($D13="是",AD13-AE13,0)</f>
        <v>0</v>
      </c>
      <c r="BN13" s="4276">
        <f>IF($D13="是",AF13-AG13,0)</f>
        <v>0</v>
      </c>
      <c r="BO13" s="4276">
        <f>IF($D13="是",AH13-AI13,0)</f>
        <v>0</v>
      </c>
      <c r="BP13" s="4276">
        <f>IF($D13="是",AJ13-AK13,0)</f>
        <v>0</v>
      </c>
      <c r="BQ13" s="4276">
        <f>IF($D13="是",AL13-AM13,0)</f>
        <v>0</v>
      </c>
      <c r="BR13" s="4276">
        <f>IF($D13="是",AN13-AO13,0)</f>
        <v>0</v>
      </c>
      <c r="BS13" s="4276">
        <f>IF($D13="是",AP13-AQ13,0)</f>
        <v>0</v>
      </c>
      <c r="BT13" s="4277">
        <f>IF($D13="是",AR13-AS13,0)</f>
        <v>0</v>
      </c>
    </row>
    <row r="14" s="4213" customFormat="1" ht="12.75" spans="1:72">
      <c r="A14" s="4224"/>
      <c r="B14" s="4224"/>
      <c r="C14" s="4273"/>
      <c r="D14" s="4272"/>
      <c r="E14" s="3374">
        <f>IF($C$3="是",ROUND($A$3*G14/$B$3,2),ROUND($A$3*(G14-AT14)/$B$3,2))</f>
        <v>0</v>
      </c>
      <c r="F14" s="3318"/>
      <c r="G14" s="964">
        <f>H14+AC14+AT14</f>
        <v>0</v>
      </c>
      <c r="H14" s="4232">
        <f>SUMIF(I$12:AB$12,"总值",I14:AB14)</f>
        <v>0</v>
      </c>
      <c r="I14" s="4273"/>
      <c r="J14" s="4273"/>
      <c r="K14" s="4273"/>
      <c r="L14" s="4273"/>
      <c r="M14" s="4273"/>
      <c r="N14" s="4273"/>
      <c r="O14" s="4273"/>
      <c r="P14" s="4273"/>
      <c r="Q14" s="4273"/>
      <c r="R14" s="4273"/>
      <c r="S14" s="4273"/>
      <c r="T14" s="4273"/>
      <c r="U14" s="4273"/>
      <c r="V14" s="4273"/>
      <c r="W14" s="4273"/>
      <c r="X14" s="4273"/>
      <c r="Y14" s="4273"/>
      <c r="Z14" s="4273"/>
      <c r="AA14" s="4273"/>
      <c r="AB14" s="4273"/>
      <c r="AC14" s="3374">
        <f>SUMIF(AD$12:AS$12,"总值",AD14:AS14)</f>
        <v>0</v>
      </c>
      <c r="AD14" s="4224"/>
      <c r="AE14" s="4224"/>
      <c r="AF14" s="4224"/>
      <c r="AG14" s="4224"/>
      <c r="AH14" s="4224"/>
      <c r="AI14" s="4224"/>
      <c r="AJ14" s="4224"/>
      <c r="AK14" s="4224"/>
      <c r="AL14" s="4224"/>
      <c r="AM14" s="4224"/>
      <c r="AN14" s="4224"/>
      <c r="AO14" s="4224"/>
      <c r="AP14" s="4224"/>
      <c r="AQ14" s="4224"/>
      <c r="AR14" s="4224"/>
      <c r="AS14" s="4224"/>
      <c r="AT14" s="4274"/>
      <c r="AU14" s="4275"/>
      <c r="AV14" s="3374">
        <f t="shared" si="6"/>
        <v>0</v>
      </c>
      <c r="AW14" s="3374">
        <f t="shared" si="6"/>
        <v>0</v>
      </c>
      <c r="AX14" s="3374">
        <f t="shared" si="6"/>
        <v>0</v>
      </c>
      <c r="AY14" s="3461">
        <f>ROUND($AY$6*AZ14/$AZ$5,2)</f>
        <v>0</v>
      </c>
      <c r="AZ14" s="4276">
        <f>BA14+BL14</f>
        <v>0</v>
      </c>
      <c r="BA14" s="4276">
        <f>SUM(BB14:BK14)</f>
        <v>0</v>
      </c>
      <c r="BB14" s="4276">
        <f>IF($D14="是",I14-J14,0)</f>
        <v>0</v>
      </c>
      <c r="BC14" s="4276">
        <f>IF($D14="是",K14-L14,0)</f>
        <v>0</v>
      </c>
      <c r="BD14" s="4276">
        <f>IF($D14="是",M14-N14,0)</f>
        <v>0</v>
      </c>
      <c r="BE14" s="4276">
        <f>IF($D14="是",O14-P14,0)</f>
        <v>0</v>
      </c>
      <c r="BF14" s="4276">
        <f>IF($D14="是",Q14-R14,0)</f>
        <v>0</v>
      </c>
      <c r="BG14" s="4276">
        <f>IF($D14="是",S14-T14,0)</f>
        <v>0</v>
      </c>
      <c r="BH14" s="4276">
        <f>IF($D14="是",U14-V14,0)</f>
        <v>0</v>
      </c>
      <c r="BI14" s="4276">
        <f>IF($D14="是",W14-X14,0)</f>
        <v>0</v>
      </c>
      <c r="BJ14" s="4276">
        <f>IF($D14="是",Y14-Z14,0)</f>
        <v>0</v>
      </c>
      <c r="BK14" s="4276">
        <f>IF($D14="是",AA14-AB14,0)</f>
        <v>0</v>
      </c>
      <c r="BL14" s="4276">
        <f>SUM(BM14:BT14)</f>
        <v>0</v>
      </c>
      <c r="BM14" s="4276">
        <f>IF($D14="是",AD14-AE14,0)</f>
        <v>0</v>
      </c>
      <c r="BN14" s="4276">
        <f>IF($D14="是",AF14-AG14,0)</f>
        <v>0</v>
      </c>
      <c r="BO14" s="4276">
        <f>IF($D14="是",AH14-AI14,0)</f>
        <v>0</v>
      </c>
      <c r="BP14" s="4276">
        <f>IF($D14="是",AJ14-AK14,0)</f>
        <v>0</v>
      </c>
      <c r="BQ14" s="4276">
        <f>IF($D14="是",AL14-AM14,0)</f>
        <v>0</v>
      </c>
      <c r="BR14" s="4276">
        <f>IF($D14="是",AN14-AO14,0)</f>
        <v>0</v>
      </c>
      <c r="BS14" s="4276">
        <f>IF($D14="是",AP14-AQ14,0)</f>
        <v>0</v>
      </c>
      <c r="BT14" s="4277">
        <f>IF($D14="是",AR14-AS14,0)</f>
        <v>0</v>
      </c>
    </row>
    <row r="15" s="4213" customFormat="1" ht="12.75" spans="1:72">
      <c r="A15" s="4224"/>
      <c r="B15" s="4224"/>
      <c r="C15" s="4273"/>
      <c r="D15" s="4272"/>
      <c r="E15" s="3374">
        <f>IF($C$3="是",ROUND($A$3*G15/$B$3,2),ROUND($A$3*(G15-AT15)/$B$3,2))</f>
        <v>0</v>
      </c>
      <c r="F15" s="3318"/>
      <c r="G15" s="964">
        <f>H15+AC15+AT15</f>
        <v>0</v>
      </c>
      <c r="H15" s="4232">
        <f>SUMIF(I$12:AB$12,"总值",I15:AB15)</f>
        <v>0</v>
      </c>
      <c r="I15" s="4273"/>
      <c r="J15" s="4273"/>
      <c r="K15" s="4273"/>
      <c r="L15" s="4273"/>
      <c r="M15" s="4273"/>
      <c r="N15" s="4273"/>
      <c r="O15" s="4273"/>
      <c r="P15" s="4273"/>
      <c r="Q15" s="4273"/>
      <c r="R15" s="4273"/>
      <c r="S15" s="4273"/>
      <c r="T15" s="4273"/>
      <c r="U15" s="4273"/>
      <c r="V15" s="4273"/>
      <c r="W15" s="4273"/>
      <c r="X15" s="4273"/>
      <c r="Y15" s="4273"/>
      <c r="Z15" s="4273"/>
      <c r="AA15" s="4273"/>
      <c r="AB15" s="4273"/>
      <c r="AC15" s="3374">
        <f>SUMIF(AD$12:AS$12,"总值",AD15:AS15)</f>
        <v>0</v>
      </c>
      <c r="AD15" s="4224"/>
      <c r="AE15" s="4224"/>
      <c r="AF15" s="4224"/>
      <c r="AG15" s="4224"/>
      <c r="AH15" s="4224"/>
      <c r="AI15" s="4224"/>
      <c r="AJ15" s="4224"/>
      <c r="AK15" s="4224"/>
      <c r="AL15" s="4224"/>
      <c r="AM15" s="4224"/>
      <c r="AN15" s="4224"/>
      <c r="AO15" s="4224"/>
      <c r="AP15" s="4224"/>
      <c r="AQ15" s="4224"/>
      <c r="AR15" s="4224"/>
      <c r="AS15" s="4224"/>
      <c r="AT15" s="4274"/>
      <c r="AU15" s="4275"/>
      <c r="AV15" s="3374">
        <f t="shared" si="6"/>
        <v>0</v>
      </c>
      <c r="AW15" s="3374">
        <f t="shared" si="6"/>
        <v>0</v>
      </c>
      <c r="AX15" s="3374">
        <f t="shared" si="6"/>
        <v>0</v>
      </c>
      <c r="AY15" s="3461">
        <f>ROUND($AY$6*AZ15/$AZ$5,2)</f>
        <v>0</v>
      </c>
      <c r="AZ15" s="4276">
        <f>BA15+BL15</f>
        <v>0</v>
      </c>
      <c r="BA15" s="4276">
        <f>SUM(BB15:BK15)</f>
        <v>0</v>
      </c>
      <c r="BB15" s="4276">
        <f>IF($D15="是",I15-J15,0)</f>
        <v>0</v>
      </c>
      <c r="BC15" s="4276">
        <f>IF($D15="是",K15-L15,0)</f>
        <v>0</v>
      </c>
      <c r="BD15" s="4276">
        <f>IF($D15="是",M15-N15,0)</f>
        <v>0</v>
      </c>
      <c r="BE15" s="4276">
        <f>IF($D15="是",O15-P15,0)</f>
        <v>0</v>
      </c>
      <c r="BF15" s="4276">
        <f>IF($D15="是",Q15-R15,0)</f>
        <v>0</v>
      </c>
      <c r="BG15" s="4276">
        <f>IF($D15="是",S15-T15,0)</f>
        <v>0</v>
      </c>
      <c r="BH15" s="4276">
        <f>IF($D15="是",U15-V15,0)</f>
        <v>0</v>
      </c>
      <c r="BI15" s="4276">
        <f>IF($D15="是",W15-X15,0)</f>
        <v>0</v>
      </c>
      <c r="BJ15" s="4276">
        <f>IF($D15="是",Y15-Z15,0)</f>
        <v>0</v>
      </c>
      <c r="BK15" s="4276">
        <f>IF($D15="是",AA15-AB15,0)</f>
        <v>0</v>
      </c>
      <c r="BL15" s="4276">
        <f>SUM(BM15:BT15)</f>
        <v>0</v>
      </c>
      <c r="BM15" s="4276">
        <f>IF($D15="是",AD15-AE15,0)</f>
        <v>0</v>
      </c>
      <c r="BN15" s="4276">
        <f>IF($D15="是",AF15-AG15,0)</f>
        <v>0</v>
      </c>
      <c r="BO15" s="4276">
        <f>IF($D15="是",AH15-AI15,0)</f>
        <v>0</v>
      </c>
      <c r="BP15" s="4276">
        <f>IF($D15="是",AJ15-AK15,0)</f>
        <v>0</v>
      </c>
      <c r="BQ15" s="4276">
        <f>IF($D15="是",AL15-AM15,0)</f>
        <v>0</v>
      </c>
      <c r="BR15" s="4276">
        <f>IF($D15="是",AN15-AO15,0)</f>
        <v>0</v>
      </c>
      <c r="BS15" s="4276">
        <f>IF($D15="是",AP15-AQ15,0)</f>
        <v>0</v>
      </c>
      <c r="BT15" s="4277">
        <f>IF($D15="是",AR15-AS15,0)</f>
        <v>0</v>
      </c>
    </row>
    <row r="16" s="4213" customFormat="1" ht="12.75" spans="1:72">
      <c r="A16" s="4224"/>
      <c r="B16" s="4224"/>
      <c r="C16" s="4273"/>
      <c r="D16" s="4272"/>
      <c r="E16" s="3374">
        <f>IF($C$3="是",ROUND($A$3*G16/$B$3,2),ROUND($A$3*(G16-AT16)/$B$3,2))</f>
        <v>0</v>
      </c>
      <c r="F16" s="3318"/>
      <c r="G16" s="964">
        <f>H16+AC16+AT16</f>
        <v>0</v>
      </c>
      <c r="H16" s="4232">
        <f>SUMIF(I$12:AB$12,"总值",I16:AB16)</f>
        <v>0</v>
      </c>
      <c r="I16" s="4273"/>
      <c r="J16" s="4273"/>
      <c r="K16" s="4273"/>
      <c r="L16" s="4273"/>
      <c r="M16" s="4273"/>
      <c r="N16" s="4273"/>
      <c r="O16" s="4273"/>
      <c r="P16" s="4273"/>
      <c r="Q16" s="4273"/>
      <c r="R16" s="4273"/>
      <c r="S16" s="4273"/>
      <c r="T16" s="4273"/>
      <c r="U16" s="4273"/>
      <c r="V16" s="4273"/>
      <c r="W16" s="4273"/>
      <c r="X16" s="4273"/>
      <c r="Y16" s="4273"/>
      <c r="Z16" s="4273"/>
      <c r="AA16" s="4273"/>
      <c r="AB16" s="4273"/>
      <c r="AC16" s="3374">
        <f>SUMIF(AD$12:AS$12,"总值",AD16:AS16)</f>
        <v>0</v>
      </c>
      <c r="AD16" s="4224"/>
      <c r="AE16" s="4224"/>
      <c r="AF16" s="4224"/>
      <c r="AG16" s="4224"/>
      <c r="AH16" s="4224"/>
      <c r="AI16" s="4224"/>
      <c r="AJ16" s="4224"/>
      <c r="AK16" s="4224"/>
      <c r="AL16" s="4224"/>
      <c r="AM16" s="4224"/>
      <c r="AN16" s="4224"/>
      <c r="AO16" s="4224"/>
      <c r="AP16" s="4224"/>
      <c r="AQ16" s="4224"/>
      <c r="AR16" s="4224"/>
      <c r="AS16" s="4224"/>
      <c r="AT16" s="4274"/>
      <c r="AU16" s="4275"/>
      <c r="AV16" s="3374">
        <f t="shared" si="6"/>
        <v>0</v>
      </c>
      <c r="AW16" s="3374">
        <f t="shared" si="6"/>
        <v>0</v>
      </c>
      <c r="AX16" s="3374">
        <f t="shared" si="6"/>
        <v>0</v>
      </c>
      <c r="AY16" s="3461">
        <f>ROUND($AY$6*AZ16/$AZ$5,2)</f>
        <v>0</v>
      </c>
      <c r="AZ16" s="4276">
        <f>BA16+BL16</f>
        <v>0</v>
      </c>
      <c r="BA16" s="4276">
        <f>SUM(BB16:BK16)</f>
        <v>0</v>
      </c>
      <c r="BB16" s="4276">
        <f>IF($D16="是",I16-J16,0)</f>
        <v>0</v>
      </c>
      <c r="BC16" s="4276">
        <f>IF($D16="是",K16-L16,0)</f>
        <v>0</v>
      </c>
      <c r="BD16" s="4276">
        <f>IF($D16="是",M16-N16,0)</f>
        <v>0</v>
      </c>
      <c r="BE16" s="4276">
        <f>IF($D16="是",O16-P16,0)</f>
        <v>0</v>
      </c>
      <c r="BF16" s="4276">
        <f>IF($D16="是",Q16-R16,0)</f>
        <v>0</v>
      </c>
      <c r="BG16" s="4276">
        <f>IF($D16="是",S16-T16,0)</f>
        <v>0</v>
      </c>
      <c r="BH16" s="4276">
        <f>IF($D16="是",U16-V16,0)</f>
        <v>0</v>
      </c>
      <c r="BI16" s="4276">
        <f>IF($D16="是",W16-X16,0)</f>
        <v>0</v>
      </c>
      <c r="BJ16" s="4276">
        <f>IF($D16="是",Y16-Z16,0)</f>
        <v>0</v>
      </c>
      <c r="BK16" s="4276">
        <f>IF($D16="是",AA16-AB16,0)</f>
        <v>0</v>
      </c>
      <c r="BL16" s="4276">
        <f>SUM(BM16:BT16)</f>
        <v>0</v>
      </c>
      <c r="BM16" s="4276">
        <f>IF($D16="是",AD16-AE16,0)</f>
        <v>0</v>
      </c>
      <c r="BN16" s="4276">
        <f>IF($D16="是",AF16-AG16,0)</f>
        <v>0</v>
      </c>
      <c r="BO16" s="4276">
        <f>IF($D16="是",AH16-AI16,0)</f>
        <v>0</v>
      </c>
      <c r="BP16" s="4276">
        <f>IF($D16="是",AJ16-AK16,0)</f>
        <v>0</v>
      </c>
      <c r="BQ16" s="4276">
        <f>IF($D16="是",AL16-AM16,0)</f>
        <v>0</v>
      </c>
      <c r="BR16" s="4276">
        <f>IF($D16="是",AN16-AO16,0)</f>
        <v>0</v>
      </c>
      <c r="BS16" s="4276">
        <f>IF($D16="是",AP16-AQ16,0)</f>
        <v>0</v>
      </c>
      <c r="BT16" s="4277">
        <f>IF($D16="是",AR16-AS16,0)</f>
        <v>0</v>
      </c>
    </row>
    <row r="17" s="4213" customFormat="1" ht="12.75" spans="1:72">
      <c r="A17" s="4224"/>
      <c r="B17" s="4224"/>
      <c r="C17" s="4273"/>
      <c r="D17" s="4272"/>
      <c r="E17" s="3374">
        <f>IF($C$3="是",ROUND($A$3*G17/$B$3,2),ROUND($A$3*(G17-AT17)/$B$3,2))</f>
        <v>0</v>
      </c>
      <c r="F17" s="3318"/>
      <c r="G17" s="964">
        <f>H17+AC17+AT17</f>
        <v>0</v>
      </c>
      <c r="H17" s="4232">
        <f>SUMIF(I$12:AB$12,"总值",I17:AB17)</f>
        <v>0</v>
      </c>
      <c r="I17" s="4273"/>
      <c r="J17" s="4273"/>
      <c r="K17" s="4273"/>
      <c r="L17" s="4273"/>
      <c r="M17" s="4273"/>
      <c r="N17" s="4273"/>
      <c r="O17" s="4273"/>
      <c r="P17" s="4273"/>
      <c r="Q17" s="4273"/>
      <c r="R17" s="4273"/>
      <c r="S17" s="4273"/>
      <c r="T17" s="4273"/>
      <c r="U17" s="4273"/>
      <c r="V17" s="4273"/>
      <c r="W17" s="4273"/>
      <c r="X17" s="4273"/>
      <c r="Y17" s="4273"/>
      <c r="Z17" s="4273"/>
      <c r="AA17" s="4273"/>
      <c r="AB17" s="4273"/>
      <c r="AC17" s="3374">
        <f>SUMIF(AD$12:AS$12,"总值",AD17:AS17)</f>
        <v>0</v>
      </c>
      <c r="AD17" s="4224"/>
      <c r="AE17" s="4224"/>
      <c r="AF17" s="4224"/>
      <c r="AG17" s="4224"/>
      <c r="AH17" s="4224"/>
      <c r="AI17" s="4224"/>
      <c r="AJ17" s="4224"/>
      <c r="AK17" s="4224"/>
      <c r="AL17" s="4224"/>
      <c r="AM17" s="4224"/>
      <c r="AN17" s="4224"/>
      <c r="AO17" s="4224"/>
      <c r="AP17" s="4224"/>
      <c r="AQ17" s="4224"/>
      <c r="AR17" s="4224"/>
      <c r="AS17" s="4224"/>
      <c r="AT17" s="4274"/>
      <c r="AU17" s="4275"/>
      <c r="AV17" s="3374">
        <f t="shared" si="6"/>
        <v>0</v>
      </c>
      <c r="AW17" s="3374">
        <f t="shared" si="6"/>
        <v>0</v>
      </c>
      <c r="AX17" s="3374">
        <f t="shared" si="6"/>
        <v>0</v>
      </c>
      <c r="AY17" s="3461">
        <f>ROUND($AY$6*AZ17/$AZ$5,2)</f>
        <v>0</v>
      </c>
      <c r="AZ17" s="4276">
        <f>BA17+BL17</f>
        <v>0</v>
      </c>
      <c r="BA17" s="4276">
        <f>SUM(BB17:BK17)</f>
        <v>0</v>
      </c>
      <c r="BB17" s="4276">
        <f>IF($D17="是",I17-J17,0)</f>
        <v>0</v>
      </c>
      <c r="BC17" s="4276">
        <f>IF($D17="是",K17-L17,0)</f>
        <v>0</v>
      </c>
      <c r="BD17" s="4276">
        <f>IF($D17="是",M17-N17,0)</f>
        <v>0</v>
      </c>
      <c r="BE17" s="4276">
        <f>IF($D17="是",O17-P17,0)</f>
        <v>0</v>
      </c>
      <c r="BF17" s="4276">
        <f>IF($D17="是",Q17-R17,0)</f>
        <v>0</v>
      </c>
      <c r="BG17" s="4276">
        <f>IF($D17="是",S17-T17,0)</f>
        <v>0</v>
      </c>
      <c r="BH17" s="4276">
        <f>IF($D17="是",U17-V17,0)</f>
        <v>0</v>
      </c>
      <c r="BI17" s="4276">
        <f>IF($D17="是",W17-X17,0)</f>
        <v>0</v>
      </c>
      <c r="BJ17" s="4276">
        <f>IF($D17="是",Y17-Z17,0)</f>
        <v>0</v>
      </c>
      <c r="BK17" s="4276">
        <f>IF($D17="是",AA17-AB17,0)</f>
        <v>0</v>
      </c>
      <c r="BL17" s="4276">
        <f>SUM(BM17:BT17)</f>
        <v>0</v>
      </c>
      <c r="BM17" s="4276">
        <f>IF($D17="是",AD17-AE17,0)</f>
        <v>0</v>
      </c>
      <c r="BN17" s="4276">
        <f>IF($D17="是",AF17-AG17,0)</f>
        <v>0</v>
      </c>
      <c r="BO17" s="4276">
        <f>IF($D17="是",AH17-AI17,0)</f>
        <v>0</v>
      </c>
      <c r="BP17" s="4276">
        <f>IF($D17="是",AJ17-AK17,0)</f>
        <v>0</v>
      </c>
      <c r="BQ17" s="4276">
        <f>IF($D17="是",AL17-AM17,0)</f>
        <v>0</v>
      </c>
      <c r="BR17" s="4276">
        <f>IF($D17="是",AN17-AO17,0)</f>
        <v>0</v>
      </c>
      <c r="BS17" s="4276">
        <f>IF($D17="是",AP17-AQ17,0)</f>
        <v>0</v>
      </c>
      <c r="BT17" s="4277">
        <f>IF($D17="是",AR17-AS17,0)</f>
        <v>0</v>
      </c>
    </row>
    <row r="18" spans="1:72">
      <c r="A18" s="4278"/>
      <c r="B18" s="4279"/>
      <c r="C18" s="4279"/>
      <c r="D18" s="4280"/>
      <c r="E18" s="1188">
        <f t="shared" ref="E18:E112" si="7">IF($C$3="是",ROUND($A$3*G18/$B$3,2),ROUND($A$3*(G18-AT18)/$B$3,2))</f>
        <v>0</v>
      </c>
      <c r="F18" s="1680"/>
      <c r="G18" s="4281">
        <f t="shared" ref="G18:G109" si="8">H18+AC18+AT18</f>
        <v>0</v>
      </c>
      <c r="H18" s="3457">
        <f t="shared" ref="H18:H109" si="9">SUMIF(I$12:AB$12,"总值",I18:AB18)</f>
        <v>0</v>
      </c>
      <c r="I18" s="4282"/>
      <c r="J18" s="4282"/>
      <c r="K18" s="4282"/>
      <c r="L18" s="4282"/>
      <c r="M18" s="4282"/>
      <c r="N18" s="4282"/>
      <c r="O18" s="4282"/>
      <c r="P18" s="4282"/>
      <c r="Q18" s="4282"/>
      <c r="R18" s="4282"/>
      <c r="S18" s="4282"/>
      <c r="T18" s="4282"/>
      <c r="U18" s="4282"/>
      <c r="V18" s="4282"/>
      <c r="W18" s="4282"/>
      <c r="X18" s="4282"/>
      <c r="Y18" s="4282"/>
      <c r="Z18" s="4282"/>
      <c r="AA18" s="4282"/>
      <c r="AB18" s="4282"/>
      <c r="AC18" s="1188">
        <f t="shared" ref="AC18:AC109" si="10">SUMIF(AD$12:AS$12,"总值",AD18:AS18)</f>
        <v>0</v>
      </c>
      <c r="AD18" s="4278"/>
      <c r="AE18" s="4278"/>
      <c r="AF18" s="4278"/>
      <c r="AG18" s="4278"/>
      <c r="AH18" s="4278"/>
      <c r="AI18" s="4278"/>
      <c r="AJ18" s="4278"/>
      <c r="AK18" s="4278"/>
      <c r="AL18" s="4278"/>
      <c r="AM18" s="4278"/>
      <c r="AN18" s="4278"/>
      <c r="AO18" s="4278"/>
      <c r="AP18" s="4278"/>
      <c r="AQ18" s="4278"/>
      <c r="AR18" s="4278"/>
      <c r="AS18" s="4278"/>
      <c r="AT18" s="4279"/>
      <c r="AU18" s="4283"/>
      <c r="AV18" s="1188">
        <f t="shared" ref="AV18:AV112" si="11">A18</f>
        <v>0</v>
      </c>
      <c r="AW18" s="1188">
        <f t="shared" ref="AW18:AW112" si="12">B18</f>
        <v>0</v>
      </c>
      <c r="AX18" s="1188">
        <f t="shared" ref="AX18:AX112" si="13">C18</f>
        <v>0</v>
      </c>
      <c r="AY18" s="1452">
        <f t="shared" ref="AY18:AY109" si="14">ROUND($AY$6*AZ18/$AZ$5,2)</f>
        <v>0</v>
      </c>
      <c r="AZ18" s="4284">
        <f t="shared" ref="AZ18:AZ109" si="15">BA18+BL18</f>
        <v>0</v>
      </c>
      <c r="BA18" s="4284">
        <f t="shared" ref="BA18:BA109" si="16">SUM(BB18:BK18)</f>
        <v>0</v>
      </c>
      <c r="BB18" s="4284">
        <f t="shared" ref="BB18:BB109" si="17">IF($D18="是",I18-J18,0)</f>
        <v>0</v>
      </c>
      <c r="BC18" s="4284">
        <f t="shared" ref="BC18:BC109" si="18">IF($D18="是",K18-L18,0)</f>
        <v>0</v>
      </c>
      <c r="BD18" s="4284">
        <f t="shared" ref="BD18:BD109" si="19">IF($D18="是",M18-N18,0)</f>
        <v>0</v>
      </c>
      <c r="BE18" s="4284">
        <f t="shared" ref="BE18:BE109" si="20">IF($D18="是",O18-P18,0)</f>
        <v>0</v>
      </c>
      <c r="BF18" s="4284">
        <f t="shared" ref="BF18:BF109" si="21">IF($D18="是",Q18-R18,0)</f>
        <v>0</v>
      </c>
      <c r="BG18" s="4284">
        <f t="shared" ref="BG18:BG109" si="22">IF($D18="是",S18-T18,0)</f>
        <v>0</v>
      </c>
      <c r="BH18" s="4284">
        <f t="shared" ref="BH18:BH109" si="23">IF($D18="是",U18-V18,0)</f>
        <v>0</v>
      </c>
      <c r="BI18" s="4284">
        <f t="shared" ref="BI18:BI109" si="24">IF($D18="是",W18-X18,0)</f>
        <v>0</v>
      </c>
      <c r="BJ18" s="4284">
        <f t="shared" ref="BJ18:BJ109" si="25">IF($D18="是",Y18-Z18,0)</f>
        <v>0</v>
      </c>
      <c r="BK18" s="4284">
        <f t="shared" ref="BK18:BK109" si="26">IF($D18="是",AA18-AB18,0)</f>
        <v>0</v>
      </c>
      <c r="BL18" s="4284">
        <f t="shared" ref="BL18:BL109" si="27">SUM(BM18:BT18)</f>
        <v>0</v>
      </c>
      <c r="BM18" s="4284">
        <f t="shared" ref="BM18:BM109" si="28">IF($D18="是",AD18-AE18,0)</f>
        <v>0</v>
      </c>
      <c r="BN18" s="4284">
        <f t="shared" ref="BN18:BN109" si="29">IF($D18="是",AF18-AG18,0)</f>
        <v>0</v>
      </c>
      <c r="BO18" s="4284">
        <f t="shared" ref="BO18:BO109" si="30">IF($D18="是",AH18-AI18,0)</f>
        <v>0</v>
      </c>
      <c r="BP18" s="4284">
        <f t="shared" ref="BP18:BP109" si="31">IF($D18="是",AJ18-AK18,0)</f>
        <v>0</v>
      </c>
      <c r="BQ18" s="4284">
        <f t="shared" ref="BQ18:BQ109" si="32">IF($D18="是",AL18-AM18,0)</f>
        <v>0</v>
      </c>
      <c r="BR18" s="4284">
        <f t="shared" ref="BR18:BR109" si="33">IF($D18="是",AN18-AO18,0)</f>
        <v>0</v>
      </c>
      <c r="BS18" s="4284">
        <f t="shared" ref="BS18:BS109" si="34">IF($D18="是",AP18-AQ18,0)</f>
        <v>0</v>
      </c>
      <c r="BT18" s="4285">
        <f t="shared" ref="BT18:BT109" si="35">IF($D18="是",AR18-AS18,0)</f>
        <v>0</v>
      </c>
    </row>
    <row r="19" spans="1:72">
      <c r="A19" s="4278"/>
      <c r="B19" s="4279"/>
      <c r="C19" s="4279"/>
      <c r="D19" s="4280"/>
      <c r="E19" s="1188">
        <f t="shared" si="7"/>
        <v>0</v>
      </c>
      <c r="F19" s="1680"/>
      <c r="G19" s="4281">
        <f t="shared" si="8"/>
        <v>0</v>
      </c>
      <c r="H19" s="3457">
        <f t="shared" si="9"/>
        <v>0</v>
      </c>
      <c r="I19" s="4282"/>
      <c r="J19" s="4282"/>
      <c r="K19" s="4282"/>
      <c r="L19" s="4282"/>
      <c r="M19" s="4282"/>
      <c r="N19" s="4282"/>
      <c r="O19" s="4282"/>
      <c r="P19" s="4282"/>
      <c r="Q19" s="4282"/>
      <c r="R19" s="4282"/>
      <c r="S19" s="4282"/>
      <c r="T19" s="4282"/>
      <c r="U19" s="4282"/>
      <c r="V19" s="4282"/>
      <c r="W19" s="4282"/>
      <c r="X19" s="4282"/>
      <c r="Y19" s="4282"/>
      <c r="Z19" s="4282"/>
      <c r="AA19" s="4282"/>
      <c r="AB19" s="4282"/>
      <c r="AC19" s="1188">
        <f t="shared" si="10"/>
        <v>0</v>
      </c>
      <c r="AD19" s="4278"/>
      <c r="AE19" s="4278"/>
      <c r="AF19" s="4278"/>
      <c r="AG19" s="4278"/>
      <c r="AH19" s="4278"/>
      <c r="AI19" s="4278"/>
      <c r="AJ19" s="4278"/>
      <c r="AK19" s="4278"/>
      <c r="AL19" s="4278"/>
      <c r="AM19" s="4278"/>
      <c r="AN19" s="4278"/>
      <c r="AO19" s="4278"/>
      <c r="AP19" s="4278"/>
      <c r="AQ19" s="4278"/>
      <c r="AR19" s="4278"/>
      <c r="AS19" s="4278"/>
      <c r="AT19" s="4279"/>
      <c r="AU19" s="4283"/>
      <c r="AV19" s="1188">
        <f t="shared" si="11"/>
        <v>0</v>
      </c>
      <c r="AW19" s="1188">
        <f t="shared" si="12"/>
        <v>0</v>
      </c>
      <c r="AX19" s="1188">
        <f t="shared" si="13"/>
        <v>0</v>
      </c>
      <c r="AY19" s="1452">
        <f t="shared" si="14"/>
        <v>0</v>
      </c>
      <c r="AZ19" s="4284">
        <f t="shared" si="15"/>
        <v>0</v>
      </c>
      <c r="BA19" s="4284">
        <f t="shared" si="16"/>
        <v>0</v>
      </c>
      <c r="BB19" s="4284">
        <f t="shared" si="17"/>
        <v>0</v>
      </c>
      <c r="BC19" s="4284">
        <f t="shared" si="18"/>
        <v>0</v>
      </c>
      <c r="BD19" s="4284">
        <f t="shared" si="19"/>
        <v>0</v>
      </c>
      <c r="BE19" s="4284">
        <f t="shared" si="20"/>
        <v>0</v>
      </c>
      <c r="BF19" s="4284">
        <f t="shared" si="21"/>
        <v>0</v>
      </c>
      <c r="BG19" s="4284">
        <f t="shared" si="22"/>
        <v>0</v>
      </c>
      <c r="BH19" s="4284">
        <f t="shared" si="23"/>
        <v>0</v>
      </c>
      <c r="BI19" s="4284">
        <f t="shared" si="24"/>
        <v>0</v>
      </c>
      <c r="BJ19" s="4284">
        <f t="shared" si="25"/>
        <v>0</v>
      </c>
      <c r="BK19" s="4284">
        <f t="shared" si="26"/>
        <v>0</v>
      </c>
      <c r="BL19" s="4284">
        <f t="shared" si="27"/>
        <v>0</v>
      </c>
      <c r="BM19" s="4284">
        <f t="shared" si="28"/>
        <v>0</v>
      </c>
      <c r="BN19" s="4284">
        <f t="shared" si="29"/>
        <v>0</v>
      </c>
      <c r="BO19" s="4284">
        <f t="shared" si="30"/>
        <v>0</v>
      </c>
      <c r="BP19" s="4284">
        <f t="shared" si="31"/>
        <v>0</v>
      </c>
      <c r="BQ19" s="4284">
        <f t="shared" si="32"/>
        <v>0</v>
      </c>
      <c r="BR19" s="4284">
        <f t="shared" si="33"/>
        <v>0</v>
      </c>
      <c r="BS19" s="4284">
        <f t="shared" si="34"/>
        <v>0</v>
      </c>
      <c r="BT19" s="4285">
        <f t="shared" si="35"/>
        <v>0</v>
      </c>
    </row>
    <row r="20" spans="1:72">
      <c r="A20" s="4278"/>
      <c r="B20" s="4279"/>
      <c r="C20" s="4279"/>
      <c r="D20" s="4280"/>
      <c r="E20" s="1188">
        <f t="shared" si="7"/>
        <v>0</v>
      </c>
      <c r="F20" s="1680"/>
      <c r="G20" s="4281">
        <f t="shared" si="8"/>
        <v>0</v>
      </c>
      <c r="H20" s="3457">
        <f t="shared" si="9"/>
        <v>0</v>
      </c>
      <c r="I20" s="4282"/>
      <c r="J20" s="4282"/>
      <c r="K20" s="4282"/>
      <c r="L20" s="4282"/>
      <c r="M20" s="4282"/>
      <c r="N20" s="4282"/>
      <c r="O20" s="4282"/>
      <c r="P20" s="4282"/>
      <c r="Q20" s="4282"/>
      <c r="R20" s="4282"/>
      <c r="S20" s="4282"/>
      <c r="T20" s="4282"/>
      <c r="U20" s="4282"/>
      <c r="V20" s="4282"/>
      <c r="W20" s="4282"/>
      <c r="X20" s="4282"/>
      <c r="Y20" s="4282"/>
      <c r="Z20" s="4282"/>
      <c r="AA20" s="4282"/>
      <c r="AB20" s="4282"/>
      <c r="AC20" s="1188">
        <f t="shared" si="10"/>
        <v>0</v>
      </c>
      <c r="AD20" s="4278"/>
      <c r="AE20" s="4278"/>
      <c r="AF20" s="4278"/>
      <c r="AG20" s="4278"/>
      <c r="AH20" s="4278"/>
      <c r="AI20" s="4278"/>
      <c r="AJ20" s="4278"/>
      <c r="AK20" s="4278"/>
      <c r="AL20" s="4278"/>
      <c r="AM20" s="4278"/>
      <c r="AN20" s="4278"/>
      <c r="AO20" s="4278"/>
      <c r="AP20" s="4278"/>
      <c r="AQ20" s="4278"/>
      <c r="AR20" s="4278"/>
      <c r="AS20" s="4278"/>
      <c r="AT20" s="4279"/>
      <c r="AU20" s="4283"/>
      <c r="AV20" s="1188">
        <f t="shared" si="11"/>
        <v>0</v>
      </c>
      <c r="AW20" s="1188">
        <f t="shared" si="12"/>
        <v>0</v>
      </c>
      <c r="AX20" s="1188">
        <f t="shared" si="13"/>
        <v>0</v>
      </c>
      <c r="AY20" s="1452">
        <f t="shared" si="14"/>
        <v>0</v>
      </c>
      <c r="AZ20" s="4284">
        <f t="shared" si="15"/>
        <v>0</v>
      </c>
      <c r="BA20" s="4284">
        <f t="shared" si="16"/>
        <v>0</v>
      </c>
      <c r="BB20" s="4284">
        <f t="shared" si="17"/>
        <v>0</v>
      </c>
      <c r="BC20" s="4284">
        <f t="shared" si="18"/>
        <v>0</v>
      </c>
      <c r="BD20" s="4284">
        <f t="shared" si="19"/>
        <v>0</v>
      </c>
      <c r="BE20" s="4284">
        <f t="shared" si="20"/>
        <v>0</v>
      </c>
      <c r="BF20" s="4284">
        <f t="shared" si="21"/>
        <v>0</v>
      </c>
      <c r="BG20" s="4284">
        <f t="shared" si="22"/>
        <v>0</v>
      </c>
      <c r="BH20" s="4284">
        <f t="shared" si="23"/>
        <v>0</v>
      </c>
      <c r="BI20" s="4284">
        <f t="shared" si="24"/>
        <v>0</v>
      </c>
      <c r="BJ20" s="4284">
        <f t="shared" si="25"/>
        <v>0</v>
      </c>
      <c r="BK20" s="4284">
        <f t="shared" si="26"/>
        <v>0</v>
      </c>
      <c r="BL20" s="4284">
        <f t="shared" si="27"/>
        <v>0</v>
      </c>
      <c r="BM20" s="4284">
        <f t="shared" si="28"/>
        <v>0</v>
      </c>
      <c r="BN20" s="4284">
        <f t="shared" si="29"/>
        <v>0</v>
      </c>
      <c r="BO20" s="4284">
        <f t="shared" si="30"/>
        <v>0</v>
      </c>
      <c r="BP20" s="4284">
        <f t="shared" si="31"/>
        <v>0</v>
      </c>
      <c r="BQ20" s="4284">
        <f t="shared" si="32"/>
        <v>0</v>
      </c>
      <c r="BR20" s="4284">
        <f t="shared" si="33"/>
        <v>0</v>
      </c>
      <c r="BS20" s="4284">
        <f t="shared" si="34"/>
        <v>0</v>
      </c>
      <c r="BT20" s="4285">
        <f t="shared" si="35"/>
        <v>0</v>
      </c>
    </row>
    <row r="21" spans="1:72">
      <c r="A21" s="4278"/>
      <c r="B21" s="4279"/>
      <c r="C21" s="4279"/>
      <c r="D21" s="4280"/>
      <c r="E21" s="1188">
        <f t="shared" si="7"/>
        <v>0</v>
      </c>
      <c r="F21" s="1680"/>
      <c r="G21" s="4281">
        <f t="shared" si="8"/>
        <v>0</v>
      </c>
      <c r="H21" s="3457">
        <f t="shared" si="9"/>
        <v>0</v>
      </c>
      <c r="I21" s="4282"/>
      <c r="J21" s="4282"/>
      <c r="K21" s="4282"/>
      <c r="L21" s="4282"/>
      <c r="M21" s="4282"/>
      <c r="N21" s="4282"/>
      <c r="O21" s="4282"/>
      <c r="P21" s="4282"/>
      <c r="Q21" s="4282"/>
      <c r="R21" s="4282"/>
      <c r="S21" s="4282"/>
      <c r="T21" s="4282"/>
      <c r="U21" s="4282"/>
      <c r="V21" s="4282"/>
      <c r="W21" s="4282"/>
      <c r="X21" s="4282"/>
      <c r="Y21" s="4282"/>
      <c r="Z21" s="4282"/>
      <c r="AA21" s="4282"/>
      <c r="AB21" s="4282"/>
      <c r="AC21" s="1188">
        <f t="shared" si="10"/>
        <v>0</v>
      </c>
      <c r="AD21" s="4278"/>
      <c r="AE21" s="4278"/>
      <c r="AF21" s="4278"/>
      <c r="AG21" s="4278"/>
      <c r="AH21" s="4278"/>
      <c r="AI21" s="4278"/>
      <c r="AJ21" s="4278"/>
      <c r="AK21" s="4278"/>
      <c r="AL21" s="4278"/>
      <c r="AM21" s="4278"/>
      <c r="AN21" s="4278"/>
      <c r="AO21" s="4278"/>
      <c r="AP21" s="4278"/>
      <c r="AQ21" s="4278"/>
      <c r="AR21" s="4278"/>
      <c r="AS21" s="4278"/>
      <c r="AT21" s="4279"/>
      <c r="AU21" s="4283"/>
      <c r="AV21" s="1188">
        <f t="shared" si="11"/>
        <v>0</v>
      </c>
      <c r="AW21" s="1188">
        <f t="shared" si="12"/>
        <v>0</v>
      </c>
      <c r="AX21" s="1188">
        <f t="shared" si="13"/>
        <v>0</v>
      </c>
      <c r="AY21" s="1452">
        <f t="shared" si="14"/>
        <v>0</v>
      </c>
      <c r="AZ21" s="4284">
        <f t="shared" si="15"/>
        <v>0</v>
      </c>
      <c r="BA21" s="4284">
        <f t="shared" si="16"/>
        <v>0</v>
      </c>
      <c r="BB21" s="4284">
        <f t="shared" si="17"/>
        <v>0</v>
      </c>
      <c r="BC21" s="4284">
        <f t="shared" si="18"/>
        <v>0</v>
      </c>
      <c r="BD21" s="4284">
        <f t="shared" si="19"/>
        <v>0</v>
      </c>
      <c r="BE21" s="4284">
        <f t="shared" si="20"/>
        <v>0</v>
      </c>
      <c r="BF21" s="4284">
        <f t="shared" si="21"/>
        <v>0</v>
      </c>
      <c r="BG21" s="4284">
        <f t="shared" si="22"/>
        <v>0</v>
      </c>
      <c r="BH21" s="4284">
        <f t="shared" si="23"/>
        <v>0</v>
      </c>
      <c r="BI21" s="4284">
        <f t="shared" si="24"/>
        <v>0</v>
      </c>
      <c r="BJ21" s="4284">
        <f t="shared" si="25"/>
        <v>0</v>
      </c>
      <c r="BK21" s="4284">
        <f t="shared" si="26"/>
        <v>0</v>
      </c>
      <c r="BL21" s="4284">
        <f t="shared" si="27"/>
        <v>0</v>
      </c>
      <c r="BM21" s="4284">
        <f t="shared" si="28"/>
        <v>0</v>
      </c>
      <c r="BN21" s="4284">
        <f t="shared" si="29"/>
        <v>0</v>
      </c>
      <c r="BO21" s="4284">
        <f t="shared" si="30"/>
        <v>0</v>
      </c>
      <c r="BP21" s="4284">
        <f t="shared" si="31"/>
        <v>0</v>
      </c>
      <c r="BQ21" s="4284">
        <f t="shared" si="32"/>
        <v>0</v>
      </c>
      <c r="BR21" s="4284">
        <f t="shared" si="33"/>
        <v>0</v>
      </c>
      <c r="BS21" s="4284">
        <f t="shared" si="34"/>
        <v>0</v>
      </c>
      <c r="BT21" s="4285">
        <f t="shared" si="35"/>
        <v>0</v>
      </c>
    </row>
    <row r="22" spans="1:72">
      <c r="A22" s="4278"/>
      <c r="B22" s="4279"/>
      <c r="C22" s="4279"/>
      <c r="D22" s="4280"/>
      <c r="E22" s="1188">
        <f t="shared" si="7"/>
        <v>0</v>
      </c>
      <c r="F22" s="1680"/>
      <c r="G22" s="4281">
        <f t="shared" si="8"/>
        <v>0</v>
      </c>
      <c r="H22" s="3457">
        <f t="shared" si="9"/>
        <v>0</v>
      </c>
      <c r="I22" s="4282"/>
      <c r="J22" s="4282"/>
      <c r="K22" s="4282"/>
      <c r="L22" s="4282"/>
      <c r="M22" s="4282"/>
      <c r="N22" s="4282"/>
      <c r="O22" s="4282"/>
      <c r="P22" s="4282"/>
      <c r="Q22" s="4282"/>
      <c r="R22" s="4282"/>
      <c r="S22" s="4282"/>
      <c r="T22" s="4282"/>
      <c r="U22" s="4282"/>
      <c r="V22" s="4282"/>
      <c r="W22" s="4282"/>
      <c r="X22" s="4282"/>
      <c r="Y22" s="4282"/>
      <c r="Z22" s="4282"/>
      <c r="AA22" s="4282"/>
      <c r="AB22" s="4282"/>
      <c r="AC22" s="1188">
        <f t="shared" si="10"/>
        <v>0</v>
      </c>
      <c r="AD22" s="4278"/>
      <c r="AE22" s="4278"/>
      <c r="AF22" s="4278"/>
      <c r="AG22" s="4278"/>
      <c r="AH22" s="4278"/>
      <c r="AI22" s="4278"/>
      <c r="AJ22" s="4278"/>
      <c r="AK22" s="4278"/>
      <c r="AL22" s="4278"/>
      <c r="AM22" s="4278"/>
      <c r="AN22" s="4278"/>
      <c r="AO22" s="4278"/>
      <c r="AP22" s="4278"/>
      <c r="AQ22" s="4278"/>
      <c r="AR22" s="4278"/>
      <c r="AS22" s="4278"/>
      <c r="AT22" s="4279"/>
      <c r="AU22" s="4283"/>
      <c r="AV22" s="1188">
        <f t="shared" si="11"/>
        <v>0</v>
      </c>
      <c r="AW22" s="1188">
        <f t="shared" si="12"/>
        <v>0</v>
      </c>
      <c r="AX22" s="1188">
        <f t="shared" si="13"/>
        <v>0</v>
      </c>
      <c r="AY22" s="1452">
        <f t="shared" si="14"/>
        <v>0</v>
      </c>
      <c r="AZ22" s="4284">
        <f t="shared" si="15"/>
        <v>0</v>
      </c>
      <c r="BA22" s="4284">
        <f t="shared" si="16"/>
        <v>0</v>
      </c>
      <c r="BB22" s="4284">
        <f t="shared" si="17"/>
        <v>0</v>
      </c>
      <c r="BC22" s="4284">
        <f t="shared" si="18"/>
        <v>0</v>
      </c>
      <c r="BD22" s="4284">
        <f t="shared" si="19"/>
        <v>0</v>
      </c>
      <c r="BE22" s="4284">
        <f t="shared" si="20"/>
        <v>0</v>
      </c>
      <c r="BF22" s="4284">
        <f t="shared" si="21"/>
        <v>0</v>
      </c>
      <c r="BG22" s="4284">
        <f t="shared" si="22"/>
        <v>0</v>
      </c>
      <c r="BH22" s="4284">
        <f t="shared" si="23"/>
        <v>0</v>
      </c>
      <c r="BI22" s="4284">
        <f t="shared" si="24"/>
        <v>0</v>
      </c>
      <c r="BJ22" s="4284">
        <f t="shared" si="25"/>
        <v>0</v>
      </c>
      <c r="BK22" s="4284">
        <f t="shared" si="26"/>
        <v>0</v>
      </c>
      <c r="BL22" s="4284">
        <f t="shared" si="27"/>
        <v>0</v>
      </c>
      <c r="BM22" s="4284">
        <f t="shared" si="28"/>
        <v>0</v>
      </c>
      <c r="BN22" s="4284">
        <f t="shared" si="29"/>
        <v>0</v>
      </c>
      <c r="BO22" s="4284">
        <f t="shared" si="30"/>
        <v>0</v>
      </c>
      <c r="BP22" s="4284">
        <f t="shared" si="31"/>
        <v>0</v>
      </c>
      <c r="BQ22" s="4284">
        <f t="shared" si="32"/>
        <v>0</v>
      </c>
      <c r="BR22" s="4284">
        <f t="shared" si="33"/>
        <v>0</v>
      </c>
      <c r="BS22" s="4284">
        <f t="shared" si="34"/>
        <v>0</v>
      </c>
      <c r="BT22" s="4285">
        <f t="shared" si="35"/>
        <v>0</v>
      </c>
    </row>
    <row r="23" spans="1:72">
      <c r="A23" s="4278"/>
      <c r="B23" s="4279"/>
      <c r="C23" s="4279"/>
      <c r="D23" s="4280"/>
      <c r="E23" s="1188">
        <f t="shared" si="7"/>
        <v>0</v>
      </c>
      <c r="F23" s="1680"/>
      <c r="G23" s="4281">
        <f t="shared" si="8"/>
        <v>0</v>
      </c>
      <c r="H23" s="3457">
        <f t="shared" si="9"/>
        <v>0</v>
      </c>
      <c r="I23" s="4282"/>
      <c r="J23" s="4282"/>
      <c r="K23" s="4282"/>
      <c r="L23" s="4282"/>
      <c r="M23" s="4282"/>
      <c r="N23" s="4282"/>
      <c r="O23" s="4282"/>
      <c r="P23" s="4282"/>
      <c r="Q23" s="4282"/>
      <c r="R23" s="4282"/>
      <c r="S23" s="4282"/>
      <c r="T23" s="4282"/>
      <c r="U23" s="4282"/>
      <c r="V23" s="4282"/>
      <c r="W23" s="4282"/>
      <c r="X23" s="4282"/>
      <c r="Y23" s="4282"/>
      <c r="Z23" s="4282"/>
      <c r="AA23" s="4282"/>
      <c r="AB23" s="4282"/>
      <c r="AC23" s="1188">
        <f t="shared" si="10"/>
        <v>0</v>
      </c>
      <c r="AD23" s="4278"/>
      <c r="AE23" s="4278"/>
      <c r="AF23" s="4278"/>
      <c r="AG23" s="4278"/>
      <c r="AH23" s="4278"/>
      <c r="AI23" s="4278"/>
      <c r="AJ23" s="4278"/>
      <c r="AK23" s="4278"/>
      <c r="AL23" s="4278"/>
      <c r="AM23" s="4278"/>
      <c r="AN23" s="4278"/>
      <c r="AO23" s="4278"/>
      <c r="AP23" s="4278"/>
      <c r="AQ23" s="4278"/>
      <c r="AR23" s="4278"/>
      <c r="AS23" s="4278"/>
      <c r="AT23" s="4279"/>
      <c r="AU23" s="4283"/>
      <c r="AV23" s="1188">
        <f t="shared" si="11"/>
        <v>0</v>
      </c>
      <c r="AW23" s="1188">
        <f t="shared" si="12"/>
        <v>0</v>
      </c>
      <c r="AX23" s="1188">
        <f t="shared" si="13"/>
        <v>0</v>
      </c>
      <c r="AY23" s="1452">
        <f t="shared" si="14"/>
        <v>0</v>
      </c>
      <c r="AZ23" s="4284">
        <f t="shared" si="15"/>
        <v>0</v>
      </c>
      <c r="BA23" s="4284">
        <f t="shared" si="16"/>
        <v>0</v>
      </c>
      <c r="BB23" s="4284">
        <f t="shared" si="17"/>
        <v>0</v>
      </c>
      <c r="BC23" s="4284">
        <f t="shared" si="18"/>
        <v>0</v>
      </c>
      <c r="BD23" s="4284">
        <f t="shared" si="19"/>
        <v>0</v>
      </c>
      <c r="BE23" s="4284">
        <f t="shared" si="20"/>
        <v>0</v>
      </c>
      <c r="BF23" s="4284">
        <f t="shared" si="21"/>
        <v>0</v>
      </c>
      <c r="BG23" s="4284">
        <f t="shared" si="22"/>
        <v>0</v>
      </c>
      <c r="BH23" s="4284">
        <f t="shared" si="23"/>
        <v>0</v>
      </c>
      <c r="BI23" s="4284">
        <f t="shared" si="24"/>
        <v>0</v>
      </c>
      <c r="BJ23" s="4284">
        <f t="shared" si="25"/>
        <v>0</v>
      </c>
      <c r="BK23" s="4284">
        <f t="shared" si="26"/>
        <v>0</v>
      </c>
      <c r="BL23" s="4284">
        <f t="shared" si="27"/>
        <v>0</v>
      </c>
      <c r="BM23" s="4284">
        <f t="shared" si="28"/>
        <v>0</v>
      </c>
      <c r="BN23" s="4284">
        <f t="shared" si="29"/>
        <v>0</v>
      </c>
      <c r="BO23" s="4284">
        <f t="shared" si="30"/>
        <v>0</v>
      </c>
      <c r="BP23" s="4284">
        <f t="shared" si="31"/>
        <v>0</v>
      </c>
      <c r="BQ23" s="4284">
        <f t="shared" si="32"/>
        <v>0</v>
      </c>
      <c r="BR23" s="4284">
        <f t="shared" si="33"/>
        <v>0</v>
      </c>
      <c r="BS23" s="4284">
        <f t="shared" si="34"/>
        <v>0</v>
      </c>
      <c r="BT23" s="4285">
        <f t="shared" si="35"/>
        <v>0</v>
      </c>
    </row>
    <row r="24" spans="1:72">
      <c r="A24" s="4278"/>
      <c r="B24" s="4279"/>
      <c r="C24" s="4279"/>
      <c r="D24" s="4280"/>
      <c r="E24" s="1188">
        <f t="shared" si="7"/>
        <v>0</v>
      </c>
      <c r="F24" s="1680"/>
      <c r="G24" s="4281">
        <f t="shared" si="8"/>
        <v>0</v>
      </c>
      <c r="H24" s="3457">
        <f t="shared" si="9"/>
        <v>0</v>
      </c>
      <c r="I24" s="4282"/>
      <c r="J24" s="4282"/>
      <c r="K24" s="4282"/>
      <c r="L24" s="4282"/>
      <c r="M24" s="4282"/>
      <c r="N24" s="4282"/>
      <c r="O24" s="4282"/>
      <c r="P24" s="4282"/>
      <c r="Q24" s="4282"/>
      <c r="R24" s="4282"/>
      <c r="S24" s="4282"/>
      <c r="T24" s="4282"/>
      <c r="U24" s="4282"/>
      <c r="V24" s="4282"/>
      <c r="W24" s="4282"/>
      <c r="X24" s="4282"/>
      <c r="Y24" s="4282"/>
      <c r="Z24" s="4282"/>
      <c r="AA24" s="4282"/>
      <c r="AB24" s="4282"/>
      <c r="AC24" s="1188">
        <f t="shared" si="10"/>
        <v>0</v>
      </c>
      <c r="AD24" s="4278"/>
      <c r="AE24" s="4278"/>
      <c r="AF24" s="4278"/>
      <c r="AG24" s="4278"/>
      <c r="AH24" s="4278"/>
      <c r="AI24" s="4278"/>
      <c r="AJ24" s="4278"/>
      <c r="AK24" s="4278"/>
      <c r="AL24" s="4278"/>
      <c r="AM24" s="4278"/>
      <c r="AN24" s="4278"/>
      <c r="AO24" s="4278"/>
      <c r="AP24" s="4278"/>
      <c r="AQ24" s="4278"/>
      <c r="AR24" s="4278"/>
      <c r="AS24" s="4278"/>
      <c r="AT24" s="4279"/>
      <c r="AU24" s="4283"/>
      <c r="AV24" s="1188">
        <f t="shared" si="11"/>
        <v>0</v>
      </c>
      <c r="AW24" s="1188">
        <f t="shared" si="12"/>
        <v>0</v>
      </c>
      <c r="AX24" s="1188">
        <f t="shared" si="13"/>
        <v>0</v>
      </c>
      <c r="AY24" s="1452">
        <f t="shared" si="14"/>
        <v>0</v>
      </c>
      <c r="AZ24" s="4284">
        <f t="shared" si="15"/>
        <v>0</v>
      </c>
      <c r="BA24" s="4284">
        <f t="shared" si="16"/>
        <v>0</v>
      </c>
      <c r="BB24" s="4284">
        <f t="shared" si="17"/>
        <v>0</v>
      </c>
      <c r="BC24" s="4284">
        <f t="shared" si="18"/>
        <v>0</v>
      </c>
      <c r="BD24" s="4284">
        <f t="shared" si="19"/>
        <v>0</v>
      </c>
      <c r="BE24" s="4284">
        <f t="shared" si="20"/>
        <v>0</v>
      </c>
      <c r="BF24" s="4284">
        <f t="shared" si="21"/>
        <v>0</v>
      </c>
      <c r="BG24" s="4284">
        <f t="shared" si="22"/>
        <v>0</v>
      </c>
      <c r="BH24" s="4284">
        <f t="shared" si="23"/>
        <v>0</v>
      </c>
      <c r="BI24" s="4284">
        <f t="shared" si="24"/>
        <v>0</v>
      </c>
      <c r="BJ24" s="4284">
        <f t="shared" si="25"/>
        <v>0</v>
      </c>
      <c r="BK24" s="4284">
        <f t="shared" si="26"/>
        <v>0</v>
      </c>
      <c r="BL24" s="4284">
        <f t="shared" si="27"/>
        <v>0</v>
      </c>
      <c r="BM24" s="4284">
        <f t="shared" si="28"/>
        <v>0</v>
      </c>
      <c r="BN24" s="4284">
        <f t="shared" si="29"/>
        <v>0</v>
      </c>
      <c r="BO24" s="4284">
        <f t="shared" si="30"/>
        <v>0</v>
      </c>
      <c r="BP24" s="4284">
        <f t="shared" si="31"/>
        <v>0</v>
      </c>
      <c r="BQ24" s="4284">
        <f t="shared" si="32"/>
        <v>0</v>
      </c>
      <c r="BR24" s="4284">
        <f t="shared" si="33"/>
        <v>0</v>
      </c>
      <c r="BS24" s="4284">
        <f t="shared" si="34"/>
        <v>0</v>
      </c>
      <c r="BT24" s="4285">
        <f t="shared" si="35"/>
        <v>0</v>
      </c>
    </row>
    <row r="25" spans="1:72">
      <c r="A25" s="4278"/>
      <c r="B25" s="4279"/>
      <c r="C25" s="4279"/>
      <c r="D25" s="4280"/>
      <c r="E25" s="1188">
        <f t="shared" si="7"/>
        <v>0</v>
      </c>
      <c r="F25" s="1680"/>
      <c r="G25" s="4281">
        <f t="shared" si="8"/>
        <v>0</v>
      </c>
      <c r="H25" s="3457">
        <f t="shared" si="9"/>
        <v>0</v>
      </c>
      <c r="I25" s="4282"/>
      <c r="J25" s="4282"/>
      <c r="K25" s="4282"/>
      <c r="L25" s="4282"/>
      <c r="M25" s="4282"/>
      <c r="N25" s="4282"/>
      <c r="O25" s="4282"/>
      <c r="P25" s="4282"/>
      <c r="Q25" s="4282"/>
      <c r="R25" s="4282"/>
      <c r="S25" s="4282"/>
      <c r="T25" s="4282"/>
      <c r="U25" s="4282"/>
      <c r="V25" s="4282"/>
      <c r="W25" s="4282"/>
      <c r="X25" s="4282"/>
      <c r="Y25" s="4282"/>
      <c r="Z25" s="4282"/>
      <c r="AA25" s="4282"/>
      <c r="AB25" s="4282"/>
      <c r="AC25" s="1188">
        <f t="shared" si="10"/>
        <v>0</v>
      </c>
      <c r="AD25" s="4278"/>
      <c r="AE25" s="4278"/>
      <c r="AF25" s="4278"/>
      <c r="AG25" s="4278"/>
      <c r="AH25" s="4278"/>
      <c r="AI25" s="4278"/>
      <c r="AJ25" s="4278"/>
      <c r="AK25" s="4278"/>
      <c r="AL25" s="4278"/>
      <c r="AM25" s="4278"/>
      <c r="AN25" s="4278"/>
      <c r="AO25" s="4278"/>
      <c r="AP25" s="4278"/>
      <c r="AQ25" s="4278"/>
      <c r="AR25" s="4278"/>
      <c r="AS25" s="4278"/>
      <c r="AT25" s="4279"/>
      <c r="AU25" s="4283"/>
      <c r="AV25" s="1188">
        <f t="shared" si="11"/>
        <v>0</v>
      </c>
      <c r="AW25" s="1188">
        <f t="shared" si="12"/>
        <v>0</v>
      </c>
      <c r="AX25" s="1188">
        <f t="shared" si="13"/>
        <v>0</v>
      </c>
      <c r="AY25" s="1452">
        <f t="shared" si="14"/>
        <v>0</v>
      </c>
      <c r="AZ25" s="4284">
        <f t="shared" si="15"/>
        <v>0</v>
      </c>
      <c r="BA25" s="4284">
        <f t="shared" si="16"/>
        <v>0</v>
      </c>
      <c r="BB25" s="4284">
        <f t="shared" si="17"/>
        <v>0</v>
      </c>
      <c r="BC25" s="4284">
        <f t="shared" si="18"/>
        <v>0</v>
      </c>
      <c r="BD25" s="4284">
        <f t="shared" si="19"/>
        <v>0</v>
      </c>
      <c r="BE25" s="4284">
        <f t="shared" si="20"/>
        <v>0</v>
      </c>
      <c r="BF25" s="4284">
        <f t="shared" si="21"/>
        <v>0</v>
      </c>
      <c r="BG25" s="4284">
        <f t="shared" si="22"/>
        <v>0</v>
      </c>
      <c r="BH25" s="4284">
        <f t="shared" si="23"/>
        <v>0</v>
      </c>
      <c r="BI25" s="4284">
        <f t="shared" si="24"/>
        <v>0</v>
      </c>
      <c r="BJ25" s="4284">
        <f t="shared" si="25"/>
        <v>0</v>
      </c>
      <c r="BK25" s="4284">
        <f t="shared" si="26"/>
        <v>0</v>
      </c>
      <c r="BL25" s="4284">
        <f t="shared" si="27"/>
        <v>0</v>
      </c>
      <c r="BM25" s="4284">
        <f t="shared" si="28"/>
        <v>0</v>
      </c>
      <c r="BN25" s="4284">
        <f t="shared" si="29"/>
        <v>0</v>
      </c>
      <c r="BO25" s="4284">
        <f t="shared" si="30"/>
        <v>0</v>
      </c>
      <c r="BP25" s="4284">
        <f t="shared" si="31"/>
        <v>0</v>
      </c>
      <c r="BQ25" s="4284">
        <f t="shared" si="32"/>
        <v>0</v>
      </c>
      <c r="BR25" s="4284">
        <f t="shared" si="33"/>
        <v>0</v>
      </c>
      <c r="BS25" s="4284">
        <f t="shared" si="34"/>
        <v>0</v>
      </c>
      <c r="BT25" s="4285">
        <f t="shared" si="35"/>
        <v>0</v>
      </c>
    </row>
    <row r="26" spans="1:72">
      <c r="A26" s="4278"/>
      <c r="B26" s="4279"/>
      <c r="C26" s="4279"/>
      <c r="D26" s="4280"/>
      <c r="E26" s="1188">
        <f t="shared" si="7"/>
        <v>0</v>
      </c>
      <c r="F26" s="1680"/>
      <c r="G26" s="4281">
        <f t="shared" si="8"/>
        <v>0</v>
      </c>
      <c r="H26" s="3457">
        <f t="shared" si="9"/>
        <v>0</v>
      </c>
      <c r="I26" s="4282"/>
      <c r="J26" s="4282"/>
      <c r="K26" s="4282"/>
      <c r="L26" s="4282"/>
      <c r="M26" s="4282"/>
      <c r="N26" s="4282"/>
      <c r="O26" s="4282"/>
      <c r="P26" s="4282"/>
      <c r="Q26" s="4282"/>
      <c r="R26" s="4282"/>
      <c r="S26" s="4282"/>
      <c r="T26" s="4282"/>
      <c r="U26" s="4282"/>
      <c r="V26" s="4282"/>
      <c r="W26" s="4282"/>
      <c r="X26" s="4282"/>
      <c r="Y26" s="4282"/>
      <c r="Z26" s="4282"/>
      <c r="AA26" s="4282"/>
      <c r="AB26" s="4282"/>
      <c r="AC26" s="1188">
        <f t="shared" si="10"/>
        <v>0</v>
      </c>
      <c r="AD26" s="4278"/>
      <c r="AE26" s="4278"/>
      <c r="AF26" s="4278"/>
      <c r="AG26" s="4278"/>
      <c r="AH26" s="4278"/>
      <c r="AI26" s="4278"/>
      <c r="AJ26" s="4278"/>
      <c r="AK26" s="4278"/>
      <c r="AL26" s="4278"/>
      <c r="AM26" s="4278"/>
      <c r="AN26" s="4278"/>
      <c r="AO26" s="4278"/>
      <c r="AP26" s="4278"/>
      <c r="AQ26" s="4278"/>
      <c r="AR26" s="4278"/>
      <c r="AS26" s="4278"/>
      <c r="AT26" s="4279"/>
      <c r="AU26" s="4283"/>
      <c r="AV26" s="1188">
        <f t="shared" si="11"/>
        <v>0</v>
      </c>
      <c r="AW26" s="1188">
        <f t="shared" si="12"/>
        <v>0</v>
      </c>
      <c r="AX26" s="1188">
        <f t="shared" si="13"/>
        <v>0</v>
      </c>
      <c r="AY26" s="1452">
        <f t="shared" si="14"/>
        <v>0</v>
      </c>
      <c r="AZ26" s="4284">
        <f t="shared" si="15"/>
        <v>0</v>
      </c>
      <c r="BA26" s="4284">
        <f t="shared" si="16"/>
        <v>0</v>
      </c>
      <c r="BB26" s="4284">
        <f t="shared" si="17"/>
        <v>0</v>
      </c>
      <c r="BC26" s="4284">
        <f t="shared" si="18"/>
        <v>0</v>
      </c>
      <c r="BD26" s="4284">
        <f t="shared" si="19"/>
        <v>0</v>
      </c>
      <c r="BE26" s="4284">
        <f t="shared" si="20"/>
        <v>0</v>
      </c>
      <c r="BF26" s="4284">
        <f t="shared" si="21"/>
        <v>0</v>
      </c>
      <c r="BG26" s="4284">
        <f t="shared" si="22"/>
        <v>0</v>
      </c>
      <c r="BH26" s="4284">
        <f t="shared" si="23"/>
        <v>0</v>
      </c>
      <c r="BI26" s="4284">
        <f t="shared" si="24"/>
        <v>0</v>
      </c>
      <c r="BJ26" s="4284">
        <f t="shared" si="25"/>
        <v>0</v>
      </c>
      <c r="BK26" s="4284">
        <f t="shared" si="26"/>
        <v>0</v>
      </c>
      <c r="BL26" s="4284">
        <f t="shared" si="27"/>
        <v>0</v>
      </c>
      <c r="BM26" s="4284">
        <f t="shared" si="28"/>
        <v>0</v>
      </c>
      <c r="BN26" s="4284">
        <f t="shared" si="29"/>
        <v>0</v>
      </c>
      <c r="BO26" s="4284">
        <f t="shared" si="30"/>
        <v>0</v>
      </c>
      <c r="BP26" s="4284">
        <f t="shared" si="31"/>
        <v>0</v>
      </c>
      <c r="BQ26" s="4284">
        <f t="shared" si="32"/>
        <v>0</v>
      </c>
      <c r="BR26" s="4284">
        <f t="shared" si="33"/>
        <v>0</v>
      </c>
      <c r="BS26" s="4284">
        <f t="shared" si="34"/>
        <v>0</v>
      </c>
      <c r="BT26" s="4285">
        <f t="shared" si="35"/>
        <v>0</v>
      </c>
    </row>
    <row r="27" spans="1:72">
      <c r="A27" s="4278"/>
      <c r="B27" s="4279"/>
      <c r="C27" s="4279"/>
      <c r="D27" s="4280"/>
      <c r="E27" s="1188">
        <f t="shared" si="7"/>
        <v>0</v>
      </c>
      <c r="F27" s="1680"/>
      <c r="G27" s="4281">
        <f t="shared" si="8"/>
        <v>0</v>
      </c>
      <c r="H27" s="3457">
        <f t="shared" si="9"/>
        <v>0</v>
      </c>
      <c r="I27" s="4282"/>
      <c r="J27" s="4282"/>
      <c r="K27" s="4282"/>
      <c r="L27" s="4282"/>
      <c r="M27" s="4282"/>
      <c r="N27" s="4282"/>
      <c r="O27" s="4282"/>
      <c r="P27" s="4282"/>
      <c r="Q27" s="4282"/>
      <c r="R27" s="4282"/>
      <c r="S27" s="4282"/>
      <c r="T27" s="4282"/>
      <c r="U27" s="4282"/>
      <c r="V27" s="4282"/>
      <c r="W27" s="4282"/>
      <c r="X27" s="4282"/>
      <c r="Y27" s="4282"/>
      <c r="Z27" s="4282"/>
      <c r="AA27" s="4282"/>
      <c r="AB27" s="4282"/>
      <c r="AC27" s="1188">
        <f t="shared" si="10"/>
        <v>0</v>
      </c>
      <c r="AD27" s="4278"/>
      <c r="AE27" s="4278"/>
      <c r="AF27" s="4278"/>
      <c r="AG27" s="4278"/>
      <c r="AH27" s="4278"/>
      <c r="AI27" s="4278"/>
      <c r="AJ27" s="4278"/>
      <c r="AK27" s="4278"/>
      <c r="AL27" s="4278"/>
      <c r="AM27" s="4278"/>
      <c r="AN27" s="4278"/>
      <c r="AO27" s="4278"/>
      <c r="AP27" s="4278"/>
      <c r="AQ27" s="4278"/>
      <c r="AR27" s="4278"/>
      <c r="AS27" s="4278"/>
      <c r="AT27" s="4279"/>
      <c r="AU27" s="4283"/>
      <c r="AV27" s="1188">
        <f t="shared" si="11"/>
        <v>0</v>
      </c>
      <c r="AW27" s="1188">
        <f t="shared" si="12"/>
        <v>0</v>
      </c>
      <c r="AX27" s="1188">
        <f t="shared" si="13"/>
        <v>0</v>
      </c>
      <c r="AY27" s="1452">
        <f t="shared" si="14"/>
        <v>0</v>
      </c>
      <c r="AZ27" s="4284">
        <f t="shared" si="15"/>
        <v>0</v>
      </c>
      <c r="BA27" s="4284">
        <f t="shared" si="16"/>
        <v>0</v>
      </c>
      <c r="BB27" s="4284">
        <f t="shared" si="17"/>
        <v>0</v>
      </c>
      <c r="BC27" s="4284">
        <f t="shared" si="18"/>
        <v>0</v>
      </c>
      <c r="BD27" s="4284">
        <f t="shared" si="19"/>
        <v>0</v>
      </c>
      <c r="BE27" s="4284">
        <f t="shared" si="20"/>
        <v>0</v>
      </c>
      <c r="BF27" s="4284">
        <f t="shared" si="21"/>
        <v>0</v>
      </c>
      <c r="BG27" s="4284">
        <f t="shared" si="22"/>
        <v>0</v>
      </c>
      <c r="BH27" s="4284">
        <f t="shared" si="23"/>
        <v>0</v>
      </c>
      <c r="BI27" s="4284">
        <f t="shared" si="24"/>
        <v>0</v>
      </c>
      <c r="BJ27" s="4284">
        <f t="shared" si="25"/>
        <v>0</v>
      </c>
      <c r="BK27" s="4284">
        <f t="shared" si="26"/>
        <v>0</v>
      </c>
      <c r="BL27" s="4284">
        <f t="shared" si="27"/>
        <v>0</v>
      </c>
      <c r="BM27" s="4284">
        <f t="shared" si="28"/>
        <v>0</v>
      </c>
      <c r="BN27" s="4284">
        <f t="shared" si="29"/>
        <v>0</v>
      </c>
      <c r="BO27" s="4284">
        <f t="shared" si="30"/>
        <v>0</v>
      </c>
      <c r="BP27" s="4284">
        <f t="shared" si="31"/>
        <v>0</v>
      </c>
      <c r="BQ27" s="4284">
        <f t="shared" si="32"/>
        <v>0</v>
      </c>
      <c r="BR27" s="4284">
        <f t="shared" si="33"/>
        <v>0</v>
      </c>
      <c r="BS27" s="4284">
        <f t="shared" si="34"/>
        <v>0</v>
      </c>
      <c r="BT27" s="4285">
        <f t="shared" si="35"/>
        <v>0</v>
      </c>
    </row>
    <row r="28" spans="1:72">
      <c r="A28" s="4278"/>
      <c r="B28" s="4279"/>
      <c r="C28" s="4279"/>
      <c r="D28" s="4280"/>
      <c r="E28" s="1188">
        <f t="shared" si="7"/>
        <v>0</v>
      </c>
      <c r="F28" s="1680"/>
      <c r="G28" s="4281">
        <f t="shared" si="8"/>
        <v>0</v>
      </c>
      <c r="H28" s="3457">
        <f t="shared" si="9"/>
        <v>0</v>
      </c>
      <c r="I28" s="4282"/>
      <c r="J28" s="4282"/>
      <c r="K28" s="4282"/>
      <c r="L28" s="4282"/>
      <c r="M28" s="4282"/>
      <c r="N28" s="4282"/>
      <c r="O28" s="4282"/>
      <c r="P28" s="4282"/>
      <c r="Q28" s="4282"/>
      <c r="R28" s="4282"/>
      <c r="S28" s="4282"/>
      <c r="T28" s="4282"/>
      <c r="U28" s="4282"/>
      <c r="V28" s="4282"/>
      <c r="W28" s="4282"/>
      <c r="X28" s="4282"/>
      <c r="Y28" s="4282"/>
      <c r="Z28" s="4282"/>
      <c r="AA28" s="4282"/>
      <c r="AB28" s="4282"/>
      <c r="AC28" s="1188">
        <f t="shared" si="10"/>
        <v>0</v>
      </c>
      <c r="AD28" s="4278"/>
      <c r="AE28" s="4278"/>
      <c r="AF28" s="4278"/>
      <c r="AG28" s="4278"/>
      <c r="AH28" s="4278"/>
      <c r="AI28" s="4278"/>
      <c r="AJ28" s="4278"/>
      <c r="AK28" s="4278"/>
      <c r="AL28" s="4278"/>
      <c r="AM28" s="4278"/>
      <c r="AN28" s="4278"/>
      <c r="AO28" s="4278"/>
      <c r="AP28" s="4278"/>
      <c r="AQ28" s="4278"/>
      <c r="AR28" s="4278"/>
      <c r="AS28" s="4278"/>
      <c r="AT28" s="4279"/>
      <c r="AU28" s="4283"/>
      <c r="AV28" s="1188">
        <f t="shared" si="11"/>
        <v>0</v>
      </c>
      <c r="AW28" s="1188">
        <f t="shared" si="12"/>
        <v>0</v>
      </c>
      <c r="AX28" s="1188">
        <f t="shared" si="13"/>
        <v>0</v>
      </c>
      <c r="AY28" s="1452">
        <f t="shared" si="14"/>
        <v>0</v>
      </c>
      <c r="AZ28" s="4284">
        <f t="shared" si="15"/>
        <v>0</v>
      </c>
      <c r="BA28" s="4284">
        <f t="shared" si="16"/>
        <v>0</v>
      </c>
      <c r="BB28" s="4284">
        <f t="shared" si="17"/>
        <v>0</v>
      </c>
      <c r="BC28" s="4284">
        <f t="shared" si="18"/>
        <v>0</v>
      </c>
      <c r="BD28" s="4284">
        <f t="shared" si="19"/>
        <v>0</v>
      </c>
      <c r="BE28" s="4284">
        <f t="shared" si="20"/>
        <v>0</v>
      </c>
      <c r="BF28" s="4284">
        <f t="shared" si="21"/>
        <v>0</v>
      </c>
      <c r="BG28" s="4284">
        <f t="shared" si="22"/>
        <v>0</v>
      </c>
      <c r="BH28" s="4284">
        <f t="shared" si="23"/>
        <v>0</v>
      </c>
      <c r="BI28" s="4284">
        <f t="shared" si="24"/>
        <v>0</v>
      </c>
      <c r="BJ28" s="4284">
        <f t="shared" si="25"/>
        <v>0</v>
      </c>
      <c r="BK28" s="4284">
        <f t="shared" si="26"/>
        <v>0</v>
      </c>
      <c r="BL28" s="4284">
        <f t="shared" si="27"/>
        <v>0</v>
      </c>
      <c r="BM28" s="4284">
        <f t="shared" si="28"/>
        <v>0</v>
      </c>
      <c r="BN28" s="4284">
        <f t="shared" si="29"/>
        <v>0</v>
      </c>
      <c r="BO28" s="4284">
        <f t="shared" si="30"/>
        <v>0</v>
      </c>
      <c r="BP28" s="4284">
        <f t="shared" si="31"/>
        <v>0</v>
      </c>
      <c r="BQ28" s="4284">
        <f t="shared" si="32"/>
        <v>0</v>
      </c>
      <c r="BR28" s="4284">
        <f t="shared" si="33"/>
        <v>0</v>
      </c>
      <c r="BS28" s="4284">
        <f t="shared" si="34"/>
        <v>0</v>
      </c>
      <c r="BT28" s="4285">
        <f t="shared" si="35"/>
        <v>0</v>
      </c>
    </row>
    <row r="29" spans="1:72">
      <c r="A29" s="4278"/>
      <c r="B29" s="4279"/>
      <c r="C29" s="4279"/>
      <c r="D29" s="4280"/>
      <c r="E29" s="1188">
        <f t="shared" si="7"/>
        <v>0</v>
      </c>
      <c r="F29" s="1680"/>
      <c r="G29" s="4281">
        <f t="shared" si="8"/>
        <v>0</v>
      </c>
      <c r="H29" s="3457">
        <f t="shared" si="9"/>
        <v>0</v>
      </c>
      <c r="I29" s="4282"/>
      <c r="J29" s="4282"/>
      <c r="K29" s="4282"/>
      <c r="L29" s="4282"/>
      <c r="M29" s="4282"/>
      <c r="N29" s="4282"/>
      <c r="O29" s="4282"/>
      <c r="P29" s="4282"/>
      <c r="Q29" s="4282"/>
      <c r="R29" s="4282"/>
      <c r="S29" s="4282"/>
      <c r="T29" s="4282"/>
      <c r="U29" s="4282"/>
      <c r="V29" s="4282"/>
      <c r="W29" s="4282"/>
      <c r="X29" s="4282"/>
      <c r="Y29" s="4282"/>
      <c r="Z29" s="4282"/>
      <c r="AA29" s="4282"/>
      <c r="AB29" s="4282"/>
      <c r="AC29" s="1188">
        <f t="shared" si="10"/>
        <v>0</v>
      </c>
      <c r="AD29" s="4278"/>
      <c r="AE29" s="4278"/>
      <c r="AF29" s="4278"/>
      <c r="AG29" s="4278"/>
      <c r="AH29" s="4278"/>
      <c r="AI29" s="4278"/>
      <c r="AJ29" s="4278"/>
      <c r="AK29" s="4278"/>
      <c r="AL29" s="4278"/>
      <c r="AM29" s="4278"/>
      <c r="AN29" s="4278"/>
      <c r="AO29" s="4278"/>
      <c r="AP29" s="4278"/>
      <c r="AQ29" s="4278"/>
      <c r="AR29" s="4278"/>
      <c r="AS29" s="4278"/>
      <c r="AT29" s="4279"/>
      <c r="AU29" s="4283"/>
      <c r="AV29" s="1188">
        <f t="shared" si="11"/>
        <v>0</v>
      </c>
      <c r="AW29" s="1188">
        <f t="shared" si="12"/>
        <v>0</v>
      </c>
      <c r="AX29" s="1188">
        <f t="shared" si="13"/>
        <v>0</v>
      </c>
      <c r="AY29" s="1452">
        <f t="shared" si="14"/>
        <v>0</v>
      </c>
      <c r="AZ29" s="4284">
        <f t="shared" si="15"/>
        <v>0</v>
      </c>
      <c r="BA29" s="4284">
        <f t="shared" si="16"/>
        <v>0</v>
      </c>
      <c r="BB29" s="4284">
        <f t="shared" si="17"/>
        <v>0</v>
      </c>
      <c r="BC29" s="4284">
        <f t="shared" si="18"/>
        <v>0</v>
      </c>
      <c r="BD29" s="4284">
        <f t="shared" si="19"/>
        <v>0</v>
      </c>
      <c r="BE29" s="4284">
        <f t="shared" si="20"/>
        <v>0</v>
      </c>
      <c r="BF29" s="4284">
        <f t="shared" si="21"/>
        <v>0</v>
      </c>
      <c r="BG29" s="4284">
        <f t="shared" si="22"/>
        <v>0</v>
      </c>
      <c r="BH29" s="4284">
        <f t="shared" si="23"/>
        <v>0</v>
      </c>
      <c r="BI29" s="4284">
        <f t="shared" si="24"/>
        <v>0</v>
      </c>
      <c r="BJ29" s="4284">
        <f t="shared" si="25"/>
        <v>0</v>
      </c>
      <c r="BK29" s="4284">
        <f t="shared" si="26"/>
        <v>0</v>
      </c>
      <c r="BL29" s="4284">
        <f t="shared" si="27"/>
        <v>0</v>
      </c>
      <c r="BM29" s="4284">
        <f t="shared" si="28"/>
        <v>0</v>
      </c>
      <c r="BN29" s="4284">
        <f t="shared" si="29"/>
        <v>0</v>
      </c>
      <c r="BO29" s="4284">
        <f t="shared" si="30"/>
        <v>0</v>
      </c>
      <c r="BP29" s="4284">
        <f t="shared" si="31"/>
        <v>0</v>
      </c>
      <c r="BQ29" s="4284">
        <f t="shared" si="32"/>
        <v>0</v>
      </c>
      <c r="BR29" s="4284">
        <f t="shared" si="33"/>
        <v>0</v>
      </c>
      <c r="BS29" s="4284">
        <f t="shared" si="34"/>
        <v>0</v>
      </c>
      <c r="BT29" s="4285">
        <f t="shared" si="35"/>
        <v>0</v>
      </c>
    </row>
    <row r="30" spans="1:72">
      <c r="A30" s="4278"/>
      <c r="B30" s="4279"/>
      <c r="C30" s="4279"/>
      <c r="D30" s="4280"/>
      <c r="E30" s="1188">
        <f t="shared" si="7"/>
        <v>0</v>
      </c>
      <c r="F30" s="1680"/>
      <c r="G30" s="4281">
        <f t="shared" si="8"/>
        <v>0</v>
      </c>
      <c r="H30" s="3457">
        <f t="shared" si="9"/>
        <v>0</v>
      </c>
      <c r="I30" s="4282"/>
      <c r="J30" s="4282"/>
      <c r="K30" s="4282"/>
      <c r="L30" s="4282"/>
      <c r="M30" s="4282"/>
      <c r="N30" s="4282"/>
      <c r="O30" s="4282"/>
      <c r="P30" s="4282"/>
      <c r="Q30" s="4282"/>
      <c r="R30" s="4282"/>
      <c r="S30" s="4282"/>
      <c r="T30" s="4282"/>
      <c r="U30" s="4282"/>
      <c r="V30" s="4282"/>
      <c r="W30" s="4282"/>
      <c r="X30" s="4282"/>
      <c r="Y30" s="4282"/>
      <c r="Z30" s="4282"/>
      <c r="AA30" s="4282"/>
      <c r="AB30" s="4282"/>
      <c r="AC30" s="1188">
        <f t="shared" si="10"/>
        <v>0</v>
      </c>
      <c r="AD30" s="4278"/>
      <c r="AE30" s="4278"/>
      <c r="AF30" s="4278"/>
      <c r="AG30" s="4278"/>
      <c r="AH30" s="4278"/>
      <c r="AI30" s="4278"/>
      <c r="AJ30" s="4278"/>
      <c r="AK30" s="4278"/>
      <c r="AL30" s="4278"/>
      <c r="AM30" s="4278"/>
      <c r="AN30" s="4278"/>
      <c r="AO30" s="4278"/>
      <c r="AP30" s="4278"/>
      <c r="AQ30" s="4278"/>
      <c r="AR30" s="4278"/>
      <c r="AS30" s="4278"/>
      <c r="AT30" s="4279"/>
      <c r="AU30" s="4283"/>
      <c r="AV30" s="1188">
        <f t="shared" si="11"/>
        <v>0</v>
      </c>
      <c r="AW30" s="1188">
        <f t="shared" si="12"/>
        <v>0</v>
      </c>
      <c r="AX30" s="1188">
        <f t="shared" si="13"/>
        <v>0</v>
      </c>
      <c r="AY30" s="1452">
        <f t="shared" si="14"/>
        <v>0</v>
      </c>
      <c r="AZ30" s="4284">
        <f t="shared" si="15"/>
        <v>0</v>
      </c>
      <c r="BA30" s="4284">
        <f t="shared" si="16"/>
        <v>0</v>
      </c>
      <c r="BB30" s="4284">
        <f t="shared" si="17"/>
        <v>0</v>
      </c>
      <c r="BC30" s="4284">
        <f t="shared" si="18"/>
        <v>0</v>
      </c>
      <c r="BD30" s="4284">
        <f t="shared" si="19"/>
        <v>0</v>
      </c>
      <c r="BE30" s="4284">
        <f t="shared" si="20"/>
        <v>0</v>
      </c>
      <c r="BF30" s="4284">
        <f t="shared" si="21"/>
        <v>0</v>
      </c>
      <c r="BG30" s="4284">
        <f t="shared" si="22"/>
        <v>0</v>
      </c>
      <c r="BH30" s="4284">
        <f t="shared" si="23"/>
        <v>0</v>
      </c>
      <c r="BI30" s="4284">
        <f t="shared" si="24"/>
        <v>0</v>
      </c>
      <c r="BJ30" s="4284">
        <f t="shared" si="25"/>
        <v>0</v>
      </c>
      <c r="BK30" s="4284">
        <f t="shared" si="26"/>
        <v>0</v>
      </c>
      <c r="BL30" s="4284">
        <f t="shared" si="27"/>
        <v>0</v>
      </c>
      <c r="BM30" s="4284">
        <f t="shared" si="28"/>
        <v>0</v>
      </c>
      <c r="BN30" s="4284">
        <f t="shared" si="29"/>
        <v>0</v>
      </c>
      <c r="BO30" s="4284">
        <f t="shared" si="30"/>
        <v>0</v>
      </c>
      <c r="BP30" s="4284">
        <f t="shared" si="31"/>
        <v>0</v>
      </c>
      <c r="BQ30" s="4284">
        <f t="shared" si="32"/>
        <v>0</v>
      </c>
      <c r="BR30" s="4284">
        <f t="shared" si="33"/>
        <v>0</v>
      </c>
      <c r="BS30" s="4284">
        <f t="shared" si="34"/>
        <v>0</v>
      </c>
      <c r="BT30" s="4285">
        <f t="shared" si="35"/>
        <v>0</v>
      </c>
    </row>
    <row r="31" spans="1:72">
      <c r="A31" s="4278"/>
      <c r="B31" s="4279"/>
      <c r="C31" s="4279"/>
      <c r="D31" s="4280"/>
      <c r="E31" s="1188">
        <f t="shared" si="7"/>
        <v>0</v>
      </c>
      <c r="F31" s="1680"/>
      <c r="G31" s="4281">
        <f t="shared" si="8"/>
        <v>0</v>
      </c>
      <c r="H31" s="3457">
        <f t="shared" si="9"/>
        <v>0</v>
      </c>
      <c r="I31" s="4282"/>
      <c r="J31" s="4282"/>
      <c r="K31" s="4282"/>
      <c r="L31" s="4282"/>
      <c r="M31" s="4282"/>
      <c r="N31" s="4282"/>
      <c r="O31" s="4282"/>
      <c r="P31" s="4282"/>
      <c r="Q31" s="4282"/>
      <c r="R31" s="4282"/>
      <c r="S31" s="4282"/>
      <c r="T31" s="4282"/>
      <c r="U31" s="4282"/>
      <c r="V31" s="4282"/>
      <c r="W31" s="4282"/>
      <c r="X31" s="4282"/>
      <c r="Y31" s="4282"/>
      <c r="Z31" s="4282"/>
      <c r="AA31" s="4282"/>
      <c r="AB31" s="4282"/>
      <c r="AC31" s="1188">
        <f t="shared" si="10"/>
        <v>0</v>
      </c>
      <c r="AD31" s="4278"/>
      <c r="AE31" s="4278"/>
      <c r="AF31" s="4278"/>
      <c r="AG31" s="4278"/>
      <c r="AH31" s="4278"/>
      <c r="AI31" s="4278"/>
      <c r="AJ31" s="4278"/>
      <c r="AK31" s="4278"/>
      <c r="AL31" s="4278"/>
      <c r="AM31" s="4278"/>
      <c r="AN31" s="4278"/>
      <c r="AO31" s="4278"/>
      <c r="AP31" s="4278"/>
      <c r="AQ31" s="4278"/>
      <c r="AR31" s="4278"/>
      <c r="AS31" s="4278"/>
      <c r="AT31" s="4279"/>
      <c r="AU31" s="4283"/>
      <c r="AV31" s="1188">
        <f t="shared" si="11"/>
        <v>0</v>
      </c>
      <c r="AW31" s="1188">
        <f t="shared" si="12"/>
        <v>0</v>
      </c>
      <c r="AX31" s="1188">
        <f t="shared" si="13"/>
        <v>0</v>
      </c>
      <c r="AY31" s="1452">
        <f t="shared" si="14"/>
        <v>0</v>
      </c>
      <c r="AZ31" s="4284">
        <f t="shared" si="15"/>
        <v>0</v>
      </c>
      <c r="BA31" s="4284">
        <f t="shared" si="16"/>
        <v>0</v>
      </c>
      <c r="BB31" s="4284">
        <f t="shared" si="17"/>
        <v>0</v>
      </c>
      <c r="BC31" s="4284">
        <f t="shared" si="18"/>
        <v>0</v>
      </c>
      <c r="BD31" s="4284">
        <f t="shared" si="19"/>
        <v>0</v>
      </c>
      <c r="BE31" s="4284">
        <f t="shared" si="20"/>
        <v>0</v>
      </c>
      <c r="BF31" s="4284">
        <f t="shared" si="21"/>
        <v>0</v>
      </c>
      <c r="BG31" s="4284">
        <f t="shared" si="22"/>
        <v>0</v>
      </c>
      <c r="BH31" s="4284">
        <f t="shared" si="23"/>
        <v>0</v>
      </c>
      <c r="BI31" s="4284">
        <f t="shared" si="24"/>
        <v>0</v>
      </c>
      <c r="BJ31" s="4284">
        <f t="shared" si="25"/>
        <v>0</v>
      </c>
      <c r="BK31" s="4284">
        <f t="shared" si="26"/>
        <v>0</v>
      </c>
      <c r="BL31" s="4284">
        <f t="shared" si="27"/>
        <v>0</v>
      </c>
      <c r="BM31" s="4284">
        <f t="shared" si="28"/>
        <v>0</v>
      </c>
      <c r="BN31" s="4284">
        <f t="shared" si="29"/>
        <v>0</v>
      </c>
      <c r="BO31" s="4284">
        <f t="shared" si="30"/>
        <v>0</v>
      </c>
      <c r="BP31" s="4284">
        <f t="shared" si="31"/>
        <v>0</v>
      </c>
      <c r="BQ31" s="4284">
        <f t="shared" si="32"/>
        <v>0</v>
      </c>
      <c r="BR31" s="4284">
        <f t="shared" si="33"/>
        <v>0</v>
      </c>
      <c r="BS31" s="4284">
        <f t="shared" si="34"/>
        <v>0</v>
      </c>
      <c r="BT31" s="4285">
        <f t="shared" si="35"/>
        <v>0</v>
      </c>
    </row>
    <row r="32" spans="1:72">
      <c r="A32" s="4278"/>
      <c r="B32" s="4279"/>
      <c r="C32" s="4279"/>
      <c r="D32" s="4280"/>
      <c r="E32" s="1188">
        <f t="shared" si="7"/>
        <v>0</v>
      </c>
      <c r="F32" s="1680"/>
      <c r="G32" s="4281">
        <f t="shared" si="8"/>
        <v>0</v>
      </c>
      <c r="H32" s="3457">
        <f t="shared" si="9"/>
        <v>0</v>
      </c>
      <c r="I32" s="4282"/>
      <c r="J32" s="4282"/>
      <c r="K32" s="4282"/>
      <c r="L32" s="4282"/>
      <c r="M32" s="4282"/>
      <c r="N32" s="4282"/>
      <c r="O32" s="4282"/>
      <c r="P32" s="4282"/>
      <c r="Q32" s="4282"/>
      <c r="R32" s="4282"/>
      <c r="S32" s="4282"/>
      <c r="T32" s="4282"/>
      <c r="U32" s="4282"/>
      <c r="V32" s="4282"/>
      <c r="W32" s="4282"/>
      <c r="X32" s="4282"/>
      <c r="Y32" s="4282"/>
      <c r="Z32" s="4282"/>
      <c r="AA32" s="4282"/>
      <c r="AB32" s="4282"/>
      <c r="AC32" s="1188">
        <f t="shared" si="10"/>
        <v>0</v>
      </c>
      <c r="AD32" s="4278"/>
      <c r="AE32" s="4278"/>
      <c r="AF32" s="4278"/>
      <c r="AG32" s="4278"/>
      <c r="AH32" s="4278"/>
      <c r="AI32" s="4278"/>
      <c r="AJ32" s="4278"/>
      <c r="AK32" s="4278"/>
      <c r="AL32" s="4278"/>
      <c r="AM32" s="4278"/>
      <c r="AN32" s="4278"/>
      <c r="AO32" s="4278"/>
      <c r="AP32" s="4278"/>
      <c r="AQ32" s="4278"/>
      <c r="AR32" s="4278"/>
      <c r="AS32" s="4278"/>
      <c r="AT32" s="4279"/>
      <c r="AU32" s="4283"/>
      <c r="AV32" s="1188">
        <f t="shared" si="11"/>
        <v>0</v>
      </c>
      <c r="AW32" s="1188">
        <f t="shared" si="12"/>
        <v>0</v>
      </c>
      <c r="AX32" s="1188">
        <f t="shared" si="13"/>
        <v>0</v>
      </c>
      <c r="AY32" s="1452">
        <f t="shared" si="14"/>
        <v>0</v>
      </c>
      <c r="AZ32" s="4284">
        <f t="shared" si="15"/>
        <v>0</v>
      </c>
      <c r="BA32" s="4284">
        <f t="shared" si="16"/>
        <v>0</v>
      </c>
      <c r="BB32" s="4284">
        <f t="shared" si="17"/>
        <v>0</v>
      </c>
      <c r="BC32" s="4284">
        <f t="shared" si="18"/>
        <v>0</v>
      </c>
      <c r="BD32" s="4284">
        <f t="shared" si="19"/>
        <v>0</v>
      </c>
      <c r="BE32" s="4284">
        <f t="shared" si="20"/>
        <v>0</v>
      </c>
      <c r="BF32" s="4284">
        <f t="shared" si="21"/>
        <v>0</v>
      </c>
      <c r="BG32" s="4284">
        <f t="shared" si="22"/>
        <v>0</v>
      </c>
      <c r="BH32" s="4284">
        <f t="shared" si="23"/>
        <v>0</v>
      </c>
      <c r="BI32" s="4284">
        <f t="shared" si="24"/>
        <v>0</v>
      </c>
      <c r="BJ32" s="4284">
        <f t="shared" si="25"/>
        <v>0</v>
      </c>
      <c r="BK32" s="4284">
        <f t="shared" si="26"/>
        <v>0</v>
      </c>
      <c r="BL32" s="4284">
        <f t="shared" si="27"/>
        <v>0</v>
      </c>
      <c r="BM32" s="4284">
        <f t="shared" si="28"/>
        <v>0</v>
      </c>
      <c r="BN32" s="4284">
        <f t="shared" si="29"/>
        <v>0</v>
      </c>
      <c r="BO32" s="4284">
        <f t="shared" si="30"/>
        <v>0</v>
      </c>
      <c r="BP32" s="4284">
        <f t="shared" si="31"/>
        <v>0</v>
      </c>
      <c r="BQ32" s="4284">
        <f t="shared" si="32"/>
        <v>0</v>
      </c>
      <c r="BR32" s="4284">
        <f t="shared" si="33"/>
        <v>0</v>
      </c>
      <c r="BS32" s="4284">
        <f t="shared" si="34"/>
        <v>0</v>
      </c>
      <c r="BT32" s="4285">
        <f t="shared" si="35"/>
        <v>0</v>
      </c>
    </row>
    <row r="33" spans="1:72">
      <c r="A33" s="4278"/>
      <c r="B33" s="4279"/>
      <c r="C33" s="4279"/>
      <c r="D33" s="4280"/>
      <c r="E33" s="1188">
        <f t="shared" si="7"/>
        <v>0</v>
      </c>
      <c r="F33" s="1680"/>
      <c r="G33" s="4281">
        <f t="shared" si="8"/>
        <v>0</v>
      </c>
      <c r="H33" s="3457">
        <f t="shared" si="9"/>
        <v>0</v>
      </c>
      <c r="I33" s="4282"/>
      <c r="J33" s="4282"/>
      <c r="K33" s="4282"/>
      <c r="L33" s="4282"/>
      <c r="M33" s="4282"/>
      <c r="N33" s="4282"/>
      <c r="O33" s="4282"/>
      <c r="P33" s="4282"/>
      <c r="Q33" s="4282"/>
      <c r="R33" s="4282"/>
      <c r="S33" s="4282"/>
      <c r="T33" s="4282"/>
      <c r="U33" s="4282"/>
      <c r="V33" s="4282"/>
      <c r="W33" s="4282"/>
      <c r="X33" s="4282"/>
      <c r="Y33" s="4282"/>
      <c r="Z33" s="4282"/>
      <c r="AA33" s="4282"/>
      <c r="AB33" s="4282"/>
      <c r="AC33" s="1188">
        <f t="shared" si="10"/>
        <v>0</v>
      </c>
      <c r="AD33" s="4278"/>
      <c r="AE33" s="4278"/>
      <c r="AF33" s="4278"/>
      <c r="AG33" s="4278"/>
      <c r="AH33" s="4278"/>
      <c r="AI33" s="4278"/>
      <c r="AJ33" s="4278"/>
      <c r="AK33" s="4278"/>
      <c r="AL33" s="4278"/>
      <c r="AM33" s="4278"/>
      <c r="AN33" s="4278"/>
      <c r="AO33" s="4278"/>
      <c r="AP33" s="4278"/>
      <c r="AQ33" s="4278"/>
      <c r="AR33" s="4278"/>
      <c r="AS33" s="4278"/>
      <c r="AT33" s="4279"/>
      <c r="AU33" s="4283"/>
      <c r="AV33" s="1188">
        <f t="shared" si="11"/>
        <v>0</v>
      </c>
      <c r="AW33" s="1188">
        <f t="shared" si="12"/>
        <v>0</v>
      </c>
      <c r="AX33" s="1188">
        <f t="shared" si="13"/>
        <v>0</v>
      </c>
      <c r="AY33" s="1452">
        <f t="shared" si="14"/>
        <v>0</v>
      </c>
      <c r="AZ33" s="4284">
        <f t="shared" si="15"/>
        <v>0</v>
      </c>
      <c r="BA33" s="4284">
        <f t="shared" si="16"/>
        <v>0</v>
      </c>
      <c r="BB33" s="4284">
        <f t="shared" si="17"/>
        <v>0</v>
      </c>
      <c r="BC33" s="4284">
        <f t="shared" si="18"/>
        <v>0</v>
      </c>
      <c r="BD33" s="4284">
        <f t="shared" si="19"/>
        <v>0</v>
      </c>
      <c r="BE33" s="4284">
        <f t="shared" si="20"/>
        <v>0</v>
      </c>
      <c r="BF33" s="4284">
        <f t="shared" si="21"/>
        <v>0</v>
      </c>
      <c r="BG33" s="4284">
        <f t="shared" si="22"/>
        <v>0</v>
      </c>
      <c r="BH33" s="4284">
        <f t="shared" si="23"/>
        <v>0</v>
      </c>
      <c r="BI33" s="4284">
        <f t="shared" si="24"/>
        <v>0</v>
      </c>
      <c r="BJ33" s="4284">
        <f t="shared" si="25"/>
        <v>0</v>
      </c>
      <c r="BK33" s="4284">
        <f t="shared" si="26"/>
        <v>0</v>
      </c>
      <c r="BL33" s="4284">
        <f t="shared" si="27"/>
        <v>0</v>
      </c>
      <c r="BM33" s="4284">
        <f t="shared" si="28"/>
        <v>0</v>
      </c>
      <c r="BN33" s="4284">
        <f t="shared" si="29"/>
        <v>0</v>
      </c>
      <c r="BO33" s="4284">
        <f t="shared" si="30"/>
        <v>0</v>
      </c>
      <c r="BP33" s="4284">
        <f t="shared" si="31"/>
        <v>0</v>
      </c>
      <c r="BQ33" s="4284">
        <f t="shared" si="32"/>
        <v>0</v>
      </c>
      <c r="BR33" s="4284">
        <f t="shared" si="33"/>
        <v>0</v>
      </c>
      <c r="BS33" s="4284">
        <f t="shared" si="34"/>
        <v>0</v>
      </c>
      <c r="BT33" s="4285">
        <f t="shared" si="35"/>
        <v>0</v>
      </c>
    </row>
    <row r="34" spans="1:72">
      <c r="A34" s="4278"/>
      <c r="B34" s="4279"/>
      <c r="C34" s="4279"/>
      <c r="D34" s="4280"/>
      <c r="E34" s="1188">
        <f t="shared" si="7"/>
        <v>0</v>
      </c>
      <c r="F34" s="1680"/>
      <c r="G34" s="4281">
        <f t="shared" si="8"/>
        <v>0</v>
      </c>
      <c r="H34" s="3457">
        <f t="shared" si="9"/>
        <v>0</v>
      </c>
      <c r="I34" s="4282"/>
      <c r="J34" s="4282"/>
      <c r="K34" s="4282"/>
      <c r="L34" s="4282"/>
      <c r="M34" s="4282"/>
      <c r="N34" s="4282"/>
      <c r="O34" s="4282"/>
      <c r="P34" s="4282"/>
      <c r="Q34" s="4282"/>
      <c r="R34" s="4282"/>
      <c r="S34" s="4282"/>
      <c r="T34" s="4282"/>
      <c r="U34" s="4282"/>
      <c r="V34" s="4282"/>
      <c r="W34" s="4282"/>
      <c r="X34" s="4282"/>
      <c r="Y34" s="4282"/>
      <c r="Z34" s="4282"/>
      <c r="AA34" s="4282"/>
      <c r="AB34" s="4282"/>
      <c r="AC34" s="1188">
        <f t="shared" si="10"/>
        <v>0</v>
      </c>
      <c r="AD34" s="4278"/>
      <c r="AE34" s="4278"/>
      <c r="AF34" s="4278"/>
      <c r="AG34" s="4278"/>
      <c r="AH34" s="4278"/>
      <c r="AI34" s="4278"/>
      <c r="AJ34" s="4278"/>
      <c r="AK34" s="4278"/>
      <c r="AL34" s="4278"/>
      <c r="AM34" s="4278"/>
      <c r="AN34" s="4278"/>
      <c r="AO34" s="4278"/>
      <c r="AP34" s="4278"/>
      <c r="AQ34" s="4278"/>
      <c r="AR34" s="4278"/>
      <c r="AS34" s="4278"/>
      <c r="AT34" s="4279"/>
      <c r="AU34" s="4283"/>
      <c r="AV34" s="1188">
        <f t="shared" si="11"/>
        <v>0</v>
      </c>
      <c r="AW34" s="1188">
        <f t="shared" si="12"/>
        <v>0</v>
      </c>
      <c r="AX34" s="1188">
        <f t="shared" si="13"/>
        <v>0</v>
      </c>
      <c r="AY34" s="1452">
        <f t="shared" si="14"/>
        <v>0</v>
      </c>
      <c r="AZ34" s="4284">
        <f t="shared" si="15"/>
        <v>0</v>
      </c>
      <c r="BA34" s="4284">
        <f t="shared" si="16"/>
        <v>0</v>
      </c>
      <c r="BB34" s="4284">
        <f t="shared" si="17"/>
        <v>0</v>
      </c>
      <c r="BC34" s="4284">
        <f t="shared" si="18"/>
        <v>0</v>
      </c>
      <c r="BD34" s="4284">
        <f t="shared" si="19"/>
        <v>0</v>
      </c>
      <c r="BE34" s="4284">
        <f t="shared" si="20"/>
        <v>0</v>
      </c>
      <c r="BF34" s="4284">
        <f t="shared" si="21"/>
        <v>0</v>
      </c>
      <c r="BG34" s="4284">
        <f t="shared" si="22"/>
        <v>0</v>
      </c>
      <c r="BH34" s="4284">
        <f t="shared" si="23"/>
        <v>0</v>
      </c>
      <c r="BI34" s="4284">
        <f t="shared" si="24"/>
        <v>0</v>
      </c>
      <c r="BJ34" s="4284">
        <f t="shared" si="25"/>
        <v>0</v>
      </c>
      <c r="BK34" s="4284">
        <f t="shared" si="26"/>
        <v>0</v>
      </c>
      <c r="BL34" s="4284">
        <f t="shared" si="27"/>
        <v>0</v>
      </c>
      <c r="BM34" s="4284">
        <f t="shared" si="28"/>
        <v>0</v>
      </c>
      <c r="BN34" s="4284">
        <f t="shared" si="29"/>
        <v>0</v>
      </c>
      <c r="BO34" s="4284">
        <f t="shared" si="30"/>
        <v>0</v>
      </c>
      <c r="BP34" s="4284">
        <f t="shared" si="31"/>
        <v>0</v>
      </c>
      <c r="BQ34" s="4284">
        <f t="shared" si="32"/>
        <v>0</v>
      </c>
      <c r="BR34" s="4284">
        <f t="shared" si="33"/>
        <v>0</v>
      </c>
      <c r="BS34" s="4284">
        <f t="shared" si="34"/>
        <v>0</v>
      </c>
      <c r="BT34" s="4285">
        <f t="shared" si="35"/>
        <v>0</v>
      </c>
    </row>
    <row r="35" spans="1:72">
      <c r="A35" s="4278"/>
      <c r="B35" s="4279"/>
      <c r="C35" s="4279"/>
      <c r="D35" s="4280"/>
      <c r="E35" s="1188">
        <f t="shared" si="7"/>
        <v>0</v>
      </c>
      <c r="F35" s="1680"/>
      <c r="G35" s="4281">
        <f t="shared" si="8"/>
        <v>0</v>
      </c>
      <c r="H35" s="3457">
        <f t="shared" si="9"/>
        <v>0</v>
      </c>
      <c r="I35" s="4282"/>
      <c r="J35" s="4282"/>
      <c r="K35" s="4282"/>
      <c r="L35" s="4282"/>
      <c r="M35" s="4282"/>
      <c r="N35" s="4282"/>
      <c r="O35" s="4282"/>
      <c r="P35" s="4282"/>
      <c r="Q35" s="4282"/>
      <c r="R35" s="4282"/>
      <c r="S35" s="4282"/>
      <c r="T35" s="4282"/>
      <c r="U35" s="4282"/>
      <c r="V35" s="4282"/>
      <c r="W35" s="4282"/>
      <c r="X35" s="4282"/>
      <c r="Y35" s="4282"/>
      <c r="Z35" s="4282"/>
      <c r="AA35" s="4282"/>
      <c r="AB35" s="4282"/>
      <c r="AC35" s="1188">
        <f t="shared" si="10"/>
        <v>0</v>
      </c>
      <c r="AD35" s="4278"/>
      <c r="AE35" s="4278"/>
      <c r="AF35" s="4278"/>
      <c r="AG35" s="4278"/>
      <c r="AH35" s="4278"/>
      <c r="AI35" s="4278"/>
      <c r="AJ35" s="4278"/>
      <c r="AK35" s="4278"/>
      <c r="AL35" s="4278"/>
      <c r="AM35" s="4278"/>
      <c r="AN35" s="4278"/>
      <c r="AO35" s="4278"/>
      <c r="AP35" s="4278"/>
      <c r="AQ35" s="4278"/>
      <c r="AR35" s="4278"/>
      <c r="AS35" s="4278"/>
      <c r="AT35" s="4279"/>
      <c r="AU35" s="4283"/>
      <c r="AV35" s="1188">
        <f t="shared" si="11"/>
        <v>0</v>
      </c>
      <c r="AW35" s="1188">
        <f t="shared" si="12"/>
        <v>0</v>
      </c>
      <c r="AX35" s="1188">
        <f t="shared" si="13"/>
        <v>0</v>
      </c>
      <c r="AY35" s="1452">
        <f t="shared" si="14"/>
        <v>0</v>
      </c>
      <c r="AZ35" s="4284">
        <f t="shared" si="15"/>
        <v>0</v>
      </c>
      <c r="BA35" s="4284">
        <f t="shared" si="16"/>
        <v>0</v>
      </c>
      <c r="BB35" s="4284">
        <f t="shared" si="17"/>
        <v>0</v>
      </c>
      <c r="BC35" s="4284">
        <f t="shared" si="18"/>
        <v>0</v>
      </c>
      <c r="BD35" s="4284">
        <f t="shared" si="19"/>
        <v>0</v>
      </c>
      <c r="BE35" s="4284">
        <f t="shared" si="20"/>
        <v>0</v>
      </c>
      <c r="BF35" s="4284">
        <f t="shared" si="21"/>
        <v>0</v>
      </c>
      <c r="BG35" s="4284">
        <f t="shared" si="22"/>
        <v>0</v>
      </c>
      <c r="BH35" s="4284">
        <f t="shared" si="23"/>
        <v>0</v>
      </c>
      <c r="BI35" s="4284">
        <f t="shared" si="24"/>
        <v>0</v>
      </c>
      <c r="BJ35" s="4284">
        <f t="shared" si="25"/>
        <v>0</v>
      </c>
      <c r="BK35" s="4284">
        <f t="shared" si="26"/>
        <v>0</v>
      </c>
      <c r="BL35" s="4284">
        <f t="shared" si="27"/>
        <v>0</v>
      </c>
      <c r="BM35" s="4284">
        <f t="shared" si="28"/>
        <v>0</v>
      </c>
      <c r="BN35" s="4284">
        <f t="shared" si="29"/>
        <v>0</v>
      </c>
      <c r="BO35" s="4284">
        <f t="shared" si="30"/>
        <v>0</v>
      </c>
      <c r="BP35" s="4284">
        <f t="shared" si="31"/>
        <v>0</v>
      </c>
      <c r="BQ35" s="4284">
        <f t="shared" si="32"/>
        <v>0</v>
      </c>
      <c r="BR35" s="4284">
        <f t="shared" si="33"/>
        <v>0</v>
      </c>
      <c r="BS35" s="4284">
        <f t="shared" si="34"/>
        <v>0</v>
      </c>
      <c r="BT35" s="4285">
        <f t="shared" si="35"/>
        <v>0</v>
      </c>
    </row>
    <row r="36" spans="1:72">
      <c r="A36" s="4278"/>
      <c r="B36" s="4279"/>
      <c r="C36" s="4279"/>
      <c r="D36" s="4280"/>
      <c r="E36" s="1188">
        <f t="shared" si="7"/>
        <v>0</v>
      </c>
      <c r="F36" s="1680"/>
      <c r="G36" s="4281">
        <f t="shared" si="8"/>
        <v>0</v>
      </c>
      <c r="H36" s="3457">
        <f t="shared" si="9"/>
        <v>0</v>
      </c>
      <c r="I36" s="4282"/>
      <c r="J36" s="4282"/>
      <c r="K36" s="4282"/>
      <c r="L36" s="4282"/>
      <c r="M36" s="4282"/>
      <c r="N36" s="4282"/>
      <c r="O36" s="4282"/>
      <c r="P36" s="4282"/>
      <c r="Q36" s="4282"/>
      <c r="R36" s="4282"/>
      <c r="S36" s="4282"/>
      <c r="T36" s="4282"/>
      <c r="U36" s="4282"/>
      <c r="V36" s="4282"/>
      <c r="W36" s="4282"/>
      <c r="X36" s="4282"/>
      <c r="Y36" s="4282"/>
      <c r="Z36" s="4282"/>
      <c r="AA36" s="4282"/>
      <c r="AB36" s="4282"/>
      <c r="AC36" s="1188">
        <f t="shared" si="10"/>
        <v>0</v>
      </c>
      <c r="AD36" s="4278"/>
      <c r="AE36" s="4278"/>
      <c r="AF36" s="4278"/>
      <c r="AG36" s="4278"/>
      <c r="AH36" s="4278"/>
      <c r="AI36" s="4278"/>
      <c r="AJ36" s="4278"/>
      <c r="AK36" s="4278"/>
      <c r="AL36" s="4278"/>
      <c r="AM36" s="4278"/>
      <c r="AN36" s="4278"/>
      <c r="AO36" s="4278"/>
      <c r="AP36" s="4278"/>
      <c r="AQ36" s="4278"/>
      <c r="AR36" s="4278"/>
      <c r="AS36" s="4278"/>
      <c r="AT36" s="4279"/>
      <c r="AU36" s="4283"/>
      <c r="AV36" s="1188">
        <f t="shared" si="11"/>
        <v>0</v>
      </c>
      <c r="AW36" s="1188">
        <f t="shared" si="12"/>
        <v>0</v>
      </c>
      <c r="AX36" s="1188">
        <f t="shared" si="13"/>
        <v>0</v>
      </c>
      <c r="AY36" s="1452">
        <f t="shared" si="14"/>
        <v>0</v>
      </c>
      <c r="AZ36" s="4284">
        <f t="shared" si="15"/>
        <v>0</v>
      </c>
      <c r="BA36" s="4284">
        <f t="shared" si="16"/>
        <v>0</v>
      </c>
      <c r="BB36" s="4284">
        <f t="shared" si="17"/>
        <v>0</v>
      </c>
      <c r="BC36" s="4284">
        <f t="shared" si="18"/>
        <v>0</v>
      </c>
      <c r="BD36" s="4284">
        <f t="shared" si="19"/>
        <v>0</v>
      </c>
      <c r="BE36" s="4284">
        <f t="shared" si="20"/>
        <v>0</v>
      </c>
      <c r="BF36" s="4284">
        <f t="shared" si="21"/>
        <v>0</v>
      </c>
      <c r="BG36" s="4284">
        <f t="shared" si="22"/>
        <v>0</v>
      </c>
      <c r="BH36" s="4284">
        <f t="shared" si="23"/>
        <v>0</v>
      </c>
      <c r="BI36" s="4284">
        <f t="shared" si="24"/>
        <v>0</v>
      </c>
      <c r="BJ36" s="4284">
        <f t="shared" si="25"/>
        <v>0</v>
      </c>
      <c r="BK36" s="4284">
        <f t="shared" si="26"/>
        <v>0</v>
      </c>
      <c r="BL36" s="4284">
        <f t="shared" si="27"/>
        <v>0</v>
      </c>
      <c r="BM36" s="4284">
        <f t="shared" si="28"/>
        <v>0</v>
      </c>
      <c r="BN36" s="4284">
        <f t="shared" si="29"/>
        <v>0</v>
      </c>
      <c r="BO36" s="4284">
        <f t="shared" si="30"/>
        <v>0</v>
      </c>
      <c r="BP36" s="4284">
        <f t="shared" si="31"/>
        <v>0</v>
      </c>
      <c r="BQ36" s="4284">
        <f t="shared" si="32"/>
        <v>0</v>
      </c>
      <c r="BR36" s="4284">
        <f t="shared" si="33"/>
        <v>0</v>
      </c>
      <c r="BS36" s="4284">
        <f t="shared" si="34"/>
        <v>0</v>
      </c>
      <c r="BT36" s="4285">
        <f t="shared" si="35"/>
        <v>0</v>
      </c>
    </row>
    <row r="37" spans="1:72">
      <c r="A37" s="4278"/>
      <c r="B37" s="4279"/>
      <c r="C37" s="4279"/>
      <c r="D37" s="4280"/>
      <c r="E37" s="1188">
        <f t="shared" si="7"/>
        <v>0</v>
      </c>
      <c r="F37" s="1680"/>
      <c r="G37" s="4281">
        <f t="shared" si="8"/>
        <v>0</v>
      </c>
      <c r="H37" s="3457">
        <f t="shared" si="9"/>
        <v>0</v>
      </c>
      <c r="I37" s="4282"/>
      <c r="J37" s="4282"/>
      <c r="K37" s="4282"/>
      <c r="L37" s="4282"/>
      <c r="M37" s="4282"/>
      <c r="N37" s="4282"/>
      <c r="O37" s="4282"/>
      <c r="P37" s="4282"/>
      <c r="Q37" s="4282"/>
      <c r="R37" s="4282"/>
      <c r="S37" s="4282"/>
      <c r="T37" s="4282"/>
      <c r="U37" s="4282"/>
      <c r="V37" s="4282"/>
      <c r="W37" s="4282"/>
      <c r="X37" s="4282"/>
      <c r="Y37" s="4282"/>
      <c r="Z37" s="4282"/>
      <c r="AA37" s="4282"/>
      <c r="AB37" s="4282"/>
      <c r="AC37" s="1188">
        <f t="shared" si="10"/>
        <v>0</v>
      </c>
      <c r="AD37" s="4278"/>
      <c r="AE37" s="4278"/>
      <c r="AF37" s="4278"/>
      <c r="AG37" s="4278"/>
      <c r="AH37" s="4278"/>
      <c r="AI37" s="4278"/>
      <c r="AJ37" s="4278"/>
      <c r="AK37" s="4278"/>
      <c r="AL37" s="4278"/>
      <c r="AM37" s="4278"/>
      <c r="AN37" s="4278"/>
      <c r="AO37" s="4278"/>
      <c r="AP37" s="4278"/>
      <c r="AQ37" s="4278"/>
      <c r="AR37" s="4278"/>
      <c r="AS37" s="4278"/>
      <c r="AT37" s="4279"/>
      <c r="AU37" s="4283"/>
      <c r="AV37" s="1188">
        <f t="shared" si="11"/>
        <v>0</v>
      </c>
      <c r="AW37" s="1188">
        <f t="shared" si="12"/>
        <v>0</v>
      </c>
      <c r="AX37" s="1188">
        <f t="shared" si="13"/>
        <v>0</v>
      </c>
      <c r="AY37" s="1452">
        <f t="shared" si="14"/>
        <v>0</v>
      </c>
      <c r="AZ37" s="4284">
        <f t="shared" si="15"/>
        <v>0</v>
      </c>
      <c r="BA37" s="4284">
        <f t="shared" si="16"/>
        <v>0</v>
      </c>
      <c r="BB37" s="4284">
        <f t="shared" si="17"/>
        <v>0</v>
      </c>
      <c r="BC37" s="4284">
        <f t="shared" si="18"/>
        <v>0</v>
      </c>
      <c r="BD37" s="4284">
        <f t="shared" si="19"/>
        <v>0</v>
      </c>
      <c r="BE37" s="4284">
        <f t="shared" si="20"/>
        <v>0</v>
      </c>
      <c r="BF37" s="4284">
        <f t="shared" si="21"/>
        <v>0</v>
      </c>
      <c r="BG37" s="4284">
        <f t="shared" si="22"/>
        <v>0</v>
      </c>
      <c r="BH37" s="4284">
        <f t="shared" si="23"/>
        <v>0</v>
      </c>
      <c r="BI37" s="4284">
        <f t="shared" si="24"/>
        <v>0</v>
      </c>
      <c r="BJ37" s="4284">
        <f t="shared" si="25"/>
        <v>0</v>
      </c>
      <c r="BK37" s="4284">
        <f t="shared" si="26"/>
        <v>0</v>
      </c>
      <c r="BL37" s="4284">
        <f t="shared" si="27"/>
        <v>0</v>
      </c>
      <c r="BM37" s="4284">
        <f t="shared" si="28"/>
        <v>0</v>
      </c>
      <c r="BN37" s="4284">
        <f t="shared" si="29"/>
        <v>0</v>
      </c>
      <c r="BO37" s="4284">
        <f t="shared" si="30"/>
        <v>0</v>
      </c>
      <c r="BP37" s="4284">
        <f t="shared" si="31"/>
        <v>0</v>
      </c>
      <c r="BQ37" s="4284">
        <f t="shared" si="32"/>
        <v>0</v>
      </c>
      <c r="BR37" s="4284">
        <f t="shared" si="33"/>
        <v>0</v>
      </c>
      <c r="BS37" s="4284">
        <f t="shared" si="34"/>
        <v>0</v>
      </c>
      <c r="BT37" s="4285">
        <f t="shared" si="35"/>
        <v>0</v>
      </c>
    </row>
    <row r="38" spans="1:72">
      <c r="A38" s="4278"/>
      <c r="B38" s="4279"/>
      <c r="C38" s="4279"/>
      <c r="D38" s="4280"/>
      <c r="E38" s="1188">
        <f t="shared" si="7"/>
        <v>0</v>
      </c>
      <c r="F38" s="1680"/>
      <c r="G38" s="4281">
        <f t="shared" si="8"/>
        <v>0</v>
      </c>
      <c r="H38" s="3457">
        <f t="shared" si="9"/>
        <v>0</v>
      </c>
      <c r="I38" s="4282"/>
      <c r="J38" s="4282"/>
      <c r="K38" s="4282"/>
      <c r="L38" s="4282"/>
      <c r="M38" s="4282"/>
      <c r="N38" s="4282"/>
      <c r="O38" s="4282"/>
      <c r="P38" s="4282"/>
      <c r="Q38" s="4282"/>
      <c r="R38" s="4282"/>
      <c r="S38" s="4282"/>
      <c r="T38" s="4282"/>
      <c r="U38" s="4282"/>
      <c r="V38" s="4282"/>
      <c r="W38" s="4282"/>
      <c r="X38" s="4282"/>
      <c r="Y38" s="4282"/>
      <c r="Z38" s="4282"/>
      <c r="AA38" s="4282"/>
      <c r="AB38" s="4282"/>
      <c r="AC38" s="1188">
        <f t="shared" si="10"/>
        <v>0</v>
      </c>
      <c r="AD38" s="4278"/>
      <c r="AE38" s="4278"/>
      <c r="AF38" s="4278"/>
      <c r="AG38" s="4278"/>
      <c r="AH38" s="4278"/>
      <c r="AI38" s="4278"/>
      <c r="AJ38" s="4278"/>
      <c r="AK38" s="4278"/>
      <c r="AL38" s="4278"/>
      <c r="AM38" s="4278"/>
      <c r="AN38" s="4278"/>
      <c r="AO38" s="4278"/>
      <c r="AP38" s="4278"/>
      <c r="AQ38" s="4278"/>
      <c r="AR38" s="4278"/>
      <c r="AS38" s="4278"/>
      <c r="AT38" s="4279"/>
      <c r="AU38" s="4283"/>
      <c r="AV38" s="1188">
        <f t="shared" si="11"/>
        <v>0</v>
      </c>
      <c r="AW38" s="1188">
        <f t="shared" si="12"/>
        <v>0</v>
      </c>
      <c r="AX38" s="1188">
        <f t="shared" si="13"/>
        <v>0</v>
      </c>
      <c r="AY38" s="1452">
        <f t="shared" si="14"/>
        <v>0</v>
      </c>
      <c r="AZ38" s="4284">
        <f t="shared" si="15"/>
        <v>0</v>
      </c>
      <c r="BA38" s="4284">
        <f t="shared" si="16"/>
        <v>0</v>
      </c>
      <c r="BB38" s="4284">
        <f t="shared" si="17"/>
        <v>0</v>
      </c>
      <c r="BC38" s="4284">
        <f t="shared" si="18"/>
        <v>0</v>
      </c>
      <c r="BD38" s="4284">
        <f t="shared" si="19"/>
        <v>0</v>
      </c>
      <c r="BE38" s="4284">
        <f t="shared" si="20"/>
        <v>0</v>
      </c>
      <c r="BF38" s="4284">
        <f t="shared" si="21"/>
        <v>0</v>
      </c>
      <c r="BG38" s="4284">
        <f t="shared" si="22"/>
        <v>0</v>
      </c>
      <c r="BH38" s="4284">
        <f t="shared" si="23"/>
        <v>0</v>
      </c>
      <c r="BI38" s="4284">
        <f t="shared" si="24"/>
        <v>0</v>
      </c>
      <c r="BJ38" s="4284">
        <f t="shared" si="25"/>
        <v>0</v>
      </c>
      <c r="BK38" s="4284">
        <f t="shared" si="26"/>
        <v>0</v>
      </c>
      <c r="BL38" s="4284">
        <f t="shared" si="27"/>
        <v>0</v>
      </c>
      <c r="BM38" s="4284">
        <f t="shared" si="28"/>
        <v>0</v>
      </c>
      <c r="BN38" s="4284">
        <f t="shared" si="29"/>
        <v>0</v>
      </c>
      <c r="BO38" s="4284">
        <f t="shared" si="30"/>
        <v>0</v>
      </c>
      <c r="BP38" s="4284">
        <f t="shared" si="31"/>
        <v>0</v>
      </c>
      <c r="BQ38" s="4284">
        <f t="shared" si="32"/>
        <v>0</v>
      </c>
      <c r="BR38" s="4284">
        <f t="shared" si="33"/>
        <v>0</v>
      </c>
      <c r="BS38" s="4284">
        <f t="shared" si="34"/>
        <v>0</v>
      </c>
      <c r="BT38" s="4285">
        <f t="shared" si="35"/>
        <v>0</v>
      </c>
    </row>
    <row r="39" spans="1:72">
      <c r="A39" s="4278"/>
      <c r="B39" s="4279"/>
      <c r="C39" s="4279"/>
      <c r="D39" s="4280"/>
      <c r="E39" s="1188">
        <f t="shared" si="7"/>
        <v>0</v>
      </c>
      <c r="F39" s="1680"/>
      <c r="G39" s="4281">
        <f t="shared" si="8"/>
        <v>0</v>
      </c>
      <c r="H39" s="3457">
        <f t="shared" si="9"/>
        <v>0</v>
      </c>
      <c r="I39" s="4282"/>
      <c r="J39" s="4282"/>
      <c r="K39" s="4282"/>
      <c r="L39" s="4282"/>
      <c r="M39" s="4282"/>
      <c r="N39" s="4282"/>
      <c r="O39" s="4282"/>
      <c r="P39" s="4282"/>
      <c r="Q39" s="4282"/>
      <c r="R39" s="4282"/>
      <c r="S39" s="4282"/>
      <c r="T39" s="4282"/>
      <c r="U39" s="4282"/>
      <c r="V39" s="4282"/>
      <c r="W39" s="4282"/>
      <c r="X39" s="4282"/>
      <c r="Y39" s="4282"/>
      <c r="Z39" s="4282"/>
      <c r="AA39" s="4282"/>
      <c r="AB39" s="4282"/>
      <c r="AC39" s="1188">
        <f t="shared" si="10"/>
        <v>0</v>
      </c>
      <c r="AD39" s="4278"/>
      <c r="AE39" s="4278"/>
      <c r="AF39" s="4278"/>
      <c r="AG39" s="4278"/>
      <c r="AH39" s="4278"/>
      <c r="AI39" s="4278"/>
      <c r="AJ39" s="4278"/>
      <c r="AK39" s="4278"/>
      <c r="AL39" s="4278"/>
      <c r="AM39" s="4278"/>
      <c r="AN39" s="4278"/>
      <c r="AO39" s="4278"/>
      <c r="AP39" s="4278"/>
      <c r="AQ39" s="4278"/>
      <c r="AR39" s="4278"/>
      <c r="AS39" s="4278"/>
      <c r="AT39" s="4279"/>
      <c r="AU39" s="4283"/>
      <c r="AV39" s="1188">
        <f t="shared" si="11"/>
        <v>0</v>
      </c>
      <c r="AW39" s="1188">
        <f t="shared" si="12"/>
        <v>0</v>
      </c>
      <c r="AX39" s="1188">
        <f t="shared" si="13"/>
        <v>0</v>
      </c>
      <c r="AY39" s="1452">
        <f t="shared" si="14"/>
        <v>0</v>
      </c>
      <c r="AZ39" s="4284">
        <f t="shared" si="15"/>
        <v>0</v>
      </c>
      <c r="BA39" s="4284">
        <f t="shared" si="16"/>
        <v>0</v>
      </c>
      <c r="BB39" s="4284">
        <f t="shared" si="17"/>
        <v>0</v>
      </c>
      <c r="BC39" s="4284">
        <f t="shared" si="18"/>
        <v>0</v>
      </c>
      <c r="BD39" s="4284">
        <f t="shared" si="19"/>
        <v>0</v>
      </c>
      <c r="BE39" s="4284">
        <f t="shared" si="20"/>
        <v>0</v>
      </c>
      <c r="BF39" s="4284">
        <f t="shared" si="21"/>
        <v>0</v>
      </c>
      <c r="BG39" s="4284">
        <f t="shared" si="22"/>
        <v>0</v>
      </c>
      <c r="BH39" s="4284">
        <f t="shared" si="23"/>
        <v>0</v>
      </c>
      <c r="BI39" s="4284">
        <f t="shared" si="24"/>
        <v>0</v>
      </c>
      <c r="BJ39" s="4284">
        <f t="shared" si="25"/>
        <v>0</v>
      </c>
      <c r="BK39" s="4284">
        <f t="shared" si="26"/>
        <v>0</v>
      </c>
      <c r="BL39" s="4284">
        <f t="shared" si="27"/>
        <v>0</v>
      </c>
      <c r="BM39" s="4284">
        <f t="shared" si="28"/>
        <v>0</v>
      </c>
      <c r="BN39" s="4284">
        <f t="shared" si="29"/>
        <v>0</v>
      </c>
      <c r="BO39" s="4284">
        <f t="shared" si="30"/>
        <v>0</v>
      </c>
      <c r="BP39" s="4284">
        <f t="shared" si="31"/>
        <v>0</v>
      </c>
      <c r="BQ39" s="4284">
        <f t="shared" si="32"/>
        <v>0</v>
      </c>
      <c r="BR39" s="4284">
        <f t="shared" si="33"/>
        <v>0</v>
      </c>
      <c r="BS39" s="4284">
        <f t="shared" si="34"/>
        <v>0</v>
      </c>
      <c r="BT39" s="4285">
        <f t="shared" si="35"/>
        <v>0</v>
      </c>
    </row>
    <row r="40" spans="1:72">
      <c r="A40" s="4278"/>
      <c r="B40" s="4279"/>
      <c r="C40" s="4279"/>
      <c r="D40" s="4280"/>
      <c r="E40" s="1188">
        <f t="shared" si="7"/>
        <v>0</v>
      </c>
      <c r="F40" s="1680"/>
      <c r="G40" s="4281">
        <f t="shared" si="8"/>
        <v>0</v>
      </c>
      <c r="H40" s="3457">
        <f t="shared" si="9"/>
        <v>0</v>
      </c>
      <c r="I40" s="4282"/>
      <c r="J40" s="4282"/>
      <c r="K40" s="4282"/>
      <c r="L40" s="4282"/>
      <c r="M40" s="4282"/>
      <c r="N40" s="4282"/>
      <c r="O40" s="4282"/>
      <c r="P40" s="4282"/>
      <c r="Q40" s="4282"/>
      <c r="R40" s="4282"/>
      <c r="S40" s="4282"/>
      <c r="T40" s="4282"/>
      <c r="U40" s="4282"/>
      <c r="V40" s="4282"/>
      <c r="W40" s="4282"/>
      <c r="X40" s="4282"/>
      <c r="Y40" s="4282"/>
      <c r="Z40" s="4282"/>
      <c r="AA40" s="4282"/>
      <c r="AB40" s="4282"/>
      <c r="AC40" s="1188">
        <f t="shared" si="10"/>
        <v>0</v>
      </c>
      <c r="AD40" s="4278"/>
      <c r="AE40" s="4278"/>
      <c r="AF40" s="4278"/>
      <c r="AG40" s="4278"/>
      <c r="AH40" s="4278"/>
      <c r="AI40" s="4278"/>
      <c r="AJ40" s="4278"/>
      <c r="AK40" s="4278"/>
      <c r="AL40" s="4278"/>
      <c r="AM40" s="4278"/>
      <c r="AN40" s="4278"/>
      <c r="AO40" s="4278"/>
      <c r="AP40" s="4278"/>
      <c r="AQ40" s="4278"/>
      <c r="AR40" s="4278"/>
      <c r="AS40" s="4278"/>
      <c r="AT40" s="4279"/>
      <c r="AU40" s="4283"/>
      <c r="AV40" s="1188">
        <f t="shared" si="11"/>
        <v>0</v>
      </c>
      <c r="AW40" s="1188">
        <f t="shared" si="12"/>
        <v>0</v>
      </c>
      <c r="AX40" s="1188">
        <f t="shared" si="13"/>
        <v>0</v>
      </c>
      <c r="AY40" s="1452">
        <f t="shared" si="14"/>
        <v>0</v>
      </c>
      <c r="AZ40" s="4284">
        <f t="shared" si="15"/>
        <v>0</v>
      </c>
      <c r="BA40" s="4284">
        <f t="shared" si="16"/>
        <v>0</v>
      </c>
      <c r="BB40" s="4284">
        <f t="shared" si="17"/>
        <v>0</v>
      </c>
      <c r="BC40" s="4284">
        <f t="shared" si="18"/>
        <v>0</v>
      </c>
      <c r="BD40" s="4284">
        <f t="shared" si="19"/>
        <v>0</v>
      </c>
      <c r="BE40" s="4284">
        <f t="shared" si="20"/>
        <v>0</v>
      </c>
      <c r="BF40" s="4284">
        <f t="shared" si="21"/>
        <v>0</v>
      </c>
      <c r="BG40" s="4284">
        <f t="shared" si="22"/>
        <v>0</v>
      </c>
      <c r="BH40" s="4284">
        <f t="shared" si="23"/>
        <v>0</v>
      </c>
      <c r="BI40" s="4284">
        <f t="shared" si="24"/>
        <v>0</v>
      </c>
      <c r="BJ40" s="4284">
        <f t="shared" si="25"/>
        <v>0</v>
      </c>
      <c r="BK40" s="4284">
        <f t="shared" si="26"/>
        <v>0</v>
      </c>
      <c r="BL40" s="4284">
        <f t="shared" si="27"/>
        <v>0</v>
      </c>
      <c r="BM40" s="4284">
        <f t="shared" si="28"/>
        <v>0</v>
      </c>
      <c r="BN40" s="4284">
        <f t="shared" si="29"/>
        <v>0</v>
      </c>
      <c r="BO40" s="4284">
        <f t="shared" si="30"/>
        <v>0</v>
      </c>
      <c r="BP40" s="4284">
        <f t="shared" si="31"/>
        <v>0</v>
      </c>
      <c r="BQ40" s="4284">
        <f t="shared" si="32"/>
        <v>0</v>
      </c>
      <c r="BR40" s="4284">
        <f t="shared" si="33"/>
        <v>0</v>
      </c>
      <c r="BS40" s="4284">
        <f t="shared" si="34"/>
        <v>0</v>
      </c>
      <c r="BT40" s="4285">
        <f t="shared" si="35"/>
        <v>0</v>
      </c>
    </row>
    <row r="41" spans="1:72">
      <c r="A41" s="4278"/>
      <c r="B41" s="4279"/>
      <c r="C41" s="4279"/>
      <c r="D41" s="4280"/>
      <c r="E41" s="1188">
        <f t="shared" si="7"/>
        <v>0</v>
      </c>
      <c r="F41" s="1680"/>
      <c r="G41" s="4281">
        <f t="shared" si="8"/>
        <v>0</v>
      </c>
      <c r="H41" s="3457">
        <f t="shared" si="9"/>
        <v>0</v>
      </c>
      <c r="I41" s="4282"/>
      <c r="J41" s="4282"/>
      <c r="K41" s="4282"/>
      <c r="L41" s="4282"/>
      <c r="M41" s="4282"/>
      <c r="N41" s="4282"/>
      <c r="O41" s="4282"/>
      <c r="P41" s="4282"/>
      <c r="Q41" s="4282"/>
      <c r="R41" s="4282"/>
      <c r="S41" s="4282"/>
      <c r="T41" s="4282"/>
      <c r="U41" s="4282"/>
      <c r="V41" s="4282"/>
      <c r="W41" s="4282"/>
      <c r="X41" s="4282"/>
      <c r="Y41" s="4282"/>
      <c r="Z41" s="4282"/>
      <c r="AA41" s="4282"/>
      <c r="AB41" s="4282"/>
      <c r="AC41" s="1188">
        <f t="shared" si="10"/>
        <v>0</v>
      </c>
      <c r="AD41" s="4278"/>
      <c r="AE41" s="4278"/>
      <c r="AF41" s="4278"/>
      <c r="AG41" s="4278"/>
      <c r="AH41" s="4278"/>
      <c r="AI41" s="4278"/>
      <c r="AJ41" s="4278"/>
      <c r="AK41" s="4278"/>
      <c r="AL41" s="4278"/>
      <c r="AM41" s="4278"/>
      <c r="AN41" s="4278"/>
      <c r="AO41" s="4278"/>
      <c r="AP41" s="4278"/>
      <c r="AQ41" s="4278"/>
      <c r="AR41" s="4278"/>
      <c r="AS41" s="4278"/>
      <c r="AT41" s="4279"/>
      <c r="AU41" s="4283"/>
      <c r="AV41" s="1188">
        <f t="shared" si="11"/>
        <v>0</v>
      </c>
      <c r="AW41" s="1188">
        <f t="shared" si="12"/>
        <v>0</v>
      </c>
      <c r="AX41" s="1188">
        <f t="shared" si="13"/>
        <v>0</v>
      </c>
      <c r="AY41" s="1452">
        <f t="shared" si="14"/>
        <v>0</v>
      </c>
      <c r="AZ41" s="4284">
        <f t="shared" si="15"/>
        <v>0</v>
      </c>
      <c r="BA41" s="4284">
        <f t="shared" si="16"/>
        <v>0</v>
      </c>
      <c r="BB41" s="4284">
        <f t="shared" si="17"/>
        <v>0</v>
      </c>
      <c r="BC41" s="4284">
        <f t="shared" si="18"/>
        <v>0</v>
      </c>
      <c r="BD41" s="4284">
        <f t="shared" si="19"/>
        <v>0</v>
      </c>
      <c r="BE41" s="4284">
        <f t="shared" si="20"/>
        <v>0</v>
      </c>
      <c r="BF41" s="4284">
        <f t="shared" si="21"/>
        <v>0</v>
      </c>
      <c r="BG41" s="4284">
        <f t="shared" si="22"/>
        <v>0</v>
      </c>
      <c r="BH41" s="4284">
        <f t="shared" si="23"/>
        <v>0</v>
      </c>
      <c r="BI41" s="4284">
        <f t="shared" si="24"/>
        <v>0</v>
      </c>
      <c r="BJ41" s="4284">
        <f t="shared" si="25"/>
        <v>0</v>
      </c>
      <c r="BK41" s="4284">
        <f t="shared" si="26"/>
        <v>0</v>
      </c>
      <c r="BL41" s="4284">
        <f t="shared" si="27"/>
        <v>0</v>
      </c>
      <c r="BM41" s="4284">
        <f t="shared" si="28"/>
        <v>0</v>
      </c>
      <c r="BN41" s="4284">
        <f t="shared" si="29"/>
        <v>0</v>
      </c>
      <c r="BO41" s="4284">
        <f t="shared" si="30"/>
        <v>0</v>
      </c>
      <c r="BP41" s="4284">
        <f t="shared" si="31"/>
        <v>0</v>
      </c>
      <c r="BQ41" s="4284">
        <f t="shared" si="32"/>
        <v>0</v>
      </c>
      <c r="BR41" s="4284">
        <f t="shared" si="33"/>
        <v>0</v>
      </c>
      <c r="BS41" s="4284">
        <f t="shared" si="34"/>
        <v>0</v>
      </c>
      <c r="BT41" s="4285">
        <f t="shared" si="35"/>
        <v>0</v>
      </c>
    </row>
    <row r="42" spans="1:72">
      <c r="A42" s="4278"/>
      <c r="B42" s="4279"/>
      <c r="C42" s="4279"/>
      <c r="D42" s="4280"/>
      <c r="E42" s="1188">
        <f t="shared" si="7"/>
        <v>0</v>
      </c>
      <c r="F42" s="1680"/>
      <c r="G42" s="4281">
        <f t="shared" si="8"/>
        <v>0</v>
      </c>
      <c r="H42" s="3457">
        <f t="shared" si="9"/>
        <v>0</v>
      </c>
      <c r="I42" s="4282"/>
      <c r="J42" s="4282"/>
      <c r="K42" s="4282"/>
      <c r="L42" s="4282"/>
      <c r="M42" s="4282"/>
      <c r="N42" s="4282"/>
      <c r="O42" s="4282"/>
      <c r="P42" s="4282"/>
      <c r="Q42" s="4282"/>
      <c r="R42" s="4282"/>
      <c r="S42" s="4282"/>
      <c r="T42" s="4282"/>
      <c r="U42" s="4282"/>
      <c r="V42" s="4282"/>
      <c r="W42" s="4282"/>
      <c r="X42" s="4282"/>
      <c r="Y42" s="4282"/>
      <c r="Z42" s="4282"/>
      <c r="AA42" s="4282"/>
      <c r="AB42" s="4282"/>
      <c r="AC42" s="1188">
        <f t="shared" si="10"/>
        <v>0</v>
      </c>
      <c r="AD42" s="4278"/>
      <c r="AE42" s="4278"/>
      <c r="AF42" s="4278"/>
      <c r="AG42" s="4278"/>
      <c r="AH42" s="4278"/>
      <c r="AI42" s="4278"/>
      <c r="AJ42" s="4278"/>
      <c r="AK42" s="4278"/>
      <c r="AL42" s="4278"/>
      <c r="AM42" s="4278"/>
      <c r="AN42" s="4278"/>
      <c r="AO42" s="4278"/>
      <c r="AP42" s="4278"/>
      <c r="AQ42" s="4278"/>
      <c r="AR42" s="4278"/>
      <c r="AS42" s="4278"/>
      <c r="AT42" s="4279"/>
      <c r="AU42" s="4283"/>
      <c r="AV42" s="1188">
        <f t="shared" si="11"/>
        <v>0</v>
      </c>
      <c r="AW42" s="1188">
        <f t="shared" si="12"/>
        <v>0</v>
      </c>
      <c r="AX42" s="1188">
        <f t="shared" si="13"/>
        <v>0</v>
      </c>
      <c r="AY42" s="1452">
        <f t="shared" si="14"/>
        <v>0</v>
      </c>
      <c r="AZ42" s="4284">
        <f t="shared" si="15"/>
        <v>0</v>
      </c>
      <c r="BA42" s="4284">
        <f t="shared" si="16"/>
        <v>0</v>
      </c>
      <c r="BB42" s="4284">
        <f t="shared" si="17"/>
        <v>0</v>
      </c>
      <c r="BC42" s="4284">
        <f t="shared" si="18"/>
        <v>0</v>
      </c>
      <c r="BD42" s="4284">
        <f t="shared" si="19"/>
        <v>0</v>
      </c>
      <c r="BE42" s="4284">
        <f t="shared" si="20"/>
        <v>0</v>
      </c>
      <c r="BF42" s="4284">
        <f t="shared" si="21"/>
        <v>0</v>
      </c>
      <c r="BG42" s="4284">
        <f t="shared" si="22"/>
        <v>0</v>
      </c>
      <c r="BH42" s="4284">
        <f t="shared" si="23"/>
        <v>0</v>
      </c>
      <c r="BI42" s="4284">
        <f t="shared" si="24"/>
        <v>0</v>
      </c>
      <c r="BJ42" s="4284">
        <f t="shared" si="25"/>
        <v>0</v>
      </c>
      <c r="BK42" s="4284">
        <f t="shared" si="26"/>
        <v>0</v>
      </c>
      <c r="BL42" s="4284">
        <f t="shared" si="27"/>
        <v>0</v>
      </c>
      <c r="BM42" s="4284">
        <f t="shared" si="28"/>
        <v>0</v>
      </c>
      <c r="BN42" s="4284">
        <f t="shared" si="29"/>
        <v>0</v>
      </c>
      <c r="BO42" s="4284">
        <f t="shared" si="30"/>
        <v>0</v>
      </c>
      <c r="BP42" s="4284">
        <f t="shared" si="31"/>
        <v>0</v>
      </c>
      <c r="BQ42" s="4284">
        <f t="shared" si="32"/>
        <v>0</v>
      </c>
      <c r="BR42" s="4284">
        <f t="shared" si="33"/>
        <v>0</v>
      </c>
      <c r="BS42" s="4284">
        <f t="shared" si="34"/>
        <v>0</v>
      </c>
      <c r="BT42" s="4285">
        <f t="shared" si="35"/>
        <v>0</v>
      </c>
    </row>
    <row r="43" spans="1:72">
      <c r="A43" s="4278"/>
      <c r="B43" s="4279"/>
      <c r="C43" s="4279"/>
      <c r="D43" s="4280"/>
      <c r="E43" s="1188">
        <f t="shared" si="7"/>
        <v>0</v>
      </c>
      <c r="F43" s="1680"/>
      <c r="G43" s="4281">
        <f t="shared" si="8"/>
        <v>0</v>
      </c>
      <c r="H43" s="3457">
        <f t="shared" si="9"/>
        <v>0</v>
      </c>
      <c r="I43" s="4282"/>
      <c r="J43" s="4282"/>
      <c r="K43" s="4282"/>
      <c r="L43" s="4282"/>
      <c r="M43" s="4282"/>
      <c r="N43" s="4282"/>
      <c r="O43" s="4282"/>
      <c r="P43" s="4282"/>
      <c r="Q43" s="4282"/>
      <c r="R43" s="4282"/>
      <c r="S43" s="4282"/>
      <c r="T43" s="4282"/>
      <c r="U43" s="4282"/>
      <c r="V43" s="4282"/>
      <c r="W43" s="4282"/>
      <c r="X43" s="4282"/>
      <c r="Y43" s="4282"/>
      <c r="Z43" s="4282"/>
      <c r="AA43" s="4282"/>
      <c r="AB43" s="4282"/>
      <c r="AC43" s="1188">
        <f t="shared" si="10"/>
        <v>0</v>
      </c>
      <c r="AD43" s="4278"/>
      <c r="AE43" s="4278"/>
      <c r="AF43" s="4278"/>
      <c r="AG43" s="4278"/>
      <c r="AH43" s="4278"/>
      <c r="AI43" s="4278"/>
      <c r="AJ43" s="4278"/>
      <c r="AK43" s="4278"/>
      <c r="AL43" s="4278"/>
      <c r="AM43" s="4278"/>
      <c r="AN43" s="4278"/>
      <c r="AO43" s="4278"/>
      <c r="AP43" s="4278"/>
      <c r="AQ43" s="4278"/>
      <c r="AR43" s="4278"/>
      <c r="AS43" s="4278"/>
      <c r="AT43" s="4279"/>
      <c r="AU43" s="4283"/>
      <c r="AV43" s="1188">
        <f t="shared" si="11"/>
        <v>0</v>
      </c>
      <c r="AW43" s="1188">
        <f t="shared" si="12"/>
        <v>0</v>
      </c>
      <c r="AX43" s="1188">
        <f t="shared" si="13"/>
        <v>0</v>
      </c>
      <c r="AY43" s="1452">
        <f t="shared" si="14"/>
        <v>0</v>
      </c>
      <c r="AZ43" s="4284">
        <f t="shared" si="15"/>
        <v>0</v>
      </c>
      <c r="BA43" s="4284">
        <f t="shared" si="16"/>
        <v>0</v>
      </c>
      <c r="BB43" s="4284">
        <f t="shared" si="17"/>
        <v>0</v>
      </c>
      <c r="BC43" s="4284">
        <f t="shared" si="18"/>
        <v>0</v>
      </c>
      <c r="BD43" s="4284">
        <f t="shared" si="19"/>
        <v>0</v>
      </c>
      <c r="BE43" s="4284">
        <f t="shared" si="20"/>
        <v>0</v>
      </c>
      <c r="BF43" s="4284">
        <f t="shared" si="21"/>
        <v>0</v>
      </c>
      <c r="BG43" s="4284">
        <f t="shared" si="22"/>
        <v>0</v>
      </c>
      <c r="BH43" s="4284">
        <f t="shared" si="23"/>
        <v>0</v>
      </c>
      <c r="BI43" s="4284">
        <f t="shared" si="24"/>
        <v>0</v>
      </c>
      <c r="BJ43" s="4284">
        <f t="shared" si="25"/>
        <v>0</v>
      </c>
      <c r="BK43" s="4284">
        <f t="shared" si="26"/>
        <v>0</v>
      </c>
      <c r="BL43" s="4284">
        <f t="shared" si="27"/>
        <v>0</v>
      </c>
      <c r="BM43" s="4284">
        <f t="shared" si="28"/>
        <v>0</v>
      </c>
      <c r="BN43" s="4284">
        <f t="shared" si="29"/>
        <v>0</v>
      </c>
      <c r="BO43" s="4284">
        <f t="shared" si="30"/>
        <v>0</v>
      </c>
      <c r="BP43" s="4284">
        <f t="shared" si="31"/>
        <v>0</v>
      </c>
      <c r="BQ43" s="4284">
        <f t="shared" si="32"/>
        <v>0</v>
      </c>
      <c r="BR43" s="4284">
        <f t="shared" si="33"/>
        <v>0</v>
      </c>
      <c r="BS43" s="4284">
        <f t="shared" si="34"/>
        <v>0</v>
      </c>
      <c r="BT43" s="4285">
        <f t="shared" si="35"/>
        <v>0</v>
      </c>
    </row>
    <row r="44" spans="1:72">
      <c r="A44" s="4278"/>
      <c r="B44" s="4279"/>
      <c r="C44" s="4279"/>
      <c r="D44" s="4280"/>
      <c r="E44" s="1188">
        <f t="shared" si="7"/>
        <v>0</v>
      </c>
      <c r="F44" s="1680"/>
      <c r="G44" s="4281">
        <f t="shared" si="8"/>
        <v>0</v>
      </c>
      <c r="H44" s="3457">
        <f t="shared" si="9"/>
        <v>0</v>
      </c>
      <c r="I44" s="4282"/>
      <c r="J44" s="4282"/>
      <c r="K44" s="4282"/>
      <c r="L44" s="4282"/>
      <c r="M44" s="4282"/>
      <c r="N44" s="4282"/>
      <c r="O44" s="4282"/>
      <c r="P44" s="4282"/>
      <c r="Q44" s="4282"/>
      <c r="R44" s="4282"/>
      <c r="S44" s="4282"/>
      <c r="T44" s="4282"/>
      <c r="U44" s="4282"/>
      <c r="V44" s="4282"/>
      <c r="W44" s="4282"/>
      <c r="X44" s="4282"/>
      <c r="Y44" s="4282"/>
      <c r="Z44" s="4282"/>
      <c r="AA44" s="4282"/>
      <c r="AB44" s="4282"/>
      <c r="AC44" s="1188">
        <f t="shared" si="10"/>
        <v>0</v>
      </c>
      <c r="AD44" s="4278"/>
      <c r="AE44" s="4278"/>
      <c r="AF44" s="4278"/>
      <c r="AG44" s="4278"/>
      <c r="AH44" s="4278"/>
      <c r="AI44" s="4278"/>
      <c r="AJ44" s="4278"/>
      <c r="AK44" s="4278"/>
      <c r="AL44" s="4278"/>
      <c r="AM44" s="4278"/>
      <c r="AN44" s="4278"/>
      <c r="AO44" s="4278"/>
      <c r="AP44" s="4278"/>
      <c r="AQ44" s="4278"/>
      <c r="AR44" s="4278"/>
      <c r="AS44" s="4278"/>
      <c r="AT44" s="4279"/>
      <c r="AU44" s="4283"/>
      <c r="AV44" s="1188">
        <f t="shared" si="11"/>
        <v>0</v>
      </c>
      <c r="AW44" s="1188">
        <f t="shared" si="12"/>
        <v>0</v>
      </c>
      <c r="AX44" s="1188">
        <f t="shared" si="13"/>
        <v>0</v>
      </c>
      <c r="AY44" s="1452">
        <f t="shared" si="14"/>
        <v>0</v>
      </c>
      <c r="AZ44" s="4284">
        <f t="shared" si="15"/>
        <v>0</v>
      </c>
      <c r="BA44" s="4284">
        <f t="shared" si="16"/>
        <v>0</v>
      </c>
      <c r="BB44" s="4284">
        <f t="shared" si="17"/>
        <v>0</v>
      </c>
      <c r="BC44" s="4284">
        <f t="shared" si="18"/>
        <v>0</v>
      </c>
      <c r="BD44" s="4284">
        <f t="shared" si="19"/>
        <v>0</v>
      </c>
      <c r="BE44" s="4284">
        <f t="shared" si="20"/>
        <v>0</v>
      </c>
      <c r="BF44" s="4284">
        <f t="shared" si="21"/>
        <v>0</v>
      </c>
      <c r="BG44" s="4284">
        <f t="shared" si="22"/>
        <v>0</v>
      </c>
      <c r="BH44" s="4284">
        <f t="shared" si="23"/>
        <v>0</v>
      </c>
      <c r="BI44" s="4284">
        <f t="shared" si="24"/>
        <v>0</v>
      </c>
      <c r="BJ44" s="4284">
        <f t="shared" si="25"/>
        <v>0</v>
      </c>
      <c r="BK44" s="4284">
        <f t="shared" si="26"/>
        <v>0</v>
      </c>
      <c r="BL44" s="4284">
        <f t="shared" si="27"/>
        <v>0</v>
      </c>
      <c r="BM44" s="4284">
        <f t="shared" si="28"/>
        <v>0</v>
      </c>
      <c r="BN44" s="4284">
        <f t="shared" si="29"/>
        <v>0</v>
      </c>
      <c r="BO44" s="4284">
        <f t="shared" si="30"/>
        <v>0</v>
      </c>
      <c r="BP44" s="4284">
        <f t="shared" si="31"/>
        <v>0</v>
      </c>
      <c r="BQ44" s="4284">
        <f t="shared" si="32"/>
        <v>0</v>
      </c>
      <c r="BR44" s="4284">
        <f t="shared" si="33"/>
        <v>0</v>
      </c>
      <c r="BS44" s="4284">
        <f t="shared" si="34"/>
        <v>0</v>
      </c>
      <c r="BT44" s="4285">
        <f t="shared" si="35"/>
        <v>0</v>
      </c>
    </row>
    <row r="45" spans="1:72">
      <c r="A45" s="4278"/>
      <c r="B45" s="4279"/>
      <c r="C45" s="4279"/>
      <c r="D45" s="4280"/>
      <c r="E45" s="1188">
        <f t="shared" si="7"/>
        <v>0</v>
      </c>
      <c r="F45" s="1680"/>
      <c r="G45" s="4281">
        <f t="shared" si="8"/>
        <v>0</v>
      </c>
      <c r="H45" s="3457">
        <f t="shared" si="9"/>
        <v>0</v>
      </c>
      <c r="I45" s="4282"/>
      <c r="J45" s="4282"/>
      <c r="K45" s="4282"/>
      <c r="L45" s="4282"/>
      <c r="M45" s="4282"/>
      <c r="N45" s="4282"/>
      <c r="O45" s="4282"/>
      <c r="P45" s="4282"/>
      <c r="Q45" s="4282"/>
      <c r="R45" s="4282"/>
      <c r="S45" s="4282"/>
      <c r="T45" s="4282"/>
      <c r="U45" s="4282"/>
      <c r="V45" s="4282"/>
      <c r="W45" s="4282"/>
      <c r="X45" s="4282"/>
      <c r="Y45" s="4282"/>
      <c r="Z45" s="4282"/>
      <c r="AA45" s="4282"/>
      <c r="AB45" s="4282"/>
      <c r="AC45" s="1188">
        <f t="shared" si="10"/>
        <v>0</v>
      </c>
      <c r="AD45" s="4278"/>
      <c r="AE45" s="4278"/>
      <c r="AF45" s="4278"/>
      <c r="AG45" s="4278"/>
      <c r="AH45" s="4278"/>
      <c r="AI45" s="4278"/>
      <c r="AJ45" s="4278"/>
      <c r="AK45" s="4278"/>
      <c r="AL45" s="4278"/>
      <c r="AM45" s="4278"/>
      <c r="AN45" s="4278"/>
      <c r="AO45" s="4278"/>
      <c r="AP45" s="4278"/>
      <c r="AQ45" s="4278"/>
      <c r="AR45" s="4278"/>
      <c r="AS45" s="4278"/>
      <c r="AT45" s="4279"/>
      <c r="AU45" s="4283"/>
      <c r="AV45" s="1188">
        <f t="shared" si="11"/>
        <v>0</v>
      </c>
      <c r="AW45" s="1188">
        <f t="shared" si="12"/>
        <v>0</v>
      </c>
      <c r="AX45" s="1188">
        <f t="shared" si="13"/>
        <v>0</v>
      </c>
      <c r="AY45" s="1452">
        <f t="shared" si="14"/>
        <v>0</v>
      </c>
      <c r="AZ45" s="4284">
        <f t="shared" si="15"/>
        <v>0</v>
      </c>
      <c r="BA45" s="4284">
        <f t="shared" si="16"/>
        <v>0</v>
      </c>
      <c r="BB45" s="4284">
        <f t="shared" si="17"/>
        <v>0</v>
      </c>
      <c r="BC45" s="4284">
        <f t="shared" si="18"/>
        <v>0</v>
      </c>
      <c r="BD45" s="4284">
        <f t="shared" si="19"/>
        <v>0</v>
      </c>
      <c r="BE45" s="4284">
        <f t="shared" si="20"/>
        <v>0</v>
      </c>
      <c r="BF45" s="4284">
        <f t="shared" si="21"/>
        <v>0</v>
      </c>
      <c r="BG45" s="4284">
        <f t="shared" si="22"/>
        <v>0</v>
      </c>
      <c r="BH45" s="4284">
        <f t="shared" si="23"/>
        <v>0</v>
      </c>
      <c r="BI45" s="4284">
        <f t="shared" si="24"/>
        <v>0</v>
      </c>
      <c r="BJ45" s="4284">
        <f t="shared" si="25"/>
        <v>0</v>
      </c>
      <c r="BK45" s="4284">
        <f t="shared" si="26"/>
        <v>0</v>
      </c>
      <c r="BL45" s="4284">
        <f t="shared" si="27"/>
        <v>0</v>
      </c>
      <c r="BM45" s="4284">
        <f t="shared" si="28"/>
        <v>0</v>
      </c>
      <c r="BN45" s="4284">
        <f t="shared" si="29"/>
        <v>0</v>
      </c>
      <c r="BO45" s="4284">
        <f t="shared" si="30"/>
        <v>0</v>
      </c>
      <c r="BP45" s="4284">
        <f t="shared" si="31"/>
        <v>0</v>
      </c>
      <c r="BQ45" s="4284">
        <f t="shared" si="32"/>
        <v>0</v>
      </c>
      <c r="BR45" s="4284">
        <f t="shared" si="33"/>
        <v>0</v>
      </c>
      <c r="BS45" s="4284">
        <f t="shared" si="34"/>
        <v>0</v>
      </c>
      <c r="BT45" s="4285">
        <f t="shared" si="35"/>
        <v>0</v>
      </c>
    </row>
    <row r="46" spans="1:72">
      <c r="A46" s="4278"/>
      <c r="B46" s="4279"/>
      <c r="C46" s="4279"/>
      <c r="D46" s="4280"/>
      <c r="E46" s="1188">
        <f t="shared" si="7"/>
        <v>0</v>
      </c>
      <c r="F46" s="1680"/>
      <c r="G46" s="4281">
        <f t="shared" si="8"/>
        <v>0</v>
      </c>
      <c r="H46" s="3457">
        <f t="shared" si="9"/>
        <v>0</v>
      </c>
      <c r="I46" s="4282"/>
      <c r="J46" s="4282"/>
      <c r="K46" s="4282"/>
      <c r="L46" s="4282"/>
      <c r="M46" s="4282"/>
      <c r="N46" s="4282"/>
      <c r="O46" s="4282"/>
      <c r="P46" s="4282"/>
      <c r="Q46" s="4282"/>
      <c r="R46" s="4282"/>
      <c r="S46" s="4282"/>
      <c r="T46" s="4282"/>
      <c r="U46" s="4282"/>
      <c r="V46" s="4282"/>
      <c r="W46" s="4282"/>
      <c r="X46" s="4282"/>
      <c r="Y46" s="4282"/>
      <c r="Z46" s="4282"/>
      <c r="AA46" s="4282"/>
      <c r="AB46" s="4282"/>
      <c r="AC46" s="1188">
        <f t="shared" si="10"/>
        <v>0</v>
      </c>
      <c r="AD46" s="4278"/>
      <c r="AE46" s="4278"/>
      <c r="AF46" s="4278"/>
      <c r="AG46" s="4278"/>
      <c r="AH46" s="4278"/>
      <c r="AI46" s="4278"/>
      <c r="AJ46" s="4278"/>
      <c r="AK46" s="4278"/>
      <c r="AL46" s="4278"/>
      <c r="AM46" s="4278"/>
      <c r="AN46" s="4278"/>
      <c r="AO46" s="4278"/>
      <c r="AP46" s="4278"/>
      <c r="AQ46" s="4278"/>
      <c r="AR46" s="4278"/>
      <c r="AS46" s="4278"/>
      <c r="AT46" s="4279"/>
      <c r="AU46" s="4283"/>
      <c r="AV46" s="1188">
        <f t="shared" si="11"/>
        <v>0</v>
      </c>
      <c r="AW46" s="1188">
        <f t="shared" si="12"/>
        <v>0</v>
      </c>
      <c r="AX46" s="1188">
        <f t="shared" si="13"/>
        <v>0</v>
      </c>
      <c r="AY46" s="1452">
        <f t="shared" si="14"/>
        <v>0</v>
      </c>
      <c r="AZ46" s="4284">
        <f t="shared" si="15"/>
        <v>0</v>
      </c>
      <c r="BA46" s="4284">
        <f t="shared" si="16"/>
        <v>0</v>
      </c>
      <c r="BB46" s="4284">
        <f t="shared" si="17"/>
        <v>0</v>
      </c>
      <c r="BC46" s="4284">
        <f t="shared" si="18"/>
        <v>0</v>
      </c>
      <c r="BD46" s="4284">
        <f t="shared" si="19"/>
        <v>0</v>
      </c>
      <c r="BE46" s="4284">
        <f t="shared" si="20"/>
        <v>0</v>
      </c>
      <c r="BF46" s="4284">
        <f t="shared" si="21"/>
        <v>0</v>
      </c>
      <c r="BG46" s="4284">
        <f t="shared" si="22"/>
        <v>0</v>
      </c>
      <c r="BH46" s="4284">
        <f t="shared" si="23"/>
        <v>0</v>
      </c>
      <c r="BI46" s="4284">
        <f t="shared" si="24"/>
        <v>0</v>
      </c>
      <c r="BJ46" s="4284">
        <f t="shared" si="25"/>
        <v>0</v>
      </c>
      <c r="BK46" s="4284">
        <f t="shared" si="26"/>
        <v>0</v>
      </c>
      <c r="BL46" s="4284">
        <f t="shared" si="27"/>
        <v>0</v>
      </c>
      <c r="BM46" s="4284">
        <f t="shared" si="28"/>
        <v>0</v>
      </c>
      <c r="BN46" s="4284">
        <f t="shared" si="29"/>
        <v>0</v>
      </c>
      <c r="BO46" s="4284">
        <f t="shared" si="30"/>
        <v>0</v>
      </c>
      <c r="BP46" s="4284">
        <f t="shared" si="31"/>
        <v>0</v>
      </c>
      <c r="BQ46" s="4284">
        <f t="shared" si="32"/>
        <v>0</v>
      </c>
      <c r="BR46" s="4284">
        <f t="shared" si="33"/>
        <v>0</v>
      </c>
      <c r="BS46" s="4284">
        <f t="shared" si="34"/>
        <v>0</v>
      </c>
      <c r="BT46" s="4285">
        <f t="shared" si="35"/>
        <v>0</v>
      </c>
    </row>
    <row r="47" spans="1:72">
      <c r="A47" s="4278"/>
      <c r="B47" s="4279"/>
      <c r="C47" s="4279"/>
      <c r="D47" s="4280"/>
      <c r="E47" s="1188">
        <f t="shared" si="7"/>
        <v>0</v>
      </c>
      <c r="F47" s="1680"/>
      <c r="G47" s="4281">
        <f t="shared" si="8"/>
        <v>0</v>
      </c>
      <c r="H47" s="3457">
        <f t="shared" si="9"/>
        <v>0</v>
      </c>
      <c r="I47" s="4282"/>
      <c r="J47" s="4282"/>
      <c r="K47" s="4282"/>
      <c r="L47" s="4282"/>
      <c r="M47" s="4282"/>
      <c r="N47" s="4282"/>
      <c r="O47" s="4282"/>
      <c r="P47" s="4282"/>
      <c r="Q47" s="4282"/>
      <c r="R47" s="4282"/>
      <c r="S47" s="4282"/>
      <c r="T47" s="4282"/>
      <c r="U47" s="4282"/>
      <c r="V47" s="4282"/>
      <c r="W47" s="4282"/>
      <c r="X47" s="4282"/>
      <c r="Y47" s="4282"/>
      <c r="Z47" s="4282"/>
      <c r="AA47" s="4282"/>
      <c r="AB47" s="4282"/>
      <c r="AC47" s="1188">
        <f t="shared" si="10"/>
        <v>0</v>
      </c>
      <c r="AD47" s="4278"/>
      <c r="AE47" s="4278"/>
      <c r="AF47" s="4278"/>
      <c r="AG47" s="4278"/>
      <c r="AH47" s="4278"/>
      <c r="AI47" s="4278"/>
      <c r="AJ47" s="4278"/>
      <c r="AK47" s="4278"/>
      <c r="AL47" s="4278"/>
      <c r="AM47" s="4278"/>
      <c r="AN47" s="4278"/>
      <c r="AO47" s="4278"/>
      <c r="AP47" s="4278"/>
      <c r="AQ47" s="4278"/>
      <c r="AR47" s="4278"/>
      <c r="AS47" s="4278"/>
      <c r="AT47" s="4279"/>
      <c r="AU47" s="4283"/>
      <c r="AV47" s="1188">
        <f t="shared" si="11"/>
        <v>0</v>
      </c>
      <c r="AW47" s="1188">
        <f t="shared" si="12"/>
        <v>0</v>
      </c>
      <c r="AX47" s="1188">
        <f t="shared" si="13"/>
        <v>0</v>
      </c>
      <c r="AY47" s="1452">
        <f t="shared" si="14"/>
        <v>0</v>
      </c>
      <c r="AZ47" s="4284">
        <f t="shared" si="15"/>
        <v>0</v>
      </c>
      <c r="BA47" s="4284">
        <f t="shared" si="16"/>
        <v>0</v>
      </c>
      <c r="BB47" s="4284">
        <f t="shared" si="17"/>
        <v>0</v>
      </c>
      <c r="BC47" s="4284">
        <f t="shared" si="18"/>
        <v>0</v>
      </c>
      <c r="BD47" s="4284">
        <f t="shared" si="19"/>
        <v>0</v>
      </c>
      <c r="BE47" s="4284">
        <f t="shared" si="20"/>
        <v>0</v>
      </c>
      <c r="BF47" s="4284">
        <f t="shared" si="21"/>
        <v>0</v>
      </c>
      <c r="BG47" s="4284">
        <f t="shared" si="22"/>
        <v>0</v>
      </c>
      <c r="BH47" s="4284">
        <f t="shared" si="23"/>
        <v>0</v>
      </c>
      <c r="BI47" s="4284">
        <f t="shared" si="24"/>
        <v>0</v>
      </c>
      <c r="BJ47" s="4284">
        <f t="shared" si="25"/>
        <v>0</v>
      </c>
      <c r="BK47" s="4284">
        <f t="shared" si="26"/>
        <v>0</v>
      </c>
      <c r="BL47" s="4284">
        <f t="shared" si="27"/>
        <v>0</v>
      </c>
      <c r="BM47" s="4284">
        <f t="shared" si="28"/>
        <v>0</v>
      </c>
      <c r="BN47" s="4284">
        <f t="shared" si="29"/>
        <v>0</v>
      </c>
      <c r="BO47" s="4284">
        <f t="shared" si="30"/>
        <v>0</v>
      </c>
      <c r="BP47" s="4284">
        <f t="shared" si="31"/>
        <v>0</v>
      </c>
      <c r="BQ47" s="4284">
        <f t="shared" si="32"/>
        <v>0</v>
      </c>
      <c r="BR47" s="4284">
        <f t="shared" si="33"/>
        <v>0</v>
      </c>
      <c r="BS47" s="4284">
        <f t="shared" si="34"/>
        <v>0</v>
      </c>
      <c r="BT47" s="4285">
        <f t="shared" si="35"/>
        <v>0</v>
      </c>
    </row>
    <row r="48" spans="1:72">
      <c r="A48" s="4278"/>
      <c r="B48" s="4279"/>
      <c r="C48" s="4279"/>
      <c r="D48" s="4280"/>
      <c r="E48" s="1188">
        <f t="shared" si="7"/>
        <v>0</v>
      </c>
      <c r="F48" s="1680"/>
      <c r="G48" s="4281">
        <f t="shared" si="8"/>
        <v>0</v>
      </c>
      <c r="H48" s="3457">
        <f t="shared" si="9"/>
        <v>0</v>
      </c>
      <c r="I48" s="4282"/>
      <c r="J48" s="4282"/>
      <c r="K48" s="4282"/>
      <c r="L48" s="4282"/>
      <c r="M48" s="4282"/>
      <c r="N48" s="4282"/>
      <c r="O48" s="4282"/>
      <c r="P48" s="4282"/>
      <c r="Q48" s="4282"/>
      <c r="R48" s="4282"/>
      <c r="S48" s="4282"/>
      <c r="T48" s="4282"/>
      <c r="U48" s="4282"/>
      <c r="V48" s="4282"/>
      <c r="W48" s="4282"/>
      <c r="X48" s="4282"/>
      <c r="Y48" s="4282"/>
      <c r="Z48" s="4282"/>
      <c r="AA48" s="4282"/>
      <c r="AB48" s="4282"/>
      <c r="AC48" s="1188">
        <f t="shared" si="10"/>
        <v>0</v>
      </c>
      <c r="AD48" s="4278"/>
      <c r="AE48" s="4278"/>
      <c r="AF48" s="4278"/>
      <c r="AG48" s="4278"/>
      <c r="AH48" s="4278"/>
      <c r="AI48" s="4278"/>
      <c r="AJ48" s="4278"/>
      <c r="AK48" s="4278"/>
      <c r="AL48" s="4278"/>
      <c r="AM48" s="4278"/>
      <c r="AN48" s="4278"/>
      <c r="AO48" s="4278"/>
      <c r="AP48" s="4278"/>
      <c r="AQ48" s="4278"/>
      <c r="AR48" s="4278"/>
      <c r="AS48" s="4278"/>
      <c r="AT48" s="4279"/>
      <c r="AU48" s="4283"/>
      <c r="AV48" s="1188">
        <f t="shared" si="11"/>
        <v>0</v>
      </c>
      <c r="AW48" s="1188">
        <f t="shared" si="12"/>
        <v>0</v>
      </c>
      <c r="AX48" s="1188">
        <f t="shared" si="13"/>
        <v>0</v>
      </c>
      <c r="AY48" s="1452">
        <f t="shared" si="14"/>
        <v>0</v>
      </c>
      <c r="AZ48" s="4284">
        <f t="shared" si="15"/>
        <v>0</v>
      </c>
      <c r="BA48" s="4284">
        <f t="shared" si="16"/>
        <v>0</v>
      </c>
      <c r="BB48" s="4284">
        <f t="shared" si="17"/>
        <v>0</v>
      </c>
      <c r="BC48" s="4284">
        <f t="shared" si="18"/>
        <v>0</v>
      </c>
      <c r="BD48" s="4284">
        <f t="shared" si="19"/>
        <v>0</v>
      </c>
      <c r="BE48" s="4284">
        <f t="shared" si="20"/>
        <v>0</v>
      </c>
      <c r="BF48" s="4284">
        <f t="shared" si="21"/>
        <v>0</v>
      </c>
      <c r="BG48" s="4284">
        <f t="shared" si="22"/>
        <v>0</v>
      </c>
      <c r="BH48" s="4284">
        <f t="shared" si="23"/>
        <v>0</v>
      </c>
      <c r="BI48" s="4284">
        <f t="shared" si="24"/>
        <v>0</v>
      </c>
      <c r="BJ48" s="4284">
        <f t="shared" si="25"/>
        <v>0</v>
      </c>
      <c r="BK48" s="4284">
        <f t="shared" si="26"/>
        <v>0</v>
      </c>
      <c r="BL48" s="4284">
        <f t="shared" si="27"/>
        <v>0</v>
      </c>
      <c r="BM48" s="4284">
        <f t="shared" si="28"/>
        <v>0</v>
      </c>
      <c r="BN48" s="4284">
        <f t="shared" si="29"/>
        <v>0</v>
      </c>
      <c r="BO48" s="4284">
        <f t="shared" si="30"/>
        <v>0</v>
      </c>
      <c r="BP48" s="4284">
        <f t="shared" si="31"/>
        <v>0</v>
      </c>
      <c r="BQ48" s="4284">
        <f t="shared" si="32"/>
        <v>0</v>
      </c>
      <c r="BR48" s="4284">
        <f t="shared" si="33"/>
        <v>0</v>
      </c>
      <c r="BS48" s="4284">
        <f t="shared" si="34"/>
        <v>0</v>
      </c>
      <c r="BT48" s="4285">
        <f t="shared" si="35"/>
        <v>0</v>
      </c>
    </row>
    <row r="49" spans="1:72">
      <c r="A49" s="4278"/>
      <c r="B49" s="4279"/>
      <c r="C49" s="4279"/>
      <c r="D49" s="4280"/>
      <c r="E49" s="1188">
        <f t="shared" si="7"/>
        <v>0</v>
      </c>
      <c r="F49" s="1680"/>
      <c r="G49" s="4281">
        <f t="shared" si="8"/>
        <v>0</v>
      </c>
      <c r="H49" s="3457">
        <f t="shared" si="9"/>
        <v>0</v>
      </c>
      <c r="I49" s="4282"/>
      <c r="J49" s="4282"/>
      <c r="K49" s="4282"/>
      <c r="L49" s="4282"/>
      <c r="M49" s="4282"/>
      <c r="N49" s="4282"/>
      <c r="O49" s="4282"/>
      <c r="P49" s="4282"/>
      <c r="Q49" s="4282"/>
      <c r="R49" s="4282"/>
      <c r="S49" s="4282"/>
      <c r="T49" s="4282"/>
      <c r="U49" s="4282"/>
      <c r="V49" s="4282"/>
      <c r="W49" s="4282"/>
      <c r="X49" s="4282"/>
      <c r="Y49" s="4282"/>
      <c r="Z49" s="4282"/>
      <c r="AA49" s="4282"/>
      <c r="AB49" s="4282"/>
      <c r="AC49" s="1188">
        <f t="shared" si="10"/>
        <v>0</v>
      </c>
      <c r="AD49" s="4278"/>
      <c r="AE49" s="4278"/>
      <c r="AF49" s="4278"/>
      <c r="AG49" s="4278"/>
      <c r="AH49" s="4278"/>
      <c r="AI49" s="4278"/>
      <c r="AJ49" s="4278"/>
      <c r="AK49" s="4278"/>
      <c r="AL49" s="4278"/>
      <c r="AM49" s="4278"/>
      <c r="AN49" s="4278"/>
      <c r="AO49" s="4278"/>
      <c r="AP49" s="4278"/>
      <c r="AQ49" s="4278"/>
      <c r="AR49" s="4278"/>
      <c r="AS49" s="4278"/>
      <c r="AT49" s="4279"/>
      <c r="AU49" s="4283"/>
      <c r="AV49" s="1188">
        <f t="shared" si="11"/>
        <v>0</v>
      </c>
      <c r="AW49" s="1188">
        <f t="shared" si="12"/>
        <v>0</v>
      </c>
      <c r="AX49" s="1188">
        <f t="shared" si="13"/>
        <v>0</v>
      </c>
      <c r="AY49" s="1452">
        <f t="shared" si="14"/>
        <v>0</v>
      </c>
      <c r="AZ49" s="4284">
        <f t="shared" si="15"/>
        <v>0</v>
      </c>
      <c r="BA49" s="4284">
        <f t="shared" si="16"/>
        <v>0</v>
      </c>
      <c r="BB49" s="4284">
        <f t="shared" si="17"/>
        <v>0</v>
      </c>
      <c r="BC49" s="4284">
        <f t="shared" si="18"/>
        <v>0</v>
      </c>
      <c r="BD49" s="4284">
        <f t="shared" si="19"/>
        <v>0</v>
      </c>
      <c r="BE49" s="4284">
        <f t="shared" si="20"/>
        <v>0</v>
      </c>
      <c r="BF49" s="4284">
        <f t="shared" si="21"/>
        <v>0</v>
      </c>
      <c r="BG49" s="4284">
        <f t="shared" si="22"/>
        <v>0</v>
      </c>
      <c r="BH49" s="4284">
        <f t="shared" si="23"/>
        <v>0</v>
      </c>
      <c r="BI49" s="4284">
        <f t="shared" si="24"/>
        <v>0</v>
      </c>
      <c r="BJ49" s="4284">
        <f t="shared" si="25"/>
        <v>0</v>
      </c>
      <c r="BK49" s="4284">
        <f t="shared" si="26"/>
        <v>0</v>
      </c>
      <c r="BL49" s="4284">
        <f t="shared" si="27"/>
        <v>0</v>
      </c>
      <c r="BM49" s="4284">
        <f t="shared" si="28"/>
        <v>0</v>
      </c>
      <c r="BN49" s="4284">
        <f t="shared" si="29"/>
        <v>0</v>
      </c>
      <c r="BO49" s="4284">
        <f t="shared" si="30"/>
        <v>0</v>
      </c>
      <c r="BP49" s="4284">
        <f t="shared" si="31"/>
        <v>0</v>
      </c>
      <c r="BQ49" s="4284">
        <f t="shared" si="32"/>
        <v>0</v>
      </c>
      <c r="BR49" s="4284">
        <f t="shared" si="33"/>
        <v>0</v>
      </c>
      <c r="BS49" s="4284">
        <f t="shared" si="34"/>
        <v>0</v>
      </c>
      <c r="BT49" s="4285">
        <f t="shared" si="35"/>
        <v>0</v>
      </c>
    </row>
    <row r="50" spans="1:72">
      <c r="A50" s="4278"/>
      <c r="B50" s="4279"/>
      <c r="C50" s="4279"/>
      <c r="D50" s="4280"/>
      <c r="E50" s="1188">
        <f t="shared" si="7"/>
        <v>0</v>
      </c>
      <c r="F50" s="1680"/>
      <c r="G50" s="4281">
        <f t="shared" si="8"/>
        <v>0</v>
      </c>
      <c r="H50" s="3457">
        <f t="shared" si="9"/>
        <v>0</v>
      </c>
      <c r="I50" s="4282"/>
      <c r="J50" s="4282"/>
      <c r="K50" s="4282"/>
      <c r="L50" s="4282"/>
      <c r="M50" s="4282"/>
      <c r="N50" s="4282"/>
      <c r="O50" s="4282"/>
      <c r="P50" s="4282"/>
      <c r="Q50" s="4282"/>
      <c r="R50" s="4282"/>
      <c r="S50" s="4282"/>
      <c r="T50" s="4282"/>
      <c r="U50" s="4282"/>
      <c r="V50" s="4282"/>
      <c r="W50" s="4282"/>
      <c r="X50" s="4282"/>
      <c r="Y50" s="4282"/>
      <c r="Z50" s="4282"/>
      <c r="AA50" s="4282"/>
      <c r="AB50" s="4282"/>
      <c r="AC50" s="1188">
        <f t="shared" si="10"/>
        <v>0</v>
      </c>
      <c r="AD50" s="4278"/>
      <c r="AE50" s="4278"/>
      <c r="AF50" s="4278"/>
      <c r="AG50" s="4278"/>
      <c r="AH50" s="4278"/>
      <c r="AI50" s="4278"/>
      <c r="AJ50" s="4278"/>
      <c r="AK50" s="4278"/>
      <c r="AL50" s="4278"/>
      <c r="AM50" s="4278"/>
      <c r="AN50" s="4278"/>
      <c r="AO50" s="4278"/>
      <c r="AP50" s="4278"/>
      <c r="AQ50" s="4278"/>
      <c r="AR50" s="4278"/>
      <c r="AS50" s="4278"/>
      <c r="AT50" s="4279"/>
      <c r="AU50" s="4283"/>
      <c r="AV50" s="1188">
        <f t="shared" si="11"/>
        <v>0</v>
      </c>
      <c r="AW50" s="1188">
        <f t="shared" si="12"/>
        <v>0</v>
      </c>
      <c r="AX50" s="1188">
        <f t="shared" si="13"/>
        <v>0</v>
      </c>
      <c r="AY50" s="1452">
        <f t="shared" si="14"/>
        <v>0</v>
      </c>
      <c r="AZ50" s="4284">
        <f t="shared" si="15"/>
        <v>0</v>
      </c>
      <c r="BA50" s="4284">
        <f t="shared" si="16"/>
        <v>0</v>
      </c>
      <c r="BB50" s="4284">
        <f t="shared" si="17"/>
        <v>0</v>
      </c>
      <c r="BC50" s="4284">
        <f t="shared" si="18"/>
        <v>0</v>
      </c>
      <c r="BD50" s="4284">
        <f t="shared" si="19"/>
        <v>0</v>
      </c>
      <c r="BE50" s="4284">
        <f t="shared" si="20"/>
        <v>0</v>
      </c>
      <c r="BF50" s="4284">
        <f t="shared" si="21"/>
        <v>0</v>
      </c>
      <c r="BG50" s="4284">
        <f t="shared" si="22"/>
        <v>0</v>
      </c>
      <c r="BH50" s="4284">
        <f t="shared" si="23"/>
        <v>0</v>
      </c>
      <c r="BI50" s="4284">
        <f t="shared" si="24"/>
        <v>0</v>
      </c>
      <c r="BJ50" s="4284">
        <f t="shared" si="25"/>
        <v>0</v>
      </c>
      <c r="BK50" s="4284">
        <f t="shared" si="26"/>
        <v>0</v>
      </c>
      <c r="BL50" s="4284">
        <f t="shared" si="27"/>
        <v>0</v>
      </c>
      <c r="BM50" s="4284">
        <f t="shared" si="28"/>
        <v>0</v>
      </c>
      <c r="BN50" s="4284">
        <f t="shared" si="29"/>
        <v>0</v>
      </c>
      <c r="BO50" s="4284">
        <f t="shared" si="30"/>
        <v>0</v>
      </c>
      <c r="BP50" s="4284">
        <f t="shared" si="31"/>
        <v>0</v>
      </c>
      <c r="BQ50" s="4284">
        <f t="shared" si="32"/>
        <v>0</v>
      </c>
      <c r="BR50" s="4284">
        <f t="shared" si="33"/>
        <v>0</v>
      </c>
      <c r="BS50" s="4284">
        <f t="shared" si="34"/>
        <v>0</v>
      </c>
      <c r="BT50" s="4285">
        <f t="shared" si="35"/>
        <v>0</v>
      </c>
    </row>
    <row r="51" spans="1:72">
      <c r="A51" s="4278"/>
      <c r="B51" s="4279"/>
      <c r="C51" s="4279"/>
      <c r="D51" s="4280"/>
      <c r="E51" s="1188">
        <f t="shared" si="7"/>
        <v>0</v>
      </c>
      <c r="F51" s="1680"/>
      <c r="G51" s="4281">
        <f t="shared" si="8"/>
        <v>0</v>
      </c>
      <c r="H51" s="3457">
        <f t="shared" si="9"/>
        <v>0</v>
      </c>
      <c r="I51" s="4282"/>
      <c r="J51" s="4282"/>
      <c r="K51" s="4282"/>
      <c r="L51" s="4282"/>
      <c r="M51" s="4282"/>
      <c r="N51" s="4282"/>
      <c r="O51" s="4282"/>
      <c r="P51" s="4282"/>
      <c r="Q51" s="4282"/>
      <c r="R51" s="4282"/>
      <c r="S51" s="4282"/>
      <c r="T51" s="4282"/>
      <c r="U51" s="4282"/>
      <c r="V51" s="4282"/>
      <c r="W51" s="4282"/>
      <c r="X51" s="4282"/>
      <c r="Y51" s="4282"/>
      <c r="Z51" s="4282"/>
      <c r="AA51" s="4282"/>
      <c r="AB51" s="4282"/>
      <c r="AC51" s="1188">
        <f t="shared" si="10"/>
        <v>0</v>
      </c>
      <c r="AD51" s="4278"/>
      <c r="AE51" s="4278"/>
      <c r="AF51" s="4278"/>
      <c r="AG51" s="4278"/>
      <c r="AH51" s="4278"/>
      <c r="AI51" s="4278"/>
      <c r="AJ51" s="4278"/>
      <c r="AK51" s="4278"/>
      <c r="AL51" s="4278"/>
      <c r="AM51" s="4278"/>
      <c r="AN51" s="4278"/>
      <c r="AO51" s="4278"/>
      <c r="AP51" s="4278"/>
      <c r="AQ51" s="4278"/>
      <c r="AR51" s="4278"/>
      <c r="AS51" s="4278"/>
      <c r="AT51" s="4279"/>
      <c r="AU51" s="4283"/>
      <c r="AV51" s="1188">
        <f t="shared" si="11"/>
        <v>0</v>
      </c>
      <c r="AW51" s="1188">
        <f t="shared" si="12"/>
        <v>0</v>
      </c>
      <c r="AX51" s="1188">
        <f t="shared" si="13"/>
        <v>0</v>
      </c>
      <c r="AY51" s="1452">
        <f t="shared" si="14"/>
        <v>0</v>
      </c>
      <c r="AZ51" s="4284">
        <f t="shared" si="15"/>
        <v>0</v>
      </c>
      <c r="BA51" s="4284">
        <f t="shared" si="16"/>
        <v>0</v>
      </c>
      <c r="BB51" s="4284">
        <f t="shared" si="17"/>
        <v>0</v>
      </c>
      <c r="BC51" s="4284">
        <f t="shared" si="18"/>
        <v>0</v>
      </c>
      <c r="BD51" s="4284">
        <f t="shared" si="19"/>
        <v>0</v>
      </c>
      <c r="BE51" s="4284">
        <f t="shared" si="20"/>
        <v>0</v>
      </c>
      <c r="BF51" s="4284">
        <f t="shared" si="21"/>
        <v>0</v>
      </c>
      <c r="BG51" s="4284">
        <f t="shared" si="22"/>
        <v>0</v>
      </c>
      <c r="BH51" s="4284">
        <f t="shared" si="23"/>
        <v>0</v>
      </c>
      <c r="BI51" s="4284">
        <f t="shared" si="24"/>
        <v>0</v>
      </c>
      <c r="BJ51" s="4284">
        <f t="shared" si="25"/>
        <v>0</v>
      </c>
      <c r="BK51" s="4284">
        <f t="shared" si="26"/>
        <v>0</v>
      </c>
      <c r="BL51" s="4284">
        <f t="shared" si="27"/>
        <v>0</v>
      </c>
      <c r="BM51" s="4284">
        <f t="shared" si="28"/>
        <v>0</v>
      </c>
      <c r="BN51" s="4284">
        <f t="shared" si="29"/>
        <v>0</v>
      </c>
      <c r="BO51" s="4284">
        <f t="shared" si="30"/>
        <v>0</v>
      </c>
      <c r="BP51" s="4284">
        <f t="shared" si="31"/>
        <v>0</v>
      </c>
      <c r="BQ51" s="4284">
        <f t="shared" si="32"/>
        <v>0</v>
      </c>
      <c r="BR51" s="4284">
        <f t="shared" si="33"/>
        <v>0</v>
      </c>
      <c r="BS51" s="4284">
        <f t="shared" si="34"/>
        <v>0</v>
      </c>
      <c r="BT51" s="4285">
        <f t="shared" si="35"/>
        <v>0</v>
      </c>
    </row>
    <row r="52" spans="1:72">
      <c r="A52" s="4278"/>
      <c r="B52" s="4279"/>
      <c r="C52" s="4279"/>
      <c r="D52" s="4280"/>
      <c r="E52" s="1188">
        <f t="shared" si="7"/>
        <v>0</v>
      </c>
      <c r="F52" s="1680"/>
      <c r="G52" s="4281">
        <f t="shared" si="8"/>
        <v>0</v>
      </c>
      <c r="H52" s="3457">
        <f t="shared" si="9"/>
        <v>0</v>
      </c>
      <c r="I52" s="4282"/>
      <c r="J52" s="4282"/>
      <c r="K52" s="4282"/>
      <c r="L52" s="4282"/>
      <c r="M52" s="4282"/>
      <c r="N52" s="4282"/>
      <c r="O52" s="4282"/>
      <c r="P52" s="4282"/>
      <c r="Q52" s="4282"/>
      <c r="R52" s="4282"/>
      <c r="S52" s="4282"/>
      <c r="T52" s="4282"/>
      <c r="U52" s="4282"/>
      <c r="V52" s="4282"/>
      <c r="W52" s="4282"/>
      <c r="X52" s="4282"/>
      <c r="Y52" s="4282"/>
      <c r="Z52" s="4282"/>
      <c r="AA52" s="4282"/>
      <c r="AB52" s="4282"/>
      <c r="AC52" s="1188">
        <f t="shared" si="10"/>
        <v>0</v>
      </c>
      <c r="AD52" s="4278"/>
      <c r="AE52" s="4278"/>
      <c r="AF52" s="4278"/>
      <c r="AG52" s="4278"/>
      <c r="AH52" s="4278"/>
      <c r="AI52" s="4278"/>
      <c r="AJ52" s="4278"/>
      <c r="AK52" s="4278"/>
      <c r="AL52" s="4278"/>
      <c r="AM52" s="4278"/>
      <c r="AN52" s="4278"/>
      <c r="AO52" s="4278"/>
      <c r="AP52" s="4278"/>
      <c r="AQ52" s="4278"/>
      <c r="AR52" s="4278"/>
      <c r="AS52" s="4278"/>
      <c r="AT52" s="4279"/>
      <c r="AU52" s="4283"/>
      <c r="AV52" s="1188">
        <f t="shared" si="11"/>
        <v>0</v>
      </c>
      <c r="AW52" s="1188">
        <f t="shared" si="12"/>
        <v>0</v>
      </c>
      <c r="AX52" s="1188">
        <f t="shared" si="13"/>
        <v>0</v>
      </c>
      <c r="AY52" s="1452">
        <f t="shared" si="14"/>
        <v>0</v>
      </c>
      <c r="AZ52" s="4284">
        <f t="shared" si="15"/>
        <v>0</v>
      </c>
      <c r="BA52" s="4284">
        <f t="shared" si="16"/>
        <v>0</v>
      </c>
      <c r="BB52" s="4284">
        <f t="shared" si="17"/>
        <v>0</v>
      </c>
      <c r="BC52" s="4284">
        <f t="shared" si="18"/>
        <v>0</v>
      </c>
      <c r="BD52" s="4284">
        <f t="shared" si="19"/>
        <v>0</v>
      </c>
      <c r="BE52" s="4284">
        <f t="shared" si="20"/>
        <v>0</v>
      </c>
      <c r="BF52" s="4284">
        <f t="shared" si="21"/>
        <v>0</v>
      </c>
      <c r="BG52" s="4284">
        <f t="shared" si="22"/>
        <v>0</v>
      </c>
      <c r="BH52" s="4284">
        <f t="shared" si="23"/>
        <v>0</v>
      </c>
      <c r="BI52" s="4284">
        <f t="shared" si="24"/>
        <v>0</v>
      </c>
      <c r="BJ52" s="4284">
        <f t="shared" si="25"/>
        <v>0</v>
      </c>
      <c r="BK52" s="4284">
        <f t="shared" si="26"/>
        <v>0</v>
      </c>
      <c r="BL52" s="4284">
        <f t="shared" si="27"/>
        <v>0</v>
      </c>
      <c r="BM52" s="4284">
        <f t="shared" si="28"/>
        <v>0</v>
      </c>
      <c r="BN52" s="4284">
        <f t="shared" si="29"/>
        <v>0</v>
      </c>
      <c r="BO52" s="4284">
        <f t="shared" si="30"/>
        <v>0</v>
      </c>
      <c r="BP52" s="4284">
        <f t="shared" si="31"/>
        <v>0</v>
      </c>
      <c r="BQ52" s="4284">
        <f t="shared" si="32"/>
        <v>0</v>
      </c>
      <c r="BR52" s="4284">
        <f t="shared" si="33"/>
        <v>0</v>
      </c>
      <c r="BS52" s="4284">
        <f t="shared" si="34"/>
        <v>0</v>
      </c>
      <c r="BT52" s="4285">
        <f t="shared" si="35"/>
        <v>0</v>
      </c>
    </row>
    <row r="53" spans="1:72">
      <c r="A53" s="4278"/>
      <c r="B53" s="4279"/>
      <c r="C53" s="4279"/>
      <c r="D53" s="4280"/>
      <c r="E53" s="1188">
        <f t="shared" si="7"/>
        <v>0</v>
      </c>
      <c r="F53" s="1680"/>
      <c r="G53" s="4281">
        <f t="shared" si="8"/>
        <v>0</v>
      </c>
      <c r="H53" s="3457">
        <f t="shared" si="9"/>
        <v>0</v>
      </c>
      <c r="I53" s="4282"/>
      <c r="J53" s="4282"/>
      <c r="K53" s="4282"/>
      <c r="L53" s="4282"/>
      <c r="M53" s="4282"/>
      <c r="N53" s="4282"/>
      <c r="O53" s="4282"/>
      <c r="P53" s="4282"/>
      <c r="Q53" s="4282"/>
      <c r="R53" s="4282"/>
      <c r="S53" s="4282"/>
      <c r="T53" s="4282"/>
      <c r="U53" s="4282"/>
      <c r="V53" s="4282"/>
      <c r="W53" s="4282"/>
      <c r="X53" s="4282"/>
      <c r="Y53" s="4282"/>
      <c r="Z53" s="4282"/>
      <c r="AA53" s="4282"/>
      <c r="AB53" s="4282"/>
      <c r="AC53" s="1188">
        <f t="shared" si="10"/>
        <v>0</v>
      </c>
      <c r="AD53" s="4278"/>
      <c r="AE53" s="4278"/>
      <c r="AF53" s="4278"/>
      <c r="AG53" s="4278"/>
      <c r="AH53" s="4278"/>
      <c r="AI53" s="4278"/>
      <c r="AJ53" s="4278"/>
      <c r="AK53" s="4278"/>
      <c r="AL53" s="4278"/>
      <c r="AM53" s="4278"/>
      <c r="AN53" s="4278"/>
      <c r="AO53" s="4278"/>
      <c r="AP53" s="4278"/>
      <c r="AQ53" s="4278"/>
      <c r="AR53" s="4278"/>
      <c r="AS53" s="4278"/>
      <c r="AT53" s="4279"/>
      <c r="AU53" s="4283"/>
      <c r="AV53" s="1188">
        <f t="shared" si="11"/>
        <v>0</v>
      </c>
      <c r="AW53" s="1188">
        <f t="shared" si="12"/>
        <v>0</v>
      </c>
      <c r="AX53" s="1188">
        <f t="shared" si="13"/>
        <v>0</v>
      </c>
      <c r="AY53" s="1452">
        <f t="shared" si="14"/>
        <v>0</v>
      </c>
      <c r="AZ53" s="4284">
        <f t="shared" si="15"/>
        <v>0</v>
      </c>
      <c r="BA53" s="4284">
        <f t="shared" si="16"/>
        <v>0</v>
      </c>
      <c r="BB53" s="4284">
        <f t="shared" si="17"/>
        <v>0</v>
      </c>
      <c r="BC53" s="4284">
        <f t="shared" si="18"/>
        <v>0</v>
      </c>
      <c r="BD53" s="4284">
        <f t="shared" si="19"/>
        <v>0</v>
      </c>
      <c r="BE53" s="4284">
        <f t="shared" si="20"/>
        <v>0</v>
      </c>
      <c r="BF53" s="4284">
        <f t="shared" si="21"/>
        <v>0</v>
      </c>
      <c r="BG53" s="4284">
        <f t="shared" si="22"/>
        <v>0</v>
      </c>
      <c r="BH53" s="4284">
        <f t="shared" si="23"/>
        <v>0</v>
      </c>
      <c r="BI53" s="4284">
        <f t="shared" si="24"/>
        <v>0</v>
      </c>
      <c r="BJ53" s="4284">
        <f t="shared" si="25"/>
        <v>0</v>
      </c>
      <c r="BK53" s="4284">
        <f t="shared" si="26"/>
        <v>0</v>
      </c>
      <c r="BL53" s="4284">
        <f t="shared" si="27"/>
        <v>0</v>
      </c>
      <c r="BM53" s="4284">
        <f t="shared" si="28"/>
        <v>0</v>
      </c>
      <c r="BN53" s="4284">
        <f t="shared" si="29"/>
        <v>0</v>
      </c>
      <c r="BO53" s="4284">
        <f t="shared" si="30"/>
        <v>0</v>
      </c>
      <c r="BP53" s="4284">
        <f t="shared" si="31"/>
        <v>0</v>
      </c>
      <c r="BQ53" s="4284">
        <f t="shared" si="32"/>
        <v>0</v>
      </c>
      <c r="BR53" s="4284">
        <f t="shared" si="33"/>
        <v>0</v>
      </c>
      <c r="BS53" s="4284">
        <f t="shared" si="34"/>
        <v>0</v>
      </c>
      <c r="BT53" s="4285">
        <f t="shared" si="35"/>
        <v>0</v>
      </c>
    </row>
    <row r="54" spans="1:72">
      <c r="A54" s="4278"/>
      <c r="B54" s="4279"/>
      <c r="C54" s="4279"/>
      <c r="D54" s="4280"/>
      <c r="E54" s="1188">
        <f t="shared" si="7"/>
        <v>0</v>
      </c>
      <c r="F54" s="1680"/>
      <c r="G54" s="4281">
        <f t="shared" si="8"/>
        <v>0</v>
      </c>
      <c r="H54" s="3457">
        <f t="shared" si="9"/>
        <v>0</v>
      </c>
      <c r="I54" s="4282"/>
      <c r="J54" s="4282"/>
      <c r="K54" s="4282"/>
      <c r="L54" s="4282"/>
      <c r="M54" s="4282"/>
      <c r="N54" s="4282"/>
      <c r="O54" s="4282"/>
      <c r="P54" s="4282"/>
      <c r="Q54" s="4282"/>
      <c r="R54" s="4282"/>
      <c r="S54" s="4282"/>
      <c r="T54" s="4282"/>
      <c r="U54" s="4282"/>
      <c r="V54" s="4282"/>
      <c r="W54" s="4282"/>
      <c r="X54" s="4282"/>
      <c r="Y54" s="4282"/>
      <c r="Z54" s="4282"/>
      <c r="AA54" s="4282"/>
      <c r="AB54" s="4282"/>
      <c r="AC54" s="1188">
        <f t="shared" si="10"/>
        <v>0</v>
      </c>
      <c r="AD54" s="4278"/>
      <c r="AE54" s="4278"/>
      <c r="AF54" s="4278"/>
      <c r="AG54" s="4278"/>
      <c r="AH54" s="4278"/>
      <c r="AI54" s="4278"/>
      <c r="AJ54" s="4278"/>
      <c r="AK54" s="4278"/>
      <c r="AL54" s="4278"/>
      <c r="AM54" s="4278"/>
      <c r="AN54" s="4278"/>
      <c r="AO54" s="4278"/>
      <c r="AP54" s="4278"/>
      <c r="AQ54" s="4278"/>
      <c r="AR54" s="4278"/>
      <c r="AS54" s="4278"/>
      <c r="AT54" s="4279"/>
      <c r="AU54" s="4283"/>
      <c r="AV54" s="1188">
        <f t="shared" si="11"/>
        <v>0</v>
      </c>
      <c r="AW54" s="1188">
        <f t="shared" si="12"/>
        <v>0</v>
      </c>
      <c r="AX54" s="1188">
        <f t="shared" si="13"/>
        <v>0</v>
      </c>
      <c r="AY54" s="1452">
        <f t="shared" si="14"/>
        <v>0</v>
      </c>
      <c r="AZ54" s="4284">
        <f t="shared" si="15"/>
        <v>0</v>
      </c>
      <c r="BA54" s="4284">
        <f t="shared" si="16"/>
        <v>0</v>
      </c>
      <c r="BB54" s="4284">
        <f t="shared" si="17"/>
        <v>0</v>
      </c>
      <c r="BC54" s="4284">
        <f t="shared" si="18"/>
        <v>0</v>
      </c>
      <c r="BD54" s="4284">
        <f t="shared" si="19"/>
        <v>0</v>
      </c>
      <c r="BE54" s="4284">
        <f t="shared" si="20"/>
        <v>0</v>
      </c>
      <c r="BF54" s="4284">
        <f t="shared" si="21"/>
        <v>0</v>
      </c>
      <c r="BG54" s="4284">
        <f t="shared" si="22"/>
        <v>0</v>
      </c>
      <c r="BH54" s="4284">
        <f t="shared" si="23"/>
        <v>0</v>
      </c>
      <c r="BI54" s="4284">
        <f t="shared" si="24"/>
        <v>0</v>
      </c>
      <c r="BJ54" s="4284">
        <f t="shared" si="25"/>
        <v>0</v>
      </c>
      <c r="BK54" s="4284">
        <f t="shared" si="26"/>
        <v>0</v>
      </c>
      <c r="BL54" s="4284">
        <f t="shared" si="27"/>
        <v>0</v>
      </c>
      <c r="BM54" s="4284">
        <f t="shared" si="28"/>
        <v>0</v>
      </c>
      <c r="BN54" s="4284">
        <f t="shared" si="29"/>
        <v>0</v>
      </c>
      <c r="BO54" s="4284">
        <f t="shared" si="30"/>
        <v>0</v>
      </c>
      <c r="BP54" s="4284">
        <f t="shared" si="31"/>
        <v>0</v>
      </c>
      <c r="BQ54" s="4284">
        <f t="shared" si="32"/>
        <v>0</v>
      </c>
      <c r="BR54" s="4284">
        <f t="shared" si="33"/>
        <v>0</v>
      </c>
      <c r="BS54" s="4284">
        <f t="shared" si="34"/>
        <v>0</v>
      </c>
      <c r="BT54" s="4285">
        <f t="shared" si="35"/>
        <v>0</v>
      </c>
    </row>
    <row r="55" spans="1:72">
      <c r="A55" s="4278"/>
      <c r="B55" s="4279"/>
      <c r="C55" s="4279"/>
      <c r="D55" s="4280"/>
      <c r="E55" s="1188">
        <f t="shared" si="7"/>
        <v>0</v>
      </c>
      <c r="F55" s="1680"/>
      <c r="G55" s="4281">
        <f t="shared" si="8"/>
        <v>0</v>
      </c>
      <c r="H55" s="3457">
        <f t="shared" si="9"/>
        <v>0</v>
      </c>
      <c r="I55" s="4282"/>
      <c r="J55" s="4282"/>
      <c r="K55" s="4282"/>
      <c r="L55" s="4282"/>
      <c r="M55" s="4282"/>
      <c r="N55" s="4282"/>
      <c r="O55" s="4282"/>
      <c r="P55" s="4282"/>
      <c r="Q55" s="4282"/>
      <c r="R55" s="4282"/>
      <c r="S55" s="4282"/>
      <c r="T55" s="4282"/>
      <c r="U55" s="4282"/>
      <c r="V55" s="4282"/>
      <c r="W55" s="4282"/>
      <c r="X55" s="4282"/>
      <c r="Y55" s="4282"/>
      <c r="Z55" s="4282"/>
      <c r="AA55" s="4282"/>
      <c r="AB55" s="4282"/>
      <c r="AC55" s="1188">
        <f t="shared" si="10"/>
        <v>0</v>
      </c>
      <c r="AD55" s="4278"/>
      <c r="AE55" s="4278"/>
      <c r="AF55" s="4278"/>
      <c r="AG55" s="4278"/>
      <c r="AH55" s="4278"/>
      <c r="AI55" s="4278"/>
      <c r="AJ55" s="4278"/>
      <c r="AK55" s="4278"/>
      <c r="AL55" s="4278"/>
      <c r="AM55" s="4278"/>
      <c r="AN55" s="4278"/>
      <c r="AO55" s="4278"/>
      <c r="AP55" s="4278"/>
      <c r="AQ55" s="4278"/>
      <c r="AR55" s="4278"/>
      <c r="AS55" s="4278"/>
      <c r="AT55" s="4279"/>
      <c r="AU55" s="4283"/>
      <c r="AV55" s="1188">
        <f t="shared" si="11"/>
        <v>0</v>
      </c>
      <c r="AW55" s="1188">
        <f t="shared" si="12"/>
        <v>0</v>
      </c>
      <c r="AX55" s="1188">
        <f t="shared" si="13"/>
        <v>0</v>
      </c>
      <c r="AY55" s="1452">
        <f t="shared" si="14"/>
        <v>0</v>
      </c>
      <c r="AZ55" s="4284">
        <f t="shared" si="15"/>
        <v>0</v>
      </c>
      <c r="BA55" s="4284">
        <f t="shared" si="16"/>
        <v>0</v>
      </c>
      <c r="BB55" s="4284">
        <f t="shared" si="17"/>
        <v>0</v>
      </c>
      <c r="BC55" s="4284">
        <f t="shared" si="18"/>
        <v>0</v>
      </c>
      <c r="BD55" s="4284">
        <f t="shared" si="19"/>
        <v>0</v>
      </c>
      <c r="BE55" s="4284">
        <f t="shared" si="20"/>
        <v>0</v>
      </c>
      <c r="BF55" s="4284">
        <f t="shared" si="21"/>
        <v>0</v>
      </c>
      <c r="BG55" s="4284">
        <f t="shared" si="22"/>
        <v>0</v>
      </c>
      <c r="BH55" s="4284">
        <f t="shared" si="23"/>
        <v>0</v>
      </c>
      <c r="BI55" s="4284">
        <f t="shared" si="24"/>
        <v>0</v>
      </c>
      <c r="BJ55" s="4284">
        <f t="shared" si="25"/>
        <v>0</v>
      </c>
      <c r="BK55" s="4284">
        <f t="shared" si="26"/>
        <v>0</v>
      </c>
      <c r="BL55" s="4284">
        <f t="shared" si="27"/>
        <v>0</v>
      </c>
      <c r="BM55" s="4284">
        <f t="shared" si="28"/>
        <v>0</v>
      </c>
      <c r="BN55" s="4284">
        <f t="shared" si="29"/>
        <v>0</v>
      </c>
      <c r="BO55" s="4284">
        <f t="shared" si="30"/>
        <v>0</v>
      </c>
      <c r="BP55" s="4284">
        <f t="shared" si="31"/>
        <v>0</v>
      </c>
      <c r="BQ55" s="4284">
        <f t="shared" si="32"/>
        <v>0</v>
      </c>
      <c r="BR55" s="4284">
        <f t="shared" si="33"/>
        <v>0</v>
      </c>
      <c r="BS55" s="4284">
        <f t="shared" si="34"/>
        <v>0</v>
      </c>
      <c r="BT55" s="4285">
        <f t="shared" si="35"/>
        <v>0</v>
      </c>
    </row>
    <row r="56" spans="1:72">
      <c r="A56" s="4278"/>
      <c r="B56" s="4279"/>
      <c r="C56" s="4279"/>
      <c r="D56" s="4280"/>
      <c r="E56" s="1188">
        <f t="shared" si="7"/>
        <v>0</v>
      </c>
      <c r="F56" s="1680"/>
      <c r="G56" s="4281">
        <f t="shared" si="8"/>
        <v>0</v>
      </c>
      <c r="H56" s="3457">
        <f t="shared" si="9"/>
        <v>0</v>
      </c>
      <c r="I56" s="4282"/>
      <c r="J56" s="4282"/>
      <c r="K56" s="4282"/>
      <c r="L56" s="4282"/>
      <c r="M56" s="4282"/>
      <c r="N56" s="4282"/>
      <c r="O56" s="4282"/>
      <c r="P56" s="4282"/>
      <c r="Q56" s="4282"/>
      <c r="R56" s="4282"/>
      <c r="S56" s="4282"/>
      <c r="T56" s="4282"/>
      <c r="U56" s="4282"/>
      <c r="V56" s="4282"/>
      <c r="W56" s="4282"/>
      <c r="X56" s="4282"/>
      <c r="Y56" s="4282"/>
      <c r="Z56" s="4282"/>
      <c r="AA56" s="4282"/>
      <c r="AB56" s="4282"/>
      <c r="AC56" s="1188">
        <f t="shared" si="10"/>
        <v>0</v>
      </c>
      <c r="AD56" s="4278"/>
      <c r="AE56" s="4278"/>
      <c r="AF56" s="4278"/>
      <c r="AG56" s="4278"/>
      <c r="AH56" s="4278"/>
      <c r="AI56" s="4278"/>
      <c r="AJ56" s="4278"/>
      <c r="AK56" s="4278"/>
      <c r="AL56" s="4278"/>
      <c r="AM56" s="4278"/>
      <c r="AN56" s="4278"/>
      <c r="AO56" s="4278"/>
      <c r="AP56" s="4278"/>
      <c r="AQ56" s="4278"/>
      <c r="AR56" s="4278"/>
      <c r="AS56" s="4278"/>
      <c r="AT56" s="4279"/>
      <c r="AU56" s="4283"/>
      <c r="AV56" s="1188">
        <f t="shared" si="11"/>
        <v>0</v>
      </c>
      <c r="AW56" s="1188">
        <f t="shared" si="12"/>
        <v>0</v>
      </c>
      <c r="AX56" s="1188">
        <f t="shared" si="13"/>
        <v>0</v>
      </c>
      <c r="AY56" s="1452">
        <f t="shared" si="14"/>
        <v>0</v>
      </c>
      <c r="AZ56" s="4284">
        <f t="shared" si="15"/>
        <v>0</v>
      </c>
      <c r="BA56" s="4284">
        <f t="shared" si="16"/>
        <v>0</v>
      </c>
      <c r="BB56" s="4284">
        <f t="shared" si="17"/>
        <v>0</v>
      </c>
      <c r="BC56" s="4284">
        <f t="shared" si="18"/>
        <v>0</v>
      </c>
      <c r="BD56" s="4284">
        <f t="shared" si="19"/>
        <v>0</v>
      </c>
      <c r="BE56" s="4284">
        <f t="shared" si="20"/>
        <v>0</v>
      </c>
      <c r="BF56" s="4284">
        <f t="shared" si="21"/>
        <v>0</v>
      </c>
      <c r="BG56" s="4284">
        <f t="shared" si="22"/>
        <v>0</v>
      </c>
      <c r="BH56" s="4284">
        <f t="shared" si="23"/>
        <v>0</v>
      </c>
      <c r="BI56" s="4284">
        <f t="shared" si="24"/>
        <v>0</v>
      </c>
      <c r="BJ56" s="4284">
        <f t="shared" si="25"/>
        <v>0</v>
      </c>
      <c r="BK56" s="4284">
        <f t="shared" si="26"/>
        <v>0</v>
      </c>
      <c r="BL56" s="4284">
        <f t="shared" si="27"/>
        <v>0</v>
      </c>
      <c r="BM56" s="4284">
        <f t="shared" si="28"/>
        <v>0</v>
      </c>
      <c r="BN56" s="4284">
        <f t="shared" si="29"/>
        <v>0</v>
      </c>
      <c r="BO56" s="4284">
        <f t="shared" si="30"/>
        <v>0</v>
      </c>
      <c r="BP56" s="4284">
        <f t="shared" si="31"/>
        <v>0</v>
      </c>
      <c r="BQ56" s="4284">
        <f t="shared" si="32"/>
        <v>0</v>
      </c>
      <c r="BR56" s="4284">
        <f t="shared" si="33"/>
        <v>0</v>
      </c>
      <c r="BS56" s="4284">
        <f t="shared" si="34"/>
        <v>0</v>
      </c>
      <c r="BT56" s="4285">
        <f t="shared" si="35"/>
        <v>0</v>
      </c>
    </row>
    <row r="57" spans="1:72">
      <c r="A57" s="4278"/>
      <c r="B57" s="4279"/>
      <c r="C57" s="4279"/>
      <c r="D57" s="4280"/>
      <c r="E57" s="1188">
        <f t="shared" si="7"/>
        <v>0</v>
      </c>
      <c r="F57" s="1680"/>
      <c r="G57" s="4281">
        <f t="shared" si="8"/>
        <v>0</v>
      </c>
      <c r="H57" s="3457">
        <f t="shared" si="9"/>
        <v>0</v>
      </c>
      <c r="I57" s="4282"/>
      <c r="J57" s="4282"/>
      <c r="K57" s="4282"/>
      <c r="L57" s="4282"/>
      <c r="M57" s="4282"/>
      <c r="N57" s="4282"/>
      <c r="O57" s="4282"/>
      <c r="P57" s="4282"/>
      <c r="Q57" s="4282"/>
      <c r="R57" s="4282"/>
      <c r="S57" s="4282"/>
      <c r="T57" s="4282"/>
      <c r="U57" s="4282"/>
      <c r="V57" s="4282"/>
      <c r="W57" s="4282"/>
      <c r="X57" s="4282"/>
      <c r="Y57" s="4282"/>
      <c r="Z57" s="4282"/>
      <c r="AA57" s="4282"/>
      <c r="AB57" s="4282"/>
      <c r="AC57" s="1188">
        <f t="shared" si="10"/>
        <v>0</v>
      </c>
      <c r="AD57" s="4278"/>
      <c r="AE57" s="4278"/>
      <c r="AF57" s="4278"/>
      <c r="AG57" s="4278"/>
      <c r="AH57" s="4278"/>
      <c r="AI57" s="4278"/>
      <c r="AJ57" s="4278"/>
      <c r="AK57" s="4278"/>
      <c r="AL57" s="4278"/>
      <c r="AM57" s="4278"/>
      <c r="AN57" s="4278"/>
      <c r="AO57" s="4278"/>
      <c r="AP57" s="4278"/>
      <c r="AQ57" s="4278"/>
      <c r="AR57" s="4278"/>
      <c r="AS57" s="4278"/>
      <c r="AT57" s="4279"/>
      <c r="AU57" s="4283"/>
      <c r="AV57" s="1188">
        <f t="shared" si="11"/>
        <v>0</v>
      </c>
      <c r="AW57" s="1188">
        <f t="shared" si="12"/>
        <v>0</v>
      </c>
      <c r="AX57" s="1188">
        <f t="shared" si="13"/>
        <v>0</v>
      </c>
      <c r="AY57" s="1452">
        <f t="shared" si="14"/>
        <v>0</v>
      </c>
      <c r="AZ57" s="4284">
        <f t="shared" si="15"/>
        <v>0</v>
      </c>
      <c r="BA57" s="4284">
        <f t="shared" si="16"/>
        <v>0</v>
      </c>
      <c r="BB57" s="4284">
        <f t="shared" si="17"/>
        <v>0</v>
      </c>
      <c r="BC57" s="4284">
        <f t="shared" si="18"/>
        <v>0</v>
      </c>
      <c r="BD57" s="4284">
        <f t="shared" si="19"/>
        <v>0</v>
      </c>
      <c r="BE57" s="4284">
        <f t="shared" si="20"/>
        <v>0</v>
      </c>
      <c r="BF57" s="4284">
        <f t="shared" si="21"/>
        <v>0</v>
      </c>
      <c r="BG57" s="4284">
        <f t="shared" si="22"/>
        <v>0</v>
      </c>
      <c r="BH57" s="4284">
        <f t="shared" si="23"/>
        <v>0</v>
      </c>
      <c r="BI57" s="4284">
        <f t="shared" si="24"/>
        <v>0</v>
      </c>
      <c r="BJ57" s="4284">
        <f t="shared" si="25"/>
        <v>0</v>
      </c>
      <c r="BK57" s="4284">
        <f t="shared" si="26"/>
        <v>0</v>
      </c>
      <c r="BL57" s="4284">
        <f t="shared" si="27"/>
        <v>0</v>
      </c>
      <c r="BM57" s="4284">
        <f t="shared" si="28"/>
        <v>0</v>
      </c>
      <c r="BN57" s="4284">
        <f t="shared" si="29"/>
        <v>0</v>
      </c>
      <c r="BO57" s="4284">
        <f t="shared" si="30"/>
        <v>0</v>
      </c>
      <c r="BP57" s="4284">
        <f t="shared" si="31"/>
        <v>0</v>
      </c>
      <c r="BQ57" s="4284">
        <f t="shared" si="32"/>
        <v>0</v>
      </c>
      <c r="BR57" s="4284">
        <f t="shared" si="33"/>
        <v>0</v>
      </c>
      <c r="BS57" s="4284">
        <f t="shared" si="34"/>
        <v>0</v>
      </c>
      <c r="BT57" s="4285">
        <f t="shared" si="35"/>
        <v>0</v>
      </c>
    </row>
    <row r="58" spans="1:72">
      <c r="A58" s="4278"/>
      <c r="B58" s="4279"/>
      <c r="C58" s="4279"/>
      <c r="D58" s="4280"/>
      <c r="E58" s="1188">
        <f t="shared" si="7"/>
        <v>0</v>
      </c>
      <c r="F58" s="1680"/>
      <c r="G58" s="4281">
        <f t="shared" si="8"/>
        <v>0</v>
      </c>
      <c r="H58" s="3457">
        <f t="shared" si="9"/>
        <v>0</v>
      </c>
      <c r="I58" s="4282"/>
      <c r="J58" s="4282"/>
      <c r="K58" s="4282"/>
      <c r="L58" s="4282"/>
      <c r="M58" s="4282"/>
      <c r="N58" s="4282"/>
      <c r="O58" s="4282"/>
      <c r="P58" s="4282"/>
      <c r="Q58" s="4282"/>
      <c r="R58" s="4282"/>
      <c r="S58" s="4282"/>
      <c r="T58" s="4282"/>
      <c r="U58" s="4282"/>
      <c r="V58" s="4282"/>
      <c r="W58" s="4282"/>
      <c r="X58" s="4282"/>
      <c r="Y58" s="4282"/>
      <c r="Z58" s="4282"/>
      <c r="AA58" s="4282"/>
      <c r="AB58" s="4282"/>
      <c r="AC58" s="1188">
        <f t="shared" si="10"/>
        <v>0</v>
      </c>
      <c r="AD58" s="4278"/>
      <c r="AE58" s="4278"/>
      <c r="AF58" s="4278"/>
      <c r="AG58" s="4278"/>
      <c r="AH58" s="4278"/>
      <c r="AI58" s="4278"/>
      <c r="AJ58" s="4278"/>
      <c r="AK58" s="4278"/>
      <c r="AL58" s="4278"/>
      <c r="AM58" s="4278"/>
      <c r="AN58" s="4278"/>
      <c r="AO58" s="4278"/>
      <c r="AP58" s="4278"/>
      <c r="AQ58" s="4278"/>
      <c r="AR58" s="4278"/>
      <c r="AS58" s="4278"/>
      <c r="AT58" s="4279"/>
      <c r="AU58" s="4283"/>
      <c r="AV58" s="1188">
        <f t="shared" si="11"/>
        <v>0</v>
      </c>
      <c r="AW58" s="1188">
        <f t="shared" si="12"/>
        <v>0</v>
      </c>
      <c r="AX58" s="1188">
        <f t="shared" si="13"/>
        <v>0</v>
      </c>
      <c r="AY58" s="1452">
        <f t="shared" si="14"/>
        <v>0</v>
      </c>
      <c r="AZ58" s="4284">
        <f t="shared" si="15"/>
        <v>0</v>
      </c>
      <c r="BA58" s="4284">
        <f t="shared" si="16"/>
        <v>0</v>
      </c>
      <c r="BB58" s="4284">
        <f t="shared" si="17"/>
        <v>0</v>
      </c>
      <c r="BC58" s="4284">
        <f t="shared" si="18"/>
        <v>0</v>
      </c>
      <c r="BD58" s="4284">
        <f t="shared" si="19"/>
        <v>0</v>
      </c>
      <c r="BE58" s="4284">
        <f t="shared" si="20"/>
        <v>0</v>
      </c>
      <c r="BF58" s="4284">
        <f t="shared" si="21"/>
        <v>0</v>
      </c>
      <c r="BG58" s="4284">
        <f t="shared" si="22"/>
        <v>0</v>
      </c>
      <c r="BH58" s="4284">
        <f t="shared" si="23"/>
        <v>0</v>
      </c>
      <c r="BI58" s="4284">
        <f t="shared" si="24"/>
        <v>0</v>
      </c>
      <c r="BJ58" s="4284">
        <f t="shared" si="25"/>
        <v>0</v>
      </c>
      <c r="BK58" s="4284">
        <f t="shared" si="26"/>
        <v>0</v>
      </c>
      <c r="BL58" s="4284">
        <f t="shared" si="27"/>
        <v>0</v>
      </c>
      <c r="BM58" s="4284">
        <f t="shared" si="28"/>
        <v>0</v>
      </c>
      <c r="BN58" s="4284">
        <f t="shared" si="29"/>
        <v>0</v>
      </c>
      <c r="BO58" s="4284">
        <f t="shared" si="30"/>
        <v>0</v>
      </c>
      <c r="BP58" s="4284">
        <f t="shared" si="31"/>
        <v>0</v>
      </c>
      <c r="BQ58" s="4284">
        <f t="shared" si="32"/>
        <v>0</v>
      </c>
      <c r="BR58" s="4284">
        <f t="shared" si="33"/>
        <v>0</v>
      </c>
      <c r="BS58" s="4284">
        <f t="shared" si="34"/>
        <v>0</v>
      </c>
      <c r="BT58" s="4285">
        <f t="shared" si="35"/>
        <v>0</v>
      </c>
    </row>
    <row r="59" spans="1:72">
      <c r="A59" s="4278"/>
      <c r="B59" s="4279"/>
      <c r="C59" s="4279"/>
      <c r="D59" s="4280"/>
      <c r="E59" s="1188">
        <f t="shared" si="7"/>
        <v>0</v>
      </c>
      <c r="F59" s="1680"/>
      <c r="G59" s="4281">
        <f t="shared" si="8"/>
        <v>0</v>
      </c>
      <c r="H59" s="3457">
        <f t="shared" si="9"/>
        <v>0</v>
      </c>
      <c r="I59" s="4282"/>
      <c r="J59" s="4282"/>
      <c r="K59" s="4282"/>
      <c r="L59" s="4282"/>
      <c r="M59" s="4282"/>
      <c r="N59" s="4282"/>
      <c r="O59" s="4282"/>
      <c r="P59" s="4282"/>
      <c r="Q59" s="4282"/>
      <c r="R59" s="4282"/>
      <c r="S59" s="4282"/>
      <c r="T59" s="4282"/>
      <c r="U59" s="4282"/>
      <c r="V59" s="4282"/>
      <c r="W59" s="4282"/>
      <c r="X59" s="4282"/>
      <c r="Y59" s="4282"/>
      <c r="Z59" s="4282"/>
      <c r="AA59" s="4282"/>
      <c r="AB59" s="4282"/>
      <c r="AC59" s="1188">
        <f t="shared" si="10"/>
        <v>0</v>
      </c>
      <c r="AD59" s="4278"/>
      <c r="AE59" s="4278"/>
      <c r="AF59" s="4278"/>
      <c r="AG59" s="4278"/>
      <c r="AH59" s="4278"/>
      <c r="AI59" s="4278"/>
      <c r="AJ59" s="4278"/>
      <c r="AK59" s="4278"/>
      <c r="AL59" s="4278"/>
      <c r="AM59" s="4278"/>
      <c r="AN59" s="4278"/>
      <c r="AO59" s="4278"/>
      <c r="AP59" s="4278"/>
      <c r="AQ59" s="4278"/>
      <c r="AR59" s="4278"/>
      <c r="AS59" s="4278"/>
      <c r="AT59" s="4279"/>
      <c r="AU59" s="4283"/>
      <c r="AV59" s="1188">
        <f t="shared" si="11"/>
        <v>0</v>
      </c>
      <c r="AW59" s="1188">
        <f t="shared" si="12"/>
        <v>0</v>
      </c>
      <c r="AX59" s="1188">
        <f t="shared" si="13"/>
        <v>0</v>
      </c>
      <c r="AY59" s="1452">
        <f t="shared" si="14"/>
        <v>0</v>
      </c>
      <c r="AZ59" s="4284">
        <f t="shared" si="15"/>
        <v>0</v>
      </c>
      <c r="BA59" s="4284">
        <f t="shared" si="16"/>
        <v>0</v>
      </c>
      <c r="BB59" s="4284">
        <f t="shared" si="17"/>
        <v>0</v>
      </c>
      <c r="BC59" s="4284">
        <f t="shared" si="18"/>
        <v>0</v>
      </c>
      <c r="BD59" s="4284">
        <f t="shared" si="19"/>
        <v>0</v>
      </c>
      <c r="BE59" s="4284">
        <f t="shared" si="20"/>
        <v>0</v>
      </c>
      <c r="BF59" s="4284">
        <f t="shared" si="21"/>
        <v>0</v>
      </c>
      <c r="BG59" s="4284">
        <f t="shared" si="22"/>
        <v>0</v>
      </c>
      <c r="BH59" s="4284">
        <f t="shared" si="23"/>
        <v>0</v>
      </c>
      <c r="BI59" s="4284">
        <f t="shared" si="24"/>
        <v>0</v>
      </c>
      <c r="BJ59" s="4284">
        <f t="shared" si="25"/>
        <v>0</v>
      </c>
      <c r="BK59" s="4284">
        <f t="shared" si="26"/>
        <v>0</v>
      </c>
      <c r="BL59" s="4284">
        <f t="shared" si="27"/>
        <v>0</v>
      </c>
      <c r="BM59" s="4284">
        <f t="shared" si="28"/>
        <v>0</v>
      </c>
      <c r="BN59" s="4284">
        <f t="shared" si="29"/>
        <v>0</v>
      </c>
      <c r="BO59" s="4284">
        <f t="shared" si="30"/>
        <v>0</v>
      </c>
      <c r="BP59" s="4284">
        <f t="shared" si="31"/>
        <v>0</v>
      </c>
      <c r="BQ59" s="4284">
        <f t="shared" si="32"/>
        <v>0</v>
      </c>
      <c r="BR59" s="4284">
        <f t="shared" si="33"/>
        <v>0</v>
      </c>
      <c r="BS59" s="4284">
        <f t="shared" si="34"/>
        <v>0</v>
      </c>
      <c r="BT59" s="4285">
        <f t="shared" si="35"/>
        <v>0</v>
      </c>
    </row>
    <row r="60" spans="1:72">
      <c r="A60" s="4278"/>
      <c r="B60" s="4279"/>
      <c r="C60" s="4279"/>
      <c r="D60" s="4280"/>
      <c r="E60" s="1188">
        <f t="shared" si="7"/>
        <v>0</v>
      </c>
      <c r="F60" s="1680"/>
      <c r="G60" s="4281">
        <f t="shared" si="8"/>
        <v>0</v>
      </c>
      <c r="H60" s="3457">
        <f t="shared" si="9"/>
        <v>0</v>
      </c>
      <c r="I60" s="4282"/>
      <c r="J60" s="4282"/>
      <c r="K60" s="4282"/>
      <c r="L60" s="4282"/>
      <c r="M60" s="4282"/>
      <c r="N60" s="4282"/>
      <c r="O60" s="4282"/>
      <c r="P60" s="4282"/>
      <c r="Q60" s="4282"/>
      <c r="R60" s="4282"/>
      <c r="S60" s="4282"/>
      <c r="T60" s="4282"/>
      <c r="U60" s="4282"/>
      <c r="V60" s="4282"/>
      <c r="W60" s="4282"/>
      <c r="X60" s="4282"/>
      <c r="Y60" s="4282"/>
      <c r="Z60" s="4282"/>
      <c r="AA60" s="4282"/>
      <c r="AB60" s="4282"/>
      <c r="AC60" s="1188">
        <f t="shared" si="10"/>
        <v>0</v>
      </c>
      <c r="AD60" s="4278"/>
      <c r="AE60" s="4278"/>
      <c r="AF60" s="4278"/>
      <c r="AG60" s="4278"/>
      <c r="AH60" s="4278"/>
      <c r="AI60" s="4278"/>
      <c r="AJ60" s="4278"/>
      <c r="AK60" s="4278"/>
      <c r="AL60" s="4278"/>
      <c r="AM60" s="4278"/>
      <c r="AN60" s="4278"/>
      <c r="AO60" s="4278"/>
      <c r="AP60" s="4278"/>
      <c r="AQ60" s="4278"/>
      <c r="AR60" s="4278"/>
      <c r="AS60" s="4278"/>
      <c r="AT60" s="4279"/>
      <c r="AU60" s="4283"/>
      <c r="AV60" s="1188">
        <f t="shared" si="11"/>
        <v>0</v>
      </c>
      <c r="AW60" s="1188">
        <f t="shared" si="12"/>
        <v>0</v>
      </c>
      <c r="AX60" s="1188">
        <f t="shared" si="13"/>
        <v>0</v>
      </c>
      <c r="AY60" s="1452">
        <f t="shared" si="14"/>
        <v>0</v>
      </c>
      <c r="AZ60" s="4284">
        <f t="shared" si="15"/>
        <v>0</v>
      </c>
      <c r="BA60" s="4284">
        <f t="shared" si="16"/>
        <v>0</v>
      </c>
      <c r="BB60" s="4284">
        <f t="shared" si="17"/>
        <v>0</v>
      </c>
      <c r="BC60" s="4284">
        <f t="shared" si="18"/>
        <v>0</v>
      </c>
      <c r="BD60" s="4284">
        <f t="shared" si="19"/>
        <v>0</v>
      </c>
      <c r="BE60" s="4284">
        <f t="shared" si="20"/>
        <v>0</v>
      </c>
      <c r="BF60" s="4284">
        <f t="shared" si="21"/>
        <v>0</v>
      </c>
      <c r="BG60" s="4284">
        <f t="shared" si="22"/>
        <v>0</v>
      </c>
      <c r="BH60" s="4284">
        <f t="shared" si="23"/>
        <v>0</v>
      </c>
      <c r="BI60" s="4284">
        <f t="shared" si="24"/>
        <v>0</v>
      </c>
      <c r="BJ60" s="4284">
        <f t="shared" si="25"/>
        <v>0</v>
      </c>
      <c r="BK60" s="4284">
        <f t="shared" si="26"/>
        <v>0</v>
      </c>
      <c r="BL60" s="4284">
        <f t="shared" si="27"/>
        <v>0</v>
      </c>
      <c r="BM60" s="4284">
        <f t="shared" si="28"/>
        <v>0</v>
      </c>
      <c r="BN60" s="4284">
        <f t="shared" si="29"/>
        <v>0</v>
      </c>
      <c r="BO60" s="4284">
        <f t="shared" si="30"/>
        <v>0</v>
      </c>
      <c r="BP60" s="4284">
        <f t="shared" si="31"/>
        <v>0</v>
      </c>
      <c r="BQ60" s="4284">
        <f t="shared" si="32"/>
        <v>0</v>
      </c>
      <c r="BR60" s="4284">
        <f t="shared" si="33"/>
        <v>0</v>
      </c>
      <c r="BS60" s="4284">
        <f t="shared" si="34"/>
        <v>0</v>
      </c>
      <c r="BT60" s="4285">
        <f t="shared" si="35"/>
        <v>0</v>
      </c>
    </row>
    <row r="61" spans="1:72">
      <c r="A61" s="4278"/>
      <c r="B61" s="4279"/>
      <c r="C61" s="4279"/>
      <c r="D61" s="4280"/>
      <c r="E61" s="1188">
        <f t="shared" si="7"/>
        <v>0</v>
      </c>
      <c r="F61" s="1680"/>
      <c r="G61" s="4281">
        <f t="shared" si="8"/>
        <v>0</v>
      </c>
      <c r="H61" s="3457">
        <f t="shared" si="9"/>
        <v>0</v>
      </c>
      <c r="I61" s="4282"/>
      <c r="J61" s="4282"/>
      <c r="K61" s="4282"/>
      <c r="L61" s="4282"/>
      <c r="M61" s="4282"/>
      <c r="N61" s="4282"/>
      <c r="O61" s="4282"/>
      <c r="P61" s="4282"/>
      <c r="Q61" s="4282"/>
      <c r="R61" s="4282"/>
      <c r="S61" s="4282"/>
      <c r="T61" s="4282"/>
      <c r="U61" s="4282"/>
      <c r="V61" s="4282"/>
      <c r="W61" s="4282"/>
      <c r="X61" s="4282"/>
      <c r="Y61" s="4282"/>
      <c r="Z61" s="4282"/>
      <c r="AA61" s="4282"/>
      <c r="AB61" s="4282"/>
      <c r="AC61" s="1188">
        <f t="shared" si="10"/>
        <v>0</v>
      </c>
      <c r="AD61" s="4278"/>
      <c r="AE61" s="4278"/>
      <c r="AF61" s="4278"/>
      <c r="AG61" s="4278"/>
      <c r="AH61" s="4278"/>
      <c r="AI61" s="4278"/>
      <c r="AJ61" s="4278"/>
      <c r="AK61" s="4278"/>
      <c r="AL61" s="4278"/>
      <c r="AM61" s="4278"/>
      <c r="AN61" s="4278"/>
      <c r="AO61" s="4278"/>
      <c r="AP61" s="4278"/>
      <c r="AQ61" s="4278"/>
      <c r="AR61" s="4278"/>
      <c r="AS61" s="4278"/>
      <c r="AT61" s="4279"/>
      <c r="AU61" s="4283"/>
      <c r="AV61" s="1188">
        <f t="shared" si="11"/>
        <v>0</v>
      </c>
      <c r="AW61" s="1188">
        <f t="shared" si="12"/>
        <v>0</v>
      </c>
      <c r="AX61" s="1188">
        <f t="shared" si="13"/>
        <v>0</v>
      </c>
      <c r="AY61" s="1452">
        <f t="shared" si="14"/>
        <v>0</v>
      </c>
      <c r="AZ61" s="4284">
        <f t="shared" si="15"/>
        <v>0</v>
      </c>
      <c r="BA61" s="4284">
        <f t="shared" si="16"/>
        <v>0</v>
      </c>
      <c r="BB61" s="4284">
        <f t="shared" si="17"/>
        <v>0</v>
      </c>
      <c r="BC61" s="4284">
        <f t="shared" si="18"/>
        <v>0</v>
      </c>
      <c r="BD61" s="4284">
        <f t="shared" si="19"/>
        <v>0</v>
      </c>
      <c r="BE61" s="4284">
        <f t="shared" si="20"/>
        <v>0</v>
      </c>
      <c r="BF61" s="4284">
        <f t="shared" si="21"/>
        <v>0</v>
      </c>
      <c r="BG61" s="4284">
        <f t="shared" si="22"/>
        <v>0</v>
      </c>
      <c r="BH61" s="4284">
        <f t="shared" si="23"/>
        <v>0</v>
      </c>
      <c r="BI61" s="4284">
        <f t="shared" si="24"/>
        <v>0</v>
      </c>
      <c r="BJ61" s="4284">
        <f t="shared" si="25"/>
        <v>0</v>
      </c>
      <c r="BK61" s="4284">
        <f t="shared" si="26"/>
        <v>0</v>
      </c>
      <c r="BL61" s="4284">
        <f t="shared" si="27"/>
        <v>0</v>
      </c>
      <c r="BM61" s="4284">
        <f t="shared" si="28"/>
        <v>0</v>
      </c>
      <c r="BN61" s="4284">
        <f t="shared" si="29"/>
        <v>0</v>
      </c>
      <c r="BO61" s="4284">
        <f t="shared" si="30"/>
        <v>0</v>
      </c>
      <c r="BP61" s="4284">
        <f t="shared" si="31"/>
        <v>0</v>
      </c>
      <c r="BQ61" s="4284">
        <f t="shared" si="32"/>
        <v>0</v>
      </c>
      <c r="BR61" s="4284">
        <f t="shared" si="33"/>
        <v>0</v>
      </c>
      <c r="BS61" s="4284">
        <f t="shared" si="34"/>
        <v>0</v>
      </c>
      <c r="BT61" s="4285">
        <f t="shared" si="35"/>
        <v>0</v>
      </c>
    </row>
    <row r="62" spans="1:72">
      <c r="A62" s="4278"/>
      <c r="B62" s="4279"/>
      <c r="C62" s="4279"/>
      <c r="D62" s="4280"/>
      <c r="E62" s="1188">
        <f t="shared" si="7"/>
        <v>0</v>
      </c>
      <c r="F62" s="1680"/>
      <c r="G62" s="4281">
        <f t="shared" si="8"/>
        <v>0</v>
      </c>
      <c r="H62" s="3457">
        <f t="shared" si="9"/>
        <v>0</v>
      </c>
      <c r="I62" s="4282"/>
      <c r="J62" s="4282"/>
      <c r="K62" s="4282"/>
      <c r="L62" s="4282"/>
      <c r="M62" s="4282"/>
      <c r="N62" s="4282"/>
      <c r="O62" s="4282"/>
      <c r="P62" s="4282"/>
      <c r="Q62" s="4282"/>
      <c r="R62" s="4282"/>
      <c r="S62" s="4282"/>
      <c r="T62" s="4282"/>
      <c r="U62" s="4282"/>
      <c r="V62" s="4282"/>
      <c r="W62" s="4282"/>
      <c r="X62" s="4282"/>
      <c r="Y62" s="4282"/>
      <c r="Z62" s="4282"/>
      <c r="AA62" s="4282"/>
      <c r="AB62" s="4282"/>
      <c r="AC62" s="1188">
        <f t="shared" si="10"/>
        <v>0</v>
      </c>
      <c r="AD62" s="4278"/>
      <c r="AE62" s="4278"/>
      <c r="AF62" s="4278"/>
      <c r="AG62" s="4278"/>
      <c r="AH62" s="4278"/>
      <c r="AI62" s="4278"/>
      <c r="AJ62" s="4278"/>
      <c r="AK62" s="4278"/>
      <c r="AL62" s="4278"/>
      <c r="AM62" s="4278"/>
      <c r="AN62" s="4278"/>
      <c r="AO62" s="4278"/>
      <c r="AP62" s="4278"/>
      <c r="AQ62" s="4278"/>
      <c r="AR62" s="4278"/>
      <c r="AS62" s="4278"/>
      <c r="AT62" s="4279"/>
      <c r="AU62" s="4283"/>
      <c r="AV62" s="1188">
        <f t="shared" si="11"/>
        <v>0</v>
      </c>
      <c r="AW62" s="1188">
        <f t="shared" si="12"/>
        <v>0</v>
      </c>
      <c r="AX62" s="1188">
        <f t="shared" si="13"/>
        <v>0</v>
      </c>
      <c r="AY62" s="1452">
        <f t="shared" si="14"/>
        <v>0</v>
      </c>
      <c r="AZ62" s="4284">
        <f t="shared" si="15"/>
        <v>0</v>
      </c>
      <c r="BA62" s="4284">
        <f t="shared" si="16"/>
        <v>0</v>
      </c>
      <c r="BB62" s="4284">
        <f t="shared" si="17"/>
        <v>0</v>
      </c>
      <c r="BC62" s="4284">
        <f t="shared" si="18"/>
        <v>0</v>
      </c>
      <c r="BD62" s="4284">
        <f t="shared" si="19"/>
        <v>0</v>
      </c>
      <c r="BE62" s="4284">
        <f t="shared" si="20"/>
        <v>0</v>
      </c>
      <c r="BF62" s="4284">
        <f t="shared" si="21"/>
        <v>0</v>
      </c>
      <c r="BG62" s="4284">
        <f t="shared" si="22"/>
        <v>0</v>
      </c>
      <c r="BH62" s="4284">
        <f t="shared" si="23"/>
        <v>0</v>
      </c>
      <c r="BI62" s="4284">
        <f t="shared" si="24"/>
        <v>0</v>
      </c>
      <c r="BJ62" s="4284">
        <f t="shared" si="25"/>
        <v>0</v>
      </c>
      <c r="BK62" s="4284">
        <f t="shared" si="26"/>
        <v>0</v>
      </c>
      <c r="BL62" s="4284">
        <f t="shared" si="27"/>
        <v>0</v>
      </c>
      <c r="BM62" s="4284">
        <f t="shared" si="28"/>
        <v>0</v>
      </c>
      <c r="BN62" s="4284">
        <f t="shared" si="29"/>
        <v>0</v>
      </c>
      <c r="BO62" s="4284">
        <f t="shared" si="30"/>
        <v>0</v>
      </c>
      <c r="BP62" s="4284">
        <f t="shared" si="31"/>
        <v>0</v>
      </c>
      <c r="BQ62" s="4284">
        <f t="shared" si="32"/>
        <v>0</v>
      </c>
      <c r="BR62" s="4284">
        <f t="shared" si="33"/>
        <v>0</v>
      </c>
      <c r="BS62" s="4284">
        <f t="shared" si="34"/>
        <v>0</v>
      </c>
      <c r="BT62" s="4285">
        <f t="shared" si="35"/>
        <v>0</v>
      </c>
    </row>
    <row r="63" spans="1:72">
      <c r="A63" s="4278"/>
      <c r="B63" s="4279"/>
      <c r="C63" s="4279"/>
      <c r="D63" s="4280"/>
      <c r="E63" s="1188">
        <f t="shared" si="7"/>
        <v>0</v>
      </c>
      <c r="F63" s="1680"/>
      <c r="G63" s="4281">
        <f t="shared" si="8"/>
        <v>0</v>
      </c>
      <c r="H63" s="3457">
        <f t="shared" si="9"/>
        <v>0</v>
      </c>
      <c r="I63" s="4282"/>
      <c r="J63" s="4282"/>
      <c r="K63" s="4282"/>
      <c r="L63" s="4282"/>
      <c r="M63" s="4282"/>
      <c r="N63" s="4282"/>
      <c r="O63" s="4282"/>
      <c r="P63" s="4282"/>
      <c r="Q63" s="4282"/>
      <c r="R63" s="4282"/>
      <c r="S63" s="4282"/>
      <c r="T63" s="4282"/>
      <c r="U63" s="4282"/>
      <c r="V63" s="4282"/>
      <c r="W63" s="4282"/>
      <c r="X63" s="4282"/>
      <c r="Y63" s="4282"/>
      <c r="Z63" s="4282"/>
      <c r="AA63" s="4282"/>
      <c r="AB63" s="4282"/>
      <c r="AC63" s="1188">
        <f t="shared" si="10"/>
        <v>0</v>
      </c>
      <c r="AD63" s="4278"/>
      <c r="AE63" s="4278"/>
      <c r="AF63" s="4278"/>
      <c r="AG63" s="4278"/>
      <c r="AH63" s="4278"/>
      <c r="AI63" s="4278"/>
      <c r="AJ63" s="4278"/>
      <c r="AK63" s="4278"/>
      <c r="AL63" s="4278"/>
      <c r="AM63" s="4278"/>
      <c r="AN63" s="4278"/>
      <c r="AO63" s="4278"/>
      <c r="AP63" s="4278"/>
      <c r="AQ63" s="4278"/>
      <c r="AR63" s="4278"/>
      <c r="AS63" s="4278"/>
      <c r="AT63" s="4279"/>
      <c r="AU63" s="4283"/>
      <c r="AV63" s="1188">
        <f t="shared" si="11"/>
        <v>0</v>
      </c>
      <c r="AW63" s="1188">
        <f t="shared" si="12"/>
        <v>0</v>
      </c>
      <c r="AX63" s="1188">
        <f t="shared" si="13"/>
        <v>0</v>
      </c>
      <c r="AY63" s="1452">
        <f t="shared" si="14"/>
        <v>0</v>
      </c>
      <c r="AZ63" s="4284">
        <f t="shared" si="15"/>
        <v>0</v>
      </c>
      <c r="BA63" s="4284">
        <f t="shared" si="16"/>
        <v>0</v>
      </c>
      <c r="BB63" s="4284">
        <f t="shared" si="17"/>
        <v>0</v>
      </c>
      <c r="BC63" s="4284">
        <f t="shared" si="18"/>
        <v>0</v>
      </c>
      <c r="BD63" s="4284">
        <f t="shared" si="19"/>
        <v>0</v>
      </c>
      <c r="BE63" s="4284">
        <f t="shared" si="20"/>
        <v>0</v>
      </c>
      <c r="BF63" s="4284">
        <f t="shared" si="21"/>
        <v>0</v>
      </c>
      <c r="BG63" s="4284">
        <f t="shared" si="22"/>
        <v>0</v>
      </c>
      <c r="BH63" s="4284">
        <f t="shared" si="23"/>
        <v>0</v>
      </c>
      <c r="BI63" s="4284">
        <f t="shared" si="24"/>
        <v>0</v>
      </c>
      <c r="BJ63" s="4284">
        <f t="shared" si="25"/>
        <v>0</v>
      </c>
      <c r="BK63" s="4284">
        <f t="shared" si="26"/>
        <v>0</v>
      </c>
      <c r="BL63" s="4284">
        <f t="shared" si="27"/>
        <v>0</v>
      </c>
      <c r="BM63" s="4284">
        <f t="shared" si="28"/>
        <v>0</v>
      </c>
      <c r="BN63" s="4284">
        <f t="shared" si="29"/>
        <v>0</v>
      </c>
      <c r="BO63" s="4284">
        <f t="shared" si="30"/>
        <v>0</v>
      </c>
      <c r="BP63" s="4284">
        <f t="shared" si="31"/>
        <v>0</v>
      </c>
      <c r="BQ63" s="4284">
        <f t="shared" si="32"/>
        <v>0</v>
      </c>
      <c r="BR63" s="4284">
        <f t="shared" si="33"/>
        <v>0</v>
      </c>
      <c r="BS63" s="4284">
        <f t="shared" si="34"/>
        <v>0</v>
      </c>
      <c r="BT63" s="4285">
        <f t="shared" si="35"/>
        <v>0</v>
      </c>
    </row>
    <row r="64" spans="1:72">
      <c r="A64" s="4278"/>
      <c r="B64" s="4279"/>
      <c r="C64" s="4279"/>
      <c r="D64" s="4280"/>
      <c r="E64" s="1188">
        <f t="shared" si="7"/>
        <v>0</v>
      </c>
      <c r="F64" s="1680"/>
      <c r="G64" s="4281">
        <f t="shared" si="8"/>
        <v>0</v>
      </c>
      <c r="H64" s="3457">
        <f t="shared" si="9"/>
        <v>0</v>
      </c>
      <c r="I64" s="4282"/>
      <c r="J64" s="4282"/>
      <c r="K64" s="4282"/>
      <c r="L64" s="4282"/>
      <c r="M64" s="4282"/>
      <c r="N64" s="4282"/>
      <c r="O64" s="4282"/>
      <c r="P64" s="4282"/>
      <c r="Q64" s="4282"/>
      <c r="R64" s="4282"/>
      <c r="S64" s="4282"/>
      <c r="T64" s="4282"/>
      <c r="U64" s="4282"/>
      <c r="V64" s="4282"/>
      <c r="W64" s="4282"/>
      <c r="X64" s="4282"/>
      <c r="Y64" s="4282"/>
      <c r="Z64" s="4282"/>
      <c r="AA64" s="4282"/>
      <c r="AB64" s="4282"/>
      <c r="AC64" s="1188">
        <f t="shared" si="10"/>
        <v>0</v>
      </c>
      <c r="AD64" s="4278"/>
      <c r="AE64" s="4278"/>
      <c r="AF64" s="4278"/>
      <c r="AG64" s="4278"/>
      <c r="AH64" s="4278"/>
      <c r="AI64" s="4278"/>
      <c r="AJ64" s="4278"/>
      <c r="AK64" s="4278"/>
      <c r="AL64" s="4278"/>
      <c r="AM64" s="4278"/>
      <c r="AN64" s="4278"/>
      <c r="AO64" s="4278"/>
      <c r="AP64" s="4278"/>
      <c r="AQ64" s="4278"/>
      <c r="AR64" s="4278"/>
      <c r="AS64" s="4278"/>
      <c r="AT64" s="4279"/>
      <c r="AU64" s="4283"/>
      <c r="AV64" s="1188">
        <f t="shared" si="11"/>
        <v>0</v>
      </c>
      <c r="AW64" s="1188">
        <f t="shared" si="12"/>
        <v>0</v>
      </c>
      <c r="AX64" s="1188">
        <f t="shared" si="13"/>
        <v>0</v>
      </c>
      <c r="AY64" s="1452">
        <f t="shared" si="14"/>
        <v>0</v>
      </c>
      <c r="AZ64" s="4284">
        <f t="shared" si="15"/>
        <v>0</v>
      </c>
      <c r="BA64" s="4284">
        <f t="shared" si="16"/>
        <v>0</v>
      </c>
      <c r="BB64" s="4284">
        <f t="shared" si="17"/>
        <v>0</v>
      </c>
      <c r="BC64" s="4284">
        <f t="shared" si="18"/>
        <v>0</v>
      </c>
      <c r="BD64" s="4284">
        <f t="shared" si="19"/>
        <v>0</v>
      </c>
      <c r="BE64" s="4284">
        <f t="shared" si="20"/>
        <v>0</v>
      </c>
      <c r="BF64" s="4284">
        <f t="shared" si="21"/>
        <v>0</v>
      </c>
      <c r="BG64" s="4284">
        <f t="shared" si="22"/>
        <v>0</v>
      </c>
      <c r="BH64" s="4284">
        <f t="shared" si="23"/>
        <v>0</v>
      </c>
      <c r="BI64" s="4284">
        <f t="shared" si="24"/>
        <v>0</v>
      </c>
      <c r="BJ64" s="4284">
        <f t="shared" si="25"/>
        <v>0</v>
      </c>
      <c r="BK64" s="4284">
        <f t="shared" si="26"/>
        <v>0</v>
      </c>
      <c r="BL64" s="4284">
        <f t="shared" si="27"/>
        <v>0</v>
      </c>
      <c r="BM64" s="4284">
        <f t="shared" si="28"/>
        <v>0</v>
      </c>
      <c r="BN64" s="4284">
        <f t="shared" si="29"/>
        <v>0</v>
      </c>
      <c r="BO64" s="4284">
        <f t="shared" si="30"/>
        <v>0</v>
      </c>
      <c r="BP64" s="4284">
        <f t="shared" si="31"/>
        <v>0</v>
      </c>
      <c r="BQ64" s="4284">
        <f t="shared" si="32"/>
        <v>0</v>
      </c>
      <c r="BR64" s="4284">
        <f t="shared" si="33"/>
        <v>0</v>
      </c>
      <c r="BS64" s="4284">
        <f t="shared" si="34"/>
        <v>0</v>
      </c>
      <c r="BT64" s="4285">
        <f t="shared" si="35"/>
        <v>0</v>
      </c>
    </row>
    <row r="65" spans="1:72">
      <c r="A65" s="4278"/>
      <c r="B65" s="4279"/>
      <c r="C65" s="4279"/>
      <c r="D65" s="4280"/>
      <c r="E65" s="1188">
        <f t="shared" si="7"/>
        <v>0</v>
      </c>
      <c r="F65" s="1680"/>
      <c r="G65" s="4281">
        <f t="shared" si="8"/>
        <v>0</v>
      </c>
      <c r="H65" s="3457">
        <f t="shared" si="9"/>
        <v>0</v>
      </c>
      <c r="I65" s="4282"/>
      <c r="J65" s="4282"/>
      <c r="K65" s="4282"/>
      <c r="L65" s="4282"/>
      <c r="M65" s="4282"/>
      <c r="N65" s="4282"/>
      <c r="O65" s="4282"/>
      <c r="P65" s="4282"/>
      <c r="Q65" s="4282"/>
      <c r="R65" s="4282"/>
      <c r="S65" s="4282"/>
      <c r="T65" s="4282"/>
      <c r="U65" s="4282"/>
      <c r="V65" s="4282"/>
      <c r="W65" s="4282"/>
      <c r="X65" s="4282"/>
      <c r="Y65" s="4282"/>
      <c r="Z65" s="4282"/>
      <c r="AA65" s="4282"/>
      <c r="AB65" s="4282"/>
      <c r="AC65" s="1188">
        <f t="shared" si="10"/>
        <v>0</v>
      </c>
      <c r="AD65" s="4278"/>
      <c r="AE65" s="4278"/>
      <c r="AF65" s="4278"/>
      <c r="AG65" s="4278"/>
      <c r="AH65" s="4278"/>
      <c r="AI65" s="4278"/>
      <c r="AJ65" s="4278"/>
      <c r="AK65" s="4278"/>
      <c r="AL65" s="4278"/>
      <c r="AM65" s="4278"/>
      <c r="AN65" s="4278"/>
      <c r="AO65" s="4278"/>
      <c r="AP65" s="4278"/>
      <c r="AQ65" s="4278"/>
      <c r="AR65" s="4278"/>
      <c r="AS65" s="4278"/>
      <c r="AT65" s="4279"/>
      <c r="AU65" s="4283"/>
      <c r="AV65" s="1188">
        <f t="shared" si="11"/>
        <v>0</v>
      </c>
      <c r="AW65" s="1188">
        <f t="shared" si="12"/>
        <v>0</v>
      </c>
      <c r="AX65" s="1188">
        <f t="shared" si="13"/>
        <v>0</v>
      </c>
      <c r="AY65" s="1452">
        <f t="shared" si="14"/>
        <v>0</v>
      </c>
      <c r="AZ65" s="4284">
        <f t="shared" si="15"/>
        <v>0</v>
      </c>
      <c r="BA65" s="4284">
        <f t="shared" si="16"/>
        <v>0</v>
      </c>
      <c r="BB65" s="4284">
        <f t="shared" si="17"/>
        <v>0</v>
      </c>
      <c r="BC65" s="4284">
        <f t="shared" si="18"/>
        <v>0</v>
      </c>
      <c r="BD65" s="4284">
        <f t="shared" si="19"/>
        <v>0</v>
      </c>
      <c r="BE65" s="4284">
        <f t="shared" si="20"/>
        <v>0</v>
      </c>
      <c r="BF65" s="4284">
        <f t="shared" si="21"/>
        <v>0</v>
      </c>
      <c r="BG65" s="4284">
        <f t="shared" si="22"/>
        <v>0</v>
      </c>
      <c r="BH65" s="4284">
        <f t="shared" si="23"/>
        <v>0</v>
      </c>
      <c r="BI65" s="4284">
        <f t="shared" si="24"/>
        <v>0</v>
      </c>
      <c r="BJ65" s="4284">
        <f t="shared" si="25"/>
        <v>0</v>
      </c>
      <c r="BK65" s="4284">
        <f t="shared" si="26"/>
        <v>0</v>
      </c>
      <c r="BL65" s="4284">
        <f t="shared" si="27"/>
        <v>0</v>
      </c>
      <c r="BM65" s="4284">
        <f t="shared" si="28"/>
        <v>0</v>
      </c>
      <c r="BN65" s="4284">
        <f t="shared" si="29"/>
        <v>0</v>
      </c>
      <c r="BO65" s="4284">
        <f t="shared" si="30"/>
        <v>0</v>
      </c>
      <c r="BP65" s="4284">
        <f t="shared" si="31"/>
        <v>0</v>
      </c>
      <c r="BQ65" s="4284">
        <f t="shared" si="32"/>
        <v>0</v>
      </c>
      <c r="BR65" s="4284">
        <f t="shared" si="33"/>
        <v>0</v>
      </c>
      <c r="BS65" s="4284">
        <f t="shared" si="34"/>
        <v>0</v>
      </c>
      <c r="BT65" s="4285">
        <f t="shared" si="35"/>
        <v>0</v>
      </c>
    </row>
    <row r="66" spans="1:72">
      <c r="A66" s="4278"/>
      <c r="B66" s="4279"/>
      <c r="C66" s="4279"/>
      <c r="D66" s="4280"/>
      <c r="E66" s="1188">
        <f t="shared" si="7"/>
        <v>0</v>
      </c>
      <c r="F66" s="1680"/>
      <c r="G66" s="4281">
        <f t="shared" si="8"/>
        <v>0</v>
      </c>
      <c r="H66" s="3457">
        <f t="shared" si="9"/>
        <v>0</v>
      </c>
      <c r="I66" s="4282"/>
      <c r="J66" s="4282"/>
      <c r="K66" s="4282"/>
      <c r="L66" s="4282"/>
      <c r="M66" s="4282"/>
      <c r="N66" s="4282"/>
      <c r="O66" s="4282"/>
      <c r="P66" s="4282"/>
      <c r="Q66" s="4282"/>
      <c r="R66" s="4282"/>
      <c r="S66" s="4282"/>
      <c r="T66" s="4282"/>
      <c r="U66" s="4282"/>
      <c r="V66" s="4282"/>
      <c r="W66" s="4282"/>
      <c r="X66" s="4282"/>
      <c r="Y66" s="4282"/>
      <c r="Z66" s="4282"/>
      <c r="AA66" s="4282"/>
      <c r="AB66" s="4282"/>
      <c r="AC66" s="1188">
        <f t="shared" si="10"/>
        <v>0</v>
      </c>
      <c r="AD66" s="4278"/>
      <c r="AE66" s="4278"/>
      <c r="AF66" s="4278"/>
      <c r="AG66" s="4278"/>
      <c r="AH66" s="4278"/>
      <c r="AI66" s="4278"/>
      <c r="AJ66" s="4278"/>
      <c r="AK66" s="4278"/>
      <c r="AL66" s="4278"/>
      <c r="AM66" s="4278"/>
      <c r="AN66" s="4278"/>
      <c r="AO66" s="4278"/>
      <c r="AP66" s="4278"/>
      <c r="AQ66" s="4278"/>
      <c r="AR66" s="4278"/>
      <c r="AS66" s="4278"/>
      <c r="AT66" s="4279"/>
      <c r="AU66" s="4283"/>
      <c r="AV66" s="1188">
        <f t="shared" si="11"/>
        <v>0</v>
      </c>
      <c r="AW66" s="1188">
        <f t="shared" si="12"/>
        <v>0</v>
      </c>
      <c r="AX66" s="1188">
        <f t="shared" si="13"/>
        <v>0</v>
      </c>
      <c r="AY66" s="1452">
        <f t="shared" si="14"/>
        <v>0</v>
      </c>
      <c r="AZ66" s="4284">
        <f t="shared" si="15"/>
        <v>0</v>
      </c>
      <c r="BA66" s="4284">
        <f t="shared" si="16"/>
        <v>0</v>
      </c>
      <c r="BB66" s="4284">
        <f t="shared" si="17"/>
        <v>0</v>
      </c>
      <c r="BC66" s="4284">
        <f t="shared" si="18"/>
        <v>0</v>
      </c>
      <c r="BD66" s="4284">
        <f t="shared" si="19"/>
        <v>0</v>
      </c>
      <c r="BE66" s="4284">
        <f t="shared" si="20"/>
        <v>0</v>
      </c>
      <c r="BF66" s="4284">
        <f t="shared" si="21"/>
        <v>0</v>
      </c>
      <c r="BG66" s="4284">
        <f t="shared" si="22"/>
        <v>0</v>
      </c>
      <c r="BH66" s="4284">
        <f t="shared" si="23"/>
        <v>0</v>
      </c>
      <c r="BI66" s="4284">
        <f t="shared" si="24"/>
        <v>0</v>
      </c>
      <c r="BJ66" s="4284">
        <f t="shared" si="25"/>
        <v>0</v>
      </c>
      <c r="BK66" s="4284">
        <f t="shared" si="26"/>
        <v>0</v>
      </c>
      <c r="BL66" s="4284">
        <f t="shared" si="27"/>
        <v>0</v>
      </c>
      <c r="BM66" s="4284">
        <f t="shared" si="28"/>
        <v>0</v>
      </c>
      <c r="BN66" s="4284">
        <f t="shared" si="29"/>
        <v>0</v>
      </c>
      <c r="BO66" s="4284">
        <f t="shared" si="30"/>
        <v>0</v>
      </c>
      <c r="BP66" s="4284">
        <f t="shared" si="31"/>
        <v>0</v>
      </c>
      <c r="BQ66" s="4284">
        <f t="shared" si="32"/>
        <v>0</v>
      </c>
      <c r="BR66" s="4284">
        <f t="shared" si="33"/>
        <v>0</v>
      </c>
      <c r="BS66" s="4284">
        <f t="shared" si="34"/>
        <v>0</v>
      </c>
      <c r="BT66" s="4285">
        <f t="shared" si="35"/>
        <v>0</v>
      </c>
    </row>
    <row r="67" spans="1:72">
      <c r="A67" s="4278"/>
      <c r="B67" s="4279"/>
      <c r="C67" s="4279"/>
      <c r="D67" s="4280"/>
      <c r="E67" s="1188">
        <f t="shared" si="7"/>
        <v>0</v>
      </c>
      <c r="F67" s="1680"/>
      <c r="G67" s="4281">
        <f t="shared" si="8"/>
        <v>0</v>
      </c>
      <c r="H67" s="3457">
        <f t="shared" si="9"/>
        <v>0</v>
      </c>
      <c r="I67" s="4282"/>
      <c r="J67" s="4282"/>
      <c r="K67" s="4282"/>
      <c r="L67" s="4282"/>
      <c r="M67" s="4282"/>
      <c r="N67" s="4282"/>
      <c r="O67" s="4282"/>
      <c r="P67" s="4282"/>
      <c r="Q67" s="4282"/>
      <c r="R67" s="4282"/>
      <c r="S67" s="4282"/>
      <c r="T67" s="4282"/>
      <c r="U67" s="4282"/>
      <c r="V67" s="4282"/>
      <c r="W67" s="4282"/>
      <c r="X67" s="4282"/>
      <c r="Y67" s="4282"/>
      <c r="Z67" s="4282"/>
      <c r="AA67" s="4282"/>
      <c r="AB67" s="4282"/>
      <c r="AC67" s="1188">
        <f t="shared" si="10"/>
        <v>0</v>
      </c>
      <c r="AD67" s="4278"/>
      <c r="AE67" s="4278"/>
      <c r="AF67" s="4278"/>
      <c r="AG67" s="4278"/>
      <c r="AH67" s="4278"/>
      <c r="AI67" s="4278"/>
      <c r="AJ67" s="4278"/>
      <c r="AK67" s="4278"/>
      <c r="AL67" s="4278"/>
      <c r="AM67" s="4278"/>
      <c r="AN67" s="4278"/>
      <c r="AO67" s="4278"/>
      <c r="AP67" s="4278"/>
      <c r="AQ67" s="4278"/>
      <c r="AR67" s="4278"/>
      <c r="AS67" s="4278"/>
      <c r="AT67" s="4279"/>
      <c r="AU67" s="4283"/>
      <c r="AV67" s="1188">
        <f t="shared" si="11"/>
        <v>0</v>
      </c>
      <c r="AW67" s="1188">
        <f t="shared" si="12"/>
        <v>0</v>
      </c>
      <c r="AX67" s="1188">
        <f t="shared" si="13"/>
        <v>0</v>
      </c>
      <c r="AY67" s="1452">
        <f t="shared" si="14"/>
        <v>0</v>
      </c>
      <c r="AZ67" s="4284">
        <f t="shared" si="15"/>
        <v>0</v>
      </c>
      <c r="BA67" s="4284">
        <f t="shared" si="16"/>
        <v>0</v>
      </c>
      <c r="BB67" s="4284">
        <f t="shared" si="17"/>
        <v>0</v>
      </c>
      <c r="BC67" s="4284">
        <f t="shared" si="18"/>
        <v>0</v>
      </c>
      <c r="BD67" s="4284">
        <f t="shared" si="19"/>
        <v>0</v>
      </c>
      <c r="BE67" s="4284">
        <f t="shared" si="20"/>
        <v>0</v>
      </c>
      <c r="BF67" s="4284">
        <f t="shared" si="21"/>
        <v>0</v>
      </c>
      <c r="BG67" s="4284">
        <f t="shared" si="22"/>
        <v>0</v>
      </c>
      <c r="BH67" s="4284">
        <f t="shared" si="23"/>
        <v>0</v>
      </c>
      <c r="BI67" s="4284">
        <f t="shared" si="24"/>
        <v>0</v>
      </c>
      <c r="BJ67" s="4284">
        <f t="shared" si="25"/>
        <v>0</v>
      </c>
      <c r="BK67" s="4284">
        <f t="shared" si="26"/>
        <v>0</v>
      </c>
      <c r="BL67" s="4284">
        <f t="shared" si="27"/>
        <v>0</v>
      </c>
      <c r="BM67" s="4284">
        <f t="shared" si="28"/>
        <v>0</v>
      </c>
      <c r="BN67" s="4284">
        <f t="shared" si="29"/>
        <v>0</v>
      </c>
      <c r="BO67" s="4284">
        <f t="shared" si="30"/>
        <v>0</v>
      </c>
      <c r="BP67" s="4284">
        <f t="shared" si="31"/>
        <v>0</v>
      </c>
      <c r="BQ67" s="4284">
        <f t="shared" si="32"/>
        <v>0</v>
      </c>
      <c r="BR67" s="4284">
        <f t="shared" si="33"/>
        <v>0</v>
      </c>
      <c r="BS67" s="4284">
        <f t="shared" si="34"/>
        <v>0</v>
      </c>
      <c r="BT67" s="4285">
        <f t="shared" si="35"/>
        <v>0</v>
      </c>
    </row>
    <row r="68" spans="1:72">
      <c r="A68" s="4278"/>
      <c r="B68" s="4279"/>
      <c r="C68" s="4279"/>
      <c r="D68" s="4280"/>
      <c r="E68" s="1188">
        <f t="shared" si="7"/>
        <v>0</v>
      </c>
      <c r="F68" s="1680"/>
      <c r="G68" s="4281">
        <f t="shared" si="8"/>
        <v>0</v>
      </c>
      <c r="H68" s="3457">
        <f t="shared" si="9"/>
        <v>0</v>
      </c>
      <c r="I68" s="4282"/>
      <c r="J68" s="4282"/>
      <c r="K68" s="4282"/>
      <c r="L68" s="4282"/>
      <c r="M68" s="4282"/>
      <c r="N68" s="4282"/>
      <c r="O68" s="4282"/>
      <c r="P68" s="4282"/>
      <c r="Q68" s="4282"/>
      <c r="R68" s="4282"/>
      <c r="S68" s="4282"/>
      <c r="T68" s="4282"/>
      <c r="U68" s="4282"/>
      <c r="V68" s="4282"/>
      <c r="W68" s="4282"/>
      <c r="X68" s="4282"/>
      <c r="Y68" s="4282"/>
      <c r="Z68" s="4282"/>
      <c r="AA68" s="4282"/>
      <c r="AB68" s="4282"/>
      <c r="AC68" s="1188">
        <f t="shared" si="10"/>
        <v>0</v>
      </c>
      <c r="AD68" s="4278"/>
      <c r="AE68" s="4278"/>
      <c r="AF68" s="4278"/>
      <c r="AG68" s="4278"/>
      <c r="AH68" s="4278"/>
      <c r="AI68" s="4278"/>
      <c r="AJ68" s="4278"/>
      <c r="AK68" s="4278"/>
      <c r="AL68" s="4278"/>
      <c r="AM68" s="4278"/>
      <c r="AN68" s="4278"/>
      <c r="AO68" s="4278"/>
      <c r="AP68" s="4278"/>
      <c r="AQ68" s="4278"/>
      <c r="AR68" s="4278"/>
      <c r="AS68" s="4278"/>
      <c r="AT68" s="4279"/>
      <c r="AU68" s="4283"/>
      <c r="AV68" s="1188">
        <f t="shared" si="11"/>
        <v>0</v>
      </c>
      <c r="AW68" s="1188">
        <f t="shared" si="12"/>
        <v>0</v>
      </c>
      <c r="AX68" s="1188">
        <f t="shared" si="13"/>
        <v>0</v>
      </c>
      <c r="AY68" s="1452">
        <f t="shared" si="14"/>
        <v>0</v>
      </c>
      <c r="AZ68" s="4284">
        <f t="shared" si="15"/>
        <v>0</v>
      </c>
      <c r="BA68" s="4284">
        <f t="shared" si="16"/>
        <v>0</v>
      </c>
      <c r="BB68" s="4284">
        <f t="shared" si="17"/>
        <v>0</v>
      </c>
      <c r="BC68" s="4284">
        <f t="shared" si="18"/>
        <v>0</v>
      </c>
      <c r="BD68" s="4284">
        <f t="shared" si="19"/>
        <v>0</v>
      </c>
      <c r="BE68" s="4284">
        <f t="shared" si="20"/>
        <v>0</v>
      </c>
      <c r="BF68" s="4284">
        <f t="shared" si="21"/>
        <v>0</v>
      </c>
      <c r="BG68" s="4284">
        <f t="shared" si="22"/>
        <v>0</v>
      </c>
      <c r="BH68" s="4284">
        <f t="shared" si="23"/>
        <v>0</v>
      </c>
      <c r="BI68" s="4284">
        <f t="shared" si="24"/>
        <v>0</v>
      </c>
      <c r="BJ68" s="4284">
        <f t="shared" si="25"/>
        <v>0</v>
      </c>
      <c r="BK68" s="4284">
        <f t="shared" si="26"/>
        <v>0</v>
      </c>
      <c r="BL68" s="4284">
        <f t="shared" si="27"/>
        <v>0</v>
      </c>
      <c r="BM68" s="4284">
        <f t="shared" si="28"/>
        <v>0</v>
      </c>
      <c r="BN68" s="4284">
        <f t="shared" si="29"/>
        <v>0</v>
      </c>
      <c r="BO68" s="4284">
        <f t="shared" si="30"/>
        <v>0</v>
      </c>
      <c r="BP68" s="4284">
        <f t="shared" si="31"/>
        <v>0</v>
      </c>
      <c r="BQ68" s="4284">
        <f t="shared" si="32"/>
        <v>0</v>
      </c>
      <c r="BR68" s="4284">
        <f t="shared" si="33"/>
        <v>0</v>
      </c>
      <c r="BS68" s="4284">
        <f t="shared" si="34"/>
        <v>0</v>
      </c>
      <c r="BT68" s="4285">
        <f t="shared" si="35"/>
        <v>0</v>
      </c>
    </row>
    <row r="69" spans="1:72">
      <c r="A69" s="4278"/>
      <c r="B69" s="4279"/>
      <c r="C69" s="4279"/>
      <c r="D69" s="4280"/>
      <c r="E69" s="1188">
        <f t="shared" si="7"/>
        <v>0</v>
      </c>
      <c r="F69" s="1680"/>
      <c r="G69" s="4281">
        <f t="shared" si="8"/>
        <v>0</v>
      </c>
      <c r="H69" s="3457">
        <f t="shared" si="9"/>
        <v>0</v>
      </c>
      <c r="I69" s="4282"/>
      <c r="J69" s="4282"/>
      <c r="K69" s="4282"/>
      <c r="L69" s="4282"/>
      <c r="M69" s="4282"/>
      <c r="N69" s="4282"/>
      <c r="O69" s="4282"/>
      <c r="P69" s="4282"/>
      <c r="Q69" s="4282"/>
      <c r="R69" s="4282"/>
      <c r="S69" s="4282"/>
      <c r="T69" s="4282"/>
      <c r="U69" s="4282"/>
      <c r="V69" s="4282"/>
      <c r="W69" s="4282"/>
      <c r="X69" s="4282"/>
      <c r="Y69" s="4282"/>
      <c r="Z69" s="4282"/>
      <c r="AA69" s="4282"/>
      <c r="AB69" s="4282"/>
      <c r="AC69" s="1188">
        <f t="shared" si="10"/>
        <v>0</v>
      </c>
      <c r="AD69" s="4278"/>
      <c r="AE69" s="4278"/>
      <c r="AF69" s="4278"/>
      <c r="AG69" s="4278"/>
      <c r="AH69" s="4278"/>
      <c r="AI69" s="4278"/>
      <c r="AJ69" s="4278"/>
      <c r="AK69" s="4278"/>
      <c r="AL69" s="4278"/>
      <c r="AM69" s="4278"/>
      <c r="AN69" s="4278"/>
      <c r="AO69" s="4278"/>
      <c r="AP69" s="4278"/>
      <c r="AQ69" s="4278"/>
      <c r="AR69" s="4278"/>
      <c r="AS69" s="4278"/>
      <c r="AT69" s="4279"/>
      <c r="AU69" s="4283"/>
      <c r="AV69" s="1188">
        <f t="shared" si="11"/>
        <v>0</v>
      </c>
      <c r="AW69" s="1188">
        <f t="shared" si="12"/>
        <v>0</v>
      </c>
      <c r="AX69" s="1188">
        <f t="shared" si="13"/>
        <v>0</v>
      </c>
      <c r="AY69" s="1452">
        <f t="shared" si="14"/>
        <v>0</v>
      </c>
      <c r="AZ69" s="4284">
        <f t="shared" si="15"/>
        <v>0</v>
      </c>
      <c r="BA69" s="4284">
        <f t="shared" si="16"/>
        <v>0</v>
      </c>
      <c r="BB69" s="4284">
        <f t="shared" si="17"/>
        <v>0</v>
      </c>
      <c r="BC69" s="4284">
        <f t="shared" si="18"/>
        <v>0</v>
      </c>
      <c r="BD69" s="4284">
        <f t="shared" si="19"/>
        <v>0</v>
      </c>
      <c r="BE69" s="4284">
        <f t="shared" si="20"/>
        <v>0</v>
      </c>
      <c r="BF69" s="4284">
        <f t="shared" si="21"/>
        <v>0</v>
      </c>
      <c r="BG69" s="4284">
        <f t="shared" si="22"/>
        <v>0</v>
      </c>
      <c r="BH69" s="4284">
        <f t="shared" si="23"/>
        <v>0</v>
      </c>
      <c r="BI69" s="4284">
        <f t="shared" si="24"/>
        <v>0</v>
      </c>
      <c r="BJ69" s="4284">
        <f t="shared" si="25"/>
        <v>0</v>
      </c>
      <c r="BK69" s="4284">
        <f t="shared" si="26"/>
        <v>0</v>
      </c>
      <c r="BL69" s="4284">
        <f t="shared" si="27"/>
        <v>0</v>
      </c>
      <c r="BM69" s="4284">
        <f t="shared" si="28"/>
        <v>0</v>
      </c>
      <c r="BN69" s="4284">
        <f t="shared" si="29"/>
        <v>0</v>
      </c>
      <c r="BO69" s="4284">
        <f t="shared" si="30"/>
        <v>0</v>
      </c>
      <c r="BP69" s="4284">
        <f t="shared" si="31"/>
        <v>0</v>
      </c>
      <c r="BQ69" s="4284">
        <f t="shared" si="32"/>
        <v>0</v>
      </c>
      <c r="BR69" s="4284">
        <f t="shared" si="33"/>
        <v>0</v>
      </c>
      <c r="BS69" s="4284">
        <f t="shared" si="34"/>
        <v>0</v>
      </c>
      <c r="BT69" s="4285">
        <f t="shared" si="35"/>
        <v>0</v>
      </c>
    </row>
    <row r="70" spans="1:72">
      <c r="A70" s="4278"/>
      <c r="B70" s="4279"/>
      <c r="C70" s="4279"/>
      <c r="D70" s="4280"/>
      <c r="E70" s="1188">
        <f t="shared" si="7"/>
        <v>0</v>
      </c>
      <c r="F70" s="1680"/>
      <c r="G70" s="4281">
        <f t="shared" si="8"/>
        <v>0</v>
      </c>
      <c r="H70" s="3457">
        <f t="shared" si="9"/>
        <v>0</v>
      </c>
      <c r="I70" s="4282"/>
      <c r="J70" s="4282"/>
      <c r="K70" s="4282"/>
      <c r="L70" s="4282"/>
      <c r="M70" s="4282"/>
      <c r="N70" s="4282"/>
      <c r="O70" s="4282"/>
      <c r="P70" s="4282"/>
      <c r="Q70" s="4282"/>
      <c r="R70" s="4282"/>
      <c r="S70" s="4282"/>
      <c r="T70" s="4282"/>
      <c r="U70" s="4282"/>
      <c r="V70" s="4282"/>
      <c r="W70" s="4282"/>
      <c r="X70" s="4282"/>
      <c r="Y70" s="4282"/>
      <c r="Z70" s="4282"/>
      <c r="AA70" s="4282"/>
      <c r="AB70" s="4282"/>
      <c r="AC70" s="1188">
        <f t="shared" si="10"/>
        <v>0</v>
      </c>
      <c r="AD70" s="4278"/>
      <c r="AE70" s="4278"/>
      <c r="AF70" s="4278"/>
      <c r="AG70" s="4278"/>
      <c r="AH70" s="4278"/>
      <c r="AI70" s="4278"/>
      <c r="AJ70" s="4278"/>
      <c r="AK70" s="4278"/>
      <c r="AL70" s="4278"/>
      <c r="AM70" s="4278"/>
      <c r="AN70" s="4278"/>
      <c r="AO70" s="4278"/>
      <c r="AP70" s="4278"/>
      <c r="AQ70" s="4278"/>
      <c r="AR70" s="4278"/>
      <c r="AS70" s="4278"/>
      <c r="AT70" s="4279"/>
      <c r="AU70" s="4283"/>
      <c r="AV70" s="1188">
        <f t="shared" si="11"/>
        <v>0</v>
      </c>
      <c r="AW70" s="1188">
        <f t="shared" si="12"/>
        <v>0</v>
      </c>
      <c r="AX70" s="1188">
        <f t="shared" si="13"/>
        <v>0</v>
      </c>
      <c r="AY70" s="1452">
        <f t="shared" si="14"/>
        <v>0</v>
      </c>
      <c r="AZ70" s="4284">
        <f t="shared" si="15"/>
        <v>0</v>
      </c>
      <c r="BA70" s="4284">
        <f t="shared" si="16"/>
        <v>0</v>
      </c>
      <c r="BB70" s="4284">
        <f t="shared" si="17"/>
        <v>0</v>
      </c>
      <c r="BC70" s="4284">
        <f t="shared" si="18"/>
        <v>0</v>
      </c>
      <c r="BD70" s="4284">
        <f t="shared" si="19"/>
        <v>0</v>
      </c>
      <c r="BE70" s="4284">
        <f t="shared" si="20"/>
        <v>0</v>
      </c>
      <c r="BF70" s="4284">
        <f t="shared" si="21"/>
        <v>0</v>
      </c>
      <c r="BG70" s="4284">
        <f t="shared" si="22"/>
        <v>0</v>
      </c>
      <c r="BH70" s="4284">
        <f t="shared" si="23"/>
        <v>0</v>
      </c>
      <c r="BI70" s="4284">
        <f t="shared" si="24"/>
        <v>0</v>
      </c>
      <c r="BJ70" s="4284">
        <f t="shared" si="25"/>
        <v>0</v>
      </c>
      <c r="BK70" s="4284">
        <f t="shared" si="26"/>
        <v>0</v>
      </c>
      <c r="BL70" s="4284">
        <f t="shared" si="27"/>
        <v>0</v>
      </c>
      <c r="BM70" s="4284">
        <f t="shared" si="28"/>
        <v>0</v>
      </c>
      <c r="BN70" s="4284">
        <f t="shared" si="29"/>
        <v>0</v>
      </c>
      <c r="BO70" s="4284">
        <f t="shared" si="30"/>
        <v>0</v>
      </c>
      <c r="BP70" s="4284">
        <f t="shared" si="31"/>
        <v>0</v>
      </c>
      <c r="BQ70" s="4284">
        <f t="shared" si="32"/>
        <v>0</v>
      </c>
      <c r="BR70" s="4284">
        <f t="shared" si="33"/>
        <v>0</v>
      </c>
      <c r="BS70" s="4284">
        <f t="shared" si="34"/>
        <v>0</v>
      </c>
      <c r="BT70" s="4285">
        <f t="shared" si="35"/>
        <v>0</v>
      </c>
    </row>
    <row r="71" spans="1:72">
      <c r="A71" s="4278"/>
      <c r="B71" s="4279"/>
      <c r="C71" s="4279"/>
      <c r="D71" s="4280"/>
      <c r="E71" s="1188">
        <f t="shared" si="7"/>
        <v>0</v>
      </c>
      <c r="F71" s="1680"/>
      <c r="G71" s="4281">
        <f t="shared" si="8"/>
        <v>0</v>
      </c>
      <c r="H71" s="3457">
        <f t="shared" si="9"/>
        <v>0</v>
      </c>
      <c r="I71" s="4282"/>
      <c r="J71" s="4282"/>
      <c r="K71" s="4282"/>
      <c r="L71" s="4282"/>
      <c r="M71" s="4282"/>
      <c r="N71" s="4282"/>
      <c r="O71" s="4282"/>
      <c r="P71" s="4282"/>
      <c r="Q71" s="4282"/>
      <c r="R71" s="4282"/>
      <c r="S71" s="4282"/>
      <c r="T71" s="4282"/>
      <c r="U71" s="4282"/>
      <c r="V71" s="4282"/>
      <c r="W71" s="4282"/>
      <c r="X71" s="4282"/>
      <c r="Y71" s="4282"/>
      <c r="Z71" s="4282"/>
      <c r="AA71" s="4282"/>
      <c r="AB71" s="4282"/>
      <c r="AC71" s="1188">
        <f t="shared" si="10"/>
        <v>0</v>
      </c>
      <c r="AD71" s="4278"/>
      <c r="AE71" s="4278"/>
      <c r="AF71" s="4278"/>
      <c r="AG71" s="4278"/>
      <c r="AH71" s="4278"/>
      <c r="AI71" s="4278"/>
      <c r="AJ71" s="4278"/>
      <c r="AK71" s="4278"/>
      <c r="AL71" s="4278"/>
      <c r="AM71" s="4278"/>
      <c r="AN71" s="4278"/>
      <c r="AO71" s="4278"/>
      <c r="AP71" s="4278"/>
      <c r="AQ71" s="4278"/>
      <c r="AR71" s="4278"/>
      <c r="AS71" s="4278"/>
      <c r="AT71" s="4279"/>
      <c r="AU71" s="4283"/>
      <c r="AV71" s="1188">
        <f t="shared" si="11"/>
        <v>0</v>
      </c>
      <c r="AW71" s="1188">
        <f t="shared" si="12"/>
        <v>0</v>
      </c>
      <c r="AX71" s="1188">
        <f t="shared" si="13"/>
        <v>0</v>
      </c>
      <c r="AY71" s="1452">
        <f t="shared" si="14"/>
        <v>0</v>
      </c>
      <c r="AZ71" s="4284">
        <f t="shared" si="15"/>
        <v>0</v>
      </c>
      <c r="BA71" s="4284">
        <f t="shared" si="16"/>
        <v>0</v>
      </c>
      <c r="BB71" s="4284">
        <f t="shared" si="17"/>
        <v>0</v>
      </c>
      <c r="BC71" s="4284">
        <f t="shared" si="18"/>
        <v>0</v>
      </c>
      <c r="BD71" s="4284">
        <f t="shared" si="19"/>
        <v>0</v>
      </c>
      <c r="BE71" s="4284">
        <f t="shared" si="20"/>
        <v>0</v>
      </c>
      <c r="BF71" s="4284">
        <f t="shared" si="21"/>
        <v>0</v>
      </c>
      <c r="BG71" s="4284">
        <f t="shared" si="22"/>
        <v>0</v>
      </c>
      <c r="BH71" s="4284">
        <f t="shared" si="23"/>
        <v>0</v>
      </c>
      <c r="BI71" s="4284">
        <f t="shared" si="24"/>
        <v>0</v>
      </c>
      <c r="BJ71" s="4284">
        <f t="shared" si="25"/>
        <v>0</v>
      </c>
      <c r="BK71" s="4284">
        <f t="shared" si="26"/>
        <v>0</v>
      </c>
      <c r="BL71" s="4284">
        <f t="shared" si="27"/>
        <v>0</v>
      </c>
      <c r="BM71" s="4284">
        <f t="shared" si="28"/>
        <v>0</v>
      </c>
      <c r="BN71" s="4284">
        <f t="shared" si="29"/>
        <v>0</v>
      </c>
      <c r="BO71" s="4284">
        <f t="shared" si="30"/>
        <v>0</v>
      </c>
      <c r="BP71" s="4284">
        <f t="shared" si="31"/>
        <v>0</v>
      </c>
      <c r="BQ71" s="4284">
        <f t="shared" si="32"/>
        <v>0</v>
      </c>
      <c r="BR71" s="4284">
        <f t="shared" si="33"/>
        <v>0</v>
      </c>
      <c r="BS71" s="4284">
        <f t="shared" si="34"/>
        <v>0</v>
      </c>
      <c r="BT71" s="4285">
        <f t="shared" si="35"/>
        <v>0</v>
      </c>
    </row>
    <row r="72" spans="1:72">
      <c r="A72" s="4278"/>
      <c r="B72" s="4279"/>
      <c r="C72" s="4279"/>
      <c r="D72" s="4280"/>
      <c r="E72" s="1188">
        <f t="shared" si="7"/>
        <v>0</v>
      </c>
      <c r="F72" s="1680"/>
      <c r="G72" s="4281">
        <f t="shared" si="8"/>
        <v>0</v>
      </c>
      <c r="H72" s="3457">
        <f t="shared" si="9"/>
        <v>0</v>
      </c>
      <c r="I72" s="4282"/>
      <c r="J72" s="4282"/>
      <c r="K72" s="4282"/>
      <c r="L72" s="4282"/>
      <c r="M72" s="4282"/>
      <c r="N72" s="4282"/>
      <c r="O72" s="4282"/>
      <c r="P72" s="4282"/>
      <c r="Q72" s="4282"/>
      <c r="R72" s="4282"/>
      <c r="S72" s="4282"/>
      <c r="T72" s="4282"/>
      <c r="U72" s="4282"/>
      <c r="V72" s="4282"/>
      <c r="W72" s="4282"/>
      <c r="X72" s="4282"/>
      <c r="Y72" s="4282"/>
      <c r="Z72" s="4282"/>
      <c r="AA72" s="4282"/>
      <c r="AB72" s="4282"/>
      <c r="AC72" s="1188">
        <f t="shared" si="10"/>
        <v>0</v>
      </c>
      <c r="AD72" s="4278"/>
      <c r="AE72" s="4278"/>
      <c r="AF72" s="4278"/>
      <c r="AG72" s="4278"/>
      <c r="AH72" s="4278"/>
      <c r="AI72" s="4278"/>
      <c r="AJ72" s="4278"/>
      <c r="AK72" s="4278"/>
      <c r="AL72" s="4278"/>
      <c r="AM72" s="4278"/>
      <c r="AN72" s="4278"/>
      <c r="AO72" s="4278"/>
      <c r="AP72" s="4278"/>
      <c r="AQ72" s="4278"/>
      <c r="AR72" s="4278"/>
      <c r="AS72" s="4278"/>
      <c r="AT72" s="4279"/>
      <c r="AU72" s="4283"/>
      <c r="AV72" s="1188">
        <f t="shared" si="11"/>
        <v>0</v>
      </c>
      <c r="AW72" s="1188">
        <f t="shared" si="12"/>
        <v>0</v>
      </c>
      <c r="AX72" s="1188">
        <f t="shared" si="13"/>
        <v>0</v>
      </c>
      <c r="AY72" s="1452">
        <f t="shared" si="14"/>
        <v>0</v>
      </c>
      <c r="AZ72" s="4284">
        <f t="shared" si="15"/>
        <v>0</v>
      </c>
      <c r="BA72" s="4284">
        <f t="shared" si="16"/>
        <v>0</v>
      </c>
      <c r="BB72" s="4284">
        <f t="shared" si="17"/>
        <v>0</v>
      </c>
      <c r="BC72" s="4284">
        <f t="shared" si="18"/>
        <v>0</v>
      </c>
      <c r="BD72" s="4284">
        <f t="shared" si="19"/>
        <v>0</v>
      </c>
      <c r="BE72" s="4284">
        <f t="shared" si="20"/>
        <v>0</v>
      </c>
      <c r="BF72" s="4284">
        <f t="shared" si="21"/>
        <v>0</v>
      </c>
      <c r="BG72" s="4284">
        <f t="shared" si="22"/>
        <v>0</v>
      </c>
      <c r="BH72" s="4284">
        <f t="shared" si="23"/>
        <v>0</v>
      </c>
      <c r="BI72" s="4284">
        <f t="shared" si="24"/>
        <v>0</v>
      </c>
      <c r="BJ72" s="4284">
        <f t="shared" si="25"/>
        <v>0</v>
      </c>
      <c r="BK72" s="4284">
        <f t="shared" si="26"/>
        <v>0</v>
      </c>
      <c r="BL72" s="4284">
        <f t="shared" si="27"/>
        <v>0</v>
      </c>
      <c r="BM72" s="4284">
        <f t="shared" si="28"/>
        <v>0</v>
      </c>
      <c r="BN72" s="4284">
        <f t="shared" si="29"/>
        <v>0</v>
      </c>
      <c r="BO72" s="4284">
        <f t="shared" si="30"/>
        <v>0</v>
      </c>
      <c r="BP72" s="4284">
        <f t="shared" si="31"/>
        <v>0</v>
      </c>
      <c r="BQ72" s="4284">
        <f t="shared" si="32"/>
        <v>0</v>
      </c>
      <c r="BR72" s="4284">
        <f t="shared" si="33"/>
        <v>0</v>
      </c>
      <c r="BS72" s="4284">
        <f t="shared" si="34"/>
        <v>0</v>
      </c>
      <c r="BT72" s="4285">
        <f t="shared" si="35"/>
        <v>0</v>
      </c>
    </row>
    <row r="73" spans="1:72">
      <c r="A73" s="4278"/>
      <c r="B73" s="4279"/>
      <c r="C73" s="4279"/>
      <c r="D73" s="4280"/>
      <c r="E73" s="1188">
        <f t="shared" si="7"/>
        <v>0</v>
      </c>
      <c r="F73" s="1680"/>
      <c r="G73" s="4281">
        <f t="shared" si="8"/>
        <v>0</v>
      </c>
      <c r="H73" s="3457">
        <f t="shared" si="9"/>
        <v>0</v>
      </c>
      <c r="I73" s="4282"/>
      <c r="J73" s="4282"/>
      <c r="K73" s="4282"/>
      <c r="L73" s="4282"/>
      <c r="M73" s="4282"/>
      <c r="N73" s="4282"/>
      <c r="O73" s="4282"/>
      <c r="P73" s="4282"/>
      <c r="Q73" s="4282"/>
      <c r="R73" s="4282"/>
      <c r="S73" s="4282"/>
      <c r="T73" s="4282"/>
      <c r="U73" s="4282"/>
      <c r="V73" s="4282"/>
      <c r="W73" s="4282"/>
      <c r="X73" s="4282"/>
      <c r="Y73" s="4282"/>
      <c r="Z73" s="4282"/>
      <c r="AA73" s="4282"/>
      <c r="AB73" s="4282"/>
      <c r="AC73" s="1188">
        <f t="shared" si="10"/>
        <v>0</v>
      </c>
      <c r="AD73" s="4278"/>
      <c r="AE73" s="4278"/>
      <c r="AF73" s="4278"/>
      <c r="AG73" s="4278"/>
      <c r="AH73" s="4278"/>
      <c r="AI73" s="4278"/>
      <c r="AJ73" s="4278"/>
      <c r="AK73" s="4278"/>
      <c r="AL73" s="4278"/>
      <c r="AM73" s="4278"/>
      <c r="AN73" s="4278"/>
      <c r="AO73" s="4278"/>
      <c r="AP73" s="4278"/>
      <c r="AQ73" s="4278"/>
      <c r="AR73" s="4278"/>
      <c r="AS73" s="4278"/>
      <c r="AT73" s="4279"/>
      <c r="AU73" s="4283"/>
      <c r="AV73" s="1188">
        <f t="shared" si="11"/>
        <v>0</v>
      </c>
      <c r="AW73" s="1188">
        <f t="shared" si="12"/>
        <v>0</v>
      </c>
      <c r="AX73" s="1188">
        <f t="shared" si="13"/>
        <v>0</v>
      </c>
      <c r="AY73" s="1452">
        <f t="shared" si="14"/>
        <v>0</v>
      </c>
      <c r="AZ73" s="4284">
        <f t="shared" si="15"/>
        <v>0</v>
      </c>
      <c r="BA73" s="4284">
        <f t="shared" si="16"/>
        <v>0</v>
      </c>
      <c r="BB73" s="4284">
        <f t="shared" si="17"/>
        <v>0</v>
      </c>
      <c r="BC73" s="4284">
        <f t="shared" si="18"/>
        <v>0</v>
      </c>
      <c r="BD73" s="4284">
        <f t="shared" si="19"/>
        <v>0</v>
      </c>
      <c r="BE73" s="4284">
        <f t="shared" si="20"/>
        <v>0</v>
      </c>
      <c r="BF73" s="4284">
        <f t="shared" si="21"/>
        <v>0</v>
      </c>
      <c r="BG73" s="4284">
        <f t="shared" si="22"/>
        <v>0</v>
      </c>
      <c r="BH73" s="4284">
        <f t="shared" si="23"/>
        <v>0</v>
      </c>
      <c r="BI73" s="4284">
        <f t="shared" si="24"/>
        <v>0</v>
      </c>
      <c r="BJ73" s="4284">
        <f t="shared" si="25"/>
        <v>0</v>
      </c>
      <c r="BK73" s="4284">
        <f t="shared" si="26"/>
        <v>0</v>
      </c>
      <c r="BL73" s="4284">
        <f t="shared" si="27"/>
        <v>0</v>
      </c>
      <c r="BM73" s="4284">
        <f t="shared" si="28"/>
        <v>0</v>
      </c>
      <c r="BN73" s="4284">
        <f t="shared" si="29"/>
        <v>0</v>
      </c>
      <c r="BO73" s="4284">
        <f t="shared" si="30"/>
        <v>0</v>
      </c>
      <c r="BP73" s="4284">
        <f t="shared" si="31"/>
        <v>0</v>
      </c>
      <c r="BQ73" s="4284">
        <f t="shared" si="32"/>
        <v>0</v>
      </c>
      <c r="BR73" s="4284">
        <f t="shared" si="33"/>
        <v>0</v>
      </c>
      <c r="BS73" s="4284">
        <f t="shared" si="34"/>
        <v>0</v>
      </c>
      <c r="BT73" s="4285">
        <f t="shared" si="35"/>
        <v>0</v>
      </c>
    </row>
    <row r="74" spans="1:72">
      <c r="A74" s="4278"/>
      <c r="B74" s="4279"/>
      <c r="C74" s="4279"/>
      <c r="D74" s="4280"/>
      <c r="E74" s="1188">
        <f t="shared" si="7"/>
        <v>0</v>
      </c>
      <c r="F74" s="1680"/>
      <c r="G74" s="4281">
        <f t="shared" si="8"/>
        <v>0</v>
      </c>
      <c r="H74" s="3457">
        <f t="shared" si="9"/>
        <v>0</v>
      </c>
      <c r="I74" s="4282"/>
      <c r="J74" s="4282"/>
      <c r="K74" s="4282"/>
      <c r="L74" s="4282"/>
      <c r="M74" s="4282"/>
      <c r="N74" s="4282"/>
      <c r="O74" s="4282"/>
      <c r="P74" s="4282"/>
      <c r="Q74" s="4282"/>
      <c r="R74" s="4282"/>
      <c r="S74" s="4282"/>
      <c r="T74" s="4282"/>
      <c r="U74" s="4282"/>
      <c r="V74" s="4282"/>
      <c r="W74" s="4282"/>
      <c r="X74" s="4282"/>
      <c r="Y74" s="4282"/>
      <c r="Z74" s="4282"/>
      <c r="AA74" s="4282"/>
      <c r="AB74" s="4282"/>
      <c r="AC74" s="1188">
        <f t="shared" si="10"/>
        <v>0</v>
      </c>
      <c r="AD74" s="4278"/>
      <c r="AE74" s="4278"/>
      <c r="AF74" s="4278"/>
      <c r="AG74" s="4278"/>
      <c r="AH74" s="4278"/>
      <c r="AI74" s="4278"/>
      <c r="AJ74" s="4278"/>
      <c r="AK74" s="4278"/>
      <c r="AL74" s="4278"/>
      <c r="AM74" s="4278"/>
      <c r="AN74" s="4278"/>
      <c r="AO74" s="4278"/>
      <c r="AP74" s="4278"/>
      <c r="AQ74" s="4278"/>
      <c r="AR74" s="4278"/>
      <c r="AS74" s="4278"/>
      <c r="AT74" s="4279"/>
      <c r="AU74" s="4283"/>
      <c r="AV74" s="1188">
        <f t="shared" si="11"/>
        <v>0</v>
      </c>
      <c r="AW74" s="1188">
        <f t="shared" si="12"/>
        <v>0</v>
      </c>
      <c r="AX74" s="1188">
        <f t="shared" si="13"/>
        <v>0</v>
      </c>
      <c r="AY74" s="1452">
        <f t="shared" si="14"/>
        <v>0</v>
      </c>
      <c r="AZ74" s="4284">
        <f t="shared" si="15"/>
        <v>0</v>
      </c>
      <c r="BA74" s="4284">
        <f t="shared" si="16"/>
        <v>0</v>
      </c>
      <c r="BB74" s="4284">
        <f t="shared" si="17"/>
        <v>0</v>
      </c>
      <c r="BC74" s="4284">
        <f t="shared" si="18"/>
        <v>0</v>
      </c>
      <c r="BD74" s="4284">
        <f t="shared" si="19"/>
        <v>0</v>
      </c>
      <c r="BE74" s="4284">
        <f t="shared" si="20"/>
        <v>0</v>
      </c>
      <c r="BF74" s="4284">
        <f t="shared" si="21"/>
        <v>0</v>
      </c>
      <c r="BG74" s="4284">
        <f t="shared" si="22"/>
        <v>0</v>
      </c>
      <c r="BH74" s="4284">
        <f t="shared" si="23"/>
        <v>0</v>
      </c>
      <c r="BI74" s="4284">
        <f t="shared" si="24"/>
        <v>0</v>
      </c>
      <c r="BJ74" s="4284">
        <f t="shared" si="25"/>
        <v>0</v>
      </c>
      <c r="BK74" s="4284">
        <f t="shared" si="26"/>
        <v>0</v>
      </c>
      <c r="BL74" s="4284">
        <f t="shared" si="27"/>
        <v>0</v>
      </c>
      <c r="BM74" s="4284">
        <f t="shared" si="28"/>
        <v>0</v>
      </c>
      <c r="BN74" s="4284">
        <f t="shared" si="29"/>
        <v>0</v>
      </c>
      <c r="BO74" s="4284">
        <f t="shared" si="30"/>
        <v>0</v>
      </c>
      <c r="BP74" s="4284">
        <f t="shared" si="31"/>
        <v>0</v>
      </c>
      <c r="BQ74" s="4284">
        <f t="shared" si="32"/>
        <v>0</v>
      </c>
      <c r="BR74" s="4284">
        <f t="shared" si="33"/>
        <v>0</v>
      </c>
      <c r="BS74" s="4284">
        <f t="shared" si="34"/>
        <v>0</v>
      </c>
      <c r="BT74" s="4285">
        <f t="shared" si="35"/>
        <v>0</v>
      </c>
    </row>
    <row r="75" spans="1:72">
      <c r="A75" s="4278"/>
      <c r="B75" s="4279"/>
      <c r="C75" s="4279"/>
      <c r="D75" s="4280"/>
      <c r="E75" s="1188">
        <f t="shared" si="7"/>
        <v>0</v>
      </c>
      <c r="F75" s="1680"/>
      <c r="G75" s="4281">
        <f t="shared" si="8"/>
        <v>0</v>
      </c>
      <c r="H75" s="3457">
        <f t="shared" si="9"/>
        <v>0</v>
      </c>
      <c r="I75" s="4282"/>
      <c r="J75" s="4282"/>
      <c r="K75" s="4282"/>
      <c r="L75" s="4282"/>
      <c r="M75" s="4282"/>
      <c r="N75" s="4282"/>
      <c r="O75" s="4282"/>
      <c r="P75" s="4282"/>
      <c r="Q75" s="4282"/>
      <c r="R75" s="4282"/>
      <c r="S75" s="4282"/>
      <c r="T75" s="4282"/>
      <c r="U75" s="4282"/>
      <c r="V75" s="4282"/>
      <c r="W75" s="4282"/>
      <c r="X75" s="4282"/>
      <c r="Y75" s="4282"/>
      <c r="Z75" s="4282"/>
      <c r="AA75" s="4282"/>
      <c r="AB75" s="4282"/>
      <c r="AC75" s="1188">
        <f t="shared" si="10"/>
        <v>0</v>
      </c>
      <c r="AD75" s="4278"/>
      <c r="AE75" s="4278"/>
      <c r="AF75" s="4278"/>
      <c r="AG75" s="4278"/>
      <c r="AH75" s="4278"/>
      <c r="AI75" s="4278"/>
      <c r="AJ75" s="4278"/>
      <c r="AK75" s="4278"/>
      <c r="AL75" s="4278"/>
      <c r="AM75" s="4278"/>
      <c r="AN75" s="4278"/>
      <c r="AO75" s="4278"/>
      <c r="AP75" s="4278"/>
      <c r="AQ75" s="4278"/>
      <c r="AR75" s="4278"/>
      <c r="AS75" s="4278"/>
      <c r="AT75" s="4279"/>
      <c r="AU75" s="4283"/>
      <c r="AV75" s="1188">
        <f t="shared" si="11"/>
        <v>0</v>
      </c>
      <c r="AW75" s="1188">
        <f t="shared" si="12"/>
        <v>0</v>
      </c>
      <c r="AX75" s="1188">
        <f t="shared" si="13"/>
        <v>0</v>
      </c>
      <c r="AY75" s="1452">
        <f t="shared" si="14"/>
        <v>0</v>
      </c>
      <c r="AZ75" s="4284">
        <f t="shared" si="15"/>
        <v>0</v>
      </c>
      <c r="BA75" s="4284">
        <f t="shared" si="16"/>
        <v>0</v>
      </c>
      <c r="BB75" s="4284">
        <f t="shared" si="17"/>
        <v>0</v>
      </c>
      <c r="BC75" s="4284">
        <f t="shared" si="18"/>
        <v>0</v>
      </c>
      <c r="BD75" s="4284">
        <f t="shared" si="19"/>
        <v>0</v>
      </c>
      <c r="BE75" s="4284">
        <f t="shared" si="20"/>
        <v>0</v>
      </c>
      <c r="BF75" s="4284">
        <f t="shared" si="21"/>
        <v>0</v>
      </c>
      <c r="BG75" s="4284">
        <f t="shared" si="22"/>
        <v>0</v>
      </c>
      <c r="BH75" s="4284">
        <f t="shared" si="23"/>
        <v>0</v>
      </c>
      <c r="BI75" s="4284">
        <f t="shared" si="24"/>
        <v>0</v>
      </c>
      <c r="BJ75" s="4284">
        <f t="shared" si="25"/>
        <v>0</v>
      </c>
      <c r="BK75" s="4284">
        <f t="shared" si="26"/>
        <v>0</v>
      </c>
      <c r="BL75" s="4284">
        <f t="shared" si="27"/>
        <v>0</v>
      </c>
      <c r="BM75" s="4284">
        <f t="shared" si="28"/>
        <v>0</v>
      </c>
      <c r="BN75" s="4284">
        <f t="shared" si="29"/>
        <v>0</v>
      </c>
      <c r="BO75" s="4284">
        <f t="shared" si="30"/>
        <v>0</v>
      </c>
      <c r="BP75" s="4284">
        <f t="shared" si="31"/>
        <v>0</v>
      </c>
      <c r="BQ75" s="4284">
        <f t="shared" si="32"/>
        <v>0</v>
      </c>
      <c r="BR75" s="4284">
        <f t="shared" si="33"/>
        <v>0</v>
      </c>
      <c r="BS75" s="4284">
        <f t="shared" si="34"/>
        <v>0</v>
      </c>
      <c r="BT75" s="4285">
        <f t="shared" si="35"/>
        <v>0</v>
      </c>
    </row>
    <row r="76" spans="1:72">
      <c r="A76" s="4278"/>
      <c r="B76" s="4279"/>
      <c r="C76" s="4279"/>
      <c r="D76" s="4280"/>
      <c r="E76" s="1188">
        <f t="shared" si="7"/>
        <v>0</v>
      </c>
      <c r="F76" s="1680"/>
      <c r="G76" s="4281">
        <f t="shared" si="8"/>
        <v>0</v>
      </c>
      <c r="H76" s="3457">
        <f t="shared" si="9"/>
        <v>0</v>
      </c>
      <c r="I76" s="4282"/>
      <c r="J76" s="4282"/>
      <c r="K76" s="4282"/>
      <c r="L76" s="4282"/>
      <c r="M76" s="4282"/>
      <c r="N76" s="4282"/>
      <c r="O76" s="4282"/>
      <c r="P76" s="4282"/>
      <c r="Q76" s="4282"/>
      <c r="R76" s="4282"/>
      <c r="S76" s="4282"/>
      <c r="T76" s="4282"/>
      <c r="U76" s="4282"/>
      <c r="V76" s="4282"/>
      <c r="W76" s="4282"/>
      <c r="X76" s="4282"/>
      <c r="Y76" s="4282"/>
      <c r="Z76" s="4282"/>
      <c r="AA76" s="4282"/>
      <c r="AB76" s="4282"/>
      <c r="AC76" s="1188">
        <f t="shared" si="10"/>
        <v>0</v>
      </c>
      <c r="AD76" s="4278"/>
      <c r="AE76" s="4278"/>
      <c r="AF76" s="4278"/>
      <c r="AG76" s="4278"/>
      <c r="AH76" s="4278"/>
      <c r="AI76" s="4278"/>
      <c r="AJ76" s="4278"/>
      <c r="AK76" s="4278"/>
      <c r="AL76" s="4278"/>
      <c r="AM76" s="4278"/>
      <c r="AN76" s="4278"/>
      <c r="AO76" s="4278"/>
      <c r="AP76" s="4278"/>
      <c r="AQ76" s="4278"/>
      <c r="AR76" s="4278"/>
      <c r="AS76" s="4278"/>
      <c r="AT76" s="4279"/>
      <c r="AU76" s="4283"/>
      <c r="AV76" s="1188">
        <f t="shared" si="11"/>
        <v>0</v>
      </c>
      <c r="AW76" s="1188">
        <f t="shared" si="12"/>
        <v>0</v>
      </c>
      <c r="AX76" s="1188">
        <f t="shared" si="13"/>
        <v>0</v>
      </c>
      <c r="AY76" s="1452">
        <f t="shared" si="14"/>
        <v>0</v>
      </c>
      <c r="AZ76" s="4284">
        <f t="shared" si="15"/>
        <v>0</v>
      </c>
      <c r="BA76" s="4284">
        <f t="shared" si="16"/>
        <v>0</v>
      </c>
      <c r="BB76" s="4284">
        <f t="shared" si="17"/>
        <v>0</v>
      </c>
      <c r="BC76" s="4284">
        <f t="shared" si="18"/>
        <v>0</v>
      </c>
      <c r="BD76" s="4284">
        <f t="shared" si="19"/>
        <v>0</v>
      </c>
      <c r="BE76" s="4284">
        <f t="shared" si="20"/>
        <v>0</v>
      </c>
      <c r="BF76" s="4284">
        <f t="shared" si="21"/>
        <v>0</v>
      </c>
      <c r="BG76" s="4284">
        <f t="shared" si="22"/>
        <v>0</v>
      </c>
      <c r="BH76" s="4284">
        <f t="shared" si="23"/>
        <v>0</v>
      </c>
      <c r="BI76" s="4284">
        <f t="shared" si="24"/>
        <v>0</v>
      </c>
      <c r="BJ76" s="4284">
        <f t="shared" si="25"/>
        <v>0</v>
      </c>
      <c r="BK76" s="4284">
        <f t="shared" si="26"/>
        <v>0</v>
      </c>
      <c r="BL76" s="4284">
        <f t="shared" si="27"/>
        <v>0</v>
      </c>
      <c r="BM76" s="4284">
        <f t="shared" si="28"/>
        <v>0</v>
      </c>
      <c r="BN76" s="4284">
        <f t="shared" si="29"/>
        <v>0</v>
      </c>
      <c r="BO76" s="4284">
        <f t="shared" si="30"/>
        <v>0</v>
      </c>
      <c r="BP76" s="4284">
        <f t="shared" si="31"/>
        <v>0</v>
      </c>
      <c r="BQ76" s="4284">
        <f t="shared" si="32"/>
        <v>0</v>
      </c>
      <c r="BR76" s="4284">
        <f t="shared" si="33"/>
        <v>0</v>
      </c>
      <c r="BS76" s="4284">
        <f t="shared" si="34"/>
        <v>0</v>
      </c>
      <c r="BT76" s="4285">
        <f t="shared" si="35"/>
        <v>0</v>
      </c>
    </row>
    <row r="77" spans="1:72">
      <c r="A77" s="4278"/>
      <c r="B77" s="4279"/>
      <c r="C77" s="4279"/>
      <c r="D77" s="4280"/>
      <c r="E77" s="1188">
        <f t="shared" si="7"/>
        <v>0</v>
      </c>
      <c r="F77" s="1680"/>
      <c r="G77" s="4281">
        <f t="shared" si="8"/>
        <v>0</v>
      </c>
      <c r="H77" s="3457">
        <f t="shared" si="9"/>
        <v>0</v>
      </c>
      <c r="I77" s="4282"/>
      <c r="J77" s="4282"/>
      <c r="K77" s="4282"/>
      <c r="L77" s="4282"/>
      <c r="M77" s="4282"/>
      <c r="N77" s="4282"/>
      <c r="O77" s="4282"/>
      <c r="P77" s="4282"/>
      <c r="Q77" s="4282"/>
      <c r="R77" s="4282"/>
      <c r="S77" s="4282"/>
      <c r="T77" s="4282"/>
      <c r="U77" s="4282"/>
      <c r="V77" s="4282"/>
      <c r="W77" s="4282"/>
      <c r="X77" s="4282"/>
      <c r="Y77" s="4282"/>
      <c r="Z77" s="4282"/>
      <c r="AA77" s="4282"/>
      <c r="AB77" s="4282"/>
      <c r="AC77" s="1188">
        <f t="shared" si="10"/>
        <v>0</v>
      </c>
      <c r="AD77" s="4278"/>
      <c r="AE77" s="4278"/>
      <c r="AF77" s="4278"/>
      <c r="AG77" s="4278"/>
      <c r="AH77" s="4278"/>
      <c r="AI77" s="4278"/>
      <c r="AJ77" s="4278"/>
      <c r="AK77" s="4278"/>
      <c r="AL77" s="4278"/>
      <c r="AM77" s="4278"/>
      <c r="AN77" s="4278"/>
      <c r="AO77" s="4278"/>
      <c r="AP77" s="4278"/>
      <c r="AQ77" s="4278"/>
      <c r="AR77" s="4278"/>
      <c r="AS77" s="4278"/>
      <c r="AT77" s="4279"/>
      <c r="AU77" s="4283"/>
      <c r="AV77" s="1188">
        <f t="shared" si="11"/>
        <v>0</v>
      </c>
      <c r="AW77" s="1188">
        <f t="shared" si="12"/>
        <v>0</v>
      </c>
      <c r="AX77" s="1188">
        <f t="shared" si="13"/>
        <v>0</v>
      </c>
      <c r="AY77" s="1452">
        <f t="shared" si="14"/>
        <v>0</v>
      </c>
      <c r="AZ77" s="4284">
        <f t="shared" si="15"/>
        <v>0</v>
      </c>
      <c r="BA77" s="4284">
        <f t="shared" si="16"/>
        <v>0</v>
      </c>
      <c r="BB77" s="4284">
        <f t="shared" si="17"/>
        <v>0</v>
      </c>
      <c r="BC77" s="4284">
        <f t="shared" si="18"/>
        <v>0</v>
      </c>
      <c r="BD77" s="4284">
        <f t="shared" si="19"/>
        <v>0</v>
      </c>
      <c r="BE77" s="4284">
        <f t="shared" si="20"/>
        <v>0</v>
      </c>
      <c r="BF77" s="4284">
        <f t="shared" si="21"/>
        <v>0</v>
      </c>
      <c r="BG77" s="4284">
        <f t="shared" si="22"/>
        <v>0</v>
      </c>
      <c r="BH77" s="4284">
        <f t="shared" si="23"/>
        <v>0</v>
      </c>
      <c r="BI77" s="4284">
        <f t="shared" si="24"/>
        <v>0</v>
      </c>
      <c r="BJ77" s="4284">
        <f t="shared" si="25"/>
        <v>0</v>
      </c>
      <c r="BK77" s="4284">
        <f t="shared" si="26"/>
        <v>0</v>
      </c>
      <c r="BL77" s="4284">
        <f t="shared" si="27"/>
        <v>0</v>
      </c>
      <c r="BM77" s="4284">
        <f t="shared" si="28"/>
        <v>0</v>
      </c>
      <c r="BN77" s="4284">
        <f t="shared" si="29"/>
        <v>0</v>
      </c>
      <c r="BO77" s="4284">
        <f t="shared" si="30"/>
        <v>0</v>
      </c>
      <c r="BP77" s="4284">
        <f t="shared" si="31"/>
        <v>0</v>
      </c>
      <c r="BQ77" s="4284">
        <f t="shared" si="32"/>
        <v>0</v>
      </c>
      <c r="BR77" s="4284">
        <f t="shared" si="33"/>
        <v>0</v>
      </c>
      <c r="BS77" s="4284">
        <f t="shared" si="34"/>
        <v>0</v>
      </c>
      <c r="BT77" s="4285">
        <f t="shared" si="35"/>
        <v>0</v>
      </c>
    </row>
    <row r="78" spans="1:72">
      <c r="A78" s="4278"/>
      <c r="B78" s="4279"/>
      <c r="C78" s="4279"/>
      <c r="D78" s="4280"/>
      <c r="E78" s="1188">
        <f t="shared" si="7"/>
        <v>0</v>
      </c>
      <c r="F78" s="1680"/>
      <c r="G78" s="4281">
        <f t="shared" si="8"/>
        <v>0</v>
      </c>
      <c r="H78" s="3457">
        <f t="shared" si="9"/>
        <v>0</v>
      </c>
      <c r="I78" s="4282"/>
      <c r="J78" s="4282"/>
      <c r="K78" s="4282"/>
      <c r="L78" s="4282"/>
      <c r="M78" s="4282"/>
      <c r="N78" s="4282"/>
      <c r="O78" s="4282"/>
      <c r="P78" s="4282"/>
      <c r="Q78" s="4282"/>
      <c r="R78" s="4282"/>
      <c r="S78" s="4282"/>
      <c r="T78" s="4282"/>
      <c r="U78" s="4282"/>
      <c r="V78" s="4282"/>
      <c r="W78" s="4282"/>
      <c r="X78" s="4282"/>
      <c r="Y78" s="4282"/>
      <c r="Z78" s="4282"/>
      <c r="AA78" s="4282"/>
      <c r="AB78" s="4282"/>
      <c r="AC78" s="1188">
        <f t="shared" si="10"/>
        <v>0</v>
      </c>
      <c r="AD78" s="4278"/>
      <c r="AE78" s="4278"/>
      <c r="AF78" s="4278"/>
      <c r="AG78" s="4278"/>
      <c r="AH78" s="4278"/>
      <c r="AI78" s="4278"/>
      <c r="AJ78" s="4278"/>
      <c r="AK78" s="4278"/>
      <c r="AL78" s="4278"/>
      <c r="AM78" s="4278"/>
      <c r="AN78" s="4278"/>
      <c r="AO78" s="4278"/>
      <c r="AP78" s="4278"/>
      <c r="AQ78" s="4278"/>
      <c r="AR78" s="4278"/>
      <c r="AS78" s="4278"/>
      <c r="AT78" s="4279"/>
      <c r="AU78" s="4283"/>
      <c r="AV78" s="1188">
        <f t="shared" si="11"/>
        <v>0</v>
      </c>
      <c r="AW78" s="1188">
        <f t="shared" si="12"/>
        <v>0</v>
      </c>
      <c r="AX78" s="1188">
        <f t="shared" si="13"/>
        <v>0</v>
      </c>
      <c r="AY78" s="1452">
        <f t="shared" si="14"/>
        <v>0</v>
      </c>
      <c r="AZ78" s="4284">
        <f t="shared" si="15"/>
        <v>0</v>
      </c>
      <c r="BA78" s="4284">
        <f t="shared" si="16"/>
        <v>0</v>
      </c>
      <c r="BB78" s="4284">
        <f t="shared" si="17"/>
        <v>0</v>
      </c>
      <c r="BC78" s="4284">
        <f t="shared" si="18"/>
        <v>0</v>
      </c>
      <c r="BD78" s="4284">
        <f t="shared" si="19"/>
        <v>0</v>
      </c>
      <c r="BE78" s="4284">
        <f t="shared" si="20"/>
        <v>0</v>
      </c>
      <c r="BF78" s="4284">
        <f t="shared" si="21"/>
        <v>0</v>
      </c>
      <c r="BG78" s="4284">
        <f t="shared" si="22"/>
        <v>0</v>
      </c>
      <c r="BH78" s="4284">
        <f t="shared" si="23"/>
        <v>0</v>
      </c>
      <c r="BI78" s="4284">
        <f t="shared" si="24"/>
        <v>0</v>
      </c>
      <c r="BJ78" s="4284">
        <f t="shared" si="25"/>
        <v>0</v>
      </c>
      <c r="BK78" s="4284">
        <f t="shared" si="26"/>
        <v>0</v>
      </c>
      <c r="BL78" s="4284">
        <f t="shared" si="27"/>
        <v>0</v>
      </c>
      <c r="BM78" s="4284">
        <f t="shared" si="28"/>
        <v>0</v>
      </c>
      <c r="BN78" s="4284">
        <f t="shared" si="29"/>
        <v>0</v>
      </c>
      <c r="BO78" s="4284">
        <f t="shared" si="30"/>
        <v>0</v>
      </c>
      <c r="BP78" s="4284">
        <f t="shared" si="31"/>
        <v>0</v>
      </c>
      <c r="BQ78" s="4284">
        <f t="shared" si="32"/>
        <v>0</v>
      </c>
      <c r="BR78" s="4284">
        <f t="shared" si="33"/>
        <v>0</v>
      </c>
      <c r="BS78" s="4284">
        <f t="shared" si="34"/>
        <v>0</v>
      </c>
      <c r="BT78" s="4285">
        <f t="shared" si="35"/>
        <v>0</v>
      </c>
    </row>
    <row r="79" spans="1:72">
      <c r="A79" s="4278"/>
      <c r="B79" s="4279"/>
      <c r="C79" s="4279"/>
      <c r="D79" s="4280"/>
      <c r="E79" s="1188">
        <f t="shared" si="7"/>
        <v>0</v>
      </c>
      <c r="F79" s="1680"/>
      <c r="G79" s="4281">
        <f t="shared" si="8"/>
        <v>0</v>
      </c>
      <c r="H79" s="3457">
        <f t="shared" si="9"/>
        <v>0</v>
      </c>
      <c r="I79" s="4282"/>
      <c r="J79" s="4282"/>
      <c r="K79" s="4282"/>
      <c r="L79" s="4282"/>
      <c r="M79" s="4282"/>
      <c r="N79" s="4282"/>
      <c r="O79" s="4282"/>
      <c r="P79" s="4282"/>
      <c r="Q79" s="4282"/>
      <c r="R79" s="4282"/>
      <c r="S79" s="4282"/>
      <c r="T79" s="4282"/>
      <c r="U79" s="4282"/>
      <c r="V79" s="4282"/>
      <c r="W79" s="4282"/>
      <c r="X79" s="4282"/>
      <c r="Y79" s="4282"/>
      <c r="Z79" s="4282"/>
      <c r="AA79" s="4282"/>
      <c r="AB79" s="4282"/>
      <c r="AC79" s="1188">
        <f t="shared" si="10"/>
        <v>0</v>
      </c>
      <c r="AD79" s="4278"/>
      <c r="AE79" s="4278"/>
      <c r="AF79" s="4278"/>
      <c r="AG79" s="4278"/>
      <c r="AH79" s="4278"/>
      <c r="AI79" s="4278"/>
      <c r="AJ79" s="4278"/>
      <c r="AK79" s="4278"/>
      <c r="AL79" s="4278"/>
      <c r="AM79" s="4278"/>
      <c r="AN79" s="4278"/>
      <c r="AO79" s="4278"/>
      <c r="AP79" s="4278"/>
      <c r="AQ79" s="4278"/>
      <c r="AR79" s="4278"/>
      <c r="AS79" s="4278"/>
      <c r="AT79" s="4279"/>
      <c r="AU79" s="4283"/>
      <c r="AV79" s="1188">
        <f t="shared" si="11"/>
        <v>0</v>
      </c>
      <c r="AW79" s="1188">
        <f t="shared" si="12"/>
        <v>0</v>
      </c>
      <c r="AX79" s="1188">
        <f t="shared" si="13"/>
        <v>0</v>
      </c>
      <c r="AY79" s="1452">
        <f t="shared" si="14"/>
        <v>0</v>
      </c>
      <c r="AZ79" s="4284">
        <f t="shared" si="15"/>
        <v>0</v>
      </c>
      <c r="BA79" s="4284">
        <f t="shared" si="16"/>
        <v>0</v>
      </c>
      <c r="BB79" s="4284">
        <f t="shared" si="17"/>
        <v>0</v>
      </c>
      <c r="BC79" s="4284">
        <f t="shared" si="18"/>
        <v>0</v>
      </c>
      <c r="BD79" s="4284">
        <f t="shared" si="19"/>
        <v>0</v>
      </c>
      <c r="BE79" s="4284">
        <f t="shared" si="20"/>
        <v>0</v>
      </c>
      <c r="BF79" s="4284">
        <f t="shared" si="21"/>
        <v>0</v>
      </c>
      <c r="BG79" s="4284">
        <f t="shared" si="22"/>
        <v>0</v>
      </c>
      <c r="BH79" s="4284">
        <f t="shared" si="23"/>
        <v>0</v>
      </c>
      <c r="BI79" s="4284">
        <f t="shared" si="24"/>
        <v>0</v>
      </c>
      <c r="BJ79" s="4284">
        <f t="shared" si="25"/>
        <v>0</v>
      </c>
      <c r="BK79" s="4284">
        <f t="shared" si="26"/>
        <v>0</v>
      </c>
      <c r="BL79" s="4284">
        <f t="shared" si="27"/>
        <v>0</v>
      </c>
      <c r="BM79" s="4284">
        <f t="shared" si="28"/>
        <v>0</v>
      </c>
      <c r="BN79" s="4284">
        <f t="shared" si="29"/>
        <v>0</v>
      </c>
      <c r="BO79" s="4284">
        <f t="shared" si="30"/>
        <v>0</v>
      </c>
      <c r="BP79" s="4284">
        <f t="shared" si="31"/>
        <v>0</v>
      </c>
      <c r="BQ79" s="4284">
        <f t="shared" si="32"/>
        <v>0</v>
      </c>
      <c r="BR79" s="4284">
        <f t="shared" si="33"/>
        <v>0</v>
      </c>
      <c r="BS79" s="4284">
        <f t="shared" si="34"/>
        <v>0</v>
      </c>
      <c r="BT79" s="4285">
        <f t="shared" si="35"/>
        <v>0</v>
      </c>
    </row>
    <row r="80" spans="1:72">
      <c r="A80" s="4278"/>
      <c r="B80" s="4279"/>
      <c r="C80" s="4279"/>
      <c r="D80" s="4280"/>
      <c r="E80" s="1188">
        <f t="shared" si="7"/>
        <v>0</v>
      </c>
      <c r="F80" s="1680"/>
      <c r="G80" s="4281">
        <f t="shared" si="8"/>
        <v>0</v>
      </c>
      <c r="H80" s="3457">
        <f t="shared" si="9"/>
        <v>0</v>
      </c>
      <c r="I80" s="4282"/>
      <c r="J80" s="4282"/>
      <c r="K80" s="4282"/>
      <c r="L80" s="4282"/>
      <c r="M80" s="4282"/>
      <c r="N80" s="4282"/>
      <c r="O80" s="4282"/>
      <c r="P80" s="4282"/>
      <c r="Q80" s="4282"/>
      <c r="R80" s="4282"/>
      <c r="S80" s="4282"/>
      <c r="T80" s="4282"/>
      <c r="U80" s="4282"/>
      <c r="V80" s="4282"/>
      <c r="W80" s="4282"/>
      <c r="X80" s="4282"/>
      <c r="Y80" s="4282"/>
      <c r="Z80" s="4282"/>
      <c r="AA80" s="4282"/>
      <c r="AB80" s="4282"/>
      <c r="AC80" s="1188">
        <f t="shared" si="10"/>
        <v>0</v>
      </c>
      <c r="AD80" s="4278"/>
      <c r="AE80" s="4278"/>
      <c r="AF80" s="4278"/>
      <c r="AG80" s="4278"/>
      <c r="AH80" s="4278"/>
      <c r="AI80" s="4278"/>
      <c r="AJ80" s="4278"/>
      <c r="AK80" s="4278"/>
      <c r="AL80" s="4278"/>
      <c r="AM80" s="4278"/>
      <c r="AN80" s="4278"/>
      <c r="AO80" s="4278"/>
      <c r="AP80" s="4278"/>
      <c r="AQ80" s="4278"/>
      <c r="AR80" s="4278"/>
      <c r="AS80" s="4278"/>
      <c r="AT80" s="4279"/>
      <c r="AU80" s="4283"/>
      <c r="AV80" s="1188">
        <f t="shared" si="11"/>
        <v>0</v>
      </c>
      <c r="AW80" s="1188">
        <f t="shared" si="12"/>
        <v>0</v>
      </c>
      <c r="AX80" s="1188">
        <f t="shared" si="13"/>
        <v>0</v>
      </c>
      <c r="AY80" s="1452">
        <f t="shared" si="14"/>
        <v>0</v>
      </c>
      <c r="AZ80" s="4284">
        <f t="shared" si="15"/>
        <v>0</v>
      </c>
      <c r="BA80" s="4284">
        <f t="shared" si="16"/>
        <v>0</v>
      </c>
      <c r="BB80" s="4284">
        <f t="shared" si="17"/>
        <v>0</v>
      </c>
      <c r="BC80" s="4284">
        <f t="shared" si="18"/>
        <v>0</v>
      </c>
      <c r="BD80" s="4284">
        <f t="shared" si="19"/>
        <v>0</v>
      </c>
      <c r="BE80" s="4284">
        <f t="shared" si="20"/>
        <v>0</v>
      </c>
      <c r="BF80" s="4284">
        <f t="shared" si="21"/>
        <v>0</v>
      </c>
      <c r="BG80" s="4284">
        <f t="shared" si="22"/>
        <v>0</v>
      </c>
      <c r="BH80" s="4284">
        <f t="shared" si="23"/>
        <v>0</v>
      </c>
      <c r="BI80" s="4284">
        <f t="shared" si="24"/>
        <v>0</v>
      </c>
      <c r="BJ80" s="4284">
        <f t="shared" si="25"/>
        <v>0</v>
      </c>
      <c r="BK80" s="4284">
        <f t="shared" si="26"/>
        <v>0</v>
      </c>
      <c r="BL80" s="4284">
        <f t="shared" si="27"/>
        <v>0</v>
      </c>
      <c r="BM80" s="4284">
        <f t="shared" si="28"/>
        <v>0</v>
      </c>
      <c r="BN80" s="4284">
        <f t="shared" si="29"/>
        <v>0</v>
      </c>
      <c r="BO80" s="4284">
        <f t="shared" si="30"/>
        <v>0</v>
      </c>
      <c r="BP80" s="4284">
        <f t="shared" si="31"/>
        <v>0</v>
      </c>
      <c r="BQ80" s="4284">
        <f t="shared" si="32"/>
        <v>0</v>
      </c>
      <c r="BR80" s="4284">
        <f t="shared" si="33"/>
        <v>0</v>
      </c>
      <c r="BS80" s="4284">
        <f t="shared" si="34"/>
        <v>0</v>
      </c>
      <c r="BT80" s="4285">
        <f t="shared" si="35"/>
        <v>0</v>
      </c>
    </row>
    <row r="81" spans="1:72">
      <c r="A81" s="4278"/>
      <c r="B81" s="4279"/>
      <c r="C81" s="4279"/>
      <c r="D81" s="4280"/>
      <c r="E81" s="1188">
        <f t="shared" si="7"/>
        <v>0</v>
      </c>
      <c r="F81" s="1680"/>
      <c r="G81" s="4281">
        <f t="shared" si="8"/>
        <v>0</v>
      </c>
      <c r="H81" s="3457">
        <f t="shared" si="9"/>
        <v>0</v>
      </c>
      <c r="I81" s="4282"/>
      <c r="J81" s="4282"/>
      <c r="K81" s="4282"/>
      <c r="L81" s="4282"/>
      <c r="M81" s="4282"/>
      <c r="N81" s="4282"/>
      <c r="O81" s="4282"/>
      <c r="P81" s="4282"/>
      <c r="Q81" s="4282"/>
      <c r="R81" s="4282"/>
      <c r="S81" s="4282"/>
      <c r="T81" s="4282"/>
      <c r="U81" s="4282"/>
      <c r="V81" s="4282"/>
      <c r="W81" s="4282"/>
      <c r="X81" s="4282"/>
      <c r="Y81" s="4282"/>
      <c r="Z81" s="4282"/>
      <c r="AA81" s="4282"/>
      <c r="AB81" s="4282"/>
      <c r="AC81" s="1188">
        <f t="shared" si="10"/>
        <v>0</v>
      </c>
      <c r="AD81" s="4278"/>
      <c r="AE81" s="4278"/>
      <c r="AF81" s="4278"/>
      <c r="AG81" s="4278"/>
      <c r="AH81" s="4278"/>
      <c r="AI81" s="4278"/>
      <c r="AJ81" s="4278"/>
      <c r="AK81" s="4278"/>
      <c r="AL81" s="4278"/>
      <c r="AM81" s="4278"/>
      <c r="AN81" s="4278"/>
      <c r="AO81" s="4278"/>
      <c r="AP81" s="4278"/>
      <c r="AQ81" s="4278"/>
      <c r="AR81" s="4278"/>
      <c r="AS81" s="4278"/>
      <c r="AT81" s="4279"/>
      <c r="AU81" s="4283"/>
      <c r="AV81" s="1188">
        <f t="shared" si="11"/>
        <v>0</v>
      </c>
      <c r="AW81" s="1188">
        <f t="shared" si="12"/>
        <v>0</v>
      </c>
      <c r="AX81" s="1188">
        <f t="shared" si="13"/>
        <v>0</v>
      </c>
      <c r="AY81" s="1452">
        <f t="shared" si="14"/>
        <v>0</v>
      </c>
      <c r="AZ81" s="4284">
        <f t="shared" si="15"/>
        <v>0</v>
      </c>
      <c r="BA81" s="4284">
        <f t="shared" si="16"/>
        <v>0</v>
      </c>
      <c r="BB81" s="4284">
        <f t="shared" si="17"/>
        <v>0</v>
      </c>
      <c r="BC81" s="4284">
        <f t="shared" si="18"/>
        <v>0</v>
      </c>
      <c r="BD81" s="4284">
        <f t="shared" si="19"/>
        <v>0</v>
      </c>
      <c r="BE81" s="4284">
        <f t="shared" si="20"/>
        <v>0</v>
      </c>
      <c r="BF81" s="4284">
        <f t="shared" si="21"/>
        <v>0</v>
      </c>
      <c r="BG81" s="4284">
        <f t="shared" si="22"/>
        <v>0</v>
      </c>
      <c r="BH81" s="4284">
        <f t="shared" si="23"/>
        <v>0</v>
      </c>
      <c r="BI81" s="4284">
        <f t="shared" si="24"/>
        <v>0</v>
      </c>
      <c r="BJ81" s="4284">
        <f t="shared" si="25"/>
        <v>0</v>
      </c>
      <c r="BK81" s="4284">
        <f t="shared" si="26"/>
        <v>0</v>
      </c>
      <c r="BL81" s="4284">
        <f t="shared" si="27"/>
        <v>0</v>
      </c>
      <c r="BM81" s="4284">
        <f t="shared" si="28"/>
        <v>0</v>
      </c>
      <c r="BN81" s="4284">
        <f t="shared" si="29"/>
        <v>0</v>
      </c>
      <c r="BO81" s="4284">
        <f t="shared" si="30"/>
        <v>0</v>
      </c>
      <c r="BP81" s="4284">
        <f t="shared" si="31"/>
        <v>0</v>
      </c>
      <c r="BQ81" s="4284">
        <f t="shared" si="32"/>
        <v>0</v>
      </c>
      <c r="BR81" s="4284">
        <f t="shared" si="33"/>
        <v>0</v>
      </c>
      <c r="BS81" s="4284">
        <f t="shared" si="34"/>
        <v>0</v>
      </c>
      <c r="BT81" s="4285">
        <f t="shared" si="35"/>
        <v>0</v>
      </c>
    </row>
    <row r="82" spans="1:72">
      <c r="A82" s="4278"/>
      <c r="B82" s="4279"/>
      <c r="C82" s="4279"/>
      <c r="D82" s="4280"/>
      <c r="E82" s="1188">
        <f t="shared" si="7"/>
        <v>0</v>
      </c>
      <c r="F82" s="1680"/>
      <c r="G82" s="4281">
        <f t="shared" si="8"/>
        <v>0</v>
      </c>
      <c r="H82" s="3457">
        <f t="shared" si="9"/>
        <v>0</v>
      </c>
      <c r="I82" s="4282"/>
      <c r="J82" s="4282"/>
      <c r="K82" s="4282"/>
      <c r="L82" s="4282"/>
      <c r="M82" s="4282"/>
      <c r="N82" s="4282"/>
      <c r="O82" s="4282"/>
      <c r="P82" s="4282"/>
      <c r="Q82" s="4282"/>
      <c r="R82" s="4282"/>
      <c r="S82" s="4282"/>
      <c r="T82" s="4282"/>
      <c r="U82" s="4282"/>
      <c r="V82" s="4282"/>
      <c r="W82" s="4282"/>
      <c r="X82" s="4282"/>
      <c r="Y82" s="4282"/>
      <c r="Z82" s="4282"/>
      <c r="AA82" s="4282"/>
      <c r="AB82" s="4282"/>
      <c r="AC82" s="1188">
        <f t="shared" si="10"/>
        <v>0</v>
      </c>
      <c r="AD82" s="4278"/>
      <c r="AE82" s="4278"/>
      <c r="AF82" s="4278"/>
      <c r="AG82" s="4278"/>
      <c r="AH82" s="4278"/>
      <c r="AI82" s="4278"/>
      <c r="AJ82" s="4278"/>
      <c r="AK82" s="4278"/>
      <c r="AL82" s="4278"/>
      <c r="AM82" s="4278"/>
      <c r="AN82" s="4278"/>
      <c r="AO82" s="4278"/>
      <c r="AP82" s="4278"/>
      <c r="AQ82" s="4278"/>
      <c r="AR82" s="4278"/>
      <c r="AS82" s="4278"/>
      <c r="AT82" s="4279"/>
      <c r="AU82" s="4283"/>
      <c r="AV82" s="1188">
        <f t="shared" si="11"/>
        <v>0</v>
      </c>
      <c r="AW82" s="1188">
        <f t="shared" si="12"/>
        <v>0</v>
      </c>
      <c r="AX82" s="1188">
        <f t="shared" si="13"/>
        <v>0</v>
      </c>
      <c r="AY82" s="1452">
        <f t="shared" si="14"/>
        <v>0</v>
      </c>
      <c r="AZ82" s="4284">
        <f t="shared" si="15"/>
        <v>0</v>
      </c>
      <c r="BA82" s="4284">
        <f t="shared" si="16"/>
        <v>0</v>
      </c>
      <c r="BB82" s="4284">
        <f t="shared" si="17"/>
        <v>0</v>
      </c>
      <c r="BC82" s="4284">
        <f t="shared" si="18"/>
        <v>0</v>
      </c>
      <c r="BD82" s="4284">
        <f t="shared" si="19"/>
        <v>0</v>
      </c>
      <c r="BE82" s="4284">
        <f t="shared" si="20"/>
        <v>0</v>
      </c>
      <c r="BF82" s="4284">
        <f t="shared" si="21"/>
        <v>0</v>
      </c>
      <c r="BG82" s="4284">
        <f t="shared" si="22"/>
        <v>0</v>
      </c>
      <c r="BH82" s="4284">
        <f t="shared" si="23"/>
        <v>0</v>
      </c>
      <c r="BI82" s="4284">
        <f t="shared" si="24"/>
        <v>0</v>
      </c>
      <c r="BJ82" s="4284">
        <f t="shared" si="25"/>
        <v>0</v>
      </c>
      <c r="BK82" s="4284">
        <f t="shared" si="26"/>
        <v>0</v>
      </c>
      <c r="BL82" s="4284">
        <f t="shared" si="27"/>
        <v>0</v>
      </c>
      <c r="BM82" s="4284">
        <f t="shared" si="28"/>
        <v>0</v>
      </c>
      <c r="BN82" s="4284">
        <f t="shared" si="29"/>
        <v>0</v>
      </c>
      <c r="BO82" s="4284">
        <f t="shared" si="30"/>
        <v>0</v>
      </c>
      <c r="BP82" s="4284">
        <f t="shared" si="31"/>
        <v>0</v>
      </c>
      <c r="BQ82" s="4284">
        <f t="shared" si="32"/>
        <v>0</v>
      </c>
      <c r="BR82" s="4284">
        <f t="shared" si="33"/>
        <v>0</v>
      </c>
      <c r="BS82" s="4284">
        <f t="shared" si="34"/>
        <v>0</v>
      </c>
      <c r="BT82" s="4285">
        <f t="shared" si="35"/>
        <v>0</v>
      </c>
    </row>
    <row r="83" spans="1:72">
      <c r="A83" s="4278"/>
      <c r="B83" s="4279"/>
      <c r="C83" s="4279"/>
      <c r="D83" s="4280"/>
      <c r="E83" s="1188">
        <f t="shared" si="7"/>
        <v>0</v>
      </c>
      <c r="F83" s="1680"/>
      <c r="G83" s="4281">
        <f t="shared" si="8"/>
        <v>0</v>
      </c>
      <c r="H83" s="3457">
        <f t="shared" si="9"/>
        <v>0</v>
      </c>
      <c r="I83" s="4282"/>
      <c r="J83" s="4282"/>
      <c r="K83" s="4282"/>
      <c r="L83" s="4282"/>
      <c r="M83" s="4282"/>
      <c r="N83" s="4282"/>
      <c r="O83" s="4282"/>
      <c r="P83" s="4282"/>
      <c r="Q83" s="4282"/>
      <c r="R83" s="4282"/>
      <c r="S83" s="4282"/>
      <c r="T83" s="4282"/>
      <c r="U83" s="4282"/>
      <c r="V83" s="4282"/>
      <c r="W83" s="4282"/>
      <c r="X83" s="4282"/>
      <c r="Y83" s="4282"/>
      <c r="Z83" s="4282"/>
      <c r="AA83" s="4282"/>
      <c r="AB83" s="4282"/>
      <c r="AC83" s="1188">
        <f t="shared" si="10"/>
        <v>0</v>
      </c>
      <c r="AD83" s="4278"/>
      <c r="AE83" s="4278"/>
      <c r="AF83" s="4278"/>
      <c r="AG83" s="4278"/>
      <c r="AH83" s="4278"/>
      <c r="AI83" s="4278"/>
      <c r="AJ83" s="4278"/>
      <c r="AK83" s="4278"/>
      <c r="AL83" s="4278"/>
      <c r="AM83" s="4278"/>
      <c r="AN83" s="4278"/>
      <c r="AO83" s="4278"/>
      <c r="AP83" s="4278"/>
      <c r="AQ83" s="4278"/>
      <c r="AR83" s="4278"/>
      <c r="AS83" s="4278"/>
      <c r="AT83" s="4279"/>
      <c r="AU83" s="4283"/>
      <c r="AV83" s="1188">
        <f t="shared" si="11"/>
        <v>0</v>
      </c>
      <c r="AW83" s="1188">
        <f t="shared" si="12"/>
        <v>0</v>
      </c>
      <c r="AX83" s="1188">
        <f t="shared" si="13"/>
        <v>0</v>
      </c>
      <c r="AY83" s="1452">
        <f t="shared" si="14"/>
        <v>0</v>
      </c>
      <c r="AZ83" s="4284">
        <f t="shared" si="15"/>
        <v>0</v>
      </c>
      <c r="BA83" s="4284">
        <f t="shared" si="16"/>
        <v>0</v>
      </c>
      <c r="BB83" s="4284">
        <f t="shared" si="17"/>
        <v>0</v>
      </c>
      <c r="BC83" s="4284">
        <f t="shared" si="18"/>
        <v>0</v>
      </c>
      <c r="BD83" s="4284">
        <f t="shared" si="19"/>
        <v>0</v>
      </c>
      <c r="BE83" s="4284">
        <f t="shared" si="20"/>
        <v>0</v>
      </c>
      <c r="BF83" s="4284">
        <f t="shared" si="21"/>
        <v>0</v>
      </c>
      <c r="BG83" s="4284">
        <f t="shared" si="22"/>
        <v>0</v>
      </c>
      <c r="BH83" s="4284">
        <f t="shared" si="23"/>
        <v>0</v>
      </c>
      <c r="BI83" s="4284">
        <f t="shared" si="24"/>
        <v>0</v>
      </c>
      <c r="BJ83" s="4284">
        <f t="shared" si="25"/>
        <v>0</v>
      </c>
      <c r="BK83" s="4284">
        <f t="shared" si="26"/>
        <v>0</v>
      </c>
      <c r="BL83" s="4284">
        <f t="shared" si="27"/>
        <v>0</v>
      </c>
      <c r="BM83" s="4284">
        <f t="shared" si="28"/>
        <v>0</v>
      </c>
      <c r="BN83" s="4284">
        <f t="shared" si="29"/>
        <v>0</v>
      </c>
      <c r="BO83" s="4284">
        <f t="shared" si="30"/>
        <v>0</v>
      </c>
      <c r="BP83" s="4284">
        <f t="shared" si="31"/>
        <v>0</v>
      </c>
      <c r="BQ83" s="4284">
        <f t="shared" si="32"/>
        <v>0</v>
      </c>
      <c r="BR83" s="4284">
        <f t="shared" si="33"/>
        <v>0</v>
      </c>
      <c r="BS83" s="4284">
        <f t="shared" si="34"/>
        <v>0</v>
      </c>
      <c r="BT83" s="4285">
        <f t="shared" si="35"/>
        <v>0</v>
      </c>
    </row>
    <row r="84" spans="1:72">
      <c r="A84" s="4278"/>
      <c r="B84" s="4279"/>
      <c r="C84" s="4279"/>
      <c r="D84" s="4280"/>
      <c r="E84" s="1188">
        <f t="shared" si="7"/>
        <v>0</v>
      </c>
      <c r="F84" s="1680"/>
      <c r="G84" s="4281">
        <f t="shared" si="8"/>
        <v>0</v>
      </c>
      <c r="H84" s="3457">
        <f t="shared" si="9"/>
        <v>0</v>
      </c>
      <c r="I84" s="4282"/>
      <c r="J84" s="4282"/>
      <c r="K84" s="4282"/>
      <c r="L84" s="4282"/>
      <c r="M84" s="4282"/>
      <c r="N84" s="4282"/>
      <c r="O84" s="4282"/>
      <c r="P84" s="4282"/>
      <c r="Q84" s="4282"/>
      <c r="R84" s="4282"/>
      <c r="S84" s="4282"/>
      <c r="T84" s="4282"/>
      <c r="U84" s="4282"/>
      <c r="V84" s="4282"/>
      <c r="W84" s="4282"/>
      <c r="X84" s="4282"/>
      <c r="Y84" s="4282"/>
      <c r="Z84" s="4282"/>
      <c r="AA84" s="4282"/>
      <c r="AB84" s="4282"/>
      <c r="AC84" s="1188">
        <f t="shared" si="10"/>
        <v>0</v>
      </c>
      <c r="AD84" s="4278"/>
      <c r="AE84" s="4278"/>
      <c r="AF84" s="4278"/>
      <c r="AG84" s="4278"/>
      <c r="AH84" s="4278"/>
      <c r="AI84" s="4278"/>
      <c r="AJ84" s="4278"/>
      <c r="AK84" s="4278"/>
      <c r="AL84" s="4278"/>
      <c r="AM84" s="4278"/>
      <c r="AN84" s="4278"/>
      <c r="AO84" s="4278"/>
      <c r="AP84" s="4278"/>
      <c r="AQ84" s="4278"/>
      <c r="AR84" s="4278"/>
      <c r="AS84" s="4278"/>
      <c r="AT84" s="4279"/>
      <c r="AU84" s="4283"/>
      <c r="AV84" s="1188">
        <f t="shared" si="11"/>
        <v>0</v>
      </c>
      <c r="AW84" s="1188">
        <f t="shared" si="12"/>
        <v>0</v>
      </c>
      <c r="AX84" s="1188">
        <f t="shared" si="13"/>
        <v>0</v>
      </c>
      <c r="AY84" s="1452">
        <f t="shared" si="14"/>
        <v>0</v>
      </c>
      <c r="AZ84" s="4284">
        <f t="shared" si="15"/>
        <v>0</v>
      </c>
      <c r="BA84" s="4284">
        <f t="shared" si="16"/>
        <v>0</v>
      </c>
      <c r="BB84" s="4284">
        <f t="shared" si="17"/>
        <v>0</v>
      </c>
      <c r="BC84" s="4284">
        <f t="shared" si="18"/>
        <v>0</v>
      </c>
      <c r="BD84" s="4284">
        <f t="shared" si="19"/>
        <v>0</v>
      </c>
      <c r="BE84" s="4284">
        <f t="shared" si="20"/>
        <v>0</v>
      </c>
      <c r="BF84" s="4284">
        <f t="shared" si="21"/>
        <v>0</v>
      </c>
      <c r="BG84" s="4284">
        <f t="shared" si="22"/>
        <v>0</v>
      </c>
      <c r="BH84" s="4284">
        <f t="shared" si="23"/>
        <v>0</v>
      </c>
      <c r="BI84" s="4284">
        <f t="shared" si="24"/>
        <v>0</v>
      </c>
      <c r="BJ84" s="4284">
        <f t="shared" si="25"/>
        <v>0</v>
      </c>
      <c r="BK84" s="4284">
        <f t="shared" si="26"/>
        <v>0</v>
      </c>
      <c r="BL84" s="4284">
        <f t="shared" si="27"/>
        <v>0</v>
      </c>
      <c r="BM84" s="4284">
        <f t="shared" si="28"/>
        <v>0</v>
      </c>
      <c r="BN84" s="4284">
        <f t="shared" si="29"/>
        <v>0</v>
      </c>
      <c r="BO84" s="4284">
        <f t="shared" si="30"/>
        <v>0</v>
      </c>
      <c r="BP84" s="4284">
        <f t="shared" si="31"/>
        <v>0</v>
      </c>
      <c r="BQ84" s="4284">
        <f t="shared" si="32"/>
        <v>0</v>
      </c>
      <c r="BR84" s="4284">
        <f t="shared" si="33"/>
        <v>0</v>
      </c>
      <c r="BS84" s="4284">
        <f t="shared" si="34"/>
        <v>0</v>
      </c>
      <c r="BT84" s="4285">
        <f t="shared" si="35"/>
        <v>0</v>
      </c>
    </row>
    <row r="85" spans="1:72">
      <c r="A85" s="4278"/>
      <c r="B85" s="4279"/>
      <c r="C85" s="4279"/>
      <c r="D85" s="4280"/>
      <c r="E85" s="1188">
        <f t="shared" si="7"/>
        <v>0</v>
      </c>
      <c r="F85" s="1680"/>
      <c r="G85" s="4281">
        <f t="shared" si="8"/>
        <v>0</v>
      </c>
      <c r="H85" s="3457">
        <f t="shared" si="9"/>
        <v>0</v>
      </c>
      <c r="I85" s="4282"/>
      <c r="J85" s="4282"/>
      <c r="K85" s="4282"/>
      <c r="L85" s="4282"/>
      <c r="M85" s="4282"/>
      <c r="N85" s="4282"/>
      <c r="O85" s="4282"/>
      <c r="P85" s="4282"/>
      <c r="Q85" s="4282"/>
      <c r="R85" s="4282"/>
      <c r="S85" s="4282"/>
      <c r="T85" s="4282"/>
      <c r="U85" s="4282"/>
      <c r="V85" s="4282"/>
      <c r="W85" s="4282"/>
      <c r="X85" s="4282"/>
      <c r="Y85" s="4282"/>
      <c r="Z85" s="4282"/>
      <c r="AA85" s="4282"/>
      <c r="AB85" s="4282"/>
      <c r="AC85" s="1188">
        <f t="shared" si="10"/>
        <v>0</v>
      </c>
      <c r="AD85" s="4278"/>
      <c r="AE85" s="4278"/>
      <c r="AF85" s="4278"/>
      <c r="AG85" s="4278"/>
      <c r="AH85" s="4278"/>
      <c r="AI85" s="4278"/>
      <c r="AJ85" s="4278"/>
      <c r="AK85" s="4278"/>
      <c r="AL85" s="4278"/>
      <c r="AM85" s="4278"/>
      <c r="AN85" s="4278"/>
      <c r="AO85" s="4278"/>
      <c r="AP85" s="4278"/>
      <c r="AQ85" s="4278"/>
      <c r="AR85" s="4278"/>
      <c r="AS85" s="4278"/>
      <c r="AT85" s="4279"/>
      <c r="AU85" s="4283"/>
      <c r="AV85" s="1188">
        <f t="shared" si="11"/>
        <v>0</v>
      </c>
      <c r="AW85" s="1188">
        <f t="shared" si="12"/>
        <v>0</v>
      </c>
      <c r="AX85" s="1188">
        <f t="shared" si="13"/>
        <v>0</v>
      </c>
      <c r="AY85" s="1452">
        <f t="shared" si="14"/>
        <v>0</v>
      </c>
      <c r="AZ85" s="4284">
        <f t="shared" si="15"/>
        <v>0</v>
      </c>
      <c r="BA85" s="4284">
        <f t="shared" si="16"/>
        <v>0</v>
      </c>
      <c r="BB85" s="4284">
        <f t="shared" si="17"/>
        <v>0</v>
      </c>
      <c r="BC85" s="4284">
        <f t="shared" si="18"/>
        <v>0</v>
      </c>
      <c r="BD85" s="4284">
        <f t="shared" si="19"/>
        <v>0</v>
      </c>
      <c r="BE85" s="4284">
        <f t="shared" si="20"/>
        <v>0</v>
      </c>
      <c r="BF85" s="4284">
        <f t="shared" si="21"/>
        <v>0</v>
      </c>
      <c r="BG85" s="4284">
        <f t="shared" si="22"/>
        <v>0</v>
      </c>
      <c r="BH85" s="4284">
        <f t="shared" si="23"/>
        <v>0</v>
      </c>
      <c r="BI85" s="4284">
        <f t="shared" si="24"/>
        <v>0</v>
      </c>
      <c r="BJ85" s="4284">
        <f t="shared" si="25"/>
        <v>0</v>
      </c>
      <c r="BK85" s="4284">
        <f t="shared" si="26"/>
        <v>0</v>
      </c>
      <c r="BL85" s="4284">
        <f t="shared" si="27"/>
        <v>0</v>
      </c>
      <c r="BM85" s="4284">
        <f t="shared" si="28"/>
        <v>0</v>
      </c>
      <c r="BN85" s="4284">
        <f t="shared" si="29"/>
        <v>0</v>
      </c>
      <c r="BO85" s="4284">
        <f t="shared" si="30"/>
        <v>0</v>
      </c>
      <c r="BP85" s="4284">
        <f t="shared" si="31"/>
        <v>0</v>
      </c>
      <c r="BQ85" s="4284">
        <f t="shared" si="32"/>
        <v>0</v>
      </c>
      <c r="BR85" s="4284">
        <f t="shared" si="33"/>
        <v>0</v>
      </c>
      <c r="BS85" s="4284">
        <f t="shared" si="34"/>
        <v>0</v>
      </c>
      <c r="BT85" s="4285">
        <f t="shared" si="35"/>
        <v>0</v>
      </c>
    </row>
    <row r="86" spans="1:72">
      <c r="A86" s="4278"/>
      <c r="B86" s="4279"/>
      <c r="C86" s="4279"/>
      <c r="D86" s="4280"/>
      <c r="E86" s="1188">
        <f t="shared" si="7"/>
        <v>0</v>
      </c>
      <c r="F86" s="1680"/>
      <c r="G86" s="4281">
        <f t="shared" si="8"/>
        <v>0</v>
      </c>
      <c r="H86" s="3457">
        <f t="shared" si="9"/>
        <v>0</v>
      </c>
      <c r="I86" s="4282"/>
      <c r="J86" s="4282"/>
      <c r="K86" s="4282"/>
      <c r="L86" s="4282"/>
      <c r="M86" s="4282"/>
      <c r="N86" s="4282"/>
      <c r="O86" s="4282"/>
      <c r="P86" s="4282"/>
      <c r="Q86" s="4282"/>
      <c r="R86" s="4282"/>
      <c r="S86" s="4282"/>
      <c r="T86" s="4282"/>
      <c r="U86" s="4282"/>
      <c r="V86" s="4282"/>
      <c r="W86" s="4282"/>
      <c r="X86" s="4282"/>
      <c r="Y86" s="4282"/>
      <c r="Z86" s="4282"/>
      <c r="AA86" s="4282"/>
      <c r="AB86" s="4282"/>
      <c r="AC86" s="1188">
        <f t="shared" si="10"/>
        <v>0</v>
      </c>
      <c r="AD86" s="4278"/>
      <c r="AE86" s="4278"/>
      <c r="AF86" s="4278"/>
      <c r="AG86" s="4278"/>
      <c r="AH86" s="4278"/>
      <c r="AI86" s="4278"/>
      <c r="AJ86" s="4278"/>
      <c r="AK86" s="4278"/>
      <c r="AL86" s="4278"/>
      <c r="AM86" s="4278"/>
      <c r="AN86" s="4278"/>
      <c r="AO86" s="4278"/>
      <c r="AP86" s="4278"/>
      <c r="AQ86" s="4278"/>
      <c r="AR86" s="4278"/>
      <c r="AS86" s="4278"/>
      <c r="AT86" s="4279"/>
      <c r="AU86" s="4283"/>
      <c r="AV86" s="1188">
        <f t="shared" si="11"/>
        <v>0</v>
      </c>
      <c r="AW86" s="1188">
        <f t="shared" si="12"/>
        <v>0</v>
      </c>
      <c r="AX86" s="1188">
        <f t="shared" si="13"/>
        <v>0</v>
      </c>
      <c r="AY86" s="1452">
        <f t="shared" si="14"/>
        <v>0</v>
      </c>
      <c r="AZ86" s="4284">
        <f t="shared" si="15"/>
        <v>0</v>
      </c>
      <c r="BA86" s="4284">
        <f t="shared" si="16"/>
        <v>0</v>
      </c>
      <c r="BB86" s="4284">
        <f t="shared" si="17"/>
        <v>0</v>
      </c>
      <c r="BC86" s="4284">
        <f t="shared" si="18"/>
        <v>0</v>
      </c>
      <c r="BD86" s="4284">
        <f t="shared" si="19"/>
        <v>0</v>
      </c>
      <c r="BE86" s="4284">
        <f t="shared" si="20"/>
        <v>0</v>
      </c>
      <c r="BF86" s="4284">
        <f t="shared" si="21"/>
        <v>0</v>
      </c>
      <c r="BG86" s="4284">
        <f t="shared" si="22"/>
        <v>0</v>
      </c>
      <c r="BH86" s="4284">
        <f t="shared" si="23"/>
        <v>0</v>
      </c>
      <c r="BI86" s="4284">
        <f t="shared" si="24"/>
        <v>0</v>
      </c>
      <c r="BJ86" s="4284">
        <f t="shared" si="25"/>
        <v>0</v>
      </c>
      <c r="BK86" s="4284">
        <f t="shared" si="26"/>
        <v>0</v>
      </c>
      <c r="BL86" s="4284">
        <f t="shared" si="27"/>
        <v>0</v>
      </c>
      <c r="BM86" s="4284">
        <f t="shared" si="28"/>
        <v>0</v>
      </c>
      <c r="BN86" s="4284">
        <f t="shared" si="29"/>
        <v>0</v>
      </c>
      <c r="BO86" s="4284">
        <f t="shared" si="30"/>
        <v>0</v>
      </c>
      <c r="BP86" s="4284">
        <f t="shared" si="31"/>
        <v>0</v>
      </c>
      <c r="BQ86" s="4284">
        <f t="shared" si="32"/>
        <v>0</v>
      </c>
      <c r="BR86" s="4284">
        <f t="shared" si="33"/>
        <v>0</v>
      </c>
      <c r="BS86" s="4284">
        <f t="shared" si="34"/>
        <v>0</v>
      </c>
      <c r="BT86" s="4285">
        <f t="shared" si="35"/>
        <v>0</v>
      </c>
    </row>
    <row r="87" spans="1:72">
      <c r="A87" s="4278"/>
      <c r="B87" s="4279"/>
      <c r="C87" s="4279"/>
      <c r="D87" s="4280"/>
      <c r="E87" s="1188">
        <f t="shared" si="7"/>
        <v>0</v>
      </c>
      <c r="F87" s="1680"/>
      <c r="G87" s="4281">
        <f t="shared" si="8"/>
        <v>0</v>
      </c>
      <c r="H87" s="3457">
        <f t="shared" si="9"/>
        <v>0</v>
      </c>
      <c r="I87" s="4282"/>
      <c r="J87" s="4282"/>
      <c r="K87" s="4282"/>
      <c r="L87" s="4282"/>
      <c r="M87" s="4282"/>
      <c r="N87" s="4282"/>
      <c r="O87" s="4282"/>
      <c r="P87" s="4282"/>
      <c r="Q87" s="4282"/>
      <c r="R87" s="4282"/>
      <c r="S87" s="4282"/>
      <c r="T87" s="4282"/>
      <c r="U87" s="4282"/>
      <c r="V87" s="4282"/>
      <c r="W87" s="4282"/>
      <c r="X87" s="4282"/>
      <c r="Y87" s="4282"/>
      <c r="Z87" s="4282"/>
      <c r="AA87" s="4282"/>
      <c r="AB87" s="4282"/>
      <c r="AC87" s="1188">
        <f t="shared" si="10"/>
        <v>0</v>
      </c>
      <c r="AD87" s="4278"/>
      <c r="AE87" s="4278"/>
      <c r="AF87" s="4278"/>
      <c r="AG87" s="4278"/>
      <c r="AH87" s="4278"/>
      <c r="AI87" s="4278"/>
      <c r="AJ87" s="4278"/>
      <c r="AK87" s="4278"/>
      <c r="AL87" s="4278"/>
      <c r="AM87" s="4278"/>
      <c r="AN87" s="4278"/>
      <c r="AO87" s="4278"/>
      <c r="AP87" s="4278"/>
      <c r="AQ87" s="4278"/>
      <c r="AR87" s="4278"/>
      <c r="AS87" s="4278"/>
      <c r="AT87" s="4279"/>
      <c r="AU87" s="4283"/>
      <c r="AV87" s="1188">
        <f t="shared" si="11"/>
        <v>0</v>
      </c>
      <c r="AW87" s="1188">
        <f t="shared" si="12"/>
        <v>0</v>
      </c>
      <c r="AX87" s="1188">
        <f t="shared" si="13"/>
        <v>0</v>
      </c>
      <c r="AY87" s="1452">
        <f t="shared" si="14"/>
        <v>0</v>
      </c>
      <c r="AZ87" s="4284">
        <f t="shared" si="15"/>
        <v>0</v>
      </c>
      <c r="BA87" s="4284">
        <f t="shared" si="16"/>
        <v>0</v>
      </c>
      <c r="BB87" s="4284">
        <f t="shared" si="17"/>
        <v>0</v>
      </c>
      <c r="BC87" s="4284">
        <f t="shared" si="18"/>
        <v>0</v>
      </c>
      <c r="BD87" s="4284">
        <f t="shared" si="19"/>
        <v>0</v>
      </c>
      <c r="BE87" s="4284">
        <f t="shared" si="20"/>
        <v>0</v>
      </c>
      <c r="BF87" s="4284">
        <f t="shared" si="21"/>
        <v>0</v>
      </c>
      <c r="BG87" s="4284">
        <f t="shared" si="22"/>
        <v>0</v>
      </c>
      <c r="BH87" s="4284">
        <f t="shared" si="23"/>
        <v>0</v>
      </c>
      <c r="BI87" s="4284">
        <f t="shared" si="24"/>
        <v>0</v>
      </c>
      <c r="BJ87" s="4284">
        <f t="shared" si="25"/>
        <v>0</v>
      </c>
      <c r="BK87" s="4284">
        <f t="shared" si="26"/>
        <v>0</v>
      </c>
      <c r="BL87" s="4284">
        <f t="shared" si="27"/>
        <v>0</v>
      </c>
      <c r="BM87" s="4284">
        <f t="shared" si="28"/>
        <v>0</v>
      </c>
      <c r="BN87" s="4284">
        <f t="shared" si="29"/>
        <v>0</v>
      </c>
      <c r="BO87" s="4284">
        <f t="shared" si="30"/>
        <v>0</v>
      </c>
      <c r="BP87" s="4284">
        <f t="shared" si="31"/>
        <v>0</v>
      </c>
      <c r="BQ87" s="4284">
        <f t="shared" si="32"/>
        <v>0</v>
      </c>
      <c r="BR87" s="4284">
        <f t="shared" si="33"/>
        <v>0</v>
      </c>
      <c r="BS87" s="4284">
        <f t="shared" si="34"/>
        <v>0</v>
      </c>
      <c r="BT87" s="4285">
        <f t="shared" si="35"/>
        <v>0</v>
      </c>
    </row>
    <row r="88" spans="1:72">
      <c r="A88" s="4278"/>
      <c r="B88" s="4279"/>
      <c r="C88" s="4279"/>
      <c r="D88" s="4280"/>
      <c r="E88" s="1188">
        <f t="shared" si="7"/>
        <v>0</v>
      </c>
      <c r="F88" s="1680"/>
      <c r="G88" s="4281">
        <f t="shared" si="8"/>
        <v>0</v>
      </c>
      <c r="H88" s="3457">
        <f t="shared" si="9"/>
        <v>0</v>
      </c>
      <c r="I88" s="4282"/>
      <c r="J88" s="4282"/>
      <c r="K88" s="4282"/>
      <c r="L88" s="4282"/>
      <c r="M88" s="4282"/>
      <c r="N88" s="4282"/>
      <c r="O88" s="4282"/>
      <c r="P88" s="4282"/>
      <c r="Q88" s="4282"/>
      <c r="R88" s="4282"/>
      <c r="S88" s="4282"/>
      <c r="T88" s="4282"/>
      <c r="U88" s="4282"/>
      <c r="V88" s="4282"/>
      <c r="W88" s="4282"/>
      <c r="X88" s="4282"/>
      <c r="Y88" s="4282"/>
      <c r="Z88" s="4282"/>
      <c r="AA88" s="4282"/>
      <c r="AB88" s="4282"/>
      <c r="AC88" s="1188">
        <f t="shared" si="10"/>
        <v>0</v>
      </c>
      <c r="AD88" s="4278"/>
      <c r="AE88" s="4278"/>
      <c r="AF88" s="4278"/>
      <c r="AG88" s="4278"/>
      <c r="AH88" s="4278"/>
      <c r="AI88" s="4278"/>
      <c r="AJ88" s="4278"/>
      <c r="AK88" s="4278"/>
      <c r="AL88" s="4278"/>
      <c r="AM88" s="4278"/>
      <c r="AN88" s="4278"/>
      <c r="AO88" s="4278"/>
      <c r="AP88" s="4278"/>
      <c r="AQ88" s="4278"/>
      <c r="AR88" s="4278"/>
      <c r="AS88" s="4278"/>
      <c r="AT88" s="4279"/>
      <c r="AU88" s="4283"/>
      <c r="AV88" s="1188">
        <f t="shared" si="11"/>
        <v>0</v>
      </c>
      <c r="AW88" s="1188">
        <f t="shared" si="12"/>
        <v>0</v>
      </c>
      <c r="AX88" s="1188">
        <f t="shared" si="13"/>
        <v>0</v>
      </c>
      <c r="AY88" s="1452">
        <f t="shared" si="14"/>
        <v>0</v>
      </c>
      <c r="AZ88" s="4284">
        <f t="shared" si="15"/>
        <v>0</v>
      </c>
      <c r="BA88" s="4284">
        <f t="shared" si="16"/>
        <v>0</v>
      </c>
      <c r="BB88" s="4284">
        <f t="shared" si="17"/>
        <v>0</v>
      </c>
      <c r="BC88" s="4284">
        <f t="shared" si="18"/>
        <v>0</v>
      </c>
      <c r="BD88" s="4284">
        <f t="shared" si="19"/>
        <v>0</v>
      </c>
      <c r="BE88" s="4284">
        <f t="shared" si="20"/>
        <v>0</v>
      </c>
      <c r="BF88" s="4284">
        <f t="shared" si="21"/>
        <v>0</v>
      </c>
      <c r="BG88" s="4284">
        <f t="shared" si="22"/>
        <v>0</v>
      </c>
      <c r="BH88" s="4284">
        <f t="shared" si="23"/>
        <v>0</v>
      </c>
      <c r="BI88" s="4284">
        <f t="shared" si="24"/>
        <v>0</v>
      </c>
      <c r="BJ88" s="4284">
        <f t="shared" si="25"/>
        <v>0</v>
      </c>
      <c r="BK88" s="4284">
        <f t="shared" si="26"/>
        <v>0</v>
      </c>
      <c r="BL88" s="4284">
        <f t="shared" si="27"/>
        <v>0</v>
      </c>
      <c r="BM88" s="4284">
        <f t="shared" si="28"/>
        <v>0</v>
      </c>
      <c r="BN88" s="4284">
        <f t="shared" si="29"/>
        <v>0</v>
      </c>
      <c r="BO88" s="4284">
        <f t="shared" si="30"/>
        <v>0</v>
      </c>
      <c r="BP88" s="4284">
        <f t="shared" si="31"/>
        <v>0</v>
      </c>
      <c r="BQ88" s="4284">
        <f t="shared" si="32"/>
        <v>0</v>
      </c>
      <c r="BR88" s="4284">
        <f t="shared" si="33"/>
        <v>0</v>
      </c>
      <c r="BS88" s="4284">
        <f t="shared" si="34"/>
        <v>0</v>
      </c>
      <c r="BT88" s="4285">
        <f t="shared" si="35"/>
        <v>0</v>
      </c>
    </row>
    <row r="89" spans="1:72">
      <c r="A89" s="4278"/>
      <c r="B89" s="4279"/>
      <c r="C89" s="4279"/>
      <c r="D89" s="4280"/>
      <c r="E89" s="1188">
        <f t="shared" si="7"/>
        <v>0</v>
      </c>
      <c r="F89" s="1680"/>
      <c r="G89" s="4281">
        <f t="shared" si="8"/>
        <v>0</v>
      </c>
      <c r="H89" s="3457">
        <f t="shared" si="9"/>
        <v>0</v>
      </c>
      <c r="I89" s="4282"/>
      <c r="J89" s="4282"/>
      <c r="K89" s="4282"/>
      <c r="L89" s="4282"/>
      <c r="M89" s="4282"/>
      <c r="N89" s="4282"/>
      <c r="O89" s="4282"/>
      <c r="P89" s="4282"/>
      <c r="Q89" s="4282"/>
      <c r="R89" s="4282"/>
      <c r="S89" s="4282"/>
      <c r="T89" s="4282"/>
      <c r="U89" s="4282"/>
      <c r="V89" s="4282"/>
      <c r="W89" s="4282"/>
      <c r="X89" s="4282"/>
      <c r="Y89" s="4282"/>
      <c r="Z89" s="4282"/>
      <c r="AA89" s="4282"/>
      <c r="AB89" s="4282"/>
      <c r="AC89" s="1188">
        <f t="shared" si="10"/>
        <v>0</v>
      </c>
      <c r="AD89" s="4278"/>
      <c r="AE89" s="4278"/>
      <c r="AF89" s="4278"/>
      <c r="AG89" s="4278"/>
      <c r="AH89" s="4278"/>
      <c r="AI89" s="4278"/>
      <c r="AJ89" s="4278"/>
      <c r="AK89" s="4278"/>
      <c r="AL89" s="4278"/>
      <c r="AM89" s="4278"/>
      <c r="AN89" s="4278"/>
      <c r="AO89" s="4278"/>
      <c r="AP89" s="4278"/>
      <c r="AQ89" s="4278"/>
      <c r="AR89" s="4278"/>
      <c r="AS89" s="4278"/>
      <c r="AT89" s="4279"/>
      <c r="AU89" s="4283"/>
      <c r="AV89" s="1188">
        <f t="shared" si="11"/>
        <v>0</v>
      </c>
      <c r="AW89" s="1188">
        <f t="shared" si="12"/>
        <v>0</v>
      </c>
      <c r="AX89" s="1188">
        <f t="shared" si="13"/>
        <v>0</v>
      </c>
      <c r="AY89" s="1452">
        <f t="shared" si="14"/>
        <v>0</v>
      </c>
      <c r="AZ89" s="4284">
        <f t="shared" si="15"/>
        <v>0</v>
      </c>
      <c r="BA89" s="4284">
        <f t="shared" si="16"/>
        <v>0</v>
      </c>
      <c r="BB89" s="4284">
        <f t="shared" si="17"/>
        <v>0</v>
      </c>
      <c r="BC89" s="4284">
        <f t="shared" si="18"/>
        <v>0</v>
      </c>
      <c r="BD89" s="4284">
        <f t="shared" si="19"/>
        <v>0</v>
      </c>
      <c r="BE89" s="4284">
        <f t="shared" si="20"/>
        <v>0</v>
      </c>
      <c r="BF89" s="4284">
        <f t="shared" si="21"/>
        <v>0</v>
      </c>
      <c r="BG89" s="4284">
        <f t="shared" si="22"/>
        <v>0</v>
      </c>
      <c r="BH89" s="4284">
        <f t="shared" si="23"/>
        <v>0</v>
      </c>
      <c r="BI89" s="4284">
        <f t="shared" si="24"/>
        <v>0</v>
      </c>
      <c r="BJ89" s="4284">
        <f t="shared" si="25"/>
        <v>0</v>
      </c>
      <c r="BK89" s="4284">
        <f t="shared" si="26"/>
        <v>0</v>
      </c>
      <c r="BL89" s="4284">
        <f t="shared" si="27"/>
        <v>0</v>
      </c>
      <c r="BM89" s="4284">
        <f t="shared" si="28"/>
        <v>0</v>
      </c>
      <c r="BN89" s="4284">
        <f t="shared" si="29"/>
        <v>0</v>
      </c>
      <c r="BO89" s="4284">
        <f t="shared" si="30"/>
        <v>0</v>
      </c>
      <c r="BP89" s="4284">
        <f t="shared" si="31"/>
        <v>0</v>
      </c>
      <c r="BQ89" s="4284">
        <f t="shared" si="32"/>
        <v>0</v>
      </c>
      <c r="BR89" s="4284">
        <f t="shared" si="33"/>
        <v>0</v>
      </c>
      <c r="BS89" s="4284">
        <f t="shared" si="34"/>
        <v>0</v>
      </c>
      <c r="BT89" s="4285">
        <f t="shared" si="35"/>
        <v>0</v>
      </c>
    </row>
    <row r="90" spans="1:72">
      <c r="A90" s="4278"/>
      <c r="B90" s="4279"/>
      <c r="C90" s="4279"/>
      <c r="D90" s="4280"/>
      <c r="E90" s="1188">
        <f t="shared" si="7"/>
        <v>0</v>
      </c>
      <c r="F90" s="1680"/>
      <c r="G90" s="4281">
        <f t="shared" si="8"/>
        <v>0</v>
      </c>
      <c r="H90" s="3457">
        <f t="shared" si="9"/>
        <v>0</v>
      </c>
      <c r="I90" s="4282"/>
      <c r="J90" s="4282"/>
      <c r="K90" s="4282"/>
      <c r="L90" s="4282"/>
      <c r="M90" s="4282"/>
      <c r="N90" s="4282"/>
      <c r="O90" s="4282"/>
      <c r="P90" s="4282"/>
      <c r="Q90" s="4282"/>
      <c r="R90" s="4282"/>
      <c r="S90" s="4282"/>
      <c r="T90" s="4282"/>
      <c r="U90" s="4282"/>
      <c r="V90" s="4282"/>
      <c r="W90" s="4282"/>
      <c r="X90" s="4282"/>
      <c r="Y90" s="4282"/>
      <c r="Z90" s="4282"/>
      <c r="AA90" s="4282"/>
      <c r="AB90" s="4282"/>
      <c r="AC90" s="1188">
        <f t="shared" si="10"/>
        <v>0</v>
      </c>
      <c r="AD90" s="4278"/>
      <c r="AE90" s="4278"/>
      <c r="AF90" s="4278"/>
      <c r="AG90" s="4278"/>
      <c r="AH90" s="4278"/>
      <c r="AI90" s="4278"/>
      <c r="AJ90" s="4278"/>
      <c r="AK90" s="4278"/>
      <c r="AL90" s="4278"/>
      <c r="AM90" s="4278"/>
      <c r="AN90" s="4278"/>
      <c r="AO90" s="4278"/>
      <c r="AP90" s="4278"/>
      <c r="AQ90" s="4278"/>
      <c r="AR90" s="4278"/>
      <c r="AS90" s="4278"/>
      <c r="AT90" s="4279"/>
      <c r="AU90" s="4283"/>
      <c r="AV90" s="1188">
        <f t="shared" si="11"/>
        <v>0</v>
      </c>
      <c r="AW90" s="1188">
        <f t="shared" si="12"/>
        <v>0</v>
      </c>
      <c r="AX90" s="1188">
        <f t="shared" si="13"/>
        <v>0</v>
      </c>
      <c r="AY90" s="1452">
        <f t="shared" si="14"/>
        <v>0</v>
      </c>
      <c r="AZ90" s="4284">
        <f t="shared" si="15"/>
        <v>0</v>
      </c>
      <c r="BA90" s="4284">
        <f t="shared" si="16"/>
        <v>0</v>
      </c>
      <c r="BB90" s="4284">
        <f t="shared" si="17"/>
        <v>0</v>
      </c>
      <c r="BC90" s="4284">
        <f t="shared" si="18"/>
        <v>0</v>
      </c>
      <c r="BD90" s="4284">
        <f t="shared" si="19"/>
        <v>0</v>
      </c>
      <c r="BE90" s="4284">
        <f t="shared" si="20"/>
        <v>0</v>
      </c>
      <c r="BF90" s="4284">
        <f t="shared" si="21"/>
        <v>0</v>
      </c>
      <c r="BG90" s="4284">
        <f t="shared" si="22"/>
        <v>0</v>
      </c>
      <c r="BH90" s="4284">
        <f t="shared" si="23"/>
        <v>0</v>
      </c>
      <c r="BI90" s="4284">
        <f t="shared" si="24"/>
        <v>0</v>
      </c>
      <c r="BJ90" s="4284">
        <f t="shared" si="25"/>
        <v>0</v>
      </c>
      <c r="BK90" s="4284">
        <f t="shared" si="26"/>
        <v>0</v>
      </c>
      <c r="BL90" s="4284">
        <f t="shared" si="27"/>
        <v>0</v>
      </c>
      <c r="BM90" s="4284">
        <f t="shared" si="28"/>
        <v>0</v>
      </c>
      <c r="BN90" s="4284">
        <f t="shared" si="29"/>
        <v>0</v>
      </c>
      <c r="BO90" s="4284">
        <f t="shared" si="30"/>
        <v>0</v>
      </c>
      <c r="BP90" s="4284">
        <f t="shared" si="31"/>
        <v>0</v>
      </c>
      <c r="BQ90" s="4284">
        <f t="shared" si="32"/>
        <v>0</v>
      </c>
      <c r="BR90" s="4284">
        <f t="shared" si="33"/>
        <v>0</v>
      </c>
      <c r="BS90" s="4284">
        <f t="shared" si="34"/>
        <v>0</v>
      </c>
      <c r="BT90" s="4285">
        <f t="shared" si="35"/>
        <v>0</v>
      </c>
    </row>
    <row r="91" spans="1:72">
      <c r="A91" s="4278"/>
      <c r="B91" s="4279"/>
      <c r="C91" s="4279"/>
      <c r="D91" s="4280"/>
      <c r="E91" s="1188">
        <f t="shared" si="7"/>
        <v>0</v>
      </c>
      <c r="F91" s="1680"/>
      <c r="G91" s="4281">
        <f t="shared" si="8"/>
        <v>0</v>
      </c>
      <c r="H91" s="3457">
        <f t="shared" si="9"/>
        <v>0</v>
      </c>
      <c r="I91" s="4282"/>
      <c r="J91" s="4282"/>
      <c r="K91" s="4282"/>
      <c r="L91" s="4282"/>
      <c r="M91" s="4282"/>
      <c r="N91" s="4282"/>
      <c r="O91" s="4282"/>
      <c r="P91" s="4282"/>
      <c r="Q91" s="4282"/>
      <c r="R91" s="4282"/>
      <c r="S91" s="4282"/>
      <c r="T91" s="4282"/>
      <c r="U91" s="4282"/>
      <c r="V91" s="4282"/>
      <c r="W91" s="4282"/>
      <c r="X91" s="4282"/>
      <c r="Y91" s="4282"/>
      <c r="Z91" s="4282"/>
      <c r="AA91" s="4282"/>
      <c r="AB91" s="4282"/>
      <c r="AC91" s="1188">
        <f t="shared" si="10"/>
        <v>0</v>
      </c>
      <c r="AD91" s="4278"/>
      <c r="AE91" s="4278"/>
      <c r="AF91" s="4278"/>
      <c r="AG91" s="4278"/>
      <c r="AH91" s="4278"/>
      <c r="AI91" s="4278"/>
      <c r="AJ91" s="4278"/>
      <c r="AK91" s="4278"/>
      <c r="AL91" s="4278"/>
      <c r="AM91" s="4278"/>
      <c r="AN91" s="4278"/>
      <c r="AO91" s="4278"/>
      <c r="AP91" s="4278"/>
      <c r="AQ91" s="4278"/>
      <c r="AR91" s="4278"/>
      <c r="AS91" s="4278"/>
      <c r="AT91" s="4279"/>
      <c r="AU91" s="4283"/>
      <c r="AV91" s="1188">
        <f t="shared" si="11"/>
        <v>0</v>
      </c>
      <c r="AW91" s="1188">
        <f t="shared" si="12"/>
        <v>0</v>
      </c>
      <c r="AX91" s="1188">
        <f t="shared" si="13"/>
        <v>0</v>
      </c>
      <c r="AY91" s="1452">
        <f t="shared" si="14"/>
        <v>0</v>
      </c>
      <c r="AZ91" s="4284">
        <f t="shared" si="15"/>
        <v>0</v>
      </c>
      <c r="BA91" s="4284">
        <f t="shared" si="16"/>
        <v>0</v>
      </c>
      <c r="BB91" s="4284">
        <f t="shared" si="17"/>
        <v>0</v>
      </c>
      <c r="BC91" s="4284">
        <f t="shared" si="18"/>
        <v>0</v>
      </c>
      <c r="BD91" s="4284">
        <f t="shared" si="19"/>
        <v>0</v>
      </c>
      <c r="BE91" s="4284">
        <f t="shared" si="20"/>
        <v>0</v>
      </c>
      <c r="BF91" s="4284">
        <f t="shared" si="21"/>
        <v>0</v>
      </c>
      <c r="BG91" s="4284">
        <f t="shared" si="22"/>
        <v>0</v>
      </c>
      <c r="BH91" s="4284">
        <f t="shared" si="23"/>
        <v>0</v>
      </c>
      <c r="BI91" s="4284">
        <f t="shared" si="24"/>
        <v>0</v>
      </c>
      <c r="BJ91" s="4284">
        <f t="shared" si="25"/>
        <v>0</v>
      </c>
      <c r="BK91" s="4284">
        <f t="shared" si="26"/>
        <v>0</v>
      </c>
      <c r="BL91" s="4284">
        <f t="shared" si="27"/>
        <v>0</v>
      </c>
      <c r="BM91" s="4284">
        <f t="shared" si="28"/>
        <v>0</v>
      </c>
      <c r="BN91" s="4284">
        <f t="shared" si="29"/>
        <v>0</v>
      </c>
      <c r="BO91" s="4284">
        <f t="shared" si="30"/>
        <v>0</v>
      </c>
      <c r="BP91" s="4284">
        <f t="shared" si="31"/>
        <v>0</v>
      </c>
      <c r="BQ91" s="4284">
        <f t="shared" si="32"/>
        <v>0</v>
      </c>
      <c r="BR91" s="4284">
        <f t="shared" si="33"/>
        <v>0</v>
      </c>
      <c r="BS91" s="4284">
        <f t="shared" si="34"/>
        <v>0</v>
      </c>
      <c r="BT91" s="4285">
        <f t="shared" si="35"/>
        <v>0</v>
      </c>
    </row>
    <row r="92" spans="1:72">
      <c r="A92" s="4278"/>
      <c r="B92" s="4279"/>
      <c r="C92" s="4279"/>
      <c r="D92" s="4280"/>
      <c r="E92" s="1188">
        <f t="shared" si="7"/>
        <v>0</v>
      </c>
      <c r="F92" s="1680"/>
      <c r="G92" s="4281">
        <f t="shared" si="8"/>
        <v>0</v>
      </c>
      <c r="H92" s="3457">
        <f t="shared" si="9"/>
        <v>0</v>
      </c>
      <c r="I92" s="4282"/>
      <c r="J92" s="4282"/>
      <c r="K92" s="4282"/>
      <c r="L92" s="4282"/>
      <c r="M92" s="4282"/>
      <c r="N92" s="4282"/>
      <c r="O92" s="4282"/>
      <c r="P92" s="4282"/>
      <c r="Q92" s="4282"/>
      <c r="R92" s="4282"/>
      <c r="S92" s="4282"/>
      <c r="T92" s="4282"/>
      <c r="U92" s="4282"/>
      <c r="V92" s="4282"/>
      <c r="W92" s="4282"/>
      <c r="X92" s="4282"/>
      <c r="Y92" s="4282"/>
      <c r="Z92" s="4282"/>
      <c r="AA92" s="4282"/>
      <c r="AB92" s="4282"/>
      <c r="AC92" s="1188">
        <f t="shared" si="10"/>
        <v>0</v>
      </c>
      <c r="AD92" s="4278"/>
      <c r="AE92" s="4278"/>
      <c r="AF92" s="4278"/>
      <c r="AG92" s="4278"/>
      <c r="AH92" s="4278"/>
      <c r="AI92" s="4278"/>
      <c r="AJ92" s="4278"/>
      <c r="AK92" s="4278"/>
      <c r="AL92" s="4278"/>
      <c r="AM92" s="4278"/>
      <c r="AN92" s="4278"/>
      <c r="AO92" s="4278"/>
      <c r="AP92" s="4278"/>
      <c r="AQ92" s="4278"/>
      <c r="AR92" s="4278"/>
      <c r="AS92" s="4278"/>
      <c r="AT92" s="4279"/>
      <c r="AU92" s="4283"/>
      <c r="AV92" s="1188">
        <f t="shared" si="11"/>
        <v>0</v>
      </c>
      <c r="AW92" s="1188">
        <f t="shared" si="12"/>
        <v>0</v>
      </c>
      <c r="AX92" s="1188">
        <f t="shared" si="13"/>
        <v>0</v>
      </c>
      <c r="AY92" s="1452">
        <f t="shared" si="14"/>
        <v>0</v>
      </c>
      <c r="AZ92" s="4284">
        <f t="shared" si="15"/>
        <v>0</v>
      </c>
      <c r="BA92" s="4284">
        <f t="shared" si="16"/>
        <v>0</v>
      </c>
      <c r="BB92" s="4284">
        <f t="shared" si="17"/>
        <v>0</v>
      </c>
      <c r="BC92" s="4284">
        <f t="shared" si="18"/>
        <v>0</v>
      </c>
      <c r="BD92" s="4284">
        <f t="shared" si="19"/>
        <v>0</v>
      </c>
      <c r="BE92" s="4284">
        <f t="shared" si="20"/>
        <v>0</v>
      </c>
      <c r="BF92" s="4284">
        <f t="shared" si="21"/>
        <v>0</v>
      </c>
      <c r="BG92" s="4284">
        <f t="shared" si="22"/>
        <v>0</v>
      </c>
      <c r="BH92" s="4284">
        <f t="shared" si="23"/>
        <v>0</v>
      </c>
      <c r="BI92" s="4284">
        <f t="shared" si="24"/>
        <v>0</v>
      </c>
      <c r="BJ92" s="4284">
        <f t="shared" si="25"/>
        <v>0</v>
      </c>
      <c r="BK92" s="4284">
        <f t="shared" si="26"/>
        <v>0</v>
      </c>
      <c r="BL92" s="4284">
        <f t="shared" si="27"/>
        <v>0</v>
      </c>
      <c r="BM92" s="4284">
        <f t="shared" si="28"/>
        <v>0</v>
      </c>
      <c r="BN92" s="4284">
        <f t="shared" si="29"/>
        <v>0</v>
      </c>
      <c r="BO92" s="4284">
        <f t="shared" si="30"/>
        <v>0</v>
      </c>
      <c r="BP92" s="4284">
        <f t="shared" si="31"/>
        <v>0</v>
      </c>
      <c r="BQ92" s="4284">
        <f t="shared" si="32"/>
        <v>0</v>
      </c>
      <c r="BR92" s="4284">
        <f t="shared" si="33"/>
        <v>0</v>
      </c>
      <c r="BS92" s="4284">
        <f t="shared" si="34"/>
        <v>0</v>
      </c>
      <c r="BT92" s="4285">
        <f t="shared" si="35"/>
        <v>0</v>
      </c>
    </row>
    <row r="93" spans="1:72">
      <c r="A93" s="4278"/>
      <c r="B93" s="4279"/>
      <c r="C93" s="4279"/>
      <c r="D93" s="4280"/>
      <c r="E93" s="1188">
        <f t="shared" si="7"/>
        <v>0</v>
      </c>
      <c r="F93" s="1680"/>
      <c r="G93" s="4281">
        <f t="shared" si="8"/>
        <v>0</v>
      </c>
      <c r="H93" s="3457">
        <f t="shared" si="9"/>
        <v>0</v>
      </c>
      <c r="I93" s="4282"/>
      <c r="J93" s="4282"/>
      <c r="K93" s="4282"/>
      <c r="L93" s="4282"/>
      <c r="M93" s="4282"/>
      <c r="N93" s="4282"/>
      <c r="O93" s="4282"/>
      <c r="P93" s="4282"/>
      <c r="Q93" s="4282"/>
      <c r="R93" s="4282"/>
      <c r="S93" s="4282"/>
      <c r="T93" s="4282"/>
      <c r="U93" s="4282"/>
      <c r="V93" s="4282"/>
      <c r="W93" s="4282"/>
      <c r="X93" s="4282"/>
      <c r="Y93" s="4282"/>
      <c r="Z93" s="4282"/>
      <c r="AA93" s="4282"/>
      <c r="AB93" s="4282"/>
      <c r="AC93" s="1188">
        <f t="shared" si="10"/>
        <v>0</v>
      </c>
      <c r="AD93" s="4278"/>
      <c r="AE93" s="4278"/>
      <c r="AF93" s="4278"/>
      <c r="AG93" s="4278"/>
      <c r="AH93" s="4278"/>
      <c r="AI93" s="4278"/>
      <c r="AJ93" s="4278"/>
      <c r="AK93" s="4278"/>
      <c r="AL93" s="4278"/>
      <c r="AM93" s="4278"/>
      <c r="AN93" s="4278"/>
      <c r="AO93" s="4278"/>
      <c r="AP93" s="4278"/>
      <c r="AQ93" s="4278"/>
      <c r="AR93" s="4278"/>
      <c r="AS93" s="4278"/>
      <c r="AT93" s="4279"/>
      <c r="AU93" s="4283"/>
      <c r="AV93" s="1188">
        <f t="shared" si="11"/>
        <v>0</v>
      </c>
      <c r="AW93" s="1188">
        <f t="shared" si="12"/>
        <v>0</v>
      </c>
      <c r="AX93" s="1188">
        <f t="shared" si="13"/>
        <v>0</v>
      </c>
      <c r="AY93" s="1452">
        <f t="shared" si="14"/>
        <v>0</v>
      </c>
      <c r="AZ93" s="4284">
        <f t="shared" si="15"/>
        <v>0</v>
      </c>
      <c r="BA93" s="4284">
        <f t="shared" si="16"/>
        <v>0</v>
      </c>
      <c r="BB93" s="4284">
        <f t="shared" si="17"/>
        <v>0</v>
      </c>
      <c r="BC93" s="4284">
        <f t="shared" si="18"/>
        <v>0</v>
      </c>
      <c r="BD93" s="4284">
        <f t="shared" si="19"/>
        <v>0</v>
      </c>
      <c r="BE93" s="4284">
        <f t="shared" si="20"/>
        <v>0</v>
      </c>
      <c r="BF93" s="4284">
        <f t="shared" si="21"/>
        <v>0</v>
      </c>
      <c r="BG93" s="4284">
        <f t="shared" si="22"/>
        <v>0</v>
      </c>
      <c r="BH93" s="4284">
        <f t="shared" si="23"/>
        <v>0</v>
      </c>
      <c r="BI93" s="4284">
        <f t="shared" si="24"/>
        <v>0</v>
      </c>
      <c r="BJ93" s="4284">
        <f t="shared" si="25"/>
        <v>0</v>
      </c>
      <c r="BK93" s="4284">
        <f t="shared" si="26"/>
        <v>0</v>
      </c>
      <c r="BL93" s="4284">
        <f t="shared" si="27"/>
        <v>0</v>
      </c>
      <c r="BM93" s="4284">
        <f t="shared" si="28"/>
        <v>0</v>
      </c>
      <c r="BN93" s="4284">
        <f t="shared" si="29"/>
        <v>0</v>
      </c>
      <c r="BO93" s="4284">
        <f t="shared" si="30"/>
        <v>0</v>
      </c>
      <c r="BP93" s="4284">
        <f t="shared" si="31"/>
        <v>0</v>
      </c>
      <c r="BQ93" s="4284">
        <f t="shared" si="32"/>
        <v>0</v>
      </c>
      <c r="BR93" s="4284">
        <f t="shared" si="33"/>
        <v>0</v>
      </c>
      <c r="BS93" s="4284">
        <f t="shared" si="34"/>
        <v>0</v>
      </c>
      <c r="BT93" s="4285">
        <f t="shared" si="35"/>
        <v>0</v>
      </c>
    </row>
    <row r="94" spans="1:72">
      <c r="A94" s="4278"/>
      <c r="B94" s="4279"/>
      <c r="C94" s="4279"/>
      <c r="D94" s="4280"/>
      <c r="E94" s="1188">
        <f t="shared" si="7"/>
        <v>0</v>
      </c>
      <c r="F94" s="1680"/>
      <c r="G94" s="4281">
        <f t="shared" si="8"/>
        <v>0</v>
      </c>
      <c r="H94" s="3457">
        <f t="shared" si="9"/>
        <v>0</v>
      </c>
      <c r="I94" s="4282"/>
      <c r="J94" s="4282"/>
      <c r="K94" s="4282"/>
      <c r="L94" s="4282"/>
      <c r="M94" s="4282"/>
      <c r="N94" s="4282"/>
      <c r="O94" s="4282"/>
      <c r="P94" s="4282"/>
      <c r="Q94" s="4282"/>
      <c r="R94" s="4282"/>
      <c r="S94" s="4282"/>
      <c r="T94" s="4282"/>
      <c r="U94" s="4282"/>
      <c r="V94" s="4282"/>
      <c r="W94" s="4282"/>
      <c r="X94" s="4282"/>
      <c r="Y94" s="4282"/>
      <c r="Z94" s="4282"/>
      <c r="AA94" s="4282"/>
      <c r="AB94" s="4282"/>
      <c r="AC94" s="1188">
        <f t="shared" si="10"/>
        <v>0</v>
      </c>
      <c r="AD94" s="4278"/>
      <c r="AE94" s="4278"/>
      <c r="AF94" s="4278"/>
      <c r="AG94" s="4278"/>
      <c r="AH94" s="4278"/>
      <c r="AI94" s="4278"/>
      <c r="AJ94" s="4278"/>
      <c r="AK94" s="4278"/>
      <c r="AL94" s="4278"/>
      <c r="AM94" s="4278"/>
      <c r="AN94" s="4278"/>
      <c r="AO94" s="4278"/>
      <c r="AP94" s="4278"/>
      <c r="AQ94" s="4278"/>
      <c r="AR94" s="4278"/>
      <c r="AS94" s="4278"/>
      <c r="AT94" s="4279"/>
      <c r="AU94" s="4283"/>
      <c r="AV94" s="1188">
        <f t="shared" si="11"/>
        <v>0</v>
      </c>
      <c r="AW94" s="1188">
        <f t="shared" si="12"/>
        <v>0</v>
      </c>
      <c r="AX94" s="1188">
        <f t="shared" si="13"/>
        <v>0</v>
      </c>
      <c r="AY94" s="1452">
        <f t="shared" si="14"/>
        <v>0</v>
      </c>
      <c r="AZ94" s="4284">
        <f t="shared" si="15"/>
        <v>0</v>
      </c>
      <c r="BA94" s="4284">
        <f t="shared" si="16"/>
        <v>0</v>
      </c>
      <c r="BB94" s="4284">
        <f t="shared" si="17"/>
        <v>0</v>
      </c>
      <c r="BC94" s="4284">
        <f t="shared" si="18"/>
        <v>0</v>
      </c>
      <c r="BD94" s="4284">
        <f t="shared" si="19"/>
        <v>0</v>
      </c>
      <c r="BE94" s="4284">
        <f t="shared" si="20"/>
        <v>0</v>
      </c>
      <c r="BF94" s="4284">
        <f t="shared" si="21"/>
        <v>0</v>
      </c>
      <c r="BG94" s="4284">
        <f t="shared" si="22"/>
        <v>0</v>
      </c>
      <c r="BH94" s="4284">
        <f t="shared" si="23"/>
        <v>0</v>
      </c>
      <c r="BI94" s="4284">
        <f t="shared" si="24"/>
        <v>0</v>
      </c>
      <c r="BJ94" s="4284">
        <f t="shared" si="25"/>
        <v>0</v>
      </c>
      <c r="BK94" s="4284">
        <f t="shared" si="26"/>
        <v>0</v>
      </c>
      <c r="BL94" s="4284">
        <f t="shared" si="27"/>
        <v>0</v>
      </c>
      <c r="BM94" s="4284">
        <f t="shared" si="28"/>
        <v>0</v>
      </c>
      <c r="BN94" s="4284">
        <f t="shared" si="29"/>
        <v>0</v>
      </c>
      <c r="BO94" s="4284">
        <f t="shared" si="30"/>
        <v>0</v>
      </c>
      <c r="BP94" s="4284">
        <f t="shared" si="31"/>
        <v>0</v>
      </c>
      <c r="BQ94" s="4284">
        <f t="shared" si="32"/>
        <v>0</v>
      </c>
      <c r="BR94" s="4284">
        <f t="shared" si="33"/>
        <v>0</v>
      </c>
      <c r="BS94" s="4284">
        <f t="shared" si="34"/>
        <v>0</v>
      </c>
      <c r="BT94" s="4285">
        <f t="shared" si="35"/>
        <v>0</v>
      </c>
    </row>
    <row r="95" spans="1:72">
      <c r="A95" s="4278"/>
      <c r="B95" s="4279"/>
      <c r="C95" s="4279"/>
      <c r="D95" s="4280"/>
      <c r="E95" s="1188">
        <f t="shared" si="7"/>
        <v>0</v>
      </c>
      <c r="F95" s="1680"/>
      <c r="G95" s="4281">
        <f t="shared" si="8"/>
        <v>0</v>
      </c>
      <c r="H95" s="3457">
        <f t="shared" si="9"/>
        <v>0</v>
      </c>
      <c r="I95" s="4282"/>
      <c r="J95" s="4282"/>
      <c r="K95" s="4282"/>
      <c r="L95" s="4282"/>
      <c r="M95" s="4282"/>
      <c r="N95" s="4282"/>
      <c r="O95" s="4282"/>
      <c r="P95" s="4282"/>
      <c r="Q95" s="4282"/>
      <c r="R95" s="4282"/>
      <c r="S95" s="4282"/>
      <c r="T95" s="4282"/>
      <c r="U95" s="4282"/>
      <c r="V95" s="4282"/>
      <c r="W95" s="4282"/>
      <c r="X95" s="4282"/>
      <c r="Y95" s="4282"/>
      <c r="Z95" s="4282"/>
      <c r="AA95" s="4282"/>
      <c r="AB95" s="4282"/>
      <c r="AC95" s="1188">
        <f t="shared" si="10"/>
        <v>0</v>
      </c>
      <c r="AD95" s="4278"/>
      <c r="AE95" s="4278"/>
      <c r="AF95" s="4278"/>
      <c r="AG95" s="4278"/>
      <c r="AH95" s="4278"/>
      <c r="AI95" s="4278"/>
      <c r="AJ95" s="4278"/>
      <c r="AK95" s="4278"/>
      <c r="AL95" s="4278"/>
      <c r="AM95" s="4278"/>
      <c r="AN95" s="4278"/>
      <c r="AO95" s="4278"/>
      <c r="AP95" s="4278"/>
      <c r="AQ95" s="4278"/>
      <c r="AR95" s="4278"/>
      <c r="AS95" s="4278"/>
      <c r="AT95" s="4279"/>
      <c r="AU95" s="4283"/>
      <c r="AV95" s="1188">
        <f t="shared" si="11"/>
        <v>0</v>
      </c>
      <c r="AW95" s="1188">
        <f t="shared" si="12"/>
        <v>0</v>
      </c>
      <c r="AX95" s="1188">
        <f t="shared" si="13"/>
        <v>0</v>
      </c>
      <c r="AY95" s="1452">
        <f t="shared" si="14"/>
        <v>0</v>
      </c>
      <c r="AZ95" s="4284">
        <f t="shared" si="15"/>
        <v>0</v>
      </c>
      <c r="BA95" s="4284">
        <f t="shared" si="16"/>
        <v>0</v>
      </c>
      <c r="BB95" s="4284">
        <f t="shared" si="17"/>
        <v>0</v>
      </c>
      <c r="BC95" s="4284">
        <f t="shared" si="18"/>
        <v>0</v>
      </c>
      <c r="BD95" s="4284">
        <f t="shared" si="19"/>
        <v>0</v>
      </c>
      <c r="BE95" s="4284">
        <f t="shared" si="20"/>
        <v>0</v>
      </c>
      <c r="BF95" s="4284">
        <f t="shared" si="21"/>
        <v>0</v>
      </c>
      <c r="BG95" s="4284">
        <f t="shared" si="22"/>
        <v>0</v>
      </c>
      <c r="BH95" s="4284">
        <f t="shared" si="23"/>
        <v>0</v>
      </c>
      <c r="BI95" s="4284">
        <f t="shared" si="24"/>
        <v>0</v>
      </c>
      <c r="BJ95" s="4284">
        <f t="shared" si="25"/>
        <v>0</v>
      </c>
      <c r="BK95" s="4284">
        <f t="shared" si="26"/>
        <v>0</v>
      </c>
      <c r="BL95" s="4284">
        <f t="shared" si="27"/>
        <v>0</v>
      </c>
      <c r="BM95" s="4284">
        <f t="shared" si="28"/>
        <v>0</v>
      </c>
      <c r="BN95" s="4284">
        <f t="shared" si="29"/>
        <v>0</v>
      </c>
      <c r="BO95" s="4284">
        <f t="shared" si="30"/>
        <v>0</v>
      </c>
      <c r="BP95" s="4284">
        <f t="shared" si="31"/>
        <v>0</v>
      </c>
      <c r="BQ95" s="4284">
        <f t="shared" si="32"/>
        <v>0</v>
      </c>
      <c r="BR95" s="4284">
        <f t="shared" si="33"/>
        <v>0</v>
      </c>
      <c r="BS95" s="4284">
        <f t="shared" si="34"/>
        <v>0</v>
      </c>
      <c r="BT95" s="4285">
        <f t="shared" si="35"/>
        <v>0</v>
      </c>
    </row>
    <row r="96" spans="1:72">
      <c r="A96" s="4278"/>
      <c r="B96" s="4279"/>
      <c r="C96" s="4279"/>
      <c r="D96" s="4280"/>
      <c r="E96" s="1188">
        <f t="shared" si="7"/>
        <v>0</v>
      </c>
      <c r="F96" s="1680"/>
      <c r="G96" s="4281">
        <f t="shared" si="8"/>
        <v>0</v>
      </c>
      <c r="H96" s="3457">
        <f t="shared" si="9"/>
        <v>0</v>
      </c>
      <c r="I96" s="4282"/>
      <c r="J96" s="4282"/>
      <c r="K96" s="4282"/>
      <c r="L96" s="4282"/>
      <c r="M96" s="4282"/>
      <c r="N96" s="4282"/>
      <c r="O96" s="4282"/>
      <c r="P96" s="4282"/>
      <c r="Q96" s="4282"/>
      <c r="R96" s="4282"/>
      <c r="S96" s="4282"/>
      <c r="T96" s="4282"/>
      <c r="U96" s="4282"/>
      <c r="V96" s="4282"/>
      <c r="W96" s="4282"/>
      <c r="X96" s="4282"/>
      <c r="Y96" s="4282"/>
      <c r="Z96" s="4282"/>
      <c r="AA96" s="4282"/>
      <c r="AB96" s="4282"/>
      <c r="AC96" s="1188">
        <f t="shared" si="10"/>
        <v>0</v>
      </c>
      <c r="AD96" s="4278"/>
      <c r="AE96" s="4278"/>
      <c r="AF96" s="4278"/>
      <c r="AG96" s="4278"/>
      <c r="AH96" s="4278"/>
      <c r="AI96" s="4278"/>
      <c r="AJ96" s="4278"/>
      <c r="AK96" s="4278"/>
      <c r="AL96" s="4278"/>
      <c r="AM96" s="4278"/>
      <c r="AN96" s="4278"/>
      <c r="AO96" s="4278"/>
      <c r="AP96" s="4278"/>
      <c r="AQ96" s="4278"/>
      <c r="AR96" s="4278"/>
      <c r="AS96" s="4278"/>
      <c r="AT96" s="4279"/>
      <c r="AU96" s="4283"/>
      <c r="AV96" s="1188">
        <f t="shared" si="11"/>
        <v>0</v>
      </c>
      <c r="AW96" s="1188">
        <f t="shared" si="12"/>
        <v>0</v>
      </c>
      <c r="AX96" s="1188">
        <f t="shared" si="13"/>
        <v>0</v>
      </c>
      <c r="AY96" s="1452">
        <f t="shared" si="14"/>
        <v>0</v>
      </c>
      <c r="AZ96" s="4284">
        <f t="shared" si="15"/>
        <v>0</v>
      </c>
      <c r="BA96" s="4284">
        <f t="shared" si="16"/>
        <v>0</v>
      </c>
      <c r="BB96" s="4284">
        <f t="shared" si="17"/>
        <v>0</v>
      </c>
      <c r="BC96" s="4284">
        <f t="shared" si="18"/>
        <v>0</v>
      </c>
      <c r="BD96" s="4284">
        <f t="shared" si="19"/>
        <v>0</v>
      </c>
      <c r="BE96" s="4284">
        <f t="shared" si="20"/>
        <v>0</v>
      </c>
      <c r="BF96" s="4284">
        <f t="shared" si="21"/>
        <v>0</v>
      </c>
      <c r="BG96" s="4284">
        <f t="shared" si="22"/>
        <v>0</v>
      </c>
      <c r="BH96" s="4284">
        <f t="shared" si="23"/>
        <v>0</v>
      </c>
      <c r="BI96" s="4284">
        <f t="shared" si="24"/>
        <v>0</v>
      </c>
      <c r="BJ96" s="4284">
        <f t="shared" si="25"/>
        <v>0</v>
      </c>
      <c r="BK96" s="4284">
        <f t="shared" si="26"/>
        <v>0</v>
      </c>
      <c r="BL96" s="4284">
        <f t="shared" si="27"/>
        <v>0</v>
      </c>
      <c r="BM96" s="4284">
        <f t="shared" si="28"/>
        <v>0</v>
      </c>
      <c r="BN96" s="4284">
        <f t="shared" si="29"/>
        <v>0</v>
      </c>
      <c r="BO96" s="4284">
        <f t="shared" si="30"/>
        <v>0</v>
      </c>
      <c r="BP96" s="4284">
        <f t="shared" si="31"/>
        <v>0</v>
      </c>
      <c r="BQ96" s="4284">
        <f t="shared" si="32"/>
        <v>0</v>
      </c>
      <c r="BR96" s="4284">
        <f t="shared" si="33"/>
        <v>0</v>
      </c>
      <c r="BS96" s="4284">
        <f t="shared" si="34"/>
        <v>0</v>
      </c>
      <c r="BT96" s="4285">
        <f t="shared" si="35"/>
        <v>0</v>
      </c>
    </row>
    <row r="97" spans="1:72">
      <c r="A97" s="4278"/>
      <c r="B97" s="4279"/>
      <c r="C97" s="4279"/>
      <c r="D97" s="4280"/>
      <c r="E97" s="1188">
        <f t="shared" si="7"/>
        <v>0</v>
      </c>
      <c r="F97" s="1680"/>
      <c r="G97" s="4281">
        <f t="shared" si="8"/>
        <v>0</v>
      </c>
      <c r="H97" s="3457">
        <f t="shared" si="9"/>
        <v>0</v>
      </c>
      <c r="I97" s="4282"/>
      <c r="J97" s="4282"/>
      <c r="K97" s="4282"/>
      <c r="L97" s="4282"/>
      <c r="M97" s="4282"/>
      <c r="N97" s="4282"/>
      <c r="O97" s="4282"/>
      <c r="P97" s="4282"/>
      <c r="Q97" s="4282"/>
      <c r="R97" s="4282"/>
      <c r="S97" s="4282"/>
      <c r="T97" s="4282"/>
      <c r="U97" s="4282"/>
      <c r="V97" s="4282"/>
      <c r="W97" s="4282"/>
      <c r="X97" s="4282"/>
      <c r="Y97" s="4282"/>
      <c r="Z97" s="4282"/>
      <c r="AA97" s="4282"/>
      <c r="AB97" s="4282"/>
      <c r="AC97" s="1188">
        <f t="shared" si="10"/>
        <v>0</v>
      </c>
      <c r="AD97" s="4278"/>
      <c r="AE97" s="4278"/>
      <c r="AF97" s="4278"/>
      <c r="AG97" s="4278"/>
      <c r="AH97" s="4278"/>
      <c r="AI97" s="4278"/>
      <c r="AJ97" s="4278"/>
      <c r="AK97" s="4278"/>
      <c r="AL97" s="4278"/>
      <c r="AM97" s="4278"/>
      <c r="AN97" s="4278"/>
      <c r="AO97" s="4278"/>
      <c r="AP97" s="4278"/>
      <c r="AQ97" s="4278"/>
      <c r="AR97" s="4278"/>
      <c r="AS97" s="4278"/>
      <c r="AT97" s="4279"/>
      <c r="AU97" s="4283"/>
      <c r="AV97" s="1188">
        <f t="shared" si="11"/>
        <v>0</v>
      </c>
      <c r="AW97" s="1188">
        <f t="shared" si="12"/>
        <v>0</v>
      </c>
      <c r="AX97" s="1188">
        <f t="shared" si="13"/>
        <v>0</v>
      </c>
      <c r="AY97" s="1452">
        <f t="shared" si="14"/>
        <v>0</v>
      </c>
      <c r="AZ97" s="4284">
        <f t="shared" si="15"/>
        <v>0</v>
      </c>
      <c r="BA97" s="4284">
        <f t="shared" si="16"/>
        <v>0</v>
      </c>
      <c r="BB97" s="4284">
        <f t="shared" si="17"/>
        <v>0</v>
      </c>
      <c r="BC97" s="4284">
        <f t="shared" si="18"/>
        <v>0</v>
      </c>
      <c r="BD97" s="4284">
        <f t="shared" si="19"/>
        <v>0</v>
      </c>
      <c r="BE97" s="4284">
        <f t="shared" si="20"/>
        <v>0</v>
      </c>
      <c r="BF97" s="4284">
        <f t="shared" si="21"/>
        <v>0</v>
      </c>
      <c r="BG97" s="4284">
        <f t="shared" si="22"/>
        <v>0</v>
      </c>
      <c r="BH97" s="4284">
        <f t="shared" si="23"/>
        <v>0</v>
      </c>
      <c r="BI97" s="4284">
        <f t="shared" si="24"/>
        <v>0</v>
      </c>
      <c r="BJ97" s="4284">
        <f t="shared" si="25"/>
        <v>0</v>
      </c>
      <c r="BK97" s="4284">
        <f t="shared" si="26"/>
        <v>0</v>
      </c>
      <c r="BL97" s="4284">
        <f t="shared" si="27"/>
        <v>0</v>
      </c>
      <c r="BM97" s="4284">
        <f t="shared" si="28"/>
        <v>0</v>
      </c>
      <c r="BN97" s="4284">
        <f t="shared" si="29"/>
        <v>0</v>
      </c>
      <c r="BO97" s="4284">
        <f t="shared" si="30"/>
        <v>0</v>
      </c>
      <c r="BP97" s="4284">
        <f t="shared" si="31"/>
        <v>0</v>
      </c>
      <c r="BQ97" s="4284">
        <f t="shared" si="32"/>
        <v>0</v>
      </c>
      <c r="BR97" s="4284">
        <f t="shared" si="33"/>
        <v>0</v>
      </c>
      <c r="BS97" s="4284">
        <f t="shared" si="34"/>
        <v>0</v>
      </c>
      <c r="BT97" s="4285">
        <f t="shared" si="35"/>
        <v>0</v>
      </c>
    </row>
    <row r="98" spans="1:72">
      <c r="A98" s="4278"/>
      <c r="B98" s="4279"/>
      <c r="C98" s="4279"/>
      <c r="D98" s="4280"/>
      <c r="E98" s="1188">
        <f t="shared" si="7"/>
        <v>0</v>
      </c>
      <c r="F98" s="1680"/>
      <c r="G98" s="4281">
        <f t="shared" si="8"/>
        <v>0</v>
      </c>
      <c r="H98" s="3457">
        <f t="shared" si="9"/>
        <v>0</v>
      </c>
      <c r="I98" s="4282"/>
      <c r="J98" s="4282"/>
      <c r="K98" s="4282"/>
      <c r="L98" s="4282"/>
      <c r="M98" s="4282"/>
      <c r="N98" s="4282"/>
      <c r="O98" s="4282"/>
      <c r="P98" s="4282"/>
      <c r="Q98" s="4282"/>
      <c r="R98" s="4282"/>
      <c r="S98" s="4282"/>
      <c r="T98" s="4282"/>
      <c r="U98" s="4282"/>
      <c r="V98" s="4282"/>
      <c r="W98" s="4282"/>
      <c r="X98" s="4282"/>
      <c r="Y98" s="4282"/>
      <c r="Z98" s="4282"/>
      <c r="AA98" s="4282"/>
      <c r="AB98" s="4282"/>
      <c r="AC98" s="1188">
        <f t="shared" si="10"/>
        <v>0</v>
      </c>
      <c r="AD98" s="4278"/>
      <c r="AE98" s="4278"/>
      <c r="AF98" s="4278"/>
      <c r="AG98" s="4278"/>
      <c r="AH98" s="4278"/>
      <c r="AI98" s="4278"/>
      <c r="AJ98" s="4278"/>
      <c r="AK98" s="4278"/>
      <c r="AL98" s="4278"/>
      <c r="AM98" s="4278"/>
      <c r="AN98" s="4278"/>
      <c r="AO98" s="4278"/>
      <c r="AP98" s="4278"/>
      <c r="AQ98" s="4278"/>
      <c r="AR98" s="4278"/>
      <c r="AS98" s="4278"/>
      <c r="AT98" s="4279"/>
      <c r="AU98" s="4283"/>
      <c r="AV98" s="1188">
        <f t="shared" si="11"/>
        <v>0</v>
      </c>
      <c r="AW98" s="1188">
        <f t="shared" si="12"/>
        <v>0</v>
      </c>
      <c r="AX98" s="1188">
        <f t="shared" si="13"/>
        <v>0</v>
      </c>
      <c r="AY98" s="1452">
        <f t="shared" si="14"/>
        <v>0</v>
      </c>
      <c r="AZ98" s="4284">
        <f t="shared" si="15"/>
        <v>0</v>
      </c>
      <c r="BA98" s="4284">
        <f t="shared" si="16"/>
        <v>0</v>
      </c>
      <c r="BB98" s="4284">
        <f t="shared" si="17"/>
        <v>0</v>
      </c>
      <c r="BC98" s="4284">
        <f t="shared" si="18"/>
        <v>0</v>
      </c>
      <c r="BD98" s="4284">
        <f t="shared" si="19"/>
        <v>0</v>
      </c>
      <c r="BE98" s="4284">
        <f t="shared" si="20"/>
        <v>0</v>
      </c>
      <c r="BF98" s="4284">
        <f t="shared" si="21"/>
        <v>0</v>
      </c>
      <c r="BG98" s="4284">
        <f t="shared" si="22"/>
        <v>0</v>
      </c>
      <c r="BH98" s="4284">
        <f t="shared" si="23"/>
        <v>0</v>
      </c>
      <c r="BI98" s="4284">
        <f t="shared" si="24"/>
        <v>0</v>
      </c>
      <c r="BJ98" s="4284">
        <f t="shared" si="25"/>
        <v>0</v>
      </c>
      <c r="BK98" s="4284">
        <f t="shared" si="26"/>
        <v>0</v>
      </c>
      <c r="BL98" s="4284">
        <f t="shared" si="27"/>
        <v>0</v>
      </c>
      <c r="BM98" s="4284">
        <f t="shared" si="28"/>
        <v>0</v>
      </c>
      <c r="BN98" s="4284">
        <f t="shared" si="29"/>
        <v>0</v>
      </c>
      <c r="BO98" s="4284">
        <f t="shared" si="30"/>
        <v>0</v>
      </c>
      <c r="BP98" s="4284">
        <f t="shared" si="31"/>
        <v>0</v>
      </c>
      <c r="BQ98" s="4284">
        <f t="shared" si="32"/>
        <v>0</v>
      </c>
      <c r="BR98" s="4284">
        <f t="shared" si="33"/>
        <v>0</v>
      </c>
      <c r="BS98" s="4284">
        <f t="shared" si="34"/>
        <v>0</v>
      </c>
      <c r="BT98" s="4285">
        <f t="shared" si="35"/>
        <v>0</v>
      </c>
    </row>
    <row r="99" spans="1:72">
      <c r="A99" s="4278"/>
      <c r="B99" s="4279"/>
      <c r="C99" s="4279"/>
      <c r="D99" s="4280"/>
      <c r="E99" s="1188">
        <f t="shared" si="7"/>
        <v>0</v>
      </c>
      <c r="F99" s="1680"/>
      <c r="G99" s="4281">
        <f t="shared" si="8"/>
        <v>0</v>
      </c>
      <c r="H99" s="3457">
        <f t="shared" si="9"/>
        <v>0</v>
      </c>
      <c r="I99" s="4282"/>
      <c r="J99" s="4282"/>
      <c r="K99" s="4282"/>
      <c r="L99" s="4282"/>
      <c r="M99" s="4282"/>
      <c r="N99" s="4282"/>
      <c r="O99" s="4282"/>
      <c r="P99" s="4282"/>
      <c r="Q99" s="4282"/>
      <c r="R99" s="4282"/>
      <c r="S99" s="4282"/>
      <c r="T99" s="4282"/>
      <c r="U99" s="4282"/>
      <c r="V99" s="4282"/>
      <c r="W99" s="4282"/>
      <c r="X99" s="4282"/>
      <c r="Y99" s="4282"/>
      <c r="Z99" s="4282"/>
      <c r="AA99" s="4282"/>
      <c r="AB99" s="4282"/>
      <c r="AC99" s="1188">
        <f t="shared" si="10"/>
        <v>0</v>
      </c>
      <c r="AD99" s="4278"/>
      <c r="AE99" s="4278"/>
      <c r="AF99" s="4278"/>
      <c r="AG99" s="4278"/>
      <c r="AH99" s="4278"/>
      <c r="AI99" s="4278"/>
      <c r="AJ99" s="4278"/>
      <c r="AK99" s="4278"/>
      <c r="AL99" s="4278"/>
      <c r="AM99" s="4278"/>
      <c r="AN99" s="4278"/>
      <c r="AO99" s="4278"/>
      <c r="AP99" s="4278"/>
      <c r="AQ99" s="4278"/>
      <c r="AR99" s="4278"/>
      <c r="AS99" s="4278"/>
      <c r="AT99" s="4279"/>
      <c r="AU99" s="4283"/>
      <c r="AV99" s="1188">
        <f t="shared" si="11"/>
        <v>0</v>
      </c>
      <c r="AW99" s="1188">
        <f t="shared" si="12"/>
        <v>0</v>
      </c>
      <c r="AX99" s="1188">
        <f t="shared" si="13"/>
        <v>0</v>
      </c>
      <c r="AY99" s="1452">
        <f t="shared" si="14"/>
        <v>0</v>
      </c>
      <c r="AZ99" s="4284">
        <f t="shared" si="15"/>
        <v>0</v>
      </c>
      <c r="BA99" s="4284">
        <f t="shared" si="16"/>
        <v>0</v>
      </c>
      <c r="BB99" s="4284">
        <f t="shared" si="17"/>
        <v>0</v>
      </c>
      <c r="BC99" s="4284">
        <f t="shared" si="18"/>
        <v>0</v>
      </c>
      <c r="BD99" s="4284">
        <f t="shared" si="19"/>
        <v>0</v>
      </c>
      <c r="BE99" s="4284">
        <f t="shared" si="20"/>
        <v>0</v>
      </c>
      <c r="BF99" s="4284">
        <f t="shared" si="21"/>
        <v>0</v>
      </c>
      <c r="BG99" s="4284">
        <f t="shared" si="22"/>
        <v>0</v>
      </c>
      <c r="BH99" s="4284">
        <f t="shared" si="23"/>
        <v>0</v>
      </c>
      <c r="BI99" s="4284">
        <f t="shared" si="24"/>
        <v>0</v>
      </c>
      <c r="BJ99" s="4284">
        <f t="shared" si="25"/>
        <v>0</v>
      </c>
      <c r="BK99" s="4284">
        <f t="shared" si="26"/>
        <v>0</v>
      </c>
      <c r="BL99" s="4284">
        <f t="shared" si="27"/>
        <v>0</v>
      </c>
      <c r="BM99" s="4284">
        <f t="shared" si="28"/>
        <v>0</v>
      </c>
      <c r="BN99" s="4284">
        <f t="shared" si="29"/>
        <v>0</v>
      </c>
      <c r="BO99" s="4284">
        <f t="shared" si="30"/>
        <v>0</v>
      </c>
      <c r="BP99" s="4284">
        <f t="shared" si="31"/>
        <v>0</v>
      </c>
      <c r="BQ99" s="4284">
        <f t="shared" si="32"/>
        <v>0</v>
      </c>
      <c r="BR99" s="4284">
        <f t="shared" si="33"/>
        <v>0</v>
      </c>
      <c r="BS99" s="4284">
        <f t="shared" si="34"/>
        <v>0</v>
      </c>
      <c r="BT99" s="4285">
        <f t="shared" si="35"/>
        <v>0</v>
      </c>
    </row>
    <row r="100" spans="1:72">
      <c r="A100" s="4278"/>
      <c r="B100" s="4279"/>
      <c r="C100" s="4279"/>
      <c r="D100" s="4280"/>
      <c r="E100" s="1188">
        <f t="shared" si="7"/>
        <v>0</v>
      </c>
      <c r="F100" s="1680"/>
      <c r="G100" s="4281">
        <f t="shared" si="8"/>
        <v>0</v>
      </c>
      <c r="H100" s="3457">
        <f t="shared" si="9"/>
        <v>0</v>
      </c>
      <c r="I100" s="4282"/>
      <c r="J100" s="4282"/>
      <c r="K100" s="4282"/>
      <c r="L100" s="4282"/>
      <c r="M100" s="4282"/>
      <c r="N100" s="4282"/>
      <c r="O100" s="4282"/>
      <c r="P100" s="4282"/>
      <c r="Q100" s="4282"/>
      <c r="R100" s="4282"/>
      <c r="S100" s="4282"/>
      <c r="T100" s="4282"/>
      <c r="U100" s="4282"/>
      <c r="V100" s="4282"/>
      <c r="W100" s="4282"/>
      <c r="X100" s="4282"/>
      <c r="Y100" s="4282"/>
      <c r="Z100" s="4282"/>
      <c r="AA100" s="4282"/>
      <c r="AB100" s="4282"/>
      <c r="AC100" s="1188">
        <f t="shared" si="10"/>
        <v>0</v>
      </c>
      <c r="AD100" s="4278"/>
      <c r="AE100" s="4278"/>
      <c r="AF100" s="4278"/>
      <c r="AG100" s="4278"/>
      <c r="AH100" s="4278"/>
      <c r="AI100" s="4278"/>
      <c r="AJ100" s="4278"/>
      <c r="AK100" s="4278"/>
      <c r="AL100" s="4278"/>
      <c r="AM100" s="4278"/>
      <c r="AN100" s="4278"/>
      <c r="AO100" s="4278"/>
      <c r="AP100" s="4278"/>
      <c r="AQ100" s="4278"/>
      <c r="AR100" s="4278"/>
      <c r="AS100" s="4278"/>
      <c r="AT100" s="4279"/>
      <c r="AU100" s="4283"/>
      <c r="AV100" s="1188">
        <f t="shared" si="11"/>
        <v>0</v>
      </c>
      <c r="AW100" s="1188">
        <f t="shared" si="12"/>
        <v>0</v>
      </c>
      <c r="AX100" s="1188">
        <f t="shared" si="13"/>
        <v>0</v>
      </c>
      <c r="AY100" s="1452">
        <f t="shared" si="14"/>
        <v>0</v>
      </c>
      <c r="AZ100" s="4284">
        <f t="shared" si="15"/>
        <v>0</v>
      </c>
      <c r="BA100" s="4284">
        <f t="shared" si="16"/>
        <v>0</v>
      </c>
      <c r="BB100" s="4284">
        <f t="shared" si="17"/>
        <v>0</v>
      </c>
      <c r="BC100" s="4284">
        <f t="shared" si="18"/>
        <v>0</v>
      </c>
      <c r="BD100" s="4284">
        <f t="shared" si="19"/>
        <v>0</v>
      </c>
      <c r="BE100" s="4284">
        <f t="shared" si="20"/>
        <v>0</v>
      </c>
      <c r="BF100" s="4284">
        <f t="shared" si="21"/>
        <v>0</v>
      </c>
      <c r="BG100" s="4284">
        <f t="shared" si="22"/>
        <v>0</v>
      </c>
      <c r="BH100" s="4284">
        <f t="shared" si="23"/>
        <v>0</v>
      </c>
      <c r="BI100" s="4284">
        <f t="shared" si="24"/>
        <v>0</v>
      </c>
      <c r="BJ100" s="4284">
        <f t="shared" si="25"/>
        <v>0</v>
      </c>
      <c r="BK100" s="4284">
        <f t="shared" si="26"/>
        <v>0</v>
      </c>
      <c r="BL100" s="4284">
        <f t="shared" si="27"/>
        <v>0</v>
      </c>
      <c r="BM100" s="4284">
        <f t="shared" si="28"/>
        <v>0</v>
      </c>
      <c r="BN100" s="4284">
        <f t="shared" si="29"/>
        <v>0</v>
      </c>
      <c r="BO100" s="4284">
        <f t="shared" si="30"/>
        <v>0</v>
      </c>
      <c r="BP100" s="4284">
        <f t="shared" si="31"/>
        <v>0</v>
      </c>
      <c r="BQ100" s="4284">
        <f t="shared" si="32"/>
        <v>0</v>
      </c>
      <c r="BR100" s="4284">
        <f t="shared" si="33"/>
        <v>0</v>
      </c>
      <c r="BS100" s="4284">
        <f t="shared" si="34"/>
        <v>0</v>
      </c>
      <c r="BT100" s="4285">
        <f t="shared" si="35"/>
        <v>0</v>
      </c>
    </row>
    <row r="101" spans="1:72">
      <c r="A101" s="4278"/>
      <c r="B101" s="4279"/>
      <c r="C101" s="4279"/>
      <c r="D101" s="4280"/>
      <c r="E101" s="1188">
        <f t="shared" si="7"/>
        <v>0</v>
      </c>
      <c r="F101" s="1680"/>
      <c r="G101" s="4281">
        <f t="shared" si="8"/>
        <v>0</v>
      </c>
      <c r="H101" s="3457">
        <f t="shared" si="9"/>
        <v>0</v>
      </c>
      <c r="I101" s="4282"/>
      <c r="J101" s="4282"/>
      <c r="K101" s="4282"/>
      <c r="L101" s="4282"/>
      <c r="M101" s="4282"/>
      <c r="N101" s="4282"/>
      <c r="O101" s="4282"/>
      <c r="P101" s="4282"/>
      <c r="Q101" s="4282"/>
      <c r="R101" s="4282"/>
      <c r="S101" s="4282"/>
      <c r="T101" s="4282"/>
      <c r="U101" s="4282"/>
      <c r="V101" s="4282"/>
      <c r="W101" s="4282"/>
      <c r="X101" s="4282"/>
      <c r="Y101" s="4282"/>
      <c r="Z101" s="4282"/>
      <c r="AA101" s="4282"/>
      <c r="AB101" s="4282"/>
      <c r="AC101" s="1188">
        <f t="shared" si="10"/>
        <v>0</v>
      </c>
      <c r="AD101" s="4278"/>
      <c r="AE101" s="4278"/>
      <c r="AF101" s="4278"/>
      <c r="AG101" s="4278"/>
      <c r="AH101" s="4278"/>
      <c r="AI101" s="4278"/>
      <c r="AJ101" s="4278"/>
      <c r="AK101" s="4278"/>
      <c r="AL101" s="4278"/>
      <c r="AM101" s="4278"/>
      <c r="AN101" s="4278"/>
      <c r="AO101" s="4278"/>
      <c r="AP101" s="4278"/>
      <c r="AQ101" s="4278"/>
      <c r="AR101" s="4278"/>
      <c r="AS101" s="4278"/>
      <c r="AT101" s="4279"/>
      <c r="AU101" s="4283"/>
      <c r="AV101" s="1188">
        <f t="shared" si="11"/>
        <v>0</v>
      </c>
      <c r="AW101" s="1188">
        <f t="shared" si="12"/>
        <v>0</v>
      </c>
      <c r="AX101" s="1188">
        <f t="shared" si="13"/>
        <v>0</v>
      </c>
      <c r="AY101" s="1452">
        <f t="shared" si="14"/>
        <v>0</v>
      </c>
      <c r="AZ101" s="4284">
        <f t="shared" si="15"/>
        <v>0</v>
      </c>
      <c r="BA101" s="4284">
        <f t="shared" si="16"/>
        <v>0</v>
      </c>
      <c r="BB101" s="4284">
        <f t="shared" si="17"/>
        <v>0</v>
      </c>
      <c r="BC101" s="4284">
        <f t="shared" si="18"/>
        <v>0</v>
      </c>
      <c r="BD101" s="4284">
        <f t="shared" si="19"/>
        <v>0</v>
      </c>
      <c r="BE101" s="4284">
        <f t="shared" si="20"/>
        <v>0</v>
      </c>
      <c r="BF101" s="4284">
        <f t="shared" si="21"/>
        <v>0</v>
      </c>
      <c r="BG101" s="4284">
        <f t="shared" si="22"/>
        <v>0</v>
      </c>
      <c r="BH101" s="4284">
        <f t="shared" si="23"/>
        <v>0</v>
      </c>
      <c r="BI101" s="4284">
        <f t="shared" si="24"/>
        <v>0</v>
      </c>
      <c r="BJ101" s="4284">
        <f t="shared" si="25"/>
        <v>0</v>
      </c>
      <c r="BK101" s="4284">
        <f t="shared" si="26"/>
        <v>0</v>
      </c>
      <c r="BL101" s="4284">
        <f t="shared" si="27"/>
        <v>0</v>
      </c>
      <c r="BM101" s="4284">
        <f t="shared" si="28"/>
        <v>0</v>
      </c>
      <c r="BN101" s="4284">
        <f t="shared" si="29"/>
        <v>0</v>
      </c>
      <c r="BO101" s="4284">
        <f t="shared" si="30"/>
        <v>0</v>
      </c>
      <c r="BP101" s="4284">
        <f t="shared" si="31"/>
        <v>0</v>
      </c>
      <c r="BQ101" s="4284">
        <f t="shared" si="32"/>
        <v>0</v>
      </c>
      <c r="BR101" s="4284">
        <f t="shared" si="33"/>
        <v>0</v>
      </c>
      <c r="BS101" s="4284">
        <f t="shared" si="34"/>
        <v>0</v>
      </c>
      <c r="BT101" s="4285">
        <f t="shared" si="35"/>
        <v>0</v>
      </c>
    </row>
    <row r="102" spans="1:72">
      <c r="A102" s="4278"/>
      <c r="B102" s="4279"/>
      <c r="C102" s="4279"/>
      <c r="D102" s="4280"/>
      <c r="E102" s="1188">
        <f t="shared" si="7"/>
        <v>0</v>
      </c>
      <c r="F102" s="1680"/>
      <c r="G102" s="4281">
        <f t="shared" si="8"/>
        <v>0</v>
      </c>
      <c r="H102" s="3457">
        <f t="shared" si="9"/>
        <v>0</v>
      </c>
      <c r="I102" s="4282"/>
      <c r="J102" s="4282"/>
      <c r="K102" s="4282"/>
      <c r="L102" s="4282"/>
      <c r="M102" s="4282"/>
      <c r="N102" s="4282"/>
      <c r="O102" s="4282"/>
      <c r="P102" s="4282"/>
      <c r="Q102" s="4282"/>
      <c r="R102" s="4282"/>
      <c r="S102" s="4282"/>
      <c r="T102" s="4282"/>
      <c r="U102" s="4282"/>
      <c r="V102" s="4282"/>
      <c r="W102" s="4282"/>
      <c r="X102" s="4282"/>
      <c r="Y102" s="4282"/>
      <c r="Z102" s="4282"/>
      <c r="AA102" s="4282"/>
      <c r="AB102" s="4282"/>
      <c r="AC102" s="1188">
        <f t="shared" si="10"/>
        <v>0</v>
      </c>
      <c r="AD102" s="4278"/>
      <c r="AE102" s="4278"/>
      <c r="AF102" s="4278"/>
      <c r="AG102" s="4278"/>
      <c r="AH102" s="4278"/>
      <c r="AI102" s="4278"/>
      <c r="AJ102" s="4278"/>
      <c r="AK102" s="4278"/>
      <c r="AL102" s="4278"/>
      <c r="AM102" s="4278"/>
      <c r="AN102" s="4278"/>
      <c r="AO102" s="4278"/>
      <c r="AP102" s="4278"/>
      <c r="AQ102" s="4278"/>
      <c r="AR102" s="4278"/>
      <c r="AS102" s="4278"/>
      <c r="AT102" s="4279"/>
      <c r="AU102" s="4283"/>
      <c r="AV102" s="1188">
        <f t="shared" si="11"/>
        <v>0</v>
      </c>
      <c r="AW102" s="1188">
        <f t="shared" si="12"/>
        <v>0</v>
      </c>
      <c r="AX102" s="1188">
        <f t="shared" si="13"/>
        <v>0</v>
      </c>
      <c r="AY102" s="1452">
        <f t="shared" si="14"/>
        <v>0</v>
      </c>
      <c r="AZ102" s="4284">
        <f t="shared" si="15"/>
        <v>0</v>
      </c>
      <c r="BA102" s="4284">
        <f t="shared" si="16"/>
        <v>0</v>
      </c>
      <c r="BB102" s="4284">
        <f t="shared" si="17"/>
        <v>0</v>
      </c>
      <c r="BC102" s="4284">
        <f t="shared" si="18"/>
        <v>0</v>
      </c>
      <c r="BD102" s="4284">
        <f t="shared" si="19"/>
        <v>0</v>
      </c>
      <c r="BE102" s="4284">
        <f t="shared" si="20"/>
        <v>0</v>
      </c>
      <c r="BF102" s="4284">
        <f t="shared" si="21"/>
        <v>0</v>
      </c>
      <c r="BG102" s="4284">
        <f t="shared" si="22"/>
        <v>0</v>
      </c>
      <c r="BH102" s="4284">
        <f t="shared" si="23"/>
        <v>0</v>
      </c>
      <c r="BI102" s="4284">
        <f t="shared" si="24"/>
        <v>0</v>
      </c>
      <c r="BJ102" s="4284">
        <f t="shared" si="25"/>
        <v>0</v>
      </c>
      <c r="BK102" s="4284">
        <f t="shared" si="26"/>
        <v>0</v>
      </c>
      <c r="BL102" s="4284">
        <f t="shared" si="27"/>
        <v>0</v>
      </c>
      <c r="BM102" s="4284">
        <f t="shared" si="28"/>
        <v>0</v>
      </c>
      <c r="BN102" s="4284">
        <f t="shared" si="29"/>
        <v>0</v>
      </c>
      <c r="BO102" s="4284">
        <f t="shared" si="30"/>
        <v>0</v>
      </c>
      <c r="BP102" s="4284">
        <f t="shared" si="31"/>
        <v>0</v>
      </c>
      <c r="BQ102" s="4284">
        <f t="shared" si="32"/>
        <v>0</v>
      </c>
      <c r="BR102" s="4284">
        <f t="shared" si="33"/>
        <v>0</v>
      </c>
      <c r="BS102" s="4284">
        <f t="shared" si="34"/>
        <v>0</v>
      </c>
      <c r="BT102" s="4285">
        <f t="shared" si="35"/>
        <v>0</v>
      </c>
    </row>
    <row r="103" spans="1:72">
      <c r="A103" s="4278"/>
      <c r="B103" s="4279"/>
      <c r="C103" s="4279"/>
      <c r="D103" s="4280"/>
      <c r="E103" s="1188">
        <f t="shared" si="7"/>
        <v>0</v>
      </c>
      <c r="F103" s="1680"/>
      <c r="G103" s="4281">
        <f t="shared" si="8"/>
        <v>0</v>
      </c>
      <c r="H103" s="3457">
        <f t="shared" si="9"/>
        <v>0</v>
      </c>
      <c r="I103" s="4282"/>
      <c r="J103" s="4282"/>
      <c r="K103" s="4282"/>
      <c r="L103" s="4282"/>
      <c r="M103" s="4282"/>
      <c r="N103" s="4282"/>
      <c r="O103" s="4282"/>
      <c r="P103" s="4282"/>
      <c r="Q103" s="4282"/>
      <c r="R103" s="4282"/>
      <c r="S103" s="4282"/>
      <c r="T103" s="4282"/>
      <c r="U103" s="4282"/>
      <c r="V103" s="4282"/>
      <c r="W103" s="4282"/>
      <c r="X103" s="4282"/>
      <c r="Y103" s="4282"/>
      <c r="Z103" s="4282"/>
      <c r="AA103" s="4282"/>
      <c r="AB103" s="4282"/>
      <c r="AC103" s="1188">
        <f t="shared" si="10"/>
        <v>0</v>
      </c>
      <c r="AD103" s="4278"/>
      <c r="AE103" s="4278"/>
      <c r="AF103" s="4278"/>
      <c r="AG103" s="4278"/>
      <c r="AH103" s="4278"/>
      <c r="AI103" s="4278"/>
      <c r="AJ103" s="4278"/>
      <c r="AK103" s="4278"/>
      <c r="AL103" s="4278"/>
      <c r="AM103" s="4278"/>
      <c r="AN103" s="4278"/>
      <c r="AO103" s="4278"/>
      <c r="AP103" s="4278"/>
      <c r="AQ103" s="4278"/>
      <c r="AR103" s="4278"/>
      <c r="AS103" s="4278"/>
      <c r="AT103" s="4279"/>
      <c r="AU103" s="4283"/>
      <c r="AV103" s="1188">
        <f t="shared" si="11"/>
        <v>0</v>
      </c>
      <c r="AW103" s="1188">
        <f t="shared" si="12"/>
        <v>0</v>
      </c>
      <c r="AX103" s="1188">
        <f t="shared" si="13"/>
        <v>0</v>
      </c>
      <c r="AY103" s="1452">
        <f t="shared" si="14"/>
        <v>0</v>
      </c>
      <c r="AZ103" s="4284">
        <f t="shared" si="15"/>
        <v>0</v>
      </c>
      <c r="BA103" s="4284">
        <f t="shared" si="16"/>
        <v>0</v>
      </c>
      <c r="BB103" s="4284">
        <f t="shared" si="17"/>
        <v>0</v>
      </c>
      <c r="BC103" s="4284">
        <f t="shared" si="18"/>
        <v>0</v>
      </c>
      <c r="BD103" s="4284">
        <f t="shared" si="19"/>
        <v>0</v>
      </c>
      <c r="BE103" s="4284">
        <f t="shared" si="20"/>
        <v>0</v>
      </c>
      <c r="BF103" s="4284">
        <f t="shared" si="21"/>
        <v>0</v>
      </c>
      <c r="BG103" s="4284">
        <f t="shared" si="22"/>
        <v>0</v>
      </c>
      <c r="BH103" s="4284">
        <f t="shared" si="23"/>
        <v>0</v>
      </c>
      <c r="BI103" s="4284">
        <f t="shared" si="24"/>
        <v>0</v>
      </c>
      <c r="BJ103" s="4284">
        <f t="shared" si="25"/>
        <v>0</v>
      </c>
      <c r="BK103" s="4284">
        <f t="shared" si="26"/>
        <v>0</v>
      </c>
      <c r="BL103" s="4284">
        <f t="shared" si="27"/>
        <v>0</v>
      </c>
      <c r="BM103" s="4284">
        <f t="shared" si="28"/>
        <v>0</v>
      </c>
      <c r="BN103" s="4284">
        <f t="shared" si="29"/>
        <v>0</v>
      </c>
      <c r="BO103" s="4284">
        <f t="shared" si="30"/>
        <v>0</v>
      </c>
      <c r="BP103" s="4284">
        <f t="shared" si="31"/>
        <v>0</v>
      </c>
      <c r="BQ103" s="4284">
        <f t="shared" si="32"/>
        <v>0</v>
      </c>
      <c r="BR103" s="4284">
        <f t="shared" si="33"/>
        <v>0</v>
      </c>
      <c r="BS103" s="4284">
        <f t="shared" si="34"/>
        <v>0</v>
      </c>
      <c r="BT103" s="4285">
        <f t="shared" si="35"/>
        <v>0</v>
      </c>
    </row>
    <row r="104" spans="1:72">
      <c r="A104" s="4278"/>
      <c r="B104" s="4279"/>
      <c r="C104" s="4279"/>
      <c r="D104" s="4280"/>
      <c r="E104" s="1188">
        <f t="shared" si="7"/>
        <v>0</v>
      </c>
      <c r="F104" s="1680"/>
      <c r="G104" s="4281">
        <f t="shared" si="8"/>
        <v>0</v>
      </c>
      <c r="H104" s="3457">
        <f t="shared" si="9"/>
        <v>0</v>
      </c>
      <c r="I104" s="4282"/>
      <c r="J104" s="4282"/>
      <c r="K104" s="4282"/>
      <c r="L104" s="4282"/>
      <c r="M104" s="4282"/>
      <c r="N104" s="4282"/>
      <c r="O104" s="4282"/>
      <c r="P104" s="4282"/>
      <c r="Q104" s="4282"/>
      <c r="R104" s="4282"/>
      <c r="S104" s="4282"/>
      <c r="T104" s="4282"/>
      <c r="U104" s="4282"/>
      <c r="V104" s="4282"/>
      <c r="W104" s="4282"/>
      <c r="X104" s="4282"/>
      <c r="Y104" s="4282"/>
      <c r="Z104" s="4282"/>
      <c r="AA104" s="4282"/>
      <c r="AB104" s="4282"/>
      <c r="AC104" s="1188">
        <f t="shared" si="10"/>
        <v>0</v>
      </c>
      <c r="AD104" s="4278"/>
      <c r="AE104" s="4278"/>
      <c r="AF104" s="4278"/>
      <c r="AG104" s="4278"/>
      <c r="AH104" s="4278"/>
      <c r="AI104" s="4278"/>
      <c r="AJ104" s="4278"/>
      <c r="AK104" s="4278"/>
      <c r="AL104" s="4278"/>
      <c r="AM104" s="4278"/>
      <c r="AN104" s="4278"/>
      <c r="AO104" s="4278"/>
      <c r="AP104" s="4278"/>
      <c r="AQ104" s="4278"/>
      <c r="AR104" s="4278"/>
      <c r="AS104" s="4278"/>
      <c r="AT104" s="4279"/>
      <c r="AU104" s="4283"/>
      <c r="AV104" s="1188">
        <f t="shared" si="11"/>
        <v>0</v>
      </c>
      <c r="AW104" s="1188">
        <f t="shared" si="12"/>
        <v>0</v>
      </c>
      <c r="AX104" s="1188">
        <f t="shared" si="13"/>
        <v>0</v>
      </c>
      <c r="AY104" s="1452">
        <f t="shared" si="14"/>
        <v>0</v>
      </c>
      <c r="AZ104" s="4284">
        <f t="shared" si="15"/>
        <v>0</v>
      </c>
      <c r="BA104" s="4284">
        <f t="shared" si="16"/>
        <v>0</v>
      </c>
      <c r="BB104" s="4284">
        <f t="shared" si="17"/>
        <v>0</v>
      </c>
      <c r="BC104" s="4284">
        <f t="shared" si="18"/>
        <v>0</v>
      </c>
      <c r="BD104" s="4284">
        <f t="shared" si="19"/>
        <v>0</v>
      </c>
      <c r="BE104" s="4284">
        <f t="shared" si="20"/>
        <v>0</v>
      </c>
      <c r="BF104" s="4284">
        <f t="shared" si="21"/>
        <v>0</v>
      </c>
      <c r="BG104" s="4284">
        <f t="shared" si="22"/>
        <v>0</v>
      </c>
      <c r="BH104" s="4284">
        <f t="shared" si="23"/>
        <v>0</v>
      </c>
      <c r="BI104" s="4284">
        <f t="shared" si="24"/>
        <v>0</v>
      </c>
      <c r="BJ104" s="4284">
        <f t="shared" si="25"/>
        <v>0</v>
      </c>
      <c r="BK104" s="4284">
        <f t="shared" si="26"/>
        <v>0</v>
      </c>
      <c r="BL104" s="4284">
        <f t="shared" si="27"/>
        <v>0</v>
      </c>
      <c r="BM104" s="4284">
        <f t="shared" si="28"/>
        <v>0</v>
      </c>
      <c r="BN104" s="4284">
        <f t="shared" si="29"/>
        <v>0</v>
      </c>
      <c r="BO104" s="4284">
        <f t="shared" si="30"/>
        <v>0</v>
      </c>
      <c r="BP104" s="4284">
        <f t="shared" si="31"/>
        <v>0</v>
      </c>
      <c r="BQ104" s="4284">
        <f t="shared" si="32"/>
        <v>0</v>
      </c>
      <c r="BR104" s="4284">
        <f t="shared" si="33"/>
        <v>0</v>
      </c>
      <c r="BS104" s="4284">
        <f t="shared" si="34"/>
        <v>0</v>
      </c>
      <c r="BT104" s="4285">
        <f t="shared" si="35"/>
        <v>0</v>
      </c>
    </row>
    <row r="105" spans="1:72">
      <c r="A105" s="4278"/>
      <c r="B105" s="4279"/>
      <c r="C105" s="4279"/>
      <c r="D105" s="4280"/>
      <c r="E105" s="1188">
        <f t="shared" si="7"/>
        <v>0</v>
      </c>
      <c r="F105" s="1680"/>
      <c r="G105" s="4281">
        <f t="shared" si="8"/>
        <v>0</v>
      </c>
      <c r="H105" s="3457">
        <f t="shared" si="9"/>
        <v>0</v>
      </c>
      <c r="I105" s="4282"/>
      <c r="J105" s="4282"/>
      <c r="K105" s="4282"/>
      <c r="L105" s="4282"/>
      <c r="M105" s="4282"/>
      <c r="N105" s="4282"/>
      <c r="O105" s="4282"/>
      <c r="P105" s="4282"/>
      <c r="Q105" s="4282"/>
      <c r="R105" s="4282"/>
      <c r="S105" s="4282"/>
      <c r="T105" s="4282"/>
      <c r="U105" s="4282"/>
      <c r="V105" s="4282"/>
      <c r="W105" s="4282"/>
      <c r="X105" s="4282"/>
      <c r="Y105" s="4282"/>
      <c r="Z105" s="4282"/>
      <c r="AA105" s="4282"/>
      <c r="AB105" s="4282"/>
      <c r="AC105" s="1188">
        <f t="shared" si="10"/>
        <v>0</v>
      </c>
      <c r="AD105" s="4278"/>
      <c r="AE105" s="4278"/>
      <c r="AF105" s="4278"/>
      <c r="AG105" s="4278"/>
      <c r="AH105" s="4278"/>
      <c r="AI105" s="4278"/>
      <c r="AJ105" s="4278"/>
      <c r="AK105" s="4278"/>
      <c r="AL105" s="4278"/>
      <c r="AM105" s="4278"/>
      <c r="AN105" s="4278"/>
      <c r="AO105" s="4278"/>
      <c r="AP105" s="4278"/>
      <c r="AQ105" s="4278"/>
      <c r="AR105" s="4278"/>
      <c r="AS105" s="4278"/>
      <c r="AT105" s="4279"/>
      <c r="AU105" s="4283"/>
      <c r="AV105" s="1188">
        <f t="shared" si="11"/>
        <v>0</v>
      </c>
      <c r="AW105" s="1188">
        <f t="shared" si="12"/>
        <v>0</v>
      </c>
      <c r="AX105" s="1188">
        <f t="shared" si="13"/>
        <v>0</v>
      </c>
      <c r="AY105" s="1452">
        <f t="shared" si="14"/>
        <v>0</v>
      </c>
      <c r="AZ105" s="4284">
        <f t="shared" si="15"/>
        <v>0</v>
      </c>
      <c r="BA105" s="4284">
        <f t="shared" si="16"/>
        <v>0</v>
      </c>
      <c r="BB105" s="4284">
        <f t="shared" si="17"/>
        <v>0</v>
      </c>
      <c r="BC105" s="4284">
        <f t="shared" si="18"/>
        <v>0</v>
      </c>
      <c r="BD105" s="4284">
        <f t="shared" si="19"/>
        <v>0</v>
      </c>
      <c r="BE105" s="4284">
        <f t="shared" si="20"/>
        <v>0</v>
      </c>
      <c r="BF105" s="4284">
        <f t="shared" si="21"/>
        <v>0</v>
      </c>
      <c r="BG105" s="4284">
        <f t="shared" si="22"/>
        <v>0</v>
      </c>
      <c r="BH105" s="4284">
        <f t="shared" si="23"/>
        <v>0</v>
      </c>
      <c r="BI105" s="4284">
        <f t="shared" si="24"/>
        <v>0</v>
      </c>
      <c r="BJ105" s="4284">
        <f t="shared" si="25"/>
        <v>0</v>
      </c>
      <c r="BK105" s="4284">
        <f t="shared" si="26"/>
        <v>0</v>
      </c>
      <c r="BL105" s="4284">
        <f t="shared" si="27"/>
        <v>0</v>
      </c>
      <c r="BM105" s="4284">
        <f t="shared" si="28"/>
        <v>0</v>
      </c>
      <c r="BN105" s="4284">
        <f t="shared" si="29"/>
        <v>0</v>
      </c>
      <c r="BO105" s="4284">
        <f t="shared" si="30"/>
        <v>0</v>
      </c>
      <c r="BP105" s="4284">
        <f t="shared" si="31"/>
        <v>0</v>
      </c>
      <c r="BQ105" s="4284">
        <f t="shared" si="32"/>
        <v>0</v>
      </c>
      <c r="BR105" s="4284">
        <f t="shared" si="33"/>
        <v>0</v>
      </c>
      <c r="BS105" s="4284">
        <f t="shared" si="34"/>
        <v>0</v>
      </c>
      <c r="BT105" s="4285">
        <f t="shared" si="35"/>
        <v>0</v>
      </c>
    </row>
    <row r="106" spans="1:72">
      <c r="A106" s="4278"/>
      <c r="B106" s="4279"/>
      <c r="C106" s="4279"/>
      <c r="D106" s="4280"/>
      <c r="E106" s="1188">
        <f t="shared" si="7"/>
        <v>0</v>
      </c>
      <c r="F106" s="1680"/>
      <c r="G106" s="4281">
        <f t="shared" si="8"/>
        <v>0</v>
      </c>
      <c r="H106" s="3457">
        <f t="shared" si="9"/>
        <v>0</v>
      </c>
      <c r="I106" s="4282"/>
      <c r="J106" s="4282"/>
      <c r="K106" s="4282"/>
      <c r="L106" s="4282"/>
      <c r="M106" s="4282"/>
      <c r="N106" s="4282"/>
      <c r="O106" s="4282"/>
      <c r="P106" s="4282"/>
      <c r="Q106" s="4282"/>
      <c r="R106" s="4282"/>
      <c r="S106" s="4282"/>
      <c r="T106" s="4282"/>
      <c r="U106" s="4282"/>
      <c r="V106" s="4282"/>
      <c r="W106" s="4282"/>
      <c r="X106" s="4282"/>
      <c r="Y106" s="4282"/>
      <c r="Z106" s="4282"/>
      <c r="AA106" s="4282"/>
      <c r="AB106" s="4282"/>
      <c r="AC106" s="1188">
        <f t="shared" si="10"/>
        <v>0</v>
      </c>
      <c r="AD106" s="4278"/>
      <c r="AE106" s="4278"/>
      <c r="AF106" s="4278"/>
      <c r="AG106" s="4278"/>
      <c r="AH106" s="4278"/>
      <c r="AI106" s="4278"/>
      <c r="AJ106" s="4278"/>
      <c r="AK106" s="4278"/>
      <c r="AL106" s="4278"/>
      <c r="AM106" s="4278"/>
      <c r="AN106" s="4278"/>
      <c r="AO106" s="4278"/>
      <c r="AP106" s="4278"/>
      <c r="AQ106" s="4278"/>
      <c r="AR106" s="4278"/>
      <c r="AS106" s="4278"/>
      <c r="AT106" s="4279"/>
      <c r="AU106" s="4283"/>
      <c r="AV106" s="1188">
        <f t="shared" si="11"/>
        <v>0</v>
      </c>
      <c r="AW106" s="1188">
        <f t="shared" si="12"/>
        <v>0</v>
      </c>
      <c r="AX106" s="1188">
        <f t="shared" si="13"/>
        <v>0</v>
      </c>
      <c r="AY106" s="1452">
        <f t="shared" si="14"/>
        <v>0</v>
      </c>
      <c r="AZ106" s="4284">
        <f t="shared" si="15"/>
        <v>0</v>
      </c>
      <c r="BA106" s="4284">
        <f t="shared" si="16"/>
        <v>0</v>
      </c>
      <c r="BB106" s="4284">
        <f t="shared" si="17"/>
        <v>0</v>
      </c>
      <c r="BC106" s="4284">
        <f t="shared" si="18"/>
        <v>0</v>
      </c>
      <c r="BD106" s="4284">
        <f t="shared" si="19"/>
        <v>0</v>
      </c>
      <c r="BE106" s="4284">
        <f t="shared" si="20"/>
        <v>0</v>
      </c>
      <c r="BF106" s="4284">
        <f t="shared" si="21"/>
        <v>0</v>
      </c>
      <c r="BG106" s="4284">
        <f t="shared" si="22"/>
        <v>0</v>
      </c>
      <c r="BH106" s="4284">
        <f t="shared" si="23"/>
        <v>0</v>
      </c>
      <c r="BI106" s="4284">
        <f t="shared" si="24"/>
        <v>0</v>
      </c>
      <c r="BJ106" s="4284">
        <f t="shared" si="25"/>
        <v>0</v>
      </c>
      <c r="BK106" s="4284">
        <f t="shared" si="26"/>
        <v>0</v>
      </c>
      <c r="BL106" s="4284">
        <f t="shared" si="27"/>
        <v>0</v>
      </c>
      <c r="BM106" s="4284">
        <f t="shared" si="28"/>
        <v>0</v>
      </c>
      <c r="BN106" s="4284">
        <f t="shared" si="29"/>
        <v>0</v>
      </c>
      <c r="BO106" s="4284">
        <f t="shared" si="30"/>
        <v>0</v>
      </c>
      <c r="BP106" s="4284">
        <f t="shared" si="31"/>
        <v>0</v>
      </c>
      <c r="BQ106" s="4284">
        <f t="shared" si="32"/>
        <v>0</v>
      </c>
      <c r="BR106" s="4284">
        <f t="shared" si="33"/>
        <v>0</v>
      </c>
      <c r="BS106" s="4284">
        <f t="shared" si="34"/>
        <v>0</v>
      </c>
      <c r="BT106" s="4285">
        <f t="shared" si="35"/>
        <v>0</v>
      </c>
    </row>
    <row r="107" spans="1:72">
      <c r="A107" s="4278"/>
      <c r="B107" s="4279"/>
      <c r="C107" s="4279"/>
      <c r="D107" s="4280"/>
      <c r="E107" s="1188">
        <f t="shared" si="7"/>
        <v>0</v>
      </c>
      <c r="F107" s="1680"/>
      <c r="G107" s="4281">
        <f t="shared" si="8"/>
        <v>0</v>
      </c>
      <c r="H107" s="3457">
        <f t="shared" si="9"/>
        <v>0</v>
      </c>
      <c r="I107" s="4282"/>
      <c r="J107" s="4282"/>
      <c r="K107" s="4282"/>
      <c r="L107" s="4282"/>
      <c r="M107" s="4282"/>
      <c r="N107" s="4282"/>
      <c r="O107" s="4282"/>
      <c r="P107" s="4282"/>
      <c r="Q107" s="4282"/>
      <c r="R107" s="4282"/>
      <c r="S107" s="4282"/>
      <c r="T107" s="4282"/>
      <c r="U107" s="4282"/>
      <c r="V107" s="4282"/>
      <c r="W107" s="4282"/>
      <c r="X107" s="4282"/>
      <c r="Y107" s="4282"/>
      <c r="Z107" s="4282"/>
      <c r="AA107" s="4282"/>
      <c r="AB107" s="4282"/>
      <c r="AC107" s="1188">
        <f t="shared" si="10"/>
        <v>0</v>
      </c>
      <c r="AD107" s="4278"/>
      <c r="AE107" s="4278"/>
      <c r="AF107" s="4278"/>
      <c r="AG107" s="4278"/>
      <c r="AH107" s="4278"/>
      <c r="AI107" s="4278"/>
      <c r="AJ107" s="4278"/>
      <c r="AK107" s="4278"/>
      <c r="AL107" s="4278"/>
      <c r="AM107" s="4278"/>
      <c r="AN107" s="4278"/>
      <c r="AO107" s="4278"/>
      <c r="AP107" s="4278"/>
      <c r="AQ107" s="4278"/>
      <c r="AR107" s="4278"/>
      <c r="AS107" s="4278"/>
      <c r="AT107" s="4279"/>
      <c r="AU107" s="4283"/>
      <c r="AV107" s="1188">
        <f t="shared" si="11"/>
        <v>0</v>
      </c>
      <c r="AW107" s="1188">
        <f t="shared" si="12"/>
        <v>0</v>
      </c>
      <c r="AX107" s="1188">
        <f t="shared" si="13"/>
        <v>0</v>
      </c>
      <c r="AY107" s="1452">
        <f t="shared" si="14"/>
        <v>0</v>
      </c>
      <c r="AZ107" s="4284">
        <f t="shared" si="15"/>
        <v>0</v>
      </c>
      <c r="BA107" s="4284">
        <f t="shared" si="16"/>
        <v>0</v>
      </c>
      <c r="BB107" s="4284">
        <f t="shared" si="17"/>
        <v>0</v>
      </c>
      <c r="BC107" s="4284">
        <f t="shared" si="18"/>
        <v>0</v>
      </c>
      <c r="BD107" s="4284">
        <f t="shared" si="19"/>
        <v>0</v>
      </c>
      <c r="BE107" s="4284">
        <f t="shared" si="20"/>
        <v>0</v>
      </c>
      <c r="BF107" s="4284">
        <f t="shared" si="21"/>
        <v>0</v>
      </c>
      <c r="BG107" s="4284">
        <f t="shared" si="22"/>
        <v>0</v>
      </c>
      <c r="BH107" s="4284">
        <f t="shared" si="23"/>
        <v>0</v>
      </c>
      <c r="BI107" s="4284">
        <f t="shared" si="24"/>
        <v>0</v>
      </c>
      <c r="BJ107" s="4284">
        <f t="shared" si="25"/>
        <v>0</v>
      </c>
      <c r="BK107" s="4284">
        <f t="shared" si="26"/>
        <v>0</v>
      </c>
      <c r="BL107" s="4284">
        <f t="shared" si="27"/>
        <v>0</v>
      </c>
      <c r="BM107" s="4284">
        <f t="shared" si="28"/>
        <v>0</v>
      </c>
      <c r="BN107" s="4284">
        <f t="shared" si="29"/>
        <v>0</v>
      </c>
      <c r="BO107" s="4284">
        <f t="shared" si="30"/>
        <v>0</v>
      </c>
      <c r="BP107" s="4284">
        <f t="shared" si="31"/>
        <v>0</v>
      </c>
      <c r="BQ107" s="4284">
        <f t="shared" si="32"/>
        <v>0</v>
      </c>
      <c r="BR107" s="4284">
        <f t="shared" si="33"/>
        <v>0</v>
      </c>
      <c r="BS107" s="4284">
        <f t="shared" si="34"/>
        <v>0</v>
      </c>
      <c r="BT107" s="4285">
        <f t="shared" si="35"/>
        <v>0</v>
      </c>
    </row>
    <row r="108" spans="1:72">
      <c r="A108" s="4278"/>
      <c r="B108" s="4279"/>
      <c r="C108" s="4279"/>
      <c r="D108" s="4280"/>
      <c r="E108" s="1188">
        <f t="shared" si="7"/>
        <v>0</v>
      </c>
      <c r="F108" s="1680"/>
      <c r="G108" s="4281">
        <f t="shared" si="8"/>
        <v>0</v>
      </c>
      <c r="H108" s="3457">
        <f t="shared" si="9"/>
        <v>0</v>
      </c>
      <c r="I108" s="4282"/>
      <c r="J108" s="4282"/>
      <c r="K108" s="4282"/>
      <c r="L108" s="4282"/>
      <c r="M108" s="4282"/>
      <c r="N108" s="4282"/>
      <c r="O108" s="4282"/>
      <c r="P108" s="4282"/>
      <c r="Q108" s="4282"/>
      <c r="R108" s="4282"/>
      <c r="S108" s="4282"/>
      <c r="T108" s="4282"/>
      <c r="U108" s="4282"/>
      <c r="V108" s="4282"/>
      <c r="W108" s="4282"/>
      <c r="X108" s="4282"/>
      <c r="Y108" s="4282"/>
      <c r="Z108" s="4282"/>
      <c r="AA108" s="4282"/>
      <c r="AB108" s="4282"/>
      <c r="AC108" s="1188">
        <f t="shared" si="10"/>
        <v>0</v>
      </c>
      <c r="AD108" s="4278"/>
      <c r="AE108" s="4278"/>
      <c r="AF108" s="4278"/>
      <c r="AG108" s="4278"/>
      <c r="AH108" s="4278"/>
      <c r="AI108" s="4278"/>
      <c r="AJ108" s="4278"/>
      <c r="AK108" s="4278"/>
      <c r="AL108" s="4278"/>
      <c r="AM108" s="4278"/>
      <c r="AN108" s="4278"/>
      <c r="AO108" s="4278"/>
      <c r="AP108" s="4278"/>
      <c r="AQ108" s="4278"/>
      <c r="AR108" s="4278"/>
      <c r="AS108" s="4278"/>
      <c r="AT108" s="4279"/>
      <c r="AU108" s="4283"/>
      <c r="AV108" s="1188">
        <f t="shared" si="11"/>
        <v>0</v>
      </c>
      <c r="AW108" s="1188">
        <f t="shared" si="12"/>
        <v>0</v>
      </c>
      <c r="AX108" s="1188">
        <f t="shared" si="13"/>
        <v>0</v>
      </c>
      <c r="AY108" s="1452">
        <f t="shared" si="14"/>
        <v>0</v>
      </c>
      <c r="AZ108" s="4284">
        <f t="shared" si="15"/>
        <v>0</v>
      </c>
      <c r="BA108" s="4284">
        <f t="shared" si="16"/>
        <v>0</v>
      </c>
      <c r="BB108" s="4284">
        <f t="shared" si="17"/>
        <v>0</v>
      </c>
      <c r="BC108" s="4284">
        <f t="shared" si="18"/>
        <v>0</v>
      </c>
      <c r="BD108" s="4284">
        <f t="shared" si="19"/>
        <v>0</v>
      </c>
      <c r="BE108" s="4284">
        <f t="shared" si="20"/>
        <v>0</v>
      </c>
      <c r="BF108" s="4284">
        <f t="shared" si="21"/>
        <v>0</v>
      </c>
      <c r="BG108" s="4284">
        <f t="shared" si="22"/>
        <v>0</v>
      </c>
      <c r="BH108" s="4284">
        <f t="shared" si="23"/>
        <v>0</v>
      </c>
      <c r="BI108" s="4284">
        <f t="shared" si="24"/>
        <v>0</v>
      </c>
      <c r="BJ108" s="4284">
        <f t="shared" si="25"/>
        <v>0</v>
      </c>
      <c r="BK108" s="4284">
        <f t="shared" si="26"/>
        <v>0</v>
      </c>
      <c r="BL108" s="4284">
        <f t="shared" si="27"/>
        <v>0</v>
      </c>
      <c r="BM108" s="4284">
        <f t="shared" si="28"/>
        <v>0</v>
      </c>
      <c r="BN108" s="4284">
        <f t="shared" si="29"/>
        <v>0</v>
      </c>
      <c r="BO108" s="4284">
        <f t="shared" si="30"/>
        <v>0</v>
      </c>
      <c r="BP108" s="4284">
        <f t="shared" si="31"/>
        <v>0</v>
      </c>
      <c r="BQ108" s="4284">
        <f t="shared" si="32"/>
        <v>0</v>
      </c>
      <c r="BR108" s="4284">
        <f t="shared" si="33"/>
        <v>0</v>
      </c>
      <c r="BS108" s="4284">
        <f t="shared" si="34"/>
        <v>0</v>
      </c>
      <c r="BT108" s="4285">
        <f t="shared" si="35"/>
        <v>0</v>
      </c>
    </row>
    <row r="109" spans="1:72">
      <c r="A109" s="4278"/>
      <c r="B109" s="4279"/>
      <c r="C109" s="4279"/>
      <c r="D109" s="4280"/>
      <c r="E109" s="1188">
        <f t="shared" si="7"/>
        <v>0</v>
      </c>
      <c r="F109" s="1680"/>
      <c r="G109" s="4281">
        <f t="shared" si="8"/>
        <v>0</v>
      </c>
      <c r="H109" s="3457">
        <f t="shared" si="9"/>
        <v>0</v>
      </c>
      <c r="I109" s="4282"/>
      <c r="J109" s="4282"/>
      <c r="K109" s="4282"/>
      <c r="L109" s="4282"/>
      <c r="M109" s="4282"/>
      <c r="N109" s="4282"/>
      <c r="O109" s="4282"/>
      <c r="P109" s="4282"/>
      <c r="Q109" s="4282"/>
      <c r="R109" s="4282"/>
      <c r="S109" s="4282"/>
      <c r="T109" s="4282"/>
      <c r="U109" s="4282"/>
      <c r="V109" s="4282"/>
      <c r="W109" s="4282"/>
      <c r="X109" s="4282"/>
      <c r="Y109" s="4282"/>
      <c r="Z109" s="4282"/>
      <c r="AA109" s="4282"/>
      <c r="AB109" s="4282"/>
      <c r="AC109" s="1188">
        <f t="shared" si="10"/>
        <v>0</v>
      </c>
      <c r="AD109" s="4278"/>
      <c r="AE109" s="4278"/>
      <c r="AF109" s="4278"/>
      <c r="AG109" s="4278"/>
      <c r="AH109" s="4278"/>
      <c r="AI109" s="4278"/>
      <c r="AJ109" s="4278"/>
      <c r="AK109" s="4278"/>
      <c r="AL109" s="4278"/>
      <c r="AM109" s="4278"/>
      <c r="AN109" s="4278"/>
      <c r="AO109" s="4278"/>
      <c r="AP109" s="4278"/>
      <c r="AQ109" s="4278"/>
      <c r="AR109" s="4278"/>
      <c r="AS109" s="4278"/>
      <c r="AT109" s="4279"/>
      <c r="AU109" s="4283"/>
      <c r="AV109" s="1188">
        <f t="shared" si="11"/>
        <v>0</v>
      </c>
      <c r="AW109" s="1188">
        <f t="shared" si="12"/>
        <v>0</v>
      </c>
      <c r="AX109" s="1188">
        <f t="shared" si="13"/>
        <v>0</v>
      </c>
      <c r="AY109" s="1452">
        <f t="shared" si="14"/>
        <v>0</v>
      </c>
      <c r="AZ109" s="4284">
        <f t="shared" si="15"/>
        <v>0</v>
      </c>
      <c r="BA109" s="4284">
        <f t="shared" si="16"/>
        <v>0</v>
      </c>
      <c r="BB109" s="4284">
        <f t="shared" si="17"/>
        <v>0</v>
      </c>
      <c r="BC109" s="4284">
        <f t="shared" si="18"/>
        <v>0</v>
      </c>
      <c r="BD109" s="4284">
        <f t="shared" si="19"/>
        <v>0</v>
      </c>
      <c r="BE109" s="4284">
        <f t="shared" si="20"/>
        <v>0</v>
      </c>
      <c r="BF109" s="4284">
        <f t="shared" si="21"/>
        <v>0</v>
      </c>
      <c r="BG109" s="4284">
        <f t="shared" si="22"/>
        <v>0</v>
      </c>
      <c r="BH109" s="4284">
        <f t="shared" si="23"/>
        <v>0</v>
      </c>
      <c r="BI109" s="4284">
        <f t="shared" si="24"/>
        <v>0</v>
      </c>
      <c r="BJ109" s="4284">
        <f t="shared" si="25"/>
        <v>0</v>
      </c>
      <c r="BK109" s="4284">
        <f t="shared" si="26"/>
        <v>0</v>
      </c>
      <c r="BL109" s="4284">
        <f t="shared" si="27"/>
        <v>0</v>
      </c>
      <c r="BM109" s="4284">
        <f t="shared" si="28"/>
        <v>0</v>
      </c>
      <c r="BN109" s="4284">
        <f t="shared" si="29"/>
        <v>0</v>
      </c>
      <c r="BO109" s="4284">
        <f t="shared" si="30"/>
        <v>0</v>
      </c>
      <c r="BP109" s="4284">
        <f t="shared" si="31"/>
        <v>0</v>
      </c>
      <c r="BQ109" s="4284">
        <f t="shared" si="32"/>
        <v>0</v>
      </c>
      <c r="BR109" s="4284">
        <f t="shared" si="33"/>
        <v>0</v>
      </c>
      <c r="BS109" s="4284">
        <f t="shared" si="34"/>
        <v>0</v>
      </c>
      <c r="BT109" s="4285">
        <f t="shared" si="35"/>
        <v>0</v>
      </c>
    </row>
    <row r="110" spans="1:72">
      <c r="A110" s="4278"/>
      <c r="B110" s="4278"/>
      <c r="C110" s="4278"/>
      <c r="D110" s="4280"/>
      <c r="E110" s="1188">
        <f t="shared" si="7"/>
        <v>0</v>
      </c>
      <c r="F110" s="1667"/>
      <c r="G110" s="4281">
        <f t="shared" ref="G110:G141" si="36">H110+AC110+AT110</f>
        <v>0</v>
      </c>
      <c r="H110" s="3457">
        <f t="shared" ref="H110:H141" si="37">SUMIF(I$12:AB$12,"总值",I110:AB110)</f>
        <v>0</v>
      </c>
      <c r="I110" s="4282"/>
      <c r="J110" s="4282"/>
      <c r="K110" s="4282"/>
      <c r="L110" s="4282"/>
      <c r="M110" s="4282"/>
      <c r="N110" s="4282"/>
      <c r="O110" s="4282"/>
      <c r="P110" s="4282"/>
      <c r="Q110" s="4282"/>
      <c r="R110" s="4282"/>
      <c r="S110" s="4282"/>
      <c r="T110" s="4282"/>
      <c r="U110" s="4282"/>
      <c r="V110" s="4282"/>
      <c r="W110" s="4282"/>
      <c r="X110" s="4282"/>
      <c r="Y110" s="4282"/>
      <c r="Z110" s="4282"/>
      <c r="AA110" s="4282"/>
      <c r="AB110" s="4282"/>
      <c r="AC110" s="1188">
        <f t="shared" ref="AC110:AC141" si="38">SUMIF(AD$12:AS$12,"总值",AD110:AS110)</f>
        <v>0</v>
      </c>
      <c r="AD110" s="4278"/>
      <c r="AE110" s="4278"/>
      <c r="AF110" s="4278"/>
      <c r="AG110" s="4278"/>
      <c r="AH110" s="4278"/>
      <c r="AI110" s="4278"/>
      <c r="AJ110" s="4278"/>
      <c r="AK110" s="4278"/>
      <c r="AL110" s="4278"/>
      <c r="AM110" s="4278"/>
      <c r="AN110" s="4278"/>
      <c r="AO110" s="4278"/>
      <c r="AP110" s="4278"/>
      <c r="AQ110" s="4278"/>
      <c r="AR110" s="4278"/>
      <c r="AS110" s="4278"/>
      <c r="AT110" s="4278"/>
      <c r="AU110" s="4286"/>
      <c r="AV110" s="1188">
        <f t="shared" si="11"/>
        <v>0</v>
      </c>
      <c r="AW110" s="1188">
        <f t="shared" si="12"/>
        <v>0</v>
      </c>
      <c r="AX110" s="1188">
        <f t="shared" si="13"/>
        <v>0</v>
      </c>
      <c r="AY110" s="1452">
        <f t="shared" ref="AY110:AY141" si="39">ROUND($AY$6*AZ110/$AZ$5,2)</f>
        <v>0</v>
      </c>
      <c r="AZ110" s="4284">
        <f t="shared" ref="AZ110:AZ141" si="40">BA110+BL110</f>
        <v>0</v>
      </c>
      <c r="BA110" s="4284">
        <f t="shared" ref="BA110:BA141" si="41">SUM(BB110:BK110)</f>
        <v>0</v>
      </c>
      <c r="BB110" s="4284">
        <f t="shared" ref="BB110:BB141" si="42">IF($D110="是",I110-J110,0)</f>
        <v>0</v>
      </c>
      <c r="BC110" s="4284">
        <f t="shared" ref="BC110:BC141" si="43">IF($D110="是",K110-L110,0)</f>
        <v>0</v>
      </c>
      <c r="BD110" s="4284">
        <f t="shared" ref="BD110:BD141" si="44">IF($D110="是",M110-N110,0)</f>
        <v>0</v>
      </c>
      <c r="BE110" s="4284">
        <f t="shared" ref="BE110:BE141" si="45">IF($D110="是",O110-P110,0)</f>
        <v>0</v>
      </c>
      <c r="BF110" s="4284">
        <f t="shared" ref="BF110:BF141" si="46">IF($D110="是",Q110-R110,0)</f>
        <v>0</v>
      </c>
      <c r="BG110" s="4284">
        <f t="shared" ref="BG110:BG141" si="47">IF($D110="是",S110-T110,0)</f>
        <v>0</v>
      </c>
      <c r="BH110" s="4284">
        <f t="shared" ref="BH110:BH141" si="48">IF($D110="是",U110-V110,0)</f>
        <v>0</v>
      </c>
      <c r="BI110" s="4284">
        <f t="shared" ref="BI110:BI141" si="49">IF($D110="是",W110-X110,0)</f>
        <v>0</v>
      </c>
      <c r="BJ110" s="4284">
        <f t="shared" ref="BJ110:BJ141" si="50">IF($D110="是",Y110-Z110,0)</f>
        <v>0</v>
      </c>
      <c r="BK110" s="4284">
        <f t="shared" ref="BK110:BK141" si="51">IF($D110="是",AA110-AB110,0)</f>
        <v>0</v>
      </c>
      <c r="BL110" s="4284">
        <f t="shared" ref="BL110:BL141" si="52">SUM(BM110:BT110)</f>
        <v>0</v>
      </c>
      <c r="BM110" s="4284">
        <f t="shared" ref="BM110:BM141" si="53">IF($D110="是",AD110-AE110,0)</f>
        <v>0</v>
      </c>
      <c r="BN110" s="4284">
        <f t="shared" ref="BN110:BN141" si="54">IF($D110="是",AF110-AG110,0)</f>
        <v>0</v>
      </c>
      <c r="BO110" s="4284">
        <f t="shared" ref="BO110:BO141" si="55">IF($D110="是",AH110-AI110,0)</f>
        <v>0</v>
      </c>
      <c r="BP110" s="4284">
        <f t="shared" ref="BP110:BP141" si="56">IF($D110="是",AJ110-AK110,0)</f>
        <v>0</v>
      </c>
      <c r="BQ110" s="4284">
        <f t="shared" ref="BQ110:BQ141" si="57">IF($D110="是",AL110-AM110,0)</f>
        <v>0</v>
      </c>
      <c r="BR110" s="4284">
        <f t="shared" ref="BR110:BR141" si="58">IF($D110="是",AN110-AO110,0)</f>
        <v>0</v>
      </c>
      <c r="BS110" s="4284">
        <f t="shared" ref="BS110:BS141" si="59">IF($D110="是",AP110-AQ110,0)</f>
        <v>0</v>
      </c>
      <c r="BT110" s="4285">
        <f t="shared" ref="BT110:BT141" si="60">IF($D110="是",AR110-AS110,0)</f>
        <v>0</v>
      </c>
    </row>
    <row r="111" spans="1:72">
      <c r="A111" s="4278"/>
      <c r="B111" s="4278"/>
      <c r="C111" s="4278"/>
      <c r="D111" s="4280"/>
      <c r="E111" s="1188">
        <f t="shared" si="7"/>
        <v>0</v>
      </c>
      <c r="F111" s="1667"/>
      <c r="G111" s="4281">
        <f t="shared" si="36"/>
        <v>0</v>
      </c>
      <c r="H111" s="3457">
        <f t="shared" si="37"/>
        <v>0</v>
      </c>
      <c r="I111" s="4282"/>
      <c r="J111" s="4282"/>
      <c r="K111" s="4282"/>
      <c r="L111" s="4282"/>
      <c r="M111" s="4282"/>
      <c r="N111" s="4282"/>
      <c r="O111" s="4282"/>
      <c r="P111" s="4282"/>
      <c r="Q111" s="4282"/>
      <c r="R111" s="4282"/>
      <c r="S111" s="4282"/>
      <c r="T111" s="4282"/>
      <c r="U111" s="4282"/>
      <c r="V111" s="4282"/>
      <c r="W111" s="4282"/>
      <c r="X111" s="4282"/>
      <c r="Y111" s="4282"/>
      <c r="Z111" s="4282"/>
      <c r="AA111" s="4282"/>
      <c r="AB111" s="4282"/>
      <c r="AC111" s="1188">
        <f t="shared" si="38"/>
        <v>0</v>
      </c>
      <c r="AD111" s="4278"/>
      <c r="AE111" s="4278"/>
      <c r="AF111" s="4278"/>
      <c r="AG111" s="4278"/>
      <c r="AH111" s="4278"/>
      <c r="AI111" s="4278"/>
      <c r="AJ111" s="4278"/>
      <c r="AK111" s="4278"/>
      <c r="AL111" s="4278"/>
      <c r="AM111" s="4278"/>
      <c r="AN111" s="4278"/>
      <c r="AO111" s="4278"/>
      <c r="AP111" s="4278"/>
      <c r="AQ111" s="4278"/>
      <c r="AR111" s="4278"/>
      <c r="AS111" s="4278"/>
      <c r="AT111" s="4278"/>
      <c r="AU111" s="4286"/>
      <c r="AV111" s="1188">
        <f t="shared" si="11"/>
        <v>0</v>
      </c>
      <c r="AW111" s="1188">
        <f t="shared" si="12"/>
        <v>0</v>
      </c>
      <c r="AX111" s="1188">
        <f t="shared" si="13"/>
        <v>0</v>
      </c>
      <c r="AY111" s="1452">
        <f t="shared" si="39"/>
        <v>0</v>
      </c>
      <c r="AZ111" s="4284">
        <f t="shared" si="40"/>
        <v>0</v>
      </c>
      <c r="BA111" s="4284">
        <f t="shared" si="41"/>
        <v>0</v>
      </c>
      <c r="BB111" s="4284">
        <f t="shared" si="42"/>
        <v>0</v>
      </c>
      <c r="BC111" s="4284">
        <f t="shared" si="43"/>
        <v>0</v>
      </c>
      <c r="BD111" s="4284">
        <f t="shared" si="44"/>
        <v>0</v>
      </c>
      <c r="BE111" s="4284">
        <f t="shared" si="45"/>
        <v>0</v>
      </c>
      <c r="BF111" s="4284">
        <f t="shared" si="46"/>
        <v>0</v>
      </c>
      <c r="BG111" s="4284">
        <f t="shared" si="47"/>
        <v>0</v>
      </c>
      <c r="BH111" s="4284">
        <f t="shared" si="48"/>
        <v>0</v>
      </c>
      <c r="BI111" s="4284">
        <f t="shared" si="49"/>
        <v>0</v>
      </c>
      <c r="BJ111" s="4284">
        <f t="shared" si="50"/>
        <v>0</v>
      </c>
      <c r="BK111" s="4284">
        <f t="shared" si="51"/>
        <v>0</v>
      </c>
      <c r="BL111" s="4284">
        <f t="shared" si="52"/>
        <v>0</v>
      </c>
      <c r="BM111" s="4284">
        <f t="shared" si="53"/>
        <v>0</v>
      </c>
      <c r="BN111" s="4284">
        <f t="shared" si="54"/>
        <v>0</v>
      </c>
      <c r="BO111" s="4284">
        <f t="shared" si="55"/>
        <v>0</v>
      </c>
      <c r="BP111" s="4284">
        <f t="shared" si="56"/>
        <v>0</v>
      </c>
      <c r="BQ111" s="4284">
        <f t="shared" si="57"/>
        <v>0</v>
      </c>
      <c r="BR111" s="4284">
        <f t="shared" si="58"/>
        <v>0</v>
      </c>
      <c r="BS111" s="4284">
        <f t="shared" si="59"/>
        <v>0</v>
      </c>
      <c r="BT111" s="4285">
        <f t="shared" si="60"/>
        <v>0</v>
      </c>
    </row>
    <row r="112" spans="1:72">
      <c r="A112" s="4278"/>
      <c r="B112" s="4278"/>
      <c r="C112" s="4278"/>
      <c r="D112" s="4280"/>
      <c r="E112" s="1188">
        <f t="shared" si="7"/>
        <v>0</v>
      </c>
      <c r="F112" s="1667"/>
      <c r="G112" s="4281">
        <f t="shared" si="36"/>
        <v>0</v>
      </c>
      <c r="H112" s="3457">
        <f t="shared" si="37"/>
        <v>0</v>
      </c>
      <c r="I112" s="4282"/>
      <c r="J112" s="4282"/>
      <c r="K112" s="4282"/>
      <c r="L112" s="4282"/>
      <c r="M112" s="4282"/>
      <c r="N112" s="4282"/>
      <c r="O112" s="4282"/>
      <c r="P112" s="4282"/>
      <c r="Q112" s="4282"/>
      <c r="R112" s="4282"/>
      <c r="S112" s="4282"/>
      <c r="T112" s="4282"/>
      <c r="U112" s="4282"/>
      <c r="V112" s="4282"/>
      <c r="W112" s="4282"/>
      <c r="X112" s="4282"/>
      <c r="Y112" s="4282"/>
      <c r="Z112" s="4282"/>
      <c r="AA112" s="4282"/>
      <c r="AB112" s="4282"/>
      <c r="AC112" s="1188">
        <f t="shared" si="38"/>
        <v>0</v>
      </c>
      <c r="AD112" s="4278"/>
      <c r="AE112" s="4278"/>
      <c r="AF112" s="4278"/>
      <c r="AG112" s="4278"/>
      <c r="AH112" s="4278"/>
      <c r="AI112" s="4278"/>
      <c r="AJ112" s="4278"/>
      <c r="AK112" s="4278"/>
      <c r="AL112" s="4278"/>
      <c r="AM112" s="4278"/>
      <c r="AN112" s="4278"/>
      <c r="AO112" s="4278"/>
      <c r="AP112" s="4278"/>
      <c r="AQ112" s="4278"/>
      <c r="AR112" s="4278"/>
      <c r="AS112" s="4278"/>
      <c r="AT112" s="4278"/>
      <c r="AU112" s="4286"/>
      <c r="AV112" s="1188">
        <f t="shared" si="11"/>
        <v>0</v>
      </c>
      <c r="AW112" s="1188">
        <f t="shared" si="12"/>
        <v>0</v>
      </c>
      <c r="AX112" s="1188">
        <f t="shared" si="13"/>
        <v>0</v>
      </c>
      <c r="AY112" s="1452">
        <f t="shared" si="39"/>
        <v>0</v>
      </c>
      <c r="AZ112" s="4284">
        <f t="shared" si="40"/>
        <v>0</v>
      </c>
      <c r="BA112" s="4284">
        <f t="shared" si="41"/>
        <v>0</v>
      </c>
      <c r="BB112" s="4284">
        <f t="shared" si="42"/>
        <v>0</v>
      </c>
      <c r="BC112" s="4284">
        <f t="shared" si="43"/>
        <v>0</v>
      </c>
      <c r="BD112" s="4284">
        <f t="shared" si="44"/>
        <v>0</v>
      </c>
      <c r="BE112" s="4284">
        <f t="shared" si="45"/>
        <v>0</v>
      </c>
      <c r="BF112" s="4284">
        <f t="shared" si="46"/>
        <v>0</v>
      </c>
      <c r="BG112" s="4284">
        <f t="shared" si="47"/>
        <v>0</v>
      </c>
      <c r="BH112" s="4284">
        <f t="shared" si="48"/>
        <v>0</v>
      </c>
      <c r="BI112" s="4284">
        <f t="shared" si="49"/>
        <v>0</v>
      </c>
      <c r="BJ112" s="4284">
        <f t="shared" si="50"/>
        <v>0</v>
      </c>
      <c r="BK112" s="4284">
        <f t="shared" si="51"/>
        <v>0</v>
      </c>
      <c r="BL112" s="4284">
        <f t="shared" si="52"/>
        <v>0</v>
      </c>
      <c r="BM112" s="4284">
        <f t="shared" si="53"/>
        <v>0</v>
      </c>
      <c r="BN112" s="4284">
        <f t="shared" si="54"/>
        <v>0</v>
      </c>
      <c r="BO112" s="4284">
        <f t="shared" si="55"/>
        <v>0</v>
      </c>
      <c r="BP112" s="4284">
        <f t="shared" si="56"/>
        <v>0</v>
      </c>
      <c r="BQ112" s="4284">
        <f t="shared" si="57"/>
        <v>0</v>
      </c>
      <c r="BR112" s="4284">
        <f t="shared" si="58"/>
        <v>0</v>
      </c>
      <c r="BS112" s="4284">
        <f t="shared" si="59"/>
        <v>0</v>
      </c>
      <c r="BT112" s="4285">
        <f t="shared" si="60"/>
        <v>0</v>
      </c>
    </row>
    <row r="113" spans="1:72">
      <c r="A113" s="4278"/>
      <c r="B113" s="4279"/>
      <c r="C113" s="4279"/>
      <c r="D113" s="4280"/>
      <c r="E113" s="1188">
        <f t="shared" ref="E113:E144" si="61">IF($C$3="是",ROUND($A$3*G113/$B$3,2),ROUND($A$3*(G113-AT113)/$B$3,2))</f>
        <v>0</v>
      </c>
      <c r="F113" s="1680"/>
      <c r="G113" s="4281">
        <f t="shared" si="36"/>
        <v>0</v>
      </c>
      <c r="H113" s="3457">
        <f t="shared" si="37"/>
        <v>0</v>
      </c>
      <c r="I113" s="4282"/>
      <c r="J113" s="4282"/>
      <c r="K113" s="4282"/>
      <c r="L113" s="4282"/>
      <c r="M113" s="4282"/>
      <c r="N113" s="4282"/>
      <c r="O113" s="4282"/>
      <c r="P113" s="4282"/>
      <c r="Q113" s="4282"/>
      <c r="R113" s="4282"/>
      <c r="S113" s="4282"/>
      <c r="T113" s="4282"/>
      <c r="U113" s="4282"/>
      <c r="V113" s="4282"/>
      <c r="W113" s="4282"/>
      <c r="X113" s="4282"/>
      <c r="Y113" s="4282"/>
      <c r="Z113" s="4282"/>
      <c r="AA113" s="4282"/>
      <c r="AB113" s="4282"/>
      <c r="AC113" s="1188">
        <f t="shared" si="38"/>
        <v>0</v>
      </c>
      <c r="AD113" s="4278"/>
      <c r="AE113" s="4278"/>
      <c r="AF113" s="4278"/>
      <c r="AG113" s="4278"/>
      <c r="AH113" s="4278"/>
      <c r="AI113" s="4278"/>
      <c r="AJ113" s="4278"/>
      <c r="AK113" s="4278"/>
      <c r="AL113" s="4278"/>
      <c r="AM113" s="4278"/>
      <c r="AN113" s="4278"/>
      <c r="AO113" s="4278"/>
      <c r="AP113" s="4278"/>
      <c r="AQ113" s="4278"/>
      <c r="AR113" s="4278"/>
      <c r="AS113" s="4278"/>
      <c r="AT113" s="4279"/>
      <c r="AU113" s="4283"/>
      <c r="AV113" s="1188">
        <f t="shared" ref="AV113:AV144" si="62">A113</f>
        <v>0</v>
      </c>
      <c r="AW113" s="1188">
        <f t="shared" ref="AW113:AW144" si="63">B113</f>
        <v>0</v>
      </c>
      <c r="AX113" s="1188">
        <f t="shared" ref="AX113:AX144" si="64">C113</f>
        <v>0</v>
      </c>
      <c r="AY113" s="1452">
        <f t="shared" si="39"/>
        <v>0</v>
      </c>
      <c r="AZ113" s="4284">
        <f t="shared" si="40"/>
        <v>0</v>
      </c>
      <c r="BA113" s="4284">
        <f t="shared" si="41"/>
        <v>0</v>
      </c>
      <c r="BB113" s="4284">
        <f t="shared" si="42"/>
        <v>0</v>
      </c>
      <c r="BC113" s="4284">
        <f t="shared" si="43"/>
        <v>0</v>
      </c>
      <c r="BD113" s="4284">
        <f t="shared" si="44"/>
        <v>0</v>
      </c>
      <c r="BE113" s="4284">
        <f t="shared" si="45"/>
        <v>0</v>
      </c>
      <c r="BF113" s="4284">
        <f t="shared" si="46"/>
        <v>0</v>
      </c>
      <c r="BG113" s="4284">
        <f t="shared" si="47"/>
        <v>0</v>
      </c>
      <c r="BH113" s="4284">
        <f t="shared" si="48"/>
        <v>0</v>
      </c>
      <c r="BI113" s="4284">
        <f t="shared" si="49"/>
        <v>0</v>
      </c>
      <c r="BJ113" s="4284">
        <f t="shared" si="50"/>
        <v>0</v>
      </c>
      <c r="BK113" s="4284">
        <f t="shared" si="51"/>
        <v>0</v>
      </c>
      <c r="BL113" s="4284">
        <f t="shared" si="52"/>
        <v>0</v>
      </c>
      <c r="BM113" s="4284">
        <f t="shared" si="53"/>
        <v>0</v>
      </c>
      <c r="BN113" s="4284">
        <f t="shared" si="54"/>
        <v>0</v>
      </c>
      <c r="BO113" s="4284">
        <f t="shared" si="55"/>
        <v>0</v>
      </c>
      <c r="BP113" s="4284">
        <f t="shared" si="56"/>
        <v>0</v>
      </c>
      <c r="BQ113" s="4284">
        <f t="shared" si="57"/>
        <v>0</v>
      </c>
      <c r="BR113" s="4284">
        <f t="shared" si="58"/>
        <v>0</v>
      </c>
      <c r="BS113" s="4284">
        <f t="shared" si="59"/>
        <v>0</v>
      </c>
      <c r="BT113" s="4285">
        <f t="shared" si="60"/>
        <v>0</v>
      </c>
    </row>
    <row r="114" spans="1:72">
      <c r="A114" s="4278"/>
      <c r="B114" s="4279"/>
      <c r="C114" s="4279"/>
      <c r="D114" s="4280"/>
      <c r="E114" s="1188">
        <f t="shared" si="61"/>
        <v>0</v>
      </c>
      <c r="F114" s="1680"/>
      <c r="G114" s="4281">
        <f t="shared" si="36"/>
        <v>0</v>
      </c>
      <c r="H114" s="3457">
        <f t="shared" si="37"/>
        <v>0</v>
      </c>
      <c r="I114" s="4282"/>
      <c r="J114" s="4282"/>
      <c r="K114" s="4282"/>
      <c r="L114" s="4282"/>
      <c r="M114" s="4282"/>
      <c r="N114" s="4282"/>
      <c r="O114" s="4282"/>
      <c r="P114" s="4282"/>
      <c r="Q114" s="4282"/>
      <c r="R114" s="4282"/>
      <c r="S114" s="4282"/>
      <c r="T114" s="4282"/>
      <c r="U114" s="4282"/>
      <c r="V114" s="4282"/>
      <c r="W114" s="4282"/>
      <c r="X114" s="4282"/>
      <c r="Y114" s="4282"/>
      <c r="Z114" s="4282"/>
      <c r="AA114" s="4282"/>
      <c r="AB114" s="4282"/>
      <c r="AC114" s="1188">
        <f t="shared" si="38"/>
        <v>0</v>
      </c>
      <c r="AD114" s="4278"/>
      <c r="AE114" s="4278"/>
      <c r="AF114" s="4278"/>
      <c r="AG114" s="4278"/>
      <c r="AH114" s="4278"/>
      <c r="AI114" s="4278"/>
      <c r="AJ114" s="4278"/>
      <c r="AK114" s="4278"/>
      <c r="AL114" s="4278"/>
      <c r="AM114" s="4278"/>
      <c r="AN114" s="4278"/>
      <c r="AO114" s="4278"/>
      <c r="AP114" s="4278"/>
      <c r="AQ114" s="4278"/>
      <c r="AR114" s="4278"/>
      <c r="AS114" s="4278"/>
      <c r="AT114" s="4279"/>
      <c r="AU114" s="4283"/>
      <c r="AV114" s="1188">
        <f t="shared" si="62"/>
        <v>0</v>
      </c>
      <c r="AW114" s="1188">
        <f t="shared" si="63"/>
        <v>0</v>
      </c>
      <c r="AX114" s="1188">
        <f t="shared" si="64"/>
        <v>0</v>
      </c>
      <c r="AY114" s="1452">
        <f t="shared" si="39"/>
        <v>0</v>
      </c>
      <c r="AZ114" s="4284">
        <f t="shared" si="40"/>
        <v>0</v>
      </c>
      <c r="BA114" s="4284">
        <f t="shared" si="41"/>
        <v>0</v>
      </c>
      <c r="BB114" s="4284">
        <f t="shared" si="42"/>
        <v>0</v>
      </c>
      <c r="BC114" s="4284">
        <f t="shared" si="43"/>
        <v>0</v>
      </c>
      <c r="BD114" s="4284">
        <f t="shared" si="44"/>
        <v>0</v>
      </c>
      <c r="BE114" s="4284">
        <f t="shared" si="45"/>
        <v>0</v>
      </c>
      <c r="BF114" s="4284">
        <f t="shared" si="46"/>
        <v>0</v>
      </c>
      <c r="BG114" s="4284">
        <f t="shared" si="47"/>
        <v>0</v>
      </c>
      <c r="BH114" s="4284">
        <f t="shared" si="48"/>
        <v>0</v>
      </c>
      <c r="BI114" s="4284">
        <f t="shared" si="49"/>
        <v>0</v>
      </c>
      <c r="BJ114" s="4284">
        <f t="shared" si="50"/>
        <v>0</v>
      </c>
      <c r="BK114" s="4284">
        <f t="shared" si="51"/>
        <v>0</v>
      </c>
      <c r="BL114" s="4284">
        <f t="shared" si="52"/>
        <v>0</v>
      </c>
      <c r="BM114" s="4284">
        <f t="shared" si="53"/>
        <v>0</v>
      </c>
      <c r="BN114" s="4284">
        <f t="shared" si="54"/>
        <v>0</v>
      </c>
      <c r="BO114" s="4284">
        <f t="shared" si="55"/>
        <v>0</v>
      </c>
      <c r="BP114" s="4284">
        <f t="shared" si="56"/>
        <v>0</v>
      </c>
      <c r="BQ114" s="4284">
        <f t="shared" si="57"/>
        <v>0</v>
      </c>
      <c r="BR114" s="4284">
        <f t="shared" si="58"/>
        <v>0</v>
      </c>
      <c r="BS114" s="4284">
        <f t="shared" si="59"/>
        <v>0</v>
      </c>
      <c r="BT114" s="4285">
        <f t="shared" si="60"/>
        <v>0</v>
      </c>
    </row>
    <row r="115" spans="1:72">
      <c r="A115" s="4278"/>
      <c r="B115" s="4279"/>
      <c r="C115" s="4279"/>
      <c r="D115" s="4280"/>
      <c r="E115" s="1188">
        <f t="shared" si="61"/>
        <v>0</v>
      </c>
      <c r="F115" s="1680"/>
      <c r="G115" s="4281">
        <f t="shared" si="36"/>
        <v>0</v>
      </c>
      <c r="H115" s="3457">
        <f t="shared" si="37"/>
        <v>0</v>
      </c>
      <c r="I115" s="4282"/>
      <c r="J115" s="4282"/>
      <c r="K115" s="4282"/>
      <c r="L115" s="4282"/>
      <c r="M115" s="4282"/>
      <c r="N115" s="4282"/>
      <c r="O115" s="4282"/>
      <c r="P115" s="4282"/>
      <c r="Q115" s="4282"/>
      <c r="R115" s="4282"/>
      <c r="S115" s="4282"/>
      <c r="T115" s="4282"/>
      <c r="U115" s="4282"/>
      <c r="V115" s="4282"/>
      <c r="W115" s="4282"/>
      <c r="X115" s="4282"/>
      <c r="Y115" s="4282"/>
      <c r="Z115" s="4282"/>
      <c r="AA115" s="4282"/>
      <c r="AB115" s="4282"/>
      <c r="AC115" s="1188">
        <f t="shared" si="38"/>
        <v>0</v>
      </c>
      <c r="AD115" s="4278"/>
      <c r="AE115" s="4278"/>
      <c r="AF115" s="4278"/>
      <c r="AG115" s="4278"/>
      <c r="AH115" s="4278"/>
      <c r="AI115" s="4278"/>
      <c r="AJ115" s="4278"/>
      <c r="AK115" s="4278"/>
      <c r="AL115" s="4278"/>
      <c r="AM115" s="4278"/>
      <c r="AN115" s="4278"/>
      <c r="AO115" s="4278"/>
      <c r="AP115" s="4278"/>
      <c r="AQ115" s="4278"/>
      <c r="AR115" s="4278"/>
      <c r="AS115" s="4278"/>
      <c r="AT115" s="4279"/>
      <c r="AU115" s="4283"/>
      <c r="AV115" s="1188">
        <f t="shared" si="62"/>
        <v>0</v>
      </c>
      <c r="AW115" s="1188">
        <f t="shared" si="63"/>
        <v>0</v>
      </c>
      <c r="AX115" s="1188">
        <f t="shared" si="64"/>
        <v>0</v>
      </c>
      <c r="AY115" s="1452">
        <f t="shared" si="39"/>
        <v>0</v>
      </c>
      <c r="AZ115" s="4284">
        <f t="shared" si="40"/>
        <v>0</v>
      </c>
      <c r="BA115" s="4284">
        <f t="shared" si="41"/>
        <v>0</v>
      </c>
      <c r="BB115" s="4284">
        <f t="shared" si="42"/>
        <v>0</v>
      </c>
      <c r="BC115" s="4284">
        <f t="shared" si="43"/>
        <v>0</v>
      </c>
      <c r="BD115" s="4284">
        <f t="shared" si="44"/>
        <v>0</v>
      </c>
      <c r="BE115" s="4284">
        <f t="shared" si="45"/>
        <v>0</v>
      </c>
      <c r="BF115" s="4284">
        <f t="shared" si="46"/>
        <v>0</v>
      </c>
      <c r="BG115" s="4284">
        <f t="shared" si="47"/>
        <v>0</v>
      </c>
      <c r="BH115" s="4284">
        <f t="shared" si="48"/>
        <v>0</v>
      </c>
      <c r="BI115" s="4284">
        <f t="shared" si="49"/>
        <v>0</v>
      </c>
      <c r="BJ115" s="4284">
        <f t="shared" si="50"/>
        <v>0</v>
      </c>
      <c r="BK115" s="4284">
        <f t="shared" si="51"/>
        <v>0</v>
      </c>
      <c r="BL115" s="4284">
        <f t="shared" si="52"/>
        <v>0</v>
      </c>
      <c r="BM115" s="4284">
        <f t="shared" si="53"/>
        <v>0</v>
      </c>
      <c r="BN115" s="4284">
        <f t="shared" si="54"/>
        <v>0</v>
      </c>
      <c r="BO115" s="4284">
        <f t="shared" si="55"/>
        <v>0</v>
      </c>
      <c r="BP115" s="4284">
        <f t="shared" si="56"/>
        <v>0</v>
      </c>
      <c r="BQ115" s="4284">
        <f t="shared" si="57"/>
        <v>0</v>
      </c>
      <c r="BR115" s="4284">
        <f t="shared" si="58"/>
        <v>0</v>
      </c>
      <c r="BS115" s="4284">
        <f t="shared" si="59"/>
        <v>0</v>
      </c>
      <c r="BT115" s="4285">
        <f t="shared" si="60"/>
        <v>0</v>
      </c>
    </row>
    <row r="116" spans="1:72">
      <c r="A116" s="4278"/>
      <c r="B116" s="4279"/>
      <c r="C116" s="4279"/>
      <c r="D116" s="4280"/>
      <c r="E116" s="1188">
        <f t="shared" si="61"/>
        <v>0</v>
      </c>
      <c r="F116" s="1680"/>
      <c r="G116" s="4281">
        <f t="shared" si="36"/>
        <v>0</v>
      </c>
      <c r="H116" s="3457">
        <f t="shared" si="37"/>
        <v>0</v>
      </c>
      <c r="I116" s="4282"/>
      <c r="J116" s="4282"/>
      <c r="K116" s="4282"/>
      <c r="L116" s="4282"/>
      <c r="M116" s="4282"/>
      <c r="N116" s="4282"/>
      <c r="O116" s="4282"/>
      <c r="P116" s="4282"/>
      <c r="Q116" s="4282"/>
      <c r="R116" s="4282"/>
      <c r="S116" s="4282"/>
      <c r="T116" s="4282"/>
      <c r="U116" s="4282"/>
      <c r="V116" s="4282"/>
      <c r="W116" s="4282"/>
      <c r="X116" s="4282"/>
      <c r="Y116" s="4282"/>
      <c r="Z116" s="4282"/>
      <c r="AA116" s="4282"/>
      <c r="AB116" s="4282"/>
      <c r="AC116" s="1188">
        <f t="shared" si="38"/>
        <v>0</v>
      </c>
      <c r="AD116" s="4278"/>
      <c r="AE116" s="4278"/>
      <c r="AF116" s="4278"/>
      <c r="AG116" s="4278"/>
      <c r="AH116" s="4278"/>
      <c r="AI116" s="4278"/>
      <c r="AJ116" s="4278"/>
      <c r="AK116" s="4278"/>
      <c r="AL116" s="4278"/>
      <c r="AM116" s="4278"/>
      <c r="AN116" s="4278"/>
      <c r="AO116" s="4278"/>
      <c r="AP116" s="4278"/>
      <c r="AQ116" s="4278"/>
      <c r="AR116" s="4278"/>
      <c r="AS116" s="4278"/>
      <c r="AT116" s="4279"/>
      <c r="AU116" s="4283"/>
      <c r="AV116" s="1188">
        <f t="shared" si="62"/>
        <v>0</v>
      </c>
      <c r="AW116" s="1188">
        <f t="shared" si="63"/>
        <v>0</v>
      </c>
      <c r="AX116" s="1188">
        <f t="shared" si="64"/>
        <v>0</v>
      </c>
      <c r="AY116" s="1452">
        <f t="shared" si="39"/>
        <v>0</v>
      </c>
      <c r="AZ116" s="4284">
        <f t="shared" si="40"/>
        <v>0</v>
      </c>
      <c r="BA116" s="4284">
        <f t="shared" si="41"/>
        <v>0</v>
      </c>
      <c r="BB116" s="4284">
        <f t="shared" si="42"/>
        <v>0</v>
      </c>
      <c r="BC116" s="4284">
        <f t="shared" si="43"/>
        <v>0</v>
      </c>
      <c r="BD116" s="4284">
        <f t="shared" si="44"/>
        <v>0</v>
      </c>
      <c r="BE116" s="4284">
        <f t="shared" si="45"/>
        <v>0</v>
      </c>
      <c r="BF116" s="4284">
        <f t="shared" si="46"/>
        <v>0</v>
      </c>
      <c r="BG116" s="4284">
        <f t="shared" si="47"/>
        <v>0</v>
      </c>
      <c r="BH116" s="4284">
        <f t="shared" si="48"/>
        <v>0</v>
      </c>
      <c r="BI116" s="4284">
        <f t="shared" si="49"/>
        <v>0</v>
      </c>
      <c r="BJ116" s="4284">
        <f t="shared" si="50"/>
        <v>0</v>
      </c>
      <c r="BK116" s="4284">
        <f t="shared" si="51"/>
        <v>0</v>
      </c>
      <c r="BL116" s="4284">
        <f t="shared" si="52"/>
        <v>0</v>
      </c>
      <c r="BM116" s="4284">
        <f t="shared" si="53"/>
        <v>0</v>
      </c>
      <c r="BN116" s="4284">
        <f t="shared" si="54"/>
        <v>0</v>
      </c>
      <c r="BO116" s="4284">
        <f t="shared" si="55"/>
        <v>0</v>
      </c>
      <c r="BP116" s="4284">
        <f t="shared" si="56"/>
        <v>0</v>
      </c>
      <c r="BQ116" s="4284">
        <f t="shared" si="57"/>
        <v>0</v>
      </c>
      <c r="BR116" s="4284">
        <f t="shared" si="58"/>
        <v>0</v>
      </c>
      <c r="BS116" s="4284">
        <f t="shared" si="59"/>
        <v>0</v>
      </c>
      <c r="BT116" s="4285">
        <f t="shared" si="60"/>
        <v>0</v>
      </c>
    </row>
    <row r="117" spans="1:72">
      <c r="A117" s="4278"/>
      <c r="B117" s="4279"/>
      <c r="C117" s="4279"/>
      <c r="D117" s="4280"/>
      <c r="E117" s="1188">
        <f t="shared" si="61"/>
        <v>0</v>
      </c>
      <c r="F117" s="1680"/>
      <c r="G117" s="4281">
        <f t="shared" si="36"/>
        <v>0</v>
      </c>
      <c r="H117" s="3457">
        <f t="shared" si="37"/>
        <v>0</v>
      </c>
      <c r="I117" s="4282"/>
      <c r="J117" s="4282"/>
      <c r="K117" s="4282"/>
      <c r="L117" s="4282"/>
      <c r="M117" s="4282"/>
      <c r="N117" s="4282"/>
      <c r="O117" s="4282"/>
      <c r="P117" s="4282"/>
      <c r="Q117" s="4282"/>
      <c r="R117" s="4282"/>
      <c r="S117" s="4282"/>
      <c r="T117" s="4282"/>
      <c r="U117" s="4282"/>
      <c r="V117" s="4282"/>
      <c r="W117" s="4282"/>
      <c r="X117" s="4282"/>
      <c r="Y117" s="4282"/>
      <c r="Z117" s="4282"/>
      <c r="AA117" s="4282"/>
      <c r="AB117" s="4282"/>
      <c r="AC117" s="1188">
        <f t="shared" si="38"/>
        <v>0</v>
      </c>
      <c r="AD117" s="4278"/>
      <c r="AE117" s="4278"/>
      <c r="AF117" s="4278"/>
      <c r="AG117" s="4278"/>
      <c r="AH117" s="4278"/>
      <c r="AI117" s="4278"/>
      <c r="AJ117" s="4278"/>
      <c r="AK117" s="4278"/>
      <c r="AL117" s="4278"/>
      <c r="AM117" s="4278"/>
      <c r="AN117" s="4278"/>
      <c r="AO117" s="4278"/>
      <c r="AP117" s="4278"/>
      <c r="AQ117" s="4278"/>
      <c r="AR117" s="4278"/>
      <c r="AS117" s="4278"/>
      <c r="AT117" s="4279"/>
      <c r="AU117" s="4283"/>
      <c r="AV117" s="1188">
        <f t="shared" si="62"/>
        <v>0</v>
      </c>
      <c r="AW117" s="1188">
        <f t="shared" si="63"/>
        <v>0</v>
      </c>
      <c r="AX117" s="1188">
        <f t="shared" si="64"/>
        <v>0</v>
      </c>
      <c r="AY117" s="1452">
        <f t="shared" si="39"/>
        <v>0</v>
      </c>
      <c r="AZ117" s="4284">
        <f t="shared" si="40"/>
        <v>0</v>
      </c>
      <c r="BA117" s="4284">
        <f t="shared" si="41"/>
        <v>0</v>
      </c>
      <c r="BB117" s="4284">
        <f t="shared" si="42"/>
        <v>0</v>
      </c>
      <c r="BC117" s="4284">
        <f t="shared" si="43"/>
        <v>0</v>
      </c>
      <c r="BD117" s="4284">
        <f t="shared" si="44"/>
        <v>0</v>
      </c>
      <c r="BE117" s="4284">
        <f t="shared" si="45"/>
        <v>0</v>
      </c>
      <c r="BF117" s="4284">
        <f t="shared" si="46"/>
        <v>0</v>
      </c>
      <c r="BG117" s="4284">
        <f t="shared" si="47"/>
        <v>0</v>
      </c>
      <c r="BH117" s="4284">
        <f t="shared" si="48"/>
        <v>0</v>
      </c>
      <c r="BI117" s="4284">
        <f t="shared" si="49"/>
        <v>0</v>
      </c>
      <c r="BJ117" s="4284">
        <f t="shared" si="50"/>
        <v>0</v>
      </c>
      <c r="BK117" s="4284">
        <f t="shared" si="51"/>
        <v>0</v>
      </c>
      <c r="BL117" s="4284">
        <f t="shared" si="52"/>
        <v>0</v>
      </c>
      <c r="BM117" s="4284">
        <f t="shared" si="53"/>
        <v>0</v>
      </c>
      <c r="BN117" s="4284">
        <f t="shared" si="54"/>
        <v>0</v>
      </c>
      <c r="BO117" s="4284">
        <f t="shared" si="55"/>
        <v>0</v>
      </c>
      <c r="BP117" s="4284">
        <f t="shared" si="56"/>
        <v>0</v>
      </c>
      <c r="BQ117" s="4284">
        <f t="shared" si="57"/>
        <v>0</v>
      </c>
      <c r="BR117" s="4284">
        <f t="shared" si="58"/>
        <v>0</v>
      </c>
      <c r="BS117" s="4284">
        <f t="shared" si="59"/>
        <v>0</v>
      </c>
      <c r="BT117" s="4285">
        <f t="shared" si="60"/>
        <v>0</v>
      </c>
    </row>
    <row r="118" spans="1:72">
      <c r="A118" s="4278"/>
      <c r="B118" s="4279"/>
      <c r="C118" s="4279"/>
      <c r="D118" s="4280"/>
      <c r="E118" s="1188">
        <f t="shared" si="61"/>
        <v>0</v>
      </c>
      <c r="F118" s="1680"/>
      <c r="G118" s="4281">
        <f t="shared" si="36"/>
        <v>0</v>
      </c>
      <c r="H118" s="3457">
        <f t="shared" si="37"/>
        <v>0</v>
      </c>
      <c r="I118" s="4282"/>
      <c r="J118" s="4282"/>
      <c r="K118" s="4282"/>
      <c r="L118" s="4282"/>
      <c r="M118" s="4282"/>
      <c r="N118" s="4282"/>
      <c r="O118" s="4282"/>
      <c r="P118" s="4282"/>
      <c r="Q118" s="4282"/>
      <c r="R118" s="4282"/>
      <c r="S118" s="4282"/>
      <c r="T118" s="4282"/>
      <c r="U118" s="4282"/>
      <c r="V118" s="4282"/>
      <c r="W118" s="4282"/>
      <c r="X118" s="4282"/>
      <c r="Y118" s="4282"/>
      <c r="Z118" s="4282"/>
      <c r="AA118" s="4282"/>
      <c r="AB118" s="4282"/>
      <c r="AC118" s="1188">
        <f t="shared" si="38"/>
        <v>0</v>
      </c>
      <c r="AD118" s="4278"/>
      <c r="AE118" s="4278"/>
      <c r="AF118" s="4278"/>
      <c r="AG118" s="4278"/>
      <c r="AH118" s="4278"/>
      <c r="AI118" s="4278"/>
      <c r="AJ118" s="4278"/>
      <c r="AK118" s="4278"/>
      <c r="AL118" s="4278"/>
      <c r="AM118" s="4278"/>
      <c r="AN118" s="4278"/>
      <c r="AO118" s="4278"/>
      <c r="AP118" s="4278"/>
      <c r="AQ118" s="4278"/>
      <c r="AR118" s="4278"/>
      <c r="AS118" s="4278"/>
      <c r="AT118" s="4279"/>
      <c r="AU118" s="4283"/>
      <c r="AV118" s="1188">
        <f t="shared" si="62"/>
        <v>0</v>
      </c>
      <c r="AW118" s="1188">
        <f t="shared" si="63"/>
        <v>0</v>
      </c>
      <c r="AX118" s="1188">
        <f t="shared" si="64"/>
        <v>0</v>
      </c>
      <c r="AY118" s="1452">
        <f t="shared" si="39"/>
        <v>0</v>
      </c>
      <c r="AZ118" s="4284">
        <f t="shared" si="40"/>
        <v>0</v>
      </c>
      <c r="BA118" s="4284">
        <f t="shared" si="41"/>
        <v>0</v>
      </c>
      <c r="BB118" s="4284">
        <f t="shared" si="42"/>
        <v>0</v>
      </c>
      <c r="BC118" s="4284">
        <f t="shared" si="43"/>
        <v>0</v>
      </c>
      <c r="BD118" s="4284">
        <f t="shared" si="44"/>
        <v>0</v>
      </c>
      <c r="BE118" s="4284">
        <f t="shared" si="45"/>
        <v>0</v>
      </c>
      <c r="BF118" s="4284">
        <f t="shared" si="46"/>
        <v>0</v>
      </c>
      <c r="BG118" s="4284">
        <f t="shared" si="47"/>
        <v>0</v>
      </c>
      <c r="BH118" s="4284">
        <f t="shared" si="48"/>
        <v>0</v>
      </c>
      <c r="BI118" s="4284">
        <f t="shared" si="49"/>
        <v>0</v>
      </c>
      <c r="BJ118" s="4284">
        <f t="shared" si="50"/>
        <v>0</v>
      </c>
      <c r="BK118" s="4284">
        <f t="shared" si="51"/>
        <v>0</v>
      </c>
      <c r="BL118" s="4284">
        <f t="shared" si="52"/>
        <v>0</v>
      </c>
      <c r="BM118" s="4284">
        <f t="shared" si="53"/>
        <v>0</v>
      </c>
      <c r="BN118" s="4284">
        <f t="shared" si="54"/>
        <v>0</v>
      </c>
      <c r="BO118" s="4284">
        <f t="shared" si="55"/>
        <v>0</v>
      </c>
      <c r="BP118" s="4284">
        <f t="shared" si="56"/>
        <v>0</v>
      </c>
      <c r="BQ118" s="4284">
        <f t="shared" si="57"/>
        <v>0</v>
      </c>
      <c r="BR118" s="4284">
        <f t="shared" si="58"/>
        <v>0</v>
      </c>
      <c r="BS118" s="4284">
        <f t="shared" si="59"/>
        <v>0</v>
      </c>
      <c r="BT118" s="4285">
        <f t="shared" si="60"/>
        <v>0</v>
      </c>
    </row>
    <row r="119" spans="1:72">
      <c r="A119" s="4278"/>
      <c r="B119" s="4279"/>
      <c r="C119" s="4279"/>
      <c r="D119" s="4280"/>
      <c r="E119" s="1188">
        <f t="shared" si="61"/>
        <v>0</v>
      </c>
      <c r="F119" s="1680"/>
      <c r="G119" s="4281">
        <f t="shared" si="36"/>
        <v>0</v>
      </c>
      <c r="H119" s="3457">
        <f t="shared" si="37"/>
        <v>0</v>
      </c>
      <c r="I119" s="4282"/>
      <c r="J119" s="4282"/>
      <c r="K119" s="4282"/>
      <c r="L119" s="4282"/>
      <c r="M119" s="4282"/>
      <c r="N119" s="4282"/>
      <c r="O119" s="4282"/>
      <c r="P119" s="4282"/>
      <c r="Q119" s="4282"/>
      <c r="R119" s="4282"/>
      <c r="S119" s="4282"/>
      <c r="T119" s="4282"/>
      <c r="U119" s="4282"/>
      <c r="V119" s="4282"/>
      <c r="W119" s="4282"/>
      <c r="X119" s="4282"/>
      <c r="Y119" s="4282"/>
      <c r="Z119" s="4282"/>
      <c r="AA119" s="4282"/>
      <c r="AB119" s="4282"/>
      <c r="AC119" s="1188">
        <f t="shared" si="38"/>
        <v>0</v>
      </c>
      <c r="AD119" s="4278"/>
      <c r="AE119" s="4278"/>
      <c r="AF119" s="4278"/>
      <c r="AG119" s="4278"/>
      <c r="AH119" s="4278"/>
      <c r="AI119" s="4278"/>
      <c r="AJ119" s="4278"/>
      <c r="AK119" s="4278"/>
      <c r="AL119" s="4278"/>
      <c r="AM119" s="4278"/>
      <c r="AN119" s="4278"/>
      <c r="AO119" s="4278"/>
      <c r="AP119" s="4278"/>
      <c r="AQ119" s="4278"/>
      <c r="AR119" s="4278"/>
      <c r="AS119" s="4278"/>
      <c r="AT119" s="4279"/>
      <c r="AU119" s="4283"/>
      <c r="AV119" s="1188">
        <f t="shared" si="62"/>
        <v>0</v>
      </c>
      <c r="AW119" s="1188">
        <f t="shared" si="63"/>
        <v>0</v>
      </c>
      <c r="AX119" s="1188">
        <f t="shared" si="64"/>
        <v>0</v>
      </c>
      <c r="AY119" s="1452">
        <f t="shared" si="39"/>
        <v>0</v>
      </c>
      <c r="AZ119" s="4284">
        <f t="shared" si="40"/>
        <v>0</v>
      </c>
      <c r="BA119" s="4284">
        <f t="shared" si="41"/>
        <v>0</v>
      </c>
      <c r="BB119" s="4284">
        <f t="shared" si="42"/>
        <v>0</v>
      </c>
      <c r="BC119" s="4284">
        <f t="shared" si="43"/>
        <v>0</v>
      </c>
      <c r="BD119" s="4284">
        <f t="shared" si="44"/>
        <v>0</v>
      </c>
      <c r="BE119" s="4284">
        <f t="shared" si="45"/>
        <v>0</v>
      </c>
      <c r="BF119" s="4284">
        <f t="shared" si="46"/>
        <v>0</v>
      </c>
      <c r="BG119" s="4284">
        <f t="shared" si="47"/>
        <v>0</v>
      </c>
      <c r="BH119" s="4284">
        <f t="shared" si="48"/>
        <v>0</v>
      </c>
      <c r="BI119" s="4284">
        <f t="shared" si="49"/>
        <v>0</v>
      </c>
      <c r="BJ119" s="4284">
        <f t="shared" si="50"/>
        <v>0</v>
      </c>
      <c r="BK119" s="4284">
        <f t="shared" si="51"/>
        <v>0</v>
      </c>
      <c r="BL119" s="4284">
        <f t="shared" si="52"/>
        <v>0</v>
      </c>
      <c r="BM119" s="4284">
        <f t="shared" si="53"/>
        <v>0</v>
      </c>
      <c r="BN119" s="4284">
        <f t="shared" si="54"/>
        <v>0</v>
      </c>
      <c r="BO119" s="4284">
        <f t="shared" si="55"/>
        <v>0</v>
      </c>
      <c r="BP119" s="4284">
        <f t="shared" si="56"/>
        <v>0</v>
      </c>
      <c r="BQ119" s="4284">
        <f t="shared" si="57"/>
        <v>0</v>
      </c>
      <c r="BR119" s="4284">
        <f t="shared" si="58"/>
        <v>0</v>
      </c>
      <c r="BS119" s="4284">
        <f t="shared" si="59"/>
        <v>0</v>
      </c>
      <c r="BT119" s="4285">
        <f t="shared" si="60"/>
        <v>0</v>
      </c>
    </row>
    <row r="120" spans="1:72">
      <c r="A120" s="4278"/>
      <c r="B120" s="4279"/>
      <c r="C120" s="4279"/>
      <c r="D120" s="4280"/>
      <c r="E120" s="1188">
        <f t="shared" si="61"/>
        <v>0</v>
      </c>
      <c r="F120" s="1680"/>
      <c r="G120" s="4281">
        <f t="shared" si="36"/>
        <v>0</v>
      </c>
      <c r="H120" s="3457">
        <f t="shared" si="37"/>
        <v>0</v>
      </c>
      <c r="I120" s="4282"/>
      <c r="J120" s="4282"/>
      <c r="K120" s="4282"/>
      <c r="L120" s="4282"/>
      <c r="M120" s="4282"/>
      <c r="N120" s="4282"/>
      <c r="O120" s="4282"/>
      <c r="P120" s="4282"/>
      <c r="Q120" s="4282"/>
      <c r="R120" s="4282"/>
      <c r="S120" s="4282"/>
      <c r="T120" s="4282"/>
      <c r="U120" s="4282"/>
      <c r="V120" s="4282"/>
      <c r="W120" s="4282"/>
      <c r="X120" s="4282"/>
      <c r="Y120" s="4282"/>
      <c r="Z120" s="4282"/>
      <c r="AA120" s="4282"/>
      <c r="AB120" s="4282"/>
      <c r="AC120" s="1188">
        <f t="shared" si="38"/>
        <v>0</v>
      </c>
      <c r="AD120" s="4278"/>
      <c r="AE120" s="4278"/>
      <c r="AF120" s="4278"/>
      <c r="AG120" s="4278"/>
      <c r="AH120" s="4278"/>
      <c r="AI120" s="4278"/>
      <c r="AJ120" s="4278"/>
      <c r="AK120" s="4278"/>
      <c r="AL120" s="4278"/>
      <c r="AM120" s="4278"/>
      <c r="AN120" s="4278"/>
      <c r="AO120" s="4278"/>
      <c r="AP120" s="4278"/>
      <c r="AQ120" s="4278"/>
      <c r="AR120" s="4278"/>
      <c r="AS120" s="4278"/>
      <c r="AT120" s="4279"/>
      <c r="AU120" s="4283"/>
      <c r="AV120" s="1188">
        <f t="shared" si="62"/>
        <v>0</v>
      </c>
      <c r="AW120" s="1188">
        <f t="shared" si="63"/>
        <v>0</v>
      </c>
      <c r="AX120" s="1188">
        <f t="shared" si="64"/>
        <v>0</v>
      </c>
      <c r="AY120" s="1452">
        <f t="shared" si="39"/>
        <v>0</v>
      </c>
      <c r="AZ120" s="4284">
        <f t="shared" si="40"/>
        <v>0</v>
      </c>
      <c r="BA120" s="4284">
        <f t="shared" si="41"/>
        <v>0</v>
      </c>
      <c r="BB120" s="4284">
        <f t="shared" si="42"/>
        <v>0</v>
      </c>
      <c r="BC120" s="4284">
        <f t="shared" si="43"/>
        <v>0</v>
      </c>
      <c r="BD120" s="4284">
        <f t="shared" si="44"/>
        <v>0</v>
      </c>
      <c r="BE120" s="4284">
        <f t="shared" si="45"/>
        <v>0</v>
      </c>
      <c r="BF120" s="4284">
        <f t="shared" si="46"/>
        <v>0</v>
      </c>
      <c r="BG120" s="4284">
        <f t="shared" si="47"/>
        <v>0</v>
      </c>
      <c r="BH120" s="4284">
        <f t="shared" si="48"/>
        <v>0</v>
      </c>
      <c r="BI120" s="4284">
        <f t="shared" si="49"/>
        <v>0</v>
      </c>
      <c r="BJ120" s="4284">
        <f t="shared" si="50"/>
        <v>0</v>
      </c>
      <c r="BK120" s="4284">
        <f t="shared" si="51"/>
        <v>0</v>
      </c>
      <c r="BL120" s="4284">
        <f t="shared" si="52"/>
        <v>0</v>
      </c>
      <c r="BM120" s="4284">
        <f t="shared" si="53"/>
        <v>0</v>
      </c>
      <c r="BN120" s="4284">
        <f t="shared" si="54"/>
        <v>0</v>
      </c>
      <c r="BO120" s="4284">
        <f t="shared" si="55"/>
        <v>0</v>
      </c>
      <c r="BP120" s="4284">
        <f t="shared" si="56"/>
        <v>0</v>
      </c>
      <c r="BQ120" s="4284">
        <f t="shared" si="57"/>
        <v>0</v>
      </c>
      <c r="BR120" s="4284">
        <f t="shared" si="58"/>
        <v>0</v>
      </c>
      <c r="BS120" s="4284">
        <f t="shared" si="59"/>
        <v>0</v>
      </c>
      <c r="BT120" s="4285">
        <f t="shared" si="60"/>
        <v>0</v>
      </c>
    </row>
    <row r="121" spans="1:72">
      <c r="A121" s="4278"/>
      <c r="B121" s="4279"/>
      <c r="C121" s="4279"/>
      <c r="D121" s="4280"/>
      <c r="E121" s="1188">
        <f t="shared" si="61"/>
        <v>0</v>
      </c>
      <c r="F121" s="1680"/>
      <c r="G121" s="4281">
        <f t="shared" si="36"/>
        <v>0</v>
      </c>
      <c r="H121" s="3457">
        <f t="shared" si="37"/>
        <v>0</v>
      </c>
      <c r="I121" s="4282"/>
      <c r="J121" s="4282"/>
      <c r="K121" s="4282"/>
      <c r="L121" s="4282"/>
      <c r="M121" s="4282"/>
      <c r="N121" s="4282"/>
      <c r="O121" s="4282"/>
      <c r="P121" s="4282"/>
      <c r="Q121" s="4282"/>
      <c r="R121" s="4282"/>
      <c r="S121" s="4282"/>
      <c r="T121" s="4282"/>
      <c r="U121" s="4282"/>
      <c r="V121" s="4282"/>
      <c r="W121" s="4282"/>
      <c r="X121" s="4282"/>
      <c r="Y121" s="4282"/>
      <c r="Z121" s="4282"/>
      <c r="AA121" s="4282"/>
      <c r="AB121" s="4282"/>
      <c r="AC121" s="1188">
        <f t="shared" si="38"/>
        <v>0</v>
      </c>
      <c r="AD121" s="4278"/>
      <c r="AE121" s="4278"/>
      <c r="AF121" s="4278"/>
      <c r="AG121" s="4278"/>
      <c r="AH121" s="4278"/>
      <c r="AI121" s="4278"/>
      <c r="AJ121" s="4278"/>
      <c r="AK121" s="4278"/>
      <c r="AL121" s="4278"/>
      <c r="AM121" s="4278"/>
      <c r="AN121" s="4278"/>
      <c r="AO121" s="4278"/>
      <c r="AP121" s="4278"/>
      <c r="AQ121" s="4278"/>
      <c r="AR121" s="4278"/>
      <c r="AS121" s="4278"/>
      <c r="AT121" s="4279"/>
      <c r="AU121" s="4283"/>
      <c r="AV121" s="1188">
        <f t="shared" si="62"/>
        <v>0</v>
      </c>
      <c r="AW121" s="1188">
        <f t="shared" si="63"/>
        <v>0</v>
      </c>
      <c r="AX121" s="1188">
        <f t="shared" si="64"/>
        <v>0</v>
      </c>
      <c r="AY121" s="1452">
        <f t="shared" si="39"/>
        <v>0</v>
      </c>
      <c r="AZ121" s="4284">
        <f t="shared" si="40"/>
        <v>0</v>
      </c>
      <c r="BA121" s="4284">
        <f t="shared" si="41"/>
        <v>0</v>
      </c>
      <c r="BB121" s="4284">
        <f t="shared" si="42"/>
        <v>0</v>
      </c>
      <c r="BC121" s="4284">
        <f t="shared" si="43"/>
        <v>0</v>
      </c>
      <c r="BD121" s="4284">
        <f t="shared" si="44"/>
        <v>0</v>
      </c>
      <c r="BE121" s="4284">
        <f t="shared" si="45"/>
        <v>0</v>
      </c>
      <c r="BF121" s="4284">
        <f t="shared" si="46"/>
        <v>0</v>
      </c>
      <c r="BG121" s="4284">
        <f t="shared" si="47"/>
        <v>0</v>
      </c>
      <c r="BH121" s="4284">
        <f t="shared" si="48"/>
        <v>0</v>
      </c>
      <c r="BI121" s="4284">
        <f t="shared" si="49"/>
        <v>0</v>
      </c>
      <c r="BJ121" s="4284">
        <f t="shared" si="50"/>
        <v>0</v>
      </c>
      <c r="BK121" s="4284">
        <f t="shared" si="51"/>
        <v>0</v>
      </c>
      <c r="BL121" s="4284">
        <f t="shared" si="52"/>
        <v>0</v>
      </c>
      <c r="BM121" s="4284">
        <f t="shared" si="53"/>
        <v>0</v>
      </c>
      <c r="BN121" s="4284">
        <f t="shared" si="54"/>
        <v>0</v>
      </c>
      <c r="BO121" s="4284">
        <f t="shared" si="55"/>
        <v>0</v>
      </c>
      <c r="BP121" s="4284">
        <f t="shared" si="56"/>
        <v>0</v>
      </c>
      <c r="BQ121" s="4284">
        <f t="shared" si="57"/>
        <v>0</v>
      </c>
      <c r="BR121" s="4284">
        <f t="shared" si="58"/>
        <v>0</v>
      </c>
      <c r="BS121" s="4284">
        <f t="shared" si="59"/>
        <v>0</v>
      </c>
      <c r="BT121" s="4285">
        <f t="shared" si="60"/>
        <v>0</v>
      </c>
    </row>
    <row r="122" spans="1:72">
      <c r="A122" s="4278"/>
      <c r="B122" s="4279"/>
      <c r="C122" s="4279"/>
      <c r="D122" s="4280"/>
      <c r="E122" s="1188">
        <f t="shared" si="61"/>
        <v>0</v>
      </c>
      <c r="F122" s="1680"/>
      <c r="G122" s="4281">
        <f t="shared" si="36"/>
        <v>0</v>
      </c>
      <c r="H122" s="3457">
        <f t="shared" si="37"/>
        <v>0</v>
      </c>
      <c r="I122" s="4282"/>
      <c r="J122" s="4282"/>
      <c r="K122" s="4282"/>
      <c r="L122" s="4282"/>
      <c r="M122" s="4282"/>
      <c r="N122" s="4282"/>
      <c r="O122" s="4282"/>
      <c r="P122" s="4282"/>
      <c r="Q122" s="4282"/>
      <c r="R122" s="4282"/>
      <c r="S122" s="4282"/>
      <c r="T122" s="4282"/>
      <c r="U122" s="4282"/>
      <c r="V122" s="4282"/>
      <c r="W122" s="4282"/>
      <c r="X122" s="4282"/>
      <c r="Y122" s="4282"/>
      <c r="Z122" s="4282"/>
      <c r="AA122" s="4282"/>
      <c r="AB122" s="4282"/>
      <c r="AC122" s="1188">
        <f t="shared" si="38"/>
        <v>0</v>
      </c>
      <c r="AD122" s="4278"/>
      <c r="AE122" s="4278"/>
      <c r="AF122" s="4278"/>
      <c r="AG122" s="4278"/>
      <c r="AH122" s="4278"/>
      <c r="AI122" s="4278"/>
      <c r="AJ122" s="4278"/>
      <c r="AK122" s="4278"/>
      <c r="AL122" s="4278"/>
      <c r="AM122" s="4278"/>
      <c r="AN122" s="4278"/>
      <c r="AO122" s="4278"/>
      <c r="AP122" s="4278"/>
      <c r="AQ122" s="4278"/>
      <c r="AR122" s="4278"/>
      <c r="AS122" s="4278"/>
      <c r="AT122" s="4279"/>
      <c r="AU122" s="4283"/>
      <c r="AV122" s="1188">
        <f t="shared" si="62"/>
        <v>0</v>
      </c>
      <c r="AW122" s="1188">
        <f t="shared" si="63"/>
        <v>0</v>
      </c>
      <c r="AX122" s="1188">
        <f t="shared" si="64"/>
        <v>0</v>
      </c>
      <c r="AY122" s="1452">
        <f t="shared" si="39"/>
        <v>0</v>
      </c>
      <c r="AZ122" s="4284">
        <f t="shared" si="40"/>
        <v>0</v>
      </c>
      <c r="BA122" s="4284">
        <f t="shared" si="41"/>
        <v>0</v>
      </c>
      <c r="BB122" s="4284">
        <f t="shared" si="42"/>
        <v>0</v>
      </c>
      <c r="BC122" s="4284">
        <f t="shared" si="43"/>
        <v>0</v>
      </c>
      <c r="BD122" s="4284">
        <f t="shared" si="44"/>
        <v>0</v>
      </c>
      <c r="BE122" s="4284">
        <f t="shared" si="45"/>
        <v>0</v>
      </c>
      <c r="BF122" s="4284">
        <f t="shared" si="46"/>
        <v>0</v>
      </c>
      <c r="BG122" s="4284">
        <f t="shared" si="47"/>
        <v>0</v>
      </c>
      <c r="BH122" s="4284">
        <f t="shared" si="48"/>
        <v>0</v>
      </c>
      <c r="BI122" s="4284">
        <f t="shared" si="49"/>
        <v>0</v>
      </c>
      <c r="BJ122" s="4284">
        <f t="shared" si="50"/>
        <v>0</v>
      </c>
      <c r="BK122" s="4284">
        <f t="shared" si="51"/>
        <v>0</v>
      </c>
      <c r="BL122" s="4284">
        <f t="shared" si="52"/>
        <v>0</v>
      </c>
      <c r="BM122" s="4284">
        <f t="shared" si="53"/>
        <v>0</v>
      </c>
      <c r="BN122" s="4284">
        <f t="shared" si="54"/>
        <v>0</v>
      </c>
      <c r="BO122" s="4284">
        <f t="shared" si="55"/>
        <v>0</v>
      </c>
      <c r="BP122" s="4284">
        <f t="shared" si="56"/>
        <v>0</v>
      </c>
      <c r="BQ122" s="4284">
        <f t="shared" si="57"/>
        <v>0</v>
      </c>
      <c r="BR122" s="4284">
        <f t="shared" si="58"/>
        <v>0</v>
      </c>
      <c r="BS122" s="4284">
        <f t="shared" si="59"/>
        <v>0</v>
      </c>
      <c r="BT122" s="4285">
        <f t="shared" si="60"/>
        <v>0</v>
      </c>
    </row>
    <row r="123" spans="1:72">
      <c r="A123" s="4278"/>
      <c r="B123" s="4279"/>
      <c r="C123" s="4279"/>
      <c r="D123" s="4280"/>
      <c r="E123" s="1188">
        <f t="shared" si="61"/>
        <v>0</v>
      </c>
      <c r="F123" s="1680"/>
      <c r="G123" s="4281">
        <f t="shared" si="36"/>
        <v>0</v>
      </c>
      <c r="H123" s="3457">
        <f t="shared" si="37"/>
        <v>0</v>
      </c>
      <c r="I123" s="4282"/>
      <c r="J123" s="4282"/>
      <c r="K123" s="4282"/>
      <c r="L123" s="4282"/>
      <c r="M123" s="4282"/>
      <c r="N123" s="4282"/>
      <c r="O123" s="4282"/>
      <c r="P123" s="4282"/>
      <c r="Q123" s="4282"/>
      <c r="R123" s="4282"/>
      <c r="S123" s="4282"/>
      <c r="T123" s="4282"/>
      <c r="U123" s="4282"/>
      <c r="V123" s="4282"/>
      <c r="W123" s="4282"/>
      <c r="X123" s="4282"/>
      <c r="Y123" s="4282"/>
      <c r="Z123" s="4282"/>
      <c r="AA123" s="4282"/>
      <c r="AB123" s="4282"/>
      <c r="AC123" s="1188">
        <f t="shared" si="38"/>
        <v>0</v>
      </c>
      <c r="AD123" s="4278"/>
      <c r="AE123" s="4278"/>
      <c r="AF123" s="4278"/>
      <c r="AG123" s="4278"/>
      <c r="AH123" s="4278"/>
      <c r="AI123" s="4278"/>
      <c r="AJ123" s="4278"/>
      <c r="AK123" s="4278"/>
      <c r="AL123" s="4278"/>
      <c r="AM123" s="4278"/>
      <c r="AN123" s="4278"/>
      <c r="AO123" s="4278"/>
      <c r="AP123" s="4278"/>
      <c r="AQ123" s="4278"/>
      <c r="AR123" s="4278"/>
      <c r="AS123" s="4278"/>
      <c r="AT123" s="4279"/>
      <c r="AU123" s="4283"/>
      <c r="AV123" s="1188">
        <f t="shared" si="62"/>
        <v>0</v>
      </c>
      <c r="AW123" s="1188">
        <f t="shared" si="63"/>
        <v>0</v>
      </c>
      <c r="AX123" s="1188">
        <f t="shared" si="64"/>
        <v>0</v>
      </c>
      <c r="AY123" s="1452">
        <f t="shared" si="39"/>
        <v>0</v>
      </c>
      <c r="AZ123" s="4284">
        <f t="shared" si="40"/>
        <v>0</v>
      </c>
      <c r="BA123" s="4284">
        <f t="shared" si="41"/>
        <v>0</v>
      </c>
      <c r="BB123" s="4284">
        <f t="shared" si="42"/>
        <v>0</v>
      </c>
      <c r="BC123" s="4284">
        <f t="shared" si="43"/>
        <v>0</v>
      </c>
      <c r="BD123" s="4284">
        <f t="shared" si="44"/>
        <v>0</v>
      </c>
      <c r="BE123" s="4284">
        <f t="shared" si="45"/>
        <v>0</v>
      </c>
      <c r="BF123" s="4284">
        <f t="shared" si="46"/>
        <v>0</v>
      </c>
      <c r="BG123" s="4284">
        <f t="shared" si="47"/>
        <v>0</v>
      </c>
      <c r="BH123" s="4284">
        <f t="shared" si="48"/>
        <v>0</v>
      </c>
      <c r="BI123" s="4284">
        <f t="shared" si="49"/>
        <v>0</v>
      </c>
      <c r="BJ123" s="4284">
        <f t="shared" si="50"/>
        <v>0</v>
      </c>
      <c r="BK123" s="4284">
        <f t="shared" si="51"/>
        <v>0</v>
      </c>
      <c r="BL123" s="4284">
        <f t="shared" si="52"/>
        <v>0</v>
      </c>
      <c r="BM123" s="4284">
        <f t="shared" si="53"/>
        <v>0</v>
      </c>
      <c r="BN123" s="4284">
        <f t="shared" si="54"/>
        <v>0</v>
      </c>
      <c r="BO123" s="4284">
        <f t="shared" si="55"/>
        <v>0</v>
      </c>
      <c r="BP123" s="4284">
        <f t="shared" si="56"/>
        <v>0</v>
      </c>
      <c r="BQ123" s="4284">
        <f t="shared" si="57"/>
        <v>0</v>
      </c>
      <c r="BR123" s="4284">
        <f t="shared" si="58"/>
        <v>0</v>
      </c>
      <c r="BS123" s="4284">
        <f t="shared" si="59"/>
        <v>0</v>
      </c>
      <c r="BT123" s="4285">
        <f t="shared" si="60"/>
        <v>0</v>
      </c>
    </row>
    <row r="124" spans="1:72">
      <c r="A124" s="4278"/>
      <c r="B124" s="4279"/>
      <c r="C124" s="4279"/>
      <c r="D124" s="4280"/>
      <c r="E124" s="1188">
        <f t="shared" si="61"/>
        <v>0</v>
      </c>
      <c r="F124" s="1680"/>
      <c r="G124" s="4281">
        <f t="shared" si="36"/>
        <v>0</v>
      </c>
      <c r="H124" s="3457">
        <f t="shared" si="37"/>
        <v>0</v>
      </c>
      <c r="I124" s="4282"/>
      <c r="J124" s="4282"/>
      <c r="K124" s="4282"/>
      <c r="L124" s="4282"/>
      <c r="M124" s="4282"/>
      <c r="N124" s="4282"/>
      <c r="O124" s="4282"/>
      <c r="P124" s="4282"/>
      <c r="Q124" s="4282"/>
      <c r="R124" s="4282"/>
      <c r="S124" s="4282"/>
      <c r="T124" s="4282"/>
      <c r="U124" s="4282"/>
      <c r="V124" s="4282"/>
      <c r="W124" s="4282"/>
      <c r="X124" s="4282"/>
      <c r="Y124" s="4282"/>
      <c r="Z124" s="4282"/>
      <c r="AA124" s="4282"/>
      <c r="AB124" s="4282"/>
      <c r="AC124" s="1188">
        <f t="shared" si="38"/>
        <v>0</v>
      </c>
      <c r="AD124" s="4278"/>
      <c r="AE124" s="4278"/>
      <c r="AF124" s="4278"/>
      <c r="AG124" s="4278"/>
      <c r="AH124" s="4278"/>
      <c r="AI124" s="4278"/>
      <c r="AJ124" s="4278"/>
      <c r="AK124" s="4278"/>
      <c r="AL124" s="4278"/>
      <c r="AM124" s="4278"/>
      <c r="AN124" s="4278"/>
      <c r="AO124" s="4278"/>
      <c r="AP124" s="4278"/>
      <c r="AQ124" s="4278"/>
      <c r="AR124" s="4278"/>
      <c r="AS124" s="4278"/>
      <c r="AT124" s="4279"/>
      <c r="AU124" s="4283"/>
      <c r="AV124" s="1188">
        <f t="shared" si="62"/>
        <v>0</v>
      </c>
      <c r="AW124" s="1188">
        <f t="shared" si="63"/>
        <v>0</v>
      </c>
      <c r="AX124" s="1188">
        <f t="shared" si="64"/>
        <v>0</v>
      </c>
      <c r="AY124" s="1452">
        <f t="shared" si="39"/>
        <v>0</v>
      </c>
      <c r="AZ124" s="4284">
        <f t="shared" si="40"/>
        <v>0</v>
      </c>
      <c r="BA124" s="4284">
        <f t="shared" si="41"/>
        <v>0</v>
      </c>
      <c r="BB124" s="4284">
        <f t="shared" si="42"/>
        <v>0</v>
      </c>
      <c r="BC124" s="4284">
        <f t="shared" si="43"/>
        <v>0</v>
      </c>
      <c r="BD124" s="4284">
        <f t="shared" si="44"/>
        <v>0</v>
      </c>
      <c r="BE124" s="4284">
        <f t="shared" si="45"/>
        <v>0</v>
      </c>
      <c r="BF124" s="4284">
        <f t="shared" si="46"/>
        <v>0</v>
      </c>
      <c r="BG124" s="4284">
        <f t="shared" si="47"/>
        <v>0</v>
      </c>
      <c r="BH124" s="4284">
        <f t="shared" si="48"/>
        <v>0</v>
      </c>
      <c r="BI124" s="4284">
        <f t="shared" si="49"/>
        <v>0</v>
      </c>
      <c r="BJ124" s="4284">
        <f t="shared" si="50"/>
        <v>0</v>
      </c>
      <c r="BK124" s="4284">
        <f t="shared" si="51"/>
        <v>0</v>
      </c>
      <c r="BL124" s="4284">
        <f t="shared" si="52"/>
        <v>0</v>
      </c>
      <c r="BM124" s="4284">
        <f t="shared" si="53"/>
        <v>0</v>
      </c>
      <c r="BN124" s="4284">
        <f t="shared" si="54"/>
        <v>0</v>
      </c>
      <c r="BO124" s="4284">
        <f t="shared" si="55"/>
        <v>0</v>
      </c>
      <c r="BP124" s="4284">
        <f t="shared" si="56"/>
        <v>0</v>
      </c>
      <c r="BQ124" s="4284">
        <f t="shared" si="57"/>
        <v>0</v>
      </c>
      <c r="BR124" s="4284">
        <f t="shared" si="58"/>
        <v>0</v>
      </c>
      <c r="BS124" s="4284">
        <f t="shared" si="59"/>
        <v>0</v>
      </c>
      <c r="BT124" s="4285">
        <f t="shared" si="60"/>
        <v>0</v>
      </c>
    </row>
    <row r="125" spans="1:72">
      <c r="A125" s="4278"/>
      <c r="B125" s="4279"/>
      <c r="C125" s="4279"/>
      <c r="D125" s="4280"/>
      <c r="E125" s="1188">
        <f t="shared" si="61"/>
        <v>0</v>
      </c>
      <c r="F125" s="1680"/>
      <c r="G125" s="4281">
        <f t="shared" si="36"/>
        <v>0</v>
      </c>
      <c r="H125" s="3457">
        <f t="shared" si="37"/>
        <v>0</v>
      </c>
      <c r="I125" s="4282"/>
      <c r="J125" s="4282"/>
      <c r="K125" s="4282"/>
      <c r="L125" s="4282"/>
      <c r="M125" s="4282"/>
      <c r="N125" s="4282"/>
      <c r="O125" s="4282"/>
      <c r="P125" s="4282"/>
      <c r="Q125" s="4282"/>
      <c r="R125" s="4282"/>
      <c r="S125" s="4282"/>
      <c r="T125" s="4282"/>
      <c r="U125" s="4282"/>
      <c r="V125" s="4282"/>
      <c r="W125" s="4282"/>
      <c r="X125" s="4282"/>
      <c r="Y125" s="4282"/>
      <c r="Z125" s="4282"/>
      <c r="AA125" s="4282"/>
      <c r="AB125" s="4282"/>
      <c r="AC125" s="1188">
        <f t="shared" si="38"/>
        <v>0</v>
      </c>
      <c r="AD125" s="4278"/>
      <c r="AE125" s="4278"/>
      <c r="AF125" s="4278"/>
      <c r="AG125" s="4278"/>
      <c r="AH125" s="4278"/>
      <c r="AI125" s="4278"/>
      <c r="AJ125" s="4278"/>
      <c r="AK125" s="4278"/>
      <c r="AL125" s="4278"/>
      <c r="AM125" s="4278"/>
      <c r="AN125" s="4278"/>
      <c r="AO125" s="4278"/>
      <c r="AP125" s="4278"/>
      <c r="AQ125" s="4278"/>
      <c r="AR125" s="4278"/>
      <c r="AS125" s="4278"/>
      <c r="AT125" s="4279"/>
      <c r="AU125" s="4283"/>
      <c r="AV125" s="1188">
        <f t="shared" si="62"/>
        <v>0</v>
      </c>
      <c r="AW125" s="1188">
        <f t="shared" si="63"/>
        <v>0</v>
      </c>
      <c r="AX125" s="1188">
        <f t="shared" si="64"/>
        <v>0</v>
      </c>
      <c r="AY125" s="1452">
        <f t="shared" si="39"/>
        <v>0</v>
      </c>
      <c r="AZ125" s="4284">
        <f t="shared" si="40"/>
        <v>0</v>
      </c>
      <c r="BA125" s="4284">
        <f t="shared" si="41"/>
        <v>0</v>
      </c>
      <c r="BB125" s="4284">
        <f t="shared" si="42"/>
        <v>0</v>
      </c>
      <c r="BC125" s="4284">
        <f t="shared" si="43"/>
        <v>0</v>
      </c>
      <c r="BD125" s="4284">
        <f t="shared" si="44"/>
        <v>0</v>
      </c>
      <c r="BE125" s="4284">
        <f t="shared" si="45"/>
        <v>0</v>
      </c>
      <c r="BF125" s="4284">
        <f t="shared" si="46"/>
        <v>0</v>
      </c>
      <c r="BG125" s="4284">
        <f t="shared" si="47"/>
        <v>0</v>
      </c>
      <c r="BH125" s="4284">
        <f t="shared" si="48"/>
        <v>0</v>
      </c>
      <c r="BI125" s="4284">
        <f t="shared" si="49"/>
        <v>0</v>
      </c>
      <c r="BJ125" s="4284">
        <f t="shared" si="50"/>
        <v>0</v>
      </c>
      <c r="BK125" s="4284">
        <f t="shared" si="51"/>
        <v>0</v>
      </c>
      <c r="BL125" s="4284">
        <f t="shared" si="52"/>
        <v>0</v>
      </c>
      <c r="BM125" s="4284">
        <f t="shared" si="53"/>
        <v>0</v>
      </c>
      <c r="BN125" s="4284">
        <f t="shared" si="54"/>
        <v>0</v>
      </c>
      <c r="BO125" s="4284">
        <f t="shared" si="55"/>
        <v>0</v>
      </c>
      <c r="BP125" s="4284">
        <f t="shared" si="56"/>
        <v>0</v>
      </c>
      <c r="BQ125" s="4284">
        <f t="shared" si="57"/>
        <v>0</v>
      </c>
      <c r="BR125" s="4284">
        <f t="shared" si="58"/>
        <v>0</v>
      </c>
      <c r="BS125" s="4284">
        <f t="shared" si="59"/>
        <v>0</v>
      </c>
      <c r="BT125" s="4285">
        <f t="shared" si="60"/>
        <v>0</v>
      </c>
    </row>
    <row r="126" spans="1:72">
      <c r="A126" s="4278"/>
      <c r="B126" s="4279"/>
      <c r="C126" s="4279"/>
      <c r="D126" s="4280"/>
      <c r="E126" s="1188">
        <f t="shared" si="61"/>
        <v>0</v>
      </c>
      <c r="F126" s="1680"/>
      <c r="G126" s="4281">
        <f t="shared" si="36"/>
        <v>0</v>
      </c>
      <c r="H126" s="3457">
        <f t="shared" si="37"/>
        <v>0</v>
      </c>
      <c r="I126" s="4282"/>
      <c r="J126" s="4282"/>
      <c r="K126" s="4282"/>
      <c r="L126" s="4282"/>
      <c r="M126" s="4282"/>
      <c r="N126" s="4282"/>
      <c r="O126" s="4282"/>
      <c r="P126" s="4282"/>
      <c r="Q126" s="4282"/>
      <c r="R126" s="4282"/>
      <c r="S126" s="4282"/>
      <c r="T126" s="4282"/>
      <c r="U126" s="4282"/>
      <c r="V126" s="4282"/>
      <c r="W126" s="4282"/>
      <c r="X126" s="4282"/>
      <c r="Y126" s="4282"/>
      <c r="Z126" s="4282"/>
      <c r="AA126" s="4282"/>
      <c r="AB126" s="4282"/>
      <c r="AC126" s="1188">
        <f t="shared" si="38"/>
        <v>0</v>
      </c>
      <c r="AD126" s="4278"/>
      <c r="AE126" s="4278"/>
      <c r="AF126" s="4278"/>
      <c r="AG126" s="4278"/>
      <c r="AH126" s="4278"/>
      <c r="AI126" s="4278"/>
      <c r="AJ126" s="4278"/>
      <c r="AK126" s="4278"/>
      <c r="AL126" s="4278"/>
      <c r="AM126" s="4278"/>
      <c r="AN126" s="4278"/>
      <c r="AO126" s="4278"/>
      <c r="AP126" s="4278"/>
      <c r="AQ126" s="4278"/>
      <c r="AR126" s="4278"/>
      <c r="AS126" s="4278"/>
      <c r="AT126" s="4279"/>
      <c r="AU126" s="4283"/>
      <c r="AV126" s="1188">
        <f t="shared" si="62"/>
        <v>0</v>
      </c>
      <c r="AW126" s="1188">
        <f t="shared" si="63"/>
        <v>0</v>
      </c>
      <c r="AX126" s="1188">
        <f t="shared" si="64"/>
        <v>0</v>
      </c>
      <c r="AY126" s="1452">
        <f t="shared" si="39"/>
        <v>0</v>
      </c>
      <c r="AZ126" s="4284">
        <f t="shared" si="40"/>
        <v>0</v>
      </c>
      <c r="BA126" s="4284">
        <f t="shared" si="41"/>
        <v>0</v>
      </c>
      <c r="BB126" s="4284">
        <f t="shared" si="42"/>
        <v>0</v>
      </c>
      <c r="BC126" s="4284">
        <f t="shared" si="43"/>
        <v>0</v>
      </c>
      <c r="BD126" s="4284">
        <f t="shared" si="44"/>
        <v>0</v>
      </c>
      <c r="BE126" s="4284">
        <f t="shared" si="45"/>
        <v>0</v>
      </c>
      <c r="BF126" s="4284">
        <f t="shared" si="46"/>
        <v>0</v>
      </c>
      <c r="BG126" s="4284">
        <f t="shared" si="47"/>
        <v>0</v>
      </c>
      <c r="BH126" s="4284">
        <f t="shared" si="48"/>
        <v>0</v>
      </c>
      <c r="BI126" s="4284">
        <f t="shared" si="49"/>
        <v>0</v>
      </c>
      <c r="BJ126" s="4284">
        <f t="shared" si="50"/>
        <v>0</v>
      </c>
      <c r="BK126" s="4284">
        <f t="shared" si="51"/>
        <v>0</v>
      </c>
      <c r="BL126" s="4284">
        <f t="shared" si="52"/>
        <v>0</v>
      </c>
      <c r="BM126" s="4284">
        <f t="shared" si="53"/>
        <v>0</v>
      </c>
      <c r="BN126" s="4284">
        <f t="shared" si="54"/>
        <v>0</v>
      </c>
      <c r="BO126" s="4284">
        <f t="shared" si="55"/>
        <v>0</v>
      </c>
      <c r="BP126" s="4284">
        <f t="shared" si="56"/>
        <v>0</v>
      </c>
      <c r="BQ126" s="4284">
        <f t="shared" si="57"/>
        <v>0</v>
      </c>
      <c r="BR126" s="4284">
        <f t="shared" si="58"/>
        <v>0</v>
      </c>
      <c r="BS126" s="4284">
        <f t="shared" si="59"/>
        <v>0</v>
      </c>
      <c r="BT126" s="4285">
        <f t="shared" si="60"/>
        <v>0</v>
      </c>
    </row>
    <row r="127" spans="1:72">
      <c r="A127" s="4278"/>
      <c r="B127" s="4279"/>
      <c r="C127" s="4279"/>
      <c r="D127" s="4280"/>
      <c r="E127" s="1188">
        <f t="shared" si="61"/>
        <v>0</v>
      </c>
      <c r="F127" s="1680"/>
      <c r="G127" s="4281">
        <f t="shared" si="36"/>
        <v>0</v>
      </c>
      <c r="H127" s="3457">
        <f t="shared" si="37"/>
        <v>0</v>
      </c>
      <c r="I127" s="4282"/>
      <c r="J127" s="4282"/>
      <c r="K127" s="4282"/>
      <c r="L127" s="4282"/>
      <c r="M127" s="4282"/>
      <c r="N127" s="4282"/>
      <c r="O127" s="4282"/>
      <c r="P127" s="4282"/>
      <c r="Q127" s="4282"/>
      <c r="R127" s="4282"/>
      <c r="S127" s="4282"/>
      <c r="T127" s="4282"/>
      <c r="U127" s="4282"/>
      <c r="V127" s="4282"/>
      <c r="W127" s="4282"/>
      <c r="X127" s="4282"/>
      <c r="Y127" s="4282"/>
      <c r="Z127" s="4282"/>
      <c r="AA127" s="4282"/>
      <c r="AB127" s="4282"/>
      <c r="AC127" s="1188">
        <f t="shared" si="38"/>
        <v>0</v>
      </c>
      <c r="AD127" s="4278"/>
      <c r="AE127" s="4278"/>
      <c r="AF127" s="4278"/>
      <c r="AG127" s="4278"/>
      <c r="AH127" s="4278"/>
      <c r="AI127" s="4278"/>
      <c r="AJ127" s="4278"/>
      <c r="AK127" s="4278"/>
      <c r="AL127" s="4278"/>
      <c r="AM127" s="4278"/>
      <c r="AN127" s="4278"/>
      <c r="AO127" s="4278"/>
      <c r="AP127" s="4278"/>
      <c r="AQ127" s="4278"/>
      <c r="AR127" s="4278"/>
      <c r="AS127" s="4278"/>
      <c r="AT127" s="4279"/>
      <c r="AU127" s="4283"/>
      <c r="AV127" s="1188">
        <f t="shared" si="62"/>
        <v>0</v>
      </c>
      <c r="AW127" s="1188">
        <f t="shared" si="63"/>
        <v>0</v>
      </c>
      <c r="AX127" s="1188">
        <f t="shared" si="64"/>
        <v>0</v>
      </c>
      <c r="AY127" s="1452">
        <f t="shared" si="39"/>
        <v>0</v>
      </c>
      <c r="AZ127" s="4284">
        <f t="shared" si="40"/>
        <v>0</v>
      </c>
      <c r="BA127" s="4284">
        <f t="shared" si="41"/>
        <v>0</v>
      </c>
      <c r="BB127" s="4284">
        <f t="shared" si="42"/>
        <v>0</v>
      </c>
      <c r="BC127" s="4284">
        <f t="shared" si="43"/>
        <v>0</v>
      </c>
      <c r="BD127" s="4284">
        <f t="shared" si="44"/>
        <v>0</v>
      </c>
      <c r="BE127" s="4284">
        <f t="shared" si="45"/>
        <v>0</v>
      </c>
      <c r="BF127" s="4284">
        <f t="shared" si="46"/>
        <v>0</v>
      </c>
      <c r="BG127" s="4284">
        <f t="shared" si="47"/>
        <v>0</v>
      </c>
      <c r="BH127" s="4284">
        <f t="shared" si="48"/>
        <v>0</v>
      </c>
      <c r="BI127" s="4284">
        <f t="shared" si="49"/>
        <v>0</v>
      </c>
      <c r="BJ127" s="4284">
        <f t="shared" si="50"/>
        <v>0</v>
      </c>
      <c r="BK127" s="4284">
        <f t="shared" si="51"/>
        <v>0</v>
      </c>
      <c r="BL127" s="4284">
        <f t="shared" si="52"/>
        <v>0</v>
      </c>
      <c r="BM127" s="4284">
        <f t="shared" si="53"/>
        <v>0</v>
      </c>
      <c r="BN127" s="4284">
        <f t="shared" si="54"/>
        <v>0</v>
      </c>
      <c r="BO127" s="4284">
        <f t="shared" si="55"/>
        <v>0</v>
      </c>
      <c r="BP127" s="4284">
        <f t="shared" si="56"/>
        <v>0</v>
      </c>
      <c r="BQ127" s="4284">
        <f t="shared" si="57"/>
        <v>0</v>
      </c>
      <c r="BR127" s="4284">
        <f t="shared" si="58"/>
        <v>0</v>
      </c>
      <c r="BS127" s="4284">
        <f t="shared" si="59"/>
        <v>0</v>
      </c>
      <c r="BT127" s="4285">
        <f t="shared" si="60"/>
        <v>0</v>
      </c>
    </row>
    <row r="128" spans="1:72">
      <c r="A128" s="4278"/>
      <c r="B128" s="4279"/>
      <c r="C128" s="4279"/>
      <c r="D128" s="4280"/>
      <c r="E128" s="1188">
        <f t="shared" si="61"/>
        <v>0</v>
      </c>
      <c r="F128" s="1680"/>
      <c r="G128" s="4281">
        <f t="shared" si="36"/>
        <v>0</v>
      </c>
      <c r="H128" s="3457">
        <f t="shared" si="37"/>
        <v>0</v>
      </c>
      <c r="I128" s="4282"/>
      <c r="J128" s="4282"/>
      <c r="K128" s="4282"/>
      <c r="L128" s="4282"/>
      <c r="M128" s="4282"/>
      <c r="N128" s="4282"/>
      <c r="O128" s="4282"/>
      <c r="P128" s="4282"/>
      <c r="Q128" s="4282"/>
      <c r="R128" s="4282"/>
      <c r="S128" s="4282"/>
      <c r="T128" s="4282"/>
      <c r="U128" s="4282"/>
      <c r="V128" s="4282"/>
      <c r="W128" s="4282"/>
      <c r="X128" s="4282"/>
      <c r="Y128" s="4282"/>
      <c r="Z128" s="4282"/>
      <c r="AA128" s="4282"/>
      <c r="AB128" s="4282"/>
      <c r="AC128" s="1188">
        <f t="shared" si="38"/>
        <v>0</v>
      </c>
      <c r="AD128" s="4278"/>
      <c r="AE128" s="4278"/>
      <c r="AF128" s="4278"/>
      <c r="AG128" s="4278"/>
      <c r="AH128" s="4278"/>
      <c r="AI128" s="4278"/>
      <c r="AJ128" s="4278"/>
      <c r="AK128" s="4278"/>
      <c r="AL128" s="4278"/>
      <c r="AM128" s="4278"/>
      <c r="AN128" s="4278"/>
      <c r="AO128" s="4278"/>
      <c r="AP128" s="4278"/>
      <c r="AQ128" s="4278"/>
      <c r="AR128" s="4278"/>
      <c r="AS128" s="4278"/>
      <c r="AT128" s="4279"/>
      <c r="AU128" s="4283"/>
      <c r="AV128" s="1188">
        <f t="shared" si="62"/>
        <v>0</v>
      </c>
      <c r="AW128" s="1188">
        <f t="shared" si="63"/>
        <v>0</v>
      </c>
      <c r="AX128" s="1188">
        <f t="shared" si="64"/>
        <v>0</v>
      </c>
      <c r="AY128" s="1452">
        <f t="shared" si="39"/>
        <v>0</v>
      </c>
      <c r="AZ128" s="4284">
        <f t="shared" si="40"/>
        <v>0</v>
      </c>
      <c r="BA128" s="4284">
        <f t="shared" si="41"/>
        <v>0</v>
      </c>
      <c r="BB128" s="4284">
        <f t="shared" si="42"/>
        <v>0</v>
      </c>
      <c r="BC128" s="4284">
        <f t="shared" si="43"/>
        <v>0</v>
      </c>
      <c r="BD128" s="4284">
        <f t="shared" si="44"/>
        <v>0</v>
      </c>
      <c r="BE128" s="4284">
        <f t="shared" si="45"/>
        <v>0</v>
      </c>
      <c r="BF128" s="4284">
        <f t="shared" si="46"/>
        <v>0</v>
      </c>
      <c r="BG128" s="4284">
        <f t="shared" si="47"/>
        <v>0</v>
      </c>
      <c r="BH128" s="4284">
        <f t="shared" si="48"/>
        <v>0</v>
      </c>
      <c r="BI128" s="4284">
        <f t="shared" si="49"/>
        <v>0</v>
      </c>
      <c r="BJ128" s="4284">
        <f t="shared" si="50"/>
        <v>0</v>
      </c>
      <c r="BK128" s="4284">
        <f t="shared" si="51"/>
        <v>0</v>
      </c>
      <c r="BL128" s="4284">
        <f t="shared" si="52"/>
        <v>0</v>
      </c>
      <c r="BM128" s="4284">
        <f t="shared" si="53"/>
        <v>0</v>
      </c>
      <c r="BN128" s="4284">
        <f t="shared" si="54"/>
        <v>0</v>
      </c>
      <c r="BO128" s="4284">
        <f t="shared" si="55"/>
        <v>0</v>
      </c>
      <c r="BP128" s="4284">
        <f t="shared" si="56"/>
        <v>0</v>
      </c>
      <c r="BQ128" s="4284">
        <f t="shared" si="57"/>
        <v>0</v>
      </c>
      <c r="BR128" s="4284">
        <f t="shared" si="58"/>
        <v>0</v>
      </c>
      <c r="BS128" s="4284">
        <f t="shared" si="59"/>
        <v>0</v>
      </c>
      <c r="BT128" s="4285">
        <f t="shared" si="60"/>
        <v>0</v>
      </c>
    </row>
    <row r="129" spans="1:72">
      <c r="A129" s="4278"/>
      <c r="B129" s="4279"/>
      <c r="C129" s="4279"/>
      <c r="D129" s="4280"/>
      <c r="E129" s="1188">
        <f t="shared" si="61"/>
        <v>0</v>
      </c>
      <c r="F129" s="1680"/>
      <c r="G129" s="4281">
        <f t="shared" si="36"/>
        <v>0</v>
      </c>
      <c r="H129" s="3457">
        <f t="shared" si="37"/>
        <v>0</v>
      </c>
      <c r="I129" s="4282"/>
      <c r="J129" s="4282"/>
      <c r="K129" s="4282"/>
      <c r="L129" s="4282"/>
      <c r="M129" s="4282"/>
      <c r="N129" s="4282"/>
      <c r="O129" s="4282"/>
      <c r="P129" s="4282"/>
      <c r="Q129" s="4282"/>
      <c r="R129" s="4282"/>
      <c r="S129" s="4282"/>
      <c r="T129" s="4282"/>
      <c r="U129" s="4282"/>
      <c r="V129" s="4282"/>
      <c r="W129" s="4282"/>
      <c r="X129" s="4282"/>
      <c r="Y129" s="4282"/>
      <c r="Z129" s="4282"/>
      <c r="AA129" s="4282"/>
      <c r="AB129" s="4282"/>
      <c r="AC129" s="1188">
        <f t="shared" si="38"/>
        <v>0</v>
      </c>
      <c r="AD129" s="4278"/>
      <c r="AE129" s="4278"/>
      <c r="AF129" s="4278"/>
      <c r="AG129" s="4278"/>
      <c r="AH129" s="4278"/>
      <c r="AI129" s="4278"/>
      <c r="AJ129" s="4278"/>
      <c r="AK129" s="4278"/>
      <c r="AL129" s="4278"/>
      <c r="AM129" s="4278"/>
      <c r="AN129" s="4278"/>
      <c r="AO129" s="4278"/>
      <c r="AP129" s="4278"/>
      <c r="AQ129" s="4278"/>
      <c r="AR129" s="4278"/>
      <c r="AS129" s="4278"/>
      <c r="AT129" s="4279"/>
      <c r="AU129" s="4283"/>
      <c r="AV129" s="1188">
        <f t="shared" si="62"/>
        <v>0</v>
      </c>
      <c r="AW129" s="1188">
        <f t="shared" si="63"/>
        <v>0</v>
      </c>
      <c r="AX129" s="1188">
        <f t="shared" si="64"/>
        <v>0</v>
      </c>
      <c r="AY129" s="1452">
        <f t="shared" si="39"/>
        <v>0</v>
      </c>
      <c r="AZ129" s="4284">
        <f t="shared" si="40"/>
        <v>0</v>
      </c>
      <c r="BA129" s="4284">
        <f t="shared" si="41"/>
        <v>0</v>
      </c>
      <c r="BB129" s="4284">
        <f t="shared" si="42"/>
        <v>0</v>
      </c>
      <c r="BC129" s="4284">
        <f t="shared" si="43"/>
        <v>0</v>
      </c>
      <c r="BD129" s="4284">
        <f t="shared" si="44"/>
        <v>0</v>
      </c>
      <c r="BE129" s="4284">
        <f t="shared" si="45"/>
        <v>0</v>
      </c>
      <c r="BF129" s="4284">
        <f t="shared" si="46"/>
        <v>0</v>
      </c>
      <c r="BG129" s="4284">
        <f t="shared" si="47"/>
        <v>0</v>
      </c>
      <c r="BH129" s="4284">
        <f t="shared" si="48"/>
        <v>0</v>
      </c>
      <c r="BI129" s="4284">
        <f t="shared" si="49"/>
        <v>0</v>
      </c>
      <c r="BJ129" s="4284">
        <f t="shared" si="50"/>
        <v>0</v>
      </c>
      <c r="BK129" s="4284">
        <f t="shared" si="51"/>
        <v>0</v>
      </c>
      <c r="BL129" s="4284">
        <f t="shared" si="52"/>
        <v>0</v>
      </c>
      <c r="BM129" s="4284">
        <f t="shared" si="53"/>
        <v>0</v>
      </c>
      <c r="BN129" s="4284">
        <f t="shared" si="54"/>
        <v>0</v>
      </c>
      <c r="BO129" s="4284">
        <f t="shared" si="55"/>
        <v>0</v>
      </c>
      <c r="BP129" s="4284">
        <f t="shared" si="56"/>
        <v>0</v>
      </c>
      <c r="BQ129" s="4284">
        <f t="shared" si="57"/>
        <v>0</v>
      </c>
      <c r="BR129" s="4284">
        <f t="shared" si="58"/>
        <v>0</v>
      </c>
      <c r="BS129" s="4284">
        <f t="shared" si="59"/>
        <v>0</v>
      </c>
      <c r="BT129" s="4285">
        <f t="shared" si="60"/>
        <v>0</v>
      </c>
    </row>
    <row r="130" spans="1:72">
      <c r="A130" s="4278"/>
      <c r="B130" s="4279"/>
      <c r="C130" s="4279"/>
      <c r="D130" s="4280"/>
      <c r="E130" s="1188">
        <f t="shared" si="61"/>
        <v>0</v>
      </c>
      <c r="F130" s="1680"/>
      <c r="G130" s="4281">
        <f t="shared" si="36"/>
        <v>0</v>
      </c>
      <c r="H130" s="3457">
        <f t="shared" si="37"/>
        <v>0</v>
      </c>
      <c r="I130" s="4282"/>
      <c r="J130" s="4282"/>
      <c r="K130" s="4282"/>
      <c r="L130" s="4282"/>
      <c r="M130" s="4282"/>
      <c r="N130" s="4282"/>
      <c r="O130" s="4282"/>
      <c r="P130" s="4282"/>
      <c r="Q130" s="4282"/>
      <c r="R130" s="4282"/>
      <c r="S130" s="4282"/>
      <c r="T130" s="4282"/>
      <c r="U130" s="4282"/>
      <c r="V130" s="4282"/>
      <c r="W130" s="4282"/>
      <c r="X130" s="4282"/>
      <c r="Y130" s="4282"/>
      <c r="Z130" s="4282"/>
      <c r="AA130" s="4282"/>
      <c r="AB130" s="4282"/>
      <c r="AC130" s="1188">
        <f t="shared" si="38"/>
        <v>0</v>
      </c>
      <c r="AD130" s="4278"/>
      <c r="AE130" s="4278"/>
      <c r="AF130" s="4278"/>
      <c r="AG130" s="4278"/>
      <c r="AH130" s="4278"/>
      <c r="AI130" s="4278"/>
      <c r="AJ130" s="4278"/>
      <c r="AK130" s="4278"/>
      <c r="AL130" s="4278"/>
      <c r="AM130" s="4278"/>
      <c r="AN130" s="4278"/>
      <c r="AO130" s="4278"/>
      <c r="AP130" s="4278"/>
      <c r="AQ130" s="4278"/>
      <c r="AR130" s="4278"/>
      <c r="AS130" s="4278"/>
      <c r="AT130" s="4279"/>
      <c r="AU130" s="4283"/>
      <c r="AV130" s="1188">
        <f t="shared" si="62"/>
        <v>0</v>
      </c>
      <c r="AW130" s="1188">
        <f t="shared" si="63"/>
        <v>0</v>
      </c>
      <c r="AX130" s="1188">
        <f t="shared" si="64"/>
        <v>0</v>
      </c>
      <c r="AY130" s="1452">
        <f t="shared" si="39"/>
        <v>0</v>
      </c>
      <c r="AZ130" s="4284">
        <f t="shared" si="40"/>
        <v>0</v>
      </c>
      <c r="BA130" s="4284">
        <f t="shared" si="41"/>
        <v>0</v>
      </c>
      <c r="BB130" s="4284">
        <f t="shared" si="42"/>
        <v>0</v>
      </c>
      <c r="BC130" s="4284">
        <f t="shared" si="43"/>
        <v>0</v>
      </c>
      <c r="BD130" s="4284">
        <f t="shared" si="44"/>
        <v>0</v>
      </c>
      <c r="BE130" s="4284">
        <f t="shared" si="45"/>
        <v>0</v>
      </c>
      <c r="BF130" s="4284">
        <f t="shared" si="46"/>
        <v>0</v>
      </c>
      <c r="BG130" s="4284">
        <f t="shared" si="47"/>
        <v>0</v>
      </c>
      <c r="BH130" s="4284">
        <f t="shared" si="48"/>
        <v>0</v>
      </c>
      <c r="BI130" s="4284">
        <f t="shared" si="49"/>
        <v>0</v>
      </c>
      <c r="BJ130" s="4284">
        <f t="shared" si="50"/>
        <v>0</v>
      </c>
      <c r="BK130" s="4284">
        <f t="shared" si="51"/>
        <v>0</v>
      </c>
      <c r="BL130" s="4284">
        <f t="shared" si="52"/>
        <v>0</v>
      </c>
      <c r="BM130" s="4284">
        <f t="shared" si="53"/>
        <v>0</v>
      </c>
      <c r="BN130" s="4284">
        <f t="shared" si="54"/>
        <v>0</v>
      </c>
      <c r="BO130" s="4284">
        <f t="shared" si="55"/>
        <v>0</v>
      </c>
      <c r="BP130" s="4284">
        <f t="shared" si="56"/>
        <v>0</v>
      </c>
      <c r="BQ130" s="4284">
        <f t="shared" si="57"/>
        <v>0</v>
      </c>
      <c r="BR130" s="4284">
        <f t="shared" si="58"/>
        <v>0</v>
      </c>
      <c r="BS130" s="4284">
        <f t="shared" si="59"/>
        <v>0</v>
      </c>
      <c r="BT130" s="4285">
        <f t="shared" si="60"/>
        <v>0</v>
      </c>
    </row>
    <row r="131" spans="1:72">
      <c r="A131" s="4278"/>
      <c r="B131" s="4279"/>
      <c r="C131" s="4279"/>
      <c r="D131" s="4280"/>
      <c r="E131" s="1188">
        <f t="shared" si="61"/>
        <v>0</v>
      </c>
      <c r="F131" s="1680"/>
      <c r="G131" s="4281">
        <f t="shared" si="36"/>
        <v>0</v>
      </c>
      <c r="H131" s="3457">
        <f t="shared" si="37"/>
        <v>0</v>
      </c>
      <c r="I131" s="4282"/>
      <c r="J131" s="4282"/>
      <c r="K131" s="4282"/>
      <c r="L131" s="4282"/>
      <c r="M131" s="4282"/>
      <c r="N131" s="4282"/>
      <c r="O131" s="4282"/>
      <c r="P131" s="4282"/>
      <c r="Q131" s="4282"/>
      <c r="R131" s="4282"/>
      <c r="S131" s="4282"/>
      <c r="T131" s="4282"/>
      <c r="U131" s="4282"/>
      <c r="V131" s="4282"/>
      <c r="W131" s="4282"/>
      <c r="X131" s="4282"/>
      <c r="Y131" s="4282"/>
      <c r="Z131" s="4282"/>
      <c r="AA131" s="4282"/>
      <c r="AB131" s="4282"/>
      <c r="AC131" s="1188">
        <f t="shared" si="38"/>
        <v>0</v>
      </c>
      <c r="AD131" s="4278"/>
      <c r="AE131" s="4278"/>
      <c r="AF131" s="4278"/>
      <c r="AG131" s="4278"/>
      <c r="AH131" s="4278"/>
      <c r="AI131" s="4278"/>
      <c r="AJ131" s="4278"/>
      <c r="AK131" s="4278"/>
      <c r="AL131" s="4278"/>
      <c r="AM131" s="4278"/>
      <c r="AN131" s="4278"/>
      <c r="AO131" s="4278"/>
      <c r="AP131" s="4278"/>
      <c r="AQ131" s="4278"/>
      <c r="AR131" s="4278"/>
      <c r="AS131" s="4278"/>
      <c r="AT131" s="4279"/>
      <c r="AU131" s="4283"/>
      <c r="AV131" s="1188">
        <f t="shared" si="62"/>
        <v>0</v>
      </c>
      <c r="AW131" s="1188">
        <f t="shared" si="63"/>
        <v>0</v>
      </c>
      <c r="AX131" s="1188">
        <f t="shared" si="64"/>
        <v>0</v>
      </c>
      <c r="AY131" s="1452">
        <f t="shared" si="39"/>
        <v>0</v>
      </c>
      <c r="AZ131" s="4284">
        <f t="shared" si="40"/>
        <v>0</v>
      </c>
      <c r="BA131" s="4284">
        <f t="shared" si="41"/>
        <v>0</v>
      </c>
      <c r="BB131" s="4284">
        <f t="shared" si="42"/>
        <v>0</v>
      </c>
      <c r="BC131" s="4284">
        <f t="shared" si="43"/>
        <v>0</v>
      </c>
      <c r="BD131" s="4284">
        <f t="shared" si="44"/>
        <v>0</v>
      </c>
      <c r="BE131" s="4284">
        <f t="shared" si="45"/>
        <v>0</v>
      </c>
      <c r="BF131" s="4284">
        <f t="shared" si="46"/>
        <v>0</v>
      </c>
      <c r="BG131" s="4284">
        <f t="shared" si="47"/>
        <v>0</v>
      </c>
      <c r="BH131" s="4284">
        <f t="shared" si="48"/>
        <v>0</v>
      </c>
      <c r="BI131" s="4284">
        <f t="shared" si="49"/>
        <v>0</v>
      </c>
      <c r="BJ131" s="4284">
        <f t="shared" si="50"/>
        <v>0</v>
      </c>
      <c r="BK131" s="4284">
        <f t="shared" si="51"/>
        <v>0</v>
      </c>
      <c r="BL131" s="4284">
        <f t="shared" si="52"/>
        <v>0</v>
      </c>
      <c r="BM131" s="4284">
        <f t="shared" si="53"/>
        <v>0</v>
      </c>
      <c r="BN131" s="4284">
        <f t="shared" si="54"/>
        <v>0</v>
      </c>
      <c r="BO131" s="4284">
        <f t="shared" si="55"/>
        <v>0</v>
      </c>
      <c r="BP131" s="4284">
        <f t="shared" si="56"/>
        <v>0</v>
      </c>
      <c r="BQ131" s="4284">
        <f t="shared" si="57"/>
        <v>0</v>
      </c>
      <c r="BR131" s="4284">
        <f t="shared" si="58"/>
        <v>0</v>
      </c>
      <c r="BS131" s="4284">
        <f t="shared" si="59"/>
        <v>0</v>
      </c>
      <c r="BT131" s="4285">
        <f t="shared" si="60"/>
        <v>0</v>
      </c>
    </row>
    <row r="132" spans="1:72">
      <c r="A132" s="4278"/>
      <c r="B132" s="4279"/>
      <c r="C132" s="4279"/>
      <c r="D132" s="4280"/>
      <c r="E132" s="1188">
        <f t="shared" si="61"/>
        <v>0</v>
      </c>
      <c r="F132" s="1680"/>
      <c r="G132" s="4281">
        <f t="shared" si="36"/>
        <v>0</v>
      </c>
      <c r="H132" s="3457">
        <f t="shared" si="37"/>
        <v>0</v>
      </c>
      <c r="I132" s="4282"/>
      <c r="J132" s="4282"/>
      <c r="K132" s="4282"/>
      <c r="L132" s="4282"/>
      <c r="M132" s="4282"/>
      <c r="N132" s="4282"/>
      <c r="O132" s="4282"/>
      <c r="P132" s="4282"/>
      <c r="Q132" s="4282"/>
      <c r="R132" s="4282"/>
      <c r="S132" s="4282"/>
      <c r="T132" s="4282"/>
      <c r="U132" s="4282"/>
      <c r="V132" s="4282"/>
      <c r="W132" s="4282"/>
      <c r="X132" s="4282"/>
      <c r="Y132" s="4282"/>
      <c r="Z132" s="4282"/>
      <c r="AA132" s="4282"/>
      <c r="AB132" s="4282"/>
      <c r="AC132" s="1188">
        <f t="shared" si="38"/>
        <v>0</v>
      </c>
      <c r="AD132" s="4278"/>
      <c r="AE132" s="4278"/>
      <c r="AF132" s="4278"/>
      <c r="AG132" s="4278"/>
      <c r="AH132" s="4278"/>
      <c r="AI132" s="4278"/>
      <c r="AJ132" s="4278"/>
      <c r="AK132" s="4278"/>
      <c r="AL132" s="4278"/>
      <c r="AM132" s="4278"/>
      <c r="AN132" s="4278"/>
      <c r="AO132" s="4278"/>
      <c r="AP132" s="4278"/>
      <c r="AQ132" s="4278"/>
      <c r="AR132" s="4278"/>
      <c r="AS132" s="4278"/>
      <c r="AT132" s="4279"/>
      <c r="AU132" s="4283"/>
      <c r="AV132" s="1188">
        <f t="shared" si="62"/>
        <v>0</v>
      </c>
      <c r="AW132" s="1188">
        <f t="shared" si="63"/>
        <v>0</v>
      </c>
      <c r="AX132" s="1188">
        <f t="shared" si="64"/>
        <v>0</v>
      </c>
      <c r="AY132" s="1452">
        <f t="shared" si="39"/>
        <v>0</v>
      </c>
      <c r="AZ132" s="4284">
        <f t="shared" si="40"/>
        <v>0</v>
      </c>
      <c r="BA132" s="4284">
        <f t="shared" si="41"/>
        <v>0</v>
      </c>
      <c r="BB132" s="4284">
        <f t="shared" si="42"/>
        <v>0</v>
      </c>
      <c r="BC132" s="4284">
        <f t="shared" si="43"/>
        <v>0</v>
      </c>
      <c r="BD132" s="4284">
        <f t="shared" si="44"/>
        <v>0</v>
      </c>
      <c r="BE132" s="4284">
        <f t="shared" si="45"/>
        <v>0</v>
      </c>
      <c r="BF132" s="4284">
        <f t="shared" si="46"/>
        <v>0</v>
      </c>
      <c r="BG132" s="4284">
        <f t="shared" si="47"/>
        <v>0</v>
      </c>
      <c r="BH132" s="4284">
        <f t="shared" si="48"/>
        <v>0</v>
      </c>
      <c r="BI132" s="4284">
        <f t="shared" si="49"/>
        <v>0</v>
      </c>
      <c r="BJ132" s="4284">
        <f t="shared" si="50"/>
        <v>0</v>
      </c>
      <c r="BK132" s="4284">
        <f t="shared" si="51"/>
        <v>0</v>
      </c>
      <c r="BL132" s="4284">
        <f t="shared" si="52"/>
        <v>0</v>
      </c>
      <c r="BM132" s="4284">
        <f t="shared" si="53"/>
        <v>0</v>
      </c>
      <c r="BN132" s="4284">
        <f t="shared" si="54"/>
        <v>0</v>
      </c>
      <c r="BO132" s="4284">
        <f t="shared" si="55"/>
        <v>0</v>
      </c>
      <c r="BP132" s="4284">
        <f t="shared" si="56"/>
        <v>0</v>
      </c>
      <c r="BQ132" s="4284">
        <f t="shared" si="57"/>
        <v>0</v>
      </c>
      <c r="BR132" s="4284">
        <f t="shared" si="58"/>
        <v>0</v>
      </c>
      <c r="BS132" s="4284">
        <f t="shared" si="59"/>
        <v>0</v>
      </c>
      <c r="BT132" s="4285">
        <f t="shared" si="60"/>
        <v>0</v>
      </c>
    </row>
    <row r="133" spans="1:72">
      <c r="A133" s="4278"/>
      <c r="B133" s="4279"/>
      <c r="C133" s="4279"/>
      <c r="D133" s="4280"/>
      <c r="E133" s="1188">
        <f t="shared" si="61"/>
        <v>0</v>
      </c>
      <c r="F133" s="1680"/>
      <c r="G133" s="4281">
        <f t="shared" si="36"/>
        <v>0</v>
      </c>
      <c r="H133" s="3457">
        <f t="shared" si="37"/>
        <v>0</v>
      </c>
      <c r="I133" s="4282"/>
      <c r="J133" s="4282"/>
      <c r="K133" s="4282"/>
      <c r="L133" s="4282"/>
      <c r="M133" s="4282"/>
      <c r="N133" s="4282"/>
      <c r="O133" s="4282"/>
      <c r="P133" s="4282"/>
      <c r="Q133" s="4282"/>
      <c r="R133" s="4282"/>
      <c r="S133" s="4282"/>
      <c r="T133" s="4282"/>
      <c r="U133" s="4282"/>
      <c r="V133" s="4282"/>
      <c r="W133" s="4282"/>
      <c r="X133" s="4282"/>
      <c r="Y133" s="4282"/>
      <c r="Z133" s="4282"/>
      <c r="AA133" s="4282"/>
      <c r="AB133" s="4282"/>
      <c r="AC133" s="1188">
        <f t="shared" si="38"/>
        <v>0</v>
      </c>
      <c r="AD133" s="4278"/>
      <c r="AE133" s="4278"/>
      <c r="AF133" s="4278"/>
      <c r="AG133" s="4278"/>
      <c r="AH133" s="4278"/>
      <c r="AI133" s="4278"/>
      <c r="AJ133" s="4278"/>
      <c r="AK133" s="4278"/>
      <c r="AL133" s="4278"/>
      <c r="AM133" s="4278"/>
      <c r="AN133" s="4278"/>
      <c r="AO133" s="4278"/>
      <c r="AP133" s="4278"/>
      <c r="AQ133" s="4278"/>
      <c r="AR133" s="4278"/>
      <c r="AS133" s="4278"/>
      <c r="AT133" s="4279"/>
      <c r="AU133" s="4283"/>
      <c r="AV133" s="1188">
        <f t="shared" si="62"/>
        <v>0</v>
      </c>
      <c r="AW133" s="1188">
        <f t="shared" si="63"/>
        <v>0</v>
      </c>
      <c r="AX133" s="1188">
        <f t="shared" si="64"/>
        <v>0</v>
      </c>
      <c r="AY133" s="1452">
        <f t="shared" si="39"/>
        <v>0</v>
      </c>
      <c r="AZ133" s="4284">
        <f t="shared" si="40"/>
        <v>0</v>
      </c>
      <c r="BA133" s="4284">
        <f t="shared" si="41"/>
        <v>0</v>
      </c>
      <c r="BB133" s="4284">
        <f t="shared" si="42"/>
        <v>0</v>
      </c>
      <c r="BC133" s="4284">
        <f t="shared" si="43"/>
        <v>0</v>
      </c>
      <c r="BD133" s="4284">
        <f t="shared" si="44"/>
        <v>0</v>
      </c>
      <c r="BE133" s="4284">
        <f t="shared" si="45"/>
        <v>0</v>
      </c>
      <c r="BF133" s="4284">
        <f t="shared" si="46"/>
        <v>0</v>
      </c>
      <c r="BG133" s="4284">
        <f t="shared" si="47"/>
        <v>0</v>
      </c>
      <c r="BH133" s="4284">
        <f t="shared" si="48"/>
        <v>0</v>
      </c>
      <c r="BI133" s="4284">
        <f t="shared" si="49"/>
        <v>0</v>
      </c>
      <c r="BJ133" s="4284">
        <f t="shared" si="50"/>
        <v>0</v>
      </c>
      <c r="BK133" s="4284">
        <f t="shared" si="51"/>
        <v>0</v>
      </c>
      <c r="BL133" s="4284">
        <f t="shared" si="52"/>
        <v>0</v>
      </c>
      <c r="BM133" s="4284">
        <f t="shared" si="53"/>
        <v>0</v>
      </c>
      <c r="BN133" s="4284">
        <f t="shared" si="54"/>
        <v>0</v>
      </c>
      <c r="BO133" s="4284">
        <f t="shared" si="55"/>
        <v>0</v>
      </c>
      <c r="BP133" s="4284">
        <f t="shared" si="56"/>
        <v>0</v>
      </c>
      <c r="BQ133" s="4284">
        <f t="shared" si="57"/>
        <v>0</v>
      </c>
      <c r="BR133" s="4284">
        <f t="shared" si="58"/>
        <v>0</v>
      </c>
      <c r="BS133" s="4284">
        <f t="shared" si="59"/>
        <v>0</v>
      </c>
      <c r="BT133" s="4285">
        <f t="shared" si="60"/>
        <v>0</v>
      </c>
    </row>
    <row r="134" spans="1:72">
      <c r="A134" s="4278"/>
      <c r="B134" s="4279"/>
      <c r="C134" s="4279"/>
      <c r="D134" s="4280"/>
      <c r="E134" s="1188">
        <f t="shared" si="61"/>
        <v>0</v>
      </c>
      <c r="F134" s="1680"/>
      <c r="G134" s="4281">
        <f t="shared" si="36"/>
        <v>0</v>
      </c>
      <c r="H134" s="3457">
        <f t="shared" si="37"/>
        <v>0</v>
      </c>
      <c r="I134" s="4282"/>
      <c r="J134" s="4282"/>
      <c r="K134" s="4282"/>
      <c r="L134" s="4282"/>
      <c r="M134" s="4282"/>
      <c r="N134" s="4282"/>
      <c r="O134" s="4282"/>
      <c r="P134" s="4282"/>
      <c r="Q134" s="4282"/>
      <c r="R134" s="4282"/>
      <c r="S134" s="4282"/>
      <c r="T134" s="4282"/>
      <c r="U134" s="4282"/>
      <c r="V134" s="4282"/>
      <c r="W134" s="4282"/>
      <c r="X134" s="4282"/>
      <c r="Y134" s="4282"/>
      <c r="Z134" s="4282"/>
      <c r="AA134" s="4282"/>
      <c r="AB134" s="4282"/>
      <c r="AC134" s="1188">
        <f t="shared" si="38"/>
        <v>0</v>
      </c>
      <c r="AD134" s="4278"/>
      <c r="AE134" s="4278"/>
      <c r="AF134" s="4278"/>
      <c r="AG134" s="4278"/>
      <c r="AH134" s="4278"/>
      <c r="AI134" s="4278"/>
      <c r="AJ134" s="4278"/>
      <c r="AK134" s="4278"/>
      <c r="AL134" s="4278"/>
      <c r="AM134" s="4278"/>
      <c r="AN134" s="4278"/>
      <c r="AO134" s="4278"/>
      <c r="AP134" s="4278"/>
      <c r="AQ134" s="4278"/>
      <c r="AR134" s="4278"/>
      <c r="AS134" s="4278"/>
      <c r="AT134" s="4279"/>
      <c r="AU134" s="4283"/>
      <c r="AV134" s="1188">
        <f t="shared" si="62"/>
        <v>0</v>
      </c>
      <c r="AW134" s="1188">
        <f t="shared" si="63"/>
        <v>0</v>
      </c>
      <c r="AX134" s="1188">
        <f t="shared" si="64"/>
        <v>0</v>
      </c>
      <c r="AY134" s="1452">
        <f t="shared" si="39"/>
        <v>0</v>
      </c>
      <c r="AZ134" s="4284">
        <f t="shared" si="40"/>
        <v>0</v>
      </c>
      <c r="BA134" s="4284">
        <f t="shared" si="41"/>
        <v>0</v>
      </c>
      <c r="BB134" s="4284">
        <f t="shared" si="42"/>
        <v>0</v>
      </c>
      <c r="BC134" s="4284">
        <f t="shared" si="43"/>
        <v>0</v>
      </c>
      <c r="BD134" s="4284">
        <f t="shared" si="44"/>
        <v>0</v>
      </c>
      <c r="BE134" s="4284">
        <f t="shared" si="45"/>
        <v>0</v>
      </c>
      <c r="BF134" s="4284">
        <f t="shared" si="46"/>
        <v>0</v>
      </c>
      <c r="BG134" s="4284">
        <f t="shared" si="47"/>
        <v>0</v>
      </c>
      <c r="BH134" s="4284">
        <f t="shared" si="48"/>
        <v>0</v>
      </c>
      <c r="BI134" s="4284">
        <f t="shared" si="49"/>
        <v>0</v>
      </c>
      <c r="BJ134" s="4284">
        <f t="shared" si="50"/>
        <v>0</v>
      </c>
      <c r="BK134" s="4284">
        <f t="shared" si="51"/>
        <v>0</v>
      </c>
      <c r="BL134" s="4284">
        <f t="shared" si="52"/>
        <v>0</v>
      </c>
      <c r="BM134" s="4284">
        <f t="shared" si="53"/>
        <v>0</v>
      </c>
      <c r="BN134" s="4284">
        <f t="shared" si="54"/>
        <v>0</v>
      </c>
      <c r="BO134" s="4284">
        <f t="shared" si="55"/>
        <v>0</v>
      </c>
      <c r="BP134" s="4284">
        <f t="shared" si="56"/>
        <v>0</v>
      </c>
      <c r="BQ134" s="4284">
        <f t="shared" si="57"/>
        <v>0</v>
      </c>
      <c r="BR134" s="4284">
        <f t="shared" si="58"/>
        <v>0</v>
      </c>
      <c r="BS134" s="4284">
        <f t="shared" si="59"/>
        <v>0</v>
      </c>
      <c r="BT134" s="4285">
        <f t="shared" si="60"/>
        <v>0</v>
      </c>
    </row>
    <row r="135" spans="1:72">
      <c r="A135" s="4278"/>
      <c r="B135" s="4279"/>
      <c r="C135" s="4279"/>
      <c r="D135" s="4280"/>
      <c r="E135" s="1188">
        <f t="shared" si="61"/>
        <v>0</v>
      </c>
      <c r="F135" s="1680"/>
      <c r="G135" s="4281">
        <f t="shared" si="36"/>
        <v>0</v>
      </c>
      <c r="H135" s="3457">
        <f t="shared" si="37"/>
        <v>0</v>
      </c>
      <c r="I135" s="4282"/>
      <c r="J135" s="4282"/>
      <c r="K135" s="4282"/>
      <c r="L135" s="4282"/>
      <c r="M135" s="4282"/>
      <c r="N135" s="4282"/>
      <c r="O135" s="4282"/>
      <c r="P135" s="4282"/>
      <c r="Q135" s="4282"/>
      <c r="R135" s="4282"/>
      <c r="S135" s="4282"/>
      <c r="T135" s="4282"/>
      <c r="U135" s="4282"/>
      <c r="V135" s="4282"/>
      <c r="W135" s="4282"/>
      <c r="X135" s="4282"/>
      <c r="Y135" s="4282"/>
      <c r="Z135" s="4282"/>
      <c r="AA135" s="4282"/>
      <c r="AB135" s="4282"/>
      <c r="AC135" s="1188">
        <f t="shared" si="38"/>
        <v>0</v>
      </c>
      <c r="AD135" s="4278"/>
      <c r="AE135" s="4278"/>
      <c r="AF135" s="4278"/>
      <c r="AG135" s="4278"/>
      <c r="AH135" s="4278"/>
      <c r="AI135" s="4278"/>
      <c r="AJ135" s="4278"/>
      <c r="AK135" s="4278"/>
      <c r="AL135" s="4278"/>
      <c r="AM135" s="4278"/>
      <c r="AN135" s="4278"/>
      <c r="AO135" s="4278"/>
      <c r="AP135" s="4278"/>
      <c r="AQ135" s="4278"/>
      <c r="AR135" s="4278"/>
      <c r="AS135" s="4278"/>
      <c r="AT135" s="4279"/>
      <c r="AU135" s="4283"/>
      <c r="AV135" s="1188">
        <f t="shared" si="62"/>
        <v>0</v>
      </c>
      <c r="AW135" s="1188">
        <f t="shared" si="63"/>
        <v>0</v>
      </c>
      <c r="AX135" s="1188">
        <f t="shared" si="64"/>
        <v>0</v>
      </c>
      <c r="AY135" s="1452">
        <f t="shared" si="39"/>
        <v>0</v>
      </c>
      <c r="AZ135" s="4284">
        <f t="shared" si="40"/>
        <v>0</v>
      </c>
      <c r="BA135" s="4284">
        <f t="shared" si="41"/>
        <v>0</v>
      </c>
      <c r="BB135" s="4284">
        <f t="shared" si="42"/>
        <v>0</v>
      </c>
      <c r="BC135" s="4284">
        <f t="shared" si="43"/>
        <v>0</v>
      </c>
      <c r="BD135" s="4284">
        <f t="shared" si="44"/>
        <v>0</v>
      </c>
      <c r="BE135" s="4284">
        <f t="shared" si="45"/>
        <v>0</v>
      </c>
      <c r="BF135" s="4284">
        <f t="shared" si="46"/>
        <v>0</v>
      </c>
      <c r="BG135" s="4284">
        <f t="shared" si="47"/>
        <v>0</v>
      </c>
      <c r="BH135" s="4284">
        <f t="shared" si="48"/>
        <v>0</v>
      </c>
      <c r="BI135" s="4284">
        <f t="shared" si="49"/>
        <v>0</v>
      </c>
      <c r="BJ135" s="4284">
        <f t="shared" si="50"/>
        <v>0</v>
      </c>
      <c r="BK135" s="4284">
        <f t="shared" si="51"/>
        <v>0</v>
      </c>
      <c r="BL135" s="4284">
        <f t="shared" si="52"/>
        <v>0</v>
      </c>
      <c r="BM135" s="4284">
        <f t="shared" si="53"/>
        <v>0</v>
      </c>
      <c r="BN135" s="4284">
        <f t="shared" si="54"/>
        <v>0</v>
      </c>
      <c r="BO135" s="4284">
        <f t="shared" si="55"/>
        <v>0</v>
      </c>
      <c r="BP135" s="4284">
        <f t="shared" si="56"/>
        <v>0</v>
      </c>
      <c r="BQ135" s="4284">
        <f t="shared" si="57"/>
        <v>0</v>
      </c>
      <c r="BR135" s="4284">
        <f t="shared" si="58"/>
        <v>0</v>
      </c>
      <c r="BS135" s="4284">
        <f t="shared" si="59"/>
        <v>0</v>
      </c>
      <c r="BT135" s="4285">
        <f t="shared" si="60"/>
        <v>0</v>
      </c>
    </row>
    <row r="136" spans="1:72">
      <c r="A136" s="4278"/>
      <c r="B136" s="4279"/>
      <c r="C136" s="4279"/>
      <c r="D136" s="4280"/>
      <c r="E136" s="1188">
        <f t="shared" si="61"/>
        <v>0</v>
      </c>
      <c r="F136" s="1680"/>
      <c r="G136" s="4281">
        <f t="shared" si="36"/>
        <v>0</v>
      </c>
      <c r="H136" s="3457">
        <f t="shared" si="37"/>
        <v>0</v>
      </c>
      <c r="I136" s="4282"/>
      <c r="J136" s="4282"/>
      <c r="K136" s="4282"/>
      <c r="L136" s="4282"/>
      <c r="M136" s="4282"/>
      <c r="N136" s="4282"/>
      <c r="O136" s="4282"/>
      <c r="P136" s="4282"/>
      <c r="Q136" s="4282"/>
      <c r="R136" s="4282"/>
      <c r="S136" s="4282"/>
      <c r="T136" s="4282"/>
      <c r="U136" s="4282"/>
      <c r="V136" s="4282"/>
      <c r="W136" s="4282"/>
      <c r="X136" s="4282"/>
      <c r="Y136" s="4282"/>
      <c r="Z136" s="4282"/>
      <c r="AA136" s="4282"/>
      <c r="AB136" s="4282"/>
      <c r="AC136" s="1188">
        <f t="shared" si="38"/>
        <v>0</v>
      </c>
      <c r="AD136" s="4278"/>
      <c r="AE136" s="4278"/>
      <c r="AF136" s="4278"/>
      <c r="AG136" s="4278"/>
      <c r="AH136" s="4278"/>
      <c r="AI136" s="4278"/>
      <c r="AJ136" s="4278"/>
      <c r="AK136" s="4278"/>
      <c r="AL136" s="4278"/>
      <c r="AM136" s="4278"/>
      <c r="AN136" s="4278"/>
      <c r="AO136" s="4278"/>
      <c r="AP136" s="4278"/>
      <c r="AQ136" s="4278"/>
      <c r="AR136" s="4278"/>
      <c r="AS136" s="4278"/>
      <c r="AT136" s="4279"/>
      <c r="AU136" s="4283"/>
      <c r="AV136" s="1188">
        <f t="shared" si="62"/>
        <v>0</v>
      </c>
      <c r="AW136" s="1188">
        <f t="shared" si="63"/>
        <v>0</v>
      </c>
      <c r="AX136" s="1188">
        <f t="shared" si="64"/>
        <v>0</v>
      </c>
      <c r="AY136" s="1452">
        <f t="shared" si="39"/>
        <v>0</v>
      </c>
      <c r="AZ136" s="4284">
        <f t="shared" si="40"/>
        <v>0</v>
      </c>
      <c r="BA136" s="4284">
        <f t="shared" si="41"/>
        <v>0</v>
      </c>
      <c r="BB136" s="4284">
        <f t="shared" si="42"/>
        <v>0</v>
      </c>
      <c r="BC136" s="4284">
        <f t="shared" si="43"/>
        <v>0</v>
      </c>
      <c r="BD136" s="4284">
        <f t="shared" si="44"/>
        <v>0</v>
      </c>
      <c r="BE136" s="4284">
        <f t="shared" si="45"/>
        <v>0</v>
      </c>
      <c r="BF136" s="4284">
        <f t="shared" si="46"/>
        <v>0</v>
      </c>
      <c r="BG136" s="4284">
        <f t="shared" si="47"/>
        <v>0</v>
      </c>
      <c r="BH136" s="4284">
        <f t="shared" si="48"/>
        <v>0</v>
      </c>
      <c r="BI136" s="4284">
        <f t="shared" si="49"/>
        <v>0</v>
      </c>
      <c r="BJ136" s="4284">
        <f t="shared" si="50"/>
        <v>0</v>
      </c>
      <c r="BK136" s="4284">
        <f t="shared" si="51"/>
        <v>0</v>
      </c>
      <c r="BL136" s="4284">
        <f t="shared" si="52"/>
        <v>0</v>
      </c>
      <c r="BM136" s="4284">
        <f t="shared" si="53"/>
        <v>0</v>
      </c>
      <c r="BN136" s="4284">
        <f t="shared" si="54"/>
        <v>0</v>
      </c>
      <c r="BO136" s="4284">
        <f t="shared" si="55"/>
        <v>0</v>
      </c>
      <c r="BP136" s="4284">
        <f t="shared" si="56"/>
        <v>0</v>
      </c>
      <c r="BQ136" s="4284">
        <f t="shared" si="57"/>
        <v>0</v>
      </c>
      <c r="BR136" s="4284">
        <f t="shared" si="58"/>
        <v>0</v>
      </c>
      <c r="BS136" s="4284">
        <f t="shared" si="59"/>
        <v>0</v>
      </c>
      <c r="BT136" s="4285">
        <f t="shared" si="60"/>
        <v>0</v>
      </c>
    </row>
    <row r="137" spans="1:72">
      <c r="A137" s="4278"/>
      <c r="B137" s="4279"/>
      <c r="C137" s="4279"/>
      <c r="D137" s="4280"/>
      <c r="E137" s="1188">
        <f t="shared" si="61"/>
        <v>0</v>
      </c>
      <c r="F137" s="1680"/>
      <c r="G137" s="4281">
        <f t="shared" si="36"/>
        <v>0</v>
      </c>
      <c r="H137" s="3457">
        <f t="shared" si="37"/>
        <v>0</v>
      </c>
      <c r="I137" s="4282"/>
      <c r="J137" s="4282"/>
      <c r="K137" s="4282"/>
      <c r="L137" s="4282"/>
      <c r="M137" s="4282"/>
      <c r="N137" s="4282"/>
      <c r="O137" s="4282"/>
      <c r="P137" s="4282"/>
      <c r="Q137" s="4282"/>
      <c r="R137" s="4282"/>
      <c r="S137" s="4282"/>
      <c r="T137" s="4282"/>
      <c r="U137" s="4282"/>
      <c r="V137" s="4282"/>
      <c r="W137" s="4282"/>
      <c r="X137" s="4282"/>
      <c r="Y137" s="4282"/>
      <c r="Z137" s="4282"/>
      <c r="AA137" s="4282"/>
      <c r="AB137" s="4282"/>
      <c r="AC137" s="1188">
        <f t="shared" si="38"/>
        <v>0</v>
      </c>
      <c r="AD137" s="4278"/>
      <c r="AE137" s="4278"/>
      <c r="AF137" s="4278"/>
      <c r="AG137" s="4278"/>
      <c r="AH137" s="4278"/>
      <c r="AI137" s="4278"/>
      <c r="AJ137" s="4278"/>
      <c r="AK137" s="4278"/>
      <c r="AL137" s="4278"/>
      <c r="AM137" s="4278"/>
      <c r="AN137" s="4278"/>
      <c r="AO137" s="4278"/>
      <c r="AP137" s="4278"/>
      <c r="AQ137" s="4278"/>
      <c r="AR137" s="4278"/>
      <c r="AS137" s="4278"/>
      <c r="AT137" s="4279"/>
      <c r="AU137" s="4283"/>
      <c r="AV137" s="1188">
        <f t="shared" si="62"/>
        <v>0</v>
      </c>
      <c r="AW137" s="1188">
        <f t="shared" si="63"/>
        <v>0</v>
      </c>
      <c r="AX137" s="1188">
        <f t="shared" si="64"/>
        <v>0</v>
      </c>
      <c r="AY137" s="1452">
        <f t="shared" si="39"/>
        <v>0</v>
      </c>
      <c r="AZ137" s="4284">
        <f t="shared" si="40"/>
        <v>0</v>
      </c>
      <c r="BA137" s="4284">
        <f t="shared" si="41"/>
        <v>0</v>
      </c>
      <c r="BB137" s="4284">
        <f t="shared" si="42"/>
        <v>0</v>
      </c>
      <c r="BC137" s="4284">
        <f t="shared" si="43"/>
        <v>0</v>
      </c>
      <c r="BD137" s="4284">
        <f t="shared" si="44"/>
        <v>0</v>
      </c>
      <c r="BE137" s="4284">
        <f t="shared" si="45"/>
        <v>0</v>
      </c>
      <c r="BF137" s="4284">
        <f t="shared" si="46"/>
        <v>0</v>
      </c>
      <c r="BG137" s="4284">
        <f t="shared" si="47"/>
        <v>0</v>
      </c>
      <c r="BH137" s="4284">
        <f t="shared" si="48"/>
        <v>0</v>
      </c>
      <c r="BI137" s="4284">
        <f t="shared" si="49"/>
        <v>0</v>
      </c>
      <c r="BJ137" s="4284">
        <f t="shared" si="50"/>
        <v>0</v>
      </c>
      <c r="BK137" s="4284">
        <f t="shared" si="51"/>
        <v>0</v>
      </c>
      <c r="BL137" s="4284">
        <f t="shared" si="52"/>
        <v>0</v>
      </c>
      <c r="BM137" s="4284">
        <f t="shared" si="53"/>
        <v>0</v>
      </c>
      <c r="BN137" s="4284">
        <f t="shared" si="54"/>
        <v>0</v>
      </c>
      <c r="BO137" s="4284">
        <f t="shared" si="55"/>
        <v>0</v>
      </c>
      <c r="BP137" s="4284">
        <f t="shared" si="56"/>
        <v>0</v>
      </c>
      <c r="BQ137" s="4284">
        <f t="shared" si="57"/>
        <v>0</v>
      </c>
      <c r="BR137" s="4284">
        <f t="shared" si="58"/>
        <v>0</v>
      </c>
      <c r="BS137" s="4284">
        <f t="shared" si="59"/>
        <v>0</v>
      </c>
      <c r="BT137" s="4285">
        <f t="shared" si="60"/>
        <v>0</v>
      </c>
    </row>
    <row r="138" spans="1:72">
      <c r="A138" s="4278"/>
      <c r="B138" s="4279"/>
      <c r="C138" s="4279"/>
      <c r="D138" s="4280"/>
      <c r="E138" s="1188">
        <f t="shared" si="61"/>
        <v>0</v>
      </c>
      <c r="F138" s="1680"/>
      <c r="G138" s="4281">
        <f t="shared" si="36"/>
        <v>0</v>
      </c>
      <c r="H138" s="3457">
        <f t="shared" si="37"/>
        <v>0</v>
      </c>
      <c r="I138" s="4282"/>
      <c r="J138" s="4282"/>
      <c r="K138" s="4282"/>
      <c r="L138" s="4282"/>
      <c r="M138" s="4282"/>
      <c r="N138" s="4282"/>
      <c r="O138" s="4282"/>
      <c r="P138" s="4282"/>
      <c r="Q138" s="4282"/>
      <c r="R138" s="4282"/>
      <c r="S138" s="4282"/>
      <c r="T138" s="4282"/>
      <c r="U138" s="4282"/>
      <c r="V138" s="4282"/>
      <c r="W138" s="4282"/>
      <c r="X138" s="4282"/>
      <c r="Y138" s="4282"/>
      <c r="Z138" s="4282"/>
      <c r="AA138" s="4282"/>
      <c r="AB138" s="4282"/>
      <c r="AC138" s="1188">
        <f t="shared" si="38"/>
        <v>0</v>
      </c>
      <c r="AD138" s="4278"/>
      <c r="AE138" s="4278"/>
      <c r="AF138" s="4278"/>
      <c r="AG138" s="4278"/>
      <c r="AH138" s="4278"/>
      <c r="AI138" s="4278"/>
      <c r="AJ138" s="4278"/>
      <c r="AK138" s="4278"/>
      <c r="AL138" s="4278"/>
      <c r="AM138" s="4278"/>
      <c r="AN138" s="4278"/>
      <c r="AO138" s="4278"/>
      <c r="AP138" s="4278"/>
      <c r="AQ138" s="4278"/>
      <c r="AR138" s="4278"/>
      <c r="AS138" s="4278"/>
      <c r="AT138" s="4279"/>
      <c r="AU138" s="4283"/>
      <c r="AV138" s="1188">
        <f t="shared" si="62"/>
        <v>0</v>
      </c>
      <c r="AW138" s="1188">
        <f t="shared" si="63"/>
        <v>0</v>
      </c>
      <c r="AX138" s="1188">
        <f t="shared" si="64"/>
        <v>0</v>
      </c>
      <c r="AY138" s="1452">
        <f t="shared" si="39"/>
        <v>0</v>
      </c>
      <c r="AZ138" s="4284">
        <f t="shared" si="40"/>
        <v>0</v>
      </c>
      <c r="BA138" s="4284">
        <f t="shared" si="41"/>
        <v>0</v>
      </c>
      <c r="BB138" s="4284">
        <f t="shared" si="42"/>
        <v>0</v>
      </c>
      <c r="BC138" s="4284">
        <f t="shared" si="43"/>
        <v>0</v>
      </c>
      <c r="BD138" s="4284">
        <f t="shared" si="44"/>
        <v>0</v>
      </c>
      <c r="BE138" s="4284">
        <f t="shared" si="45"/>
        <v>0</v>
      </c>
      <c r="BF138" s="4284">
        <f t="shared" si="46"/>
        <v>0</v>
      </c>
      <c r="BG138" s="4284">
        <f t="shared" si="47"/>
        <v>0</v>
      </c>
      <c r="BH138" s="4284">
        <f t="shared" si="48"/>
        <v>0</v>
      </c>
      <c r="BI138" s="4284">
        <f t="shared" si="49"/>
        <v>0</v>
      </c>
      <c r="BJ138" s="4284">
        <f t="shared" si="50"/>
        <v>0</v>
      </c>
      <c r="BK138" s="4284">
        <f t="shared" si="51"/>
        <v>0</v>
      </c>
      <c r="BL138" s="4284">
        <f t="shared" si="52"/>
        <v>0</v>
      </c>
      <c r="BM138" s="4284">
        <f t="shared" si="53"/>
        <v>0</v>
      </c>
      <c r="BN138" s="4284">
        <f t="shared" si="54"/>
        <v>0</v>
      </c>
      <c r="BO138" s="4284">
        <f t="shared" si="55"/>
        <v>0</v>
      </c>
      <c r="BP138" s="4284">
        <f t="shared" si="56"/>
        <v>0</v>
      </c>
      <c r="BQ138" s="4284">
        <f t="shared" si="57"/>
        <v>0</v>
      </c>
      <c r="BR138" s="4284">
        <f t="shared" si="58"/>
        <v>0</v>
      </c>
      <c r="BS138" s="4284">
        <f t="shared" si="59"/>
        <v>0</v>
      </c>
      <c r="BT138" s="4285">
        <f t="shared" si="60"/>
        <v>0</v>
      </c>
    </row>
    <row r="139" spans="1:72">
      <c r="A139" s="4278"/>
      <c r="B139" s="4279"/>
      <c r="C139" s="4279"/>
      <c r="D139" s="4280"/>
      <c r="E139" s="1188">
        <f t="shared" si="61"/>
        <v>0</v>
      </c>
      <c r="F139" s="1680"/>
      <c r="G139" s="4281">
        <f t="shared" si="36"/>
        <v>0</v>
      </c>
      <c r="H139" s="3457">
        <f t="shared" si="37"/>
        <v>0</v>
      </c>
      <c r="I139" s="4282"/>
      <c r="J139" s="4282"/>
      <c r="K139" s="4282"/>
      <c r="L139" s="4282"/>
      <c r="M139" s="4282"/>
      <c r="N139" s="4282"/>
      <c r="O139" s="4282"/>
      <c r="P139" s="4282"/>
      <c r="Q139" s="4282"/>
      <c r="R139" s="4282"/>
      <c r="S139" s="4282"/>
      <c r="T139" s="4282"/>
      <c r="U139" s="4282"/>
      <c r="V139" s="4282"/>
      <c r="W139" s="4282"/>
      <c r="X139" s="4282"/>
      <c r="Y139" s="4282"/>
      <c r="Z139" s="4282"/>
      <c r="AA139" s="4282"/>
      <c r="AB139" s="4282"/>
      <c r="AC139" s="1188">
        <f t="shared" si="38"/>
        <v>0</v>
      </c>
      <c r="AD139" s="4278"/>
      <c r="AE139" s="4278"/>
      <c r="AF139" s="4278"/>
      <c r="AG139" s="4278"/>
      <c r="AH139" s="4278"/>
      <c r="AI139" s="4278"/>
      <c r="AJ139" s="4278"/>
      <c r="AK139" s="4278"/>
      <c r="AL139" s="4278"/>
      <c r="AM139" s="4278"/>
      <c r="AN139" s="4278"/>
      <c r="AO139" s="4278"/>
      <c r="AP139" s="4278"/>
      <c r="AQ139" s="4278"/>
      <c r="AR139" s="4278"/>
      <c r="AS139" s="4278"/>
      <c r="AT139" s="4279"/>
      <c r="AU139" s="4283"/>
      <c r="AV139" s="1188">
        <f t="shared" si="62"/>
        <v>0</v>
      </c>
      <c r="AW139" s="1188">
        <f t="shared" si="63"/>
        <v>0</v>
      </c>
      <c r="AX139" s="1188">
        <f t="shared" si="64"/>
        <v>0</v>
      </c>
      <c r="AY139" s="1452">
        <f t="shared" si="39"/>
        <v>0</v>
      </c>
      <c r="AZ139" s="4284">
        <f t="shared" si="40"/>
        <v>0</v>
      </c>
      <c r="BA139" s="4284">
        <f t="shared" si="41"/>
        <v>0</v>
      </c>
      <c r="BB139" s="4284">
        <f t="shared" si="42"/>
        <v>0</v>
      </c>
      <c r="BC139" s="4284">
        <f t="shared" si="43"/>
        <v>0</v>
      </c>
      <c r="BD139" s="4284">
        <f t="shared" si="44"/>
        <v>0</v>
      </c>
      <c r="BE139" s="4284">
        <f t="shared" si="45"/>
        <v>0</v>
      </c>
      <c r="BF139" s="4284">
        <f t="shared" si="46"/>
        <v>0</v>
      </c>
      <c r="BG139" s="4284">
        <f t="shared" si="47"/>
        <v>0</v>
      </c>
      <c r="BH139" s="4284">
        <f t="shared" si="48"/>
        <v>0</v>
      </c>
      <c r="BI139" s="4284">
        <f t="shared" si="49"/>
        <v>0</v>
      </c>
      <c r="BJ139" s="4284">
        <f t="shared" si="50"/>
        <v>0</v>
      </c>
      <c r="BK139" s="4284">
        <f t="shared" si="51"/>
        <v>0</v>
      </c>
      <c r="BL139" s="4284">
        <f t="shared" si="52"/>
        <v>0</v>
      </c>
      <c r="BM139" s="4284">
        <f t="shared" si="53"/>
        <v>0</v>
      </c>
      <c r="BN139" s="4284">
        <f t="shared" si="54"/>
        <v>0</v>
      </c>
      <c r="BO139" s="4284">
        <f t="shared" si="55"/>
        <v>0</v>
      </c>
      <c r="BP139" s="4284">
        <f t="shared" si="56"/>
        <v>0</v>
      </c>
      <c r="BQ139" s="4284">
        <f t="shared" si="57"/>
        <v>0</v>
      </c>
      <c r="BR139" s="4284">
        <f t="shared" si="58"/>
        <v>0</v>
      </c>
      <c r="BS139" s="4284">
        <f t="shared" si="59"/>
        <v>0</v>
      </c>
      <c r="BT139" s="4285">
        <f t="shared" si="60"/>
        <v>0</v>
      </c>
    </row>
    <row r="140" spans="1:72">
      <c r="A140" s="4278"/>
      <c r="B140" s="4279"/>
      <c r="C140" s="4279"/>
      <c r="D140" s="4280"/>
      <c r="E140" s="1188">
        <f t="shared" si="61"/>
        <v>0</v>
      </c>
      <c r="F140" s="1680"/>
      <c r="G140" s="4281">
        <f t="shared" si="36"/>
        <v>0</v>
      </c>
      <c r="H140" s="3457">
        <f t="shared" si="37"/>
        <v>0</v>
      </c>
      <c r="I140" s="4282"/>
      <c r="J140" s="4282"/>
      <c r="K140" s="4282"/>
      <c r="L140" s="4282"/>
      <c r="M140" s="4282"/>
      <c r="N140" s="4282"/>
      <c r="O140" s="4282"/>
      <c r="P140" s="4282"/>
      <c r="Q140" s="4282"/>
      <c r="R140" s="4282"/>
      <c r="S140" s="4282"/>
      <c r="T140" s="4282"/>
      <c r="U140" s="4282"/>
      <c r="V140" s="4282"/>
      <c r="W140" s="4282"/>
      <c r="X140" s="4282"/>
      <c r="Y140" s="4282"/>
      <c r="Z140" s="4282"/>
      <c r="AA140" s="4282"/>
      <c r="AB140" s="4282"/>
      <c r="AC140" s="1188">
        <f t="shared" si="38"/>
        <v>0</v>
      </c>
      <c r="AD140" s="4278"/>
      <c r="AE140" s="4278"/>
      <c r="AF140" s="4278"/>
      <c r="AG140" s="4278"/>
      <c r="AH140" s="4278"/>
      <c r="AI140" s="4278"/>
      <c r="AJ140" s="4278"/>
      <c r="AK140" s="4278"/>
      <c r="AL140" s="4278"/>
      <c r="AM140" s="4278"/>
      <c r="AN140" s="4278"/>
      <c r="AO140" s="4278"/>
      <c r="AP140" s="4278"/>
      <c r="AQ140" s="4278"/>
      <c r="AR140" s="4278"/>
      <c r="AS140" s="4278"/>
      <c r="AT140" s="4279"/>
      <c r="AU140" s="4283"/>
      <c r="AV140" s="1188">
        <f t="shared" si="62"/>
        <v>0</v>
      </c>
      <c r="AW140" s="1188">
        <f t="shared" si="63"/>
        <v>0</v>
      </c>
      <c r="AX140" s="1188">
        <f t="shared" si="64"/>
        <v>0</v>
      </c>
      <c r="AY140" s="1452">
        <f t="shared" si="39"/>
        <v>0</v>
      </c>
      <c r="AZ140" s="4284">
        <f t="shared" si="40"/>
        <v>0</v>
      </c>
      <c r="BA140" s="4284">
        <f t="shared" si="41"/>
        <v>0</v>
      </c>
      <c r="BB140" s="4284">
        <f t="shared" si="42"/>
        <v>0</v>
      </c>
      <c r="BC140" s="4284">
        <f t="shared" si="43"/>
        <v>0</v>
      </c>
      <c r="BD140" s="4284">
        <f t="shared" si="44"/>
        <v>0</v>
      </c>
      <c r="BE140" s="4284">
        <f t="shared" si="45"/>
        <v>0</v>
      </c>
      <c r="BF140" s="4284">
        <f t="shared" si="46"/>
        <v>0</v>
      </c>
      <c r="BG140" s="4284">
        <f t="shared" si="47"/>
        <v>0</v>
      </c>
      <c r="BH140" s="4284">
        <f t="shared" si="48"/>
        <v>0</v>
      </c>
      <c r="BI140" s="4284">
        <f t="shared" si="49"/>
        <v>0</v>
      </c>
      <c r="BJ140" s="4284">
        <f t="shared" si="50"/>
        <v>0</v>
      </c>
      <c r="BK140" s="4284">
        <f t="shared" si="51"/>
        <v>0</v>
      </c>
      <c r="BL140" s="4284">
        <f t="shared" si="52"/>
        <v>0</v>
      </c>
      <c r="BM140" s="4284">
        <f t="shared" si="53"/>
        <v>0</v>
      </c>
      <c r="BN140" s="4284">
        <f t="shared" si="54"/>
        <v>0</v>
      </c>
      <c r="BO140" s="4284">
        <f t="shared" si="55"/>
        <v>0</v>
      </c>
      <c r="BP140" s="4284">
        <f t="shared" si="56"/>
        <v>0</v>
      </c>
      <c r="BQ140" s="4284">
        <f t="shared" si="57"/>
        <v>0</v>
      </c>
      <c r="BR140" s="4284">
        <f t="shared" si="58"/>
        <v>0</v>
      </c>
      <c r="BS140" s="4284">
        <f t="shared" si="59"/>
        <v>0</v>
      </c>
      <c r="BT140" s="4285">
        <f t="shared" si="60"/>
        <v>0</v>
      </c>
    </row>
    <row r="141" spans="1:72">
      <c r="A141" s="4278"/>
      <c r="B141" s="4279"/>
      <c r="C141" s="4279"/>
      <c r="D141" s="4280"/>
      <c r="E141" s="1188">
        <f t="shared" si="61"/>
        <v>0</v>
      </c>
      <c r="F141" s="1680"/>
      <c r="G141" s="4281">
        <f t="shared" si="36"/>
        <v>0</v>
      </c>
      <c r="H141" s="3457">
        <f t="shared" si="37"/>
        <v>0</v>
      </c>
      <c r="I141" s="4282"/>
      <c r="J141" s="4282"/>
      <c r="K141" s="4282"/>
      <c r="L141" s="4282"/>
      <c r="M141" s="4282"/>
      <c r="N141" s="4282"/>
      <c r="O141" s="4282"/>
      <c r="P141" s="4282"/>
      <c r="Q141" s="4282"/>
      <c r="R141" s="4282"/>
      <c r="S141" s="4282"/>
      <c r="T141" s="4282"/>
      <c r="U141" s="4282"/>
      <c r="V141" s="4282"/>
      <c r="W141" s="4282"/>
      <c r="X141" s="4282"/>
      <c r="Y141" s="4282"/>
      <c r="Z141" s="4282"/>
      <c r="AA141" s="4282"/>
      <c r="AB141" s="4282"/>
      <c r="AC141" s="1188">
        <f t="shared" si="38"/>
        <v>0</v>
      </c>
      <c r="AD141" s="4278"/>
      <c r="AE141" s="4278"/>
      <c r="AF141" s="4278"/>
      <c r="AG141" s="4278"/>
      <c r="AH141" s="4278"/>
      <c r="AI141" s="4278"/>
      <c r="AJ141" s="4278"/>
      <c r="AK141" s="4278"/>
      <c r="AL141" s="4278"/>
      <c r="AM141" s="4278"/>
      <c r="AN141" s="4278"/>
      <c r="AO141" s="4278"/>
      <c r="AP141" s="4278"/>
      <c r="AQ141" s="4278"/>
      <c r="AR141" s="4278"/>
      <c r="AS141" s="4278"/>
      <c r="AT141" s="4279"/>
      <c r="AU141" s="4283"/>
      <c r="AV141" s="1188">
        <f t="shared" si="62"/>
        <v>0</v>
      </c>
      <c r="AW141" s="1188">
        <f t="shared" si="63"/>
        <v>0</v>
      </c>
      <c r="AX141" s="1188">
        <f t="shared" si="64"/>
        <v>0</v>
      </c>
      <c r="AY141" s="1452">
        <f t="shared" si="39"/>
        <v>0</v>
      </c>
      <c r="AZ141" s="4284">
        <f t="shared" si="40"/>
        <v>0</v>
      </c>
      <c r="BA141" s="4284">
        <f t="shared" si="41"/>
        <v>0</v>
      </c>
      <c r="BB141" s="4284">
        <f t="shared" si="42"/>
        <v>0</v>
      </c>
      <c r="BC141" s="4284">
        <f t="shared" si="43"/>
        <v>0</v>
      </c>
      <c r="BD141" s="4284">
        <f t="shared" si="44"/>
        <v>0</v>
      </c>
      <c r="BE141" s="4284">
        <f t="shared" si="45"/>
        <v>0</v>
      </c>
      <c r="BF141" s="4284">
        <f t="shared" si="46"/>
        <v>0</v>
      </c>
      <c r="BG141" s="4284">
        <f t="shared" si="47"/>
        <v>0</v>
      </c>
      <c r="BH141" s="4284">
        <f t="shared" si="48"/>
        <v>0</v>
      </c>
      <c r="BI141" s="4284">
        <f t="shared" si="49"/>
        <v>0</v>
      </c>
      <c r="BJ141" s="4284">
        <f t="shared" si="50"/>
        <v>0</v>
      </c>
      <c r="BK141" s="4284">
        <f t="shared" si="51"/>
        <v>0</v>
      </c>
      <c r="BL141" s="4284">
        <f t="shared" si="52"/>
        <v>0</v>
      </c>
      <c r="BM141" s="4284">
        <f t="shared" si="53"/>
        <v>0</v>
      </c>
      <c r="BN141" s="4284">
        <f t="shared" si="54"/>
        <v>0</v>
      </c>
      <c r="BO141" s="4284">
        <f t="shared" si="55"/>
        <v>0</v>
      </c>
      <c r="BP141" s="4284">
        <f t="shared" si="56"/>
        <v>0</v>
      </c>
      <c r="BQ141" s="4284">
        <f t="shared" si="57"/>
        <v>0</v>
      </c>
      <c r="BR141" s="4284">
        <f t="shared" si="58"/>
        <v>0</v>
      </c>
      <c r="BS141" s="4284">
        <f t="shared" si="59"/>
        <v>0</v>
      </c>
      <c r="BT141" s="4285">
        <f t="shared" si="60"/>
        <v>0</v>
      </c>
    </row>
    <row r="142" spans="1:72">
      <c r="A142" s="4278"/>
      <c r="B142" s="4279"/>
      <c r="C142" s="4279"/>
      <c r="D142" s="4280"/>
      <c r="E142" s="1188">
        <f t="shared" si="61"/>
        <v>0</v>
      </c>
      <c r="F142" s="1680"/>
      <c r="G142" s="4281">
        <f t="shared" ref="G142:G173" si="65">H142+AC142+AT142</f>
        <v>0</v>
      </c>
      <c r="H142" s="3457">
        <f t="shared" ref="H142:H173" si="66">SUMIF(I$12:AB$12,"总值",I142:AB142)</f>
        <v>0</v>
      </c>
      <c r="I142" s="4282"/>
      <c r="J142" s="4282"/>
      <c r="K142" s="4282"/>
      <c r="L142" s="4282"/>
      <c r="M142" s="4282"/>
      <c r="N142" s="4282"/>
      <c r="O142" s="4282"/>
      <c r="P142" s="4282"/>
      <c r="Q142" s="4282"/>
      <c r="R142" s="4282"/>
      <c r="S142" s="4282"/>
      <c r="T142" s="4282"/>
      <c r="U142" s="4282"/>
      <c r="V142" s="4282"/>
      <c r="W142" s="4282"/>
      <c r="X142" s="4282"/>
      <c r="Y142" s="4282"/>
      <c r="Z142" s="4282"/>
      <c r="AA142" s="4282"/>
      <c r="AB142" s="4282"/>
      <c r="AC142" s="1188">
        <f t="shared" ref="AC142:AC173" si="67">SUMIF(AD$12:AS$12,"总值",AD142:AS142)</f>
        <v>0</v>
      </c>
      <c r="AD142" s="4278"/>
      <c r="AE142" s="4278"/>
      <c r="AF142" s="4278"/>
      <c r="AG142" s="4278"/>
      <c r="AH142" s="4278"/>
      <c r="AI142" s="4278"/>
      <c r="AJ142" s="4278"/>
      <c r="AK142" s="4278"/>
      <c r="AL142" s="4278"/>
      <c r="AM142" s="4278"/>
      <c r="AN142" s="4278"/>
      <c r="AO142" s="4278"/>
      <c r="AP142" s="4278"/>
      <c r="AQ142" s="4278"/>
      <c r="AR142" s="4278"/>
      <c r="AS142" s="4278"/>
      <c r="AT142" s="4279"/>
      <c r="AU142" s="4283"/>
      <c r="AV142" s="1188">
        <f t="shared" si="62"/>
        <v>0</v>
      </c>
      <c r="AW142" s="1188">
        <f t="shared" si="63"/>
        <v>0</v>
      </c>
      <c r="AX142" s="1188">
        <f t="shared" si="64"/>
        <v>0</v>
      </c>
      <c r="AY142" s="1452">
        <f t="shared" ref="AY142:AY173" si="68">ROUND($AY$6*AZ142/$AZ$5,2)</f>
        <v>0</v>
      </c>
      <c r="AZ142" s="4284">
        <f t="shared" ref="AZ142:AZ173" si="69">BA142+BL142</f>
        <v>0</v>
      </c>
      <c r="BA142" s="4284">
        <f t="shared" ref="BA142:BA173" si="70">SUM(BB142:BK142)</f>
        <v>0</v>
      </c>
      <c r="BB142" s="4284">
        <f t="shared" ref="BB142:BB173" si="71">IF($D142="是",I142-J142,0)</f>
        <v>0</v>
      </c>
      <c r="BC142" s="4284">
        <f t="shared" ref="BC142:BC173" si="72">IF($D142="是",K142-L142,0)</f>
        <v>0</v>
      </c>
      <c r="BD142" s="4284">
        <f t="shared" ref="BD142:BD173" si="73">IF($D142="是",M142-N142,0)</f>
        <v>0</v>
      </c>
      <c r="BE142" s="4284">
        <f t="shared" ref="BE142:BE173" si="74">IF($D142="是",O142-P142,0)</f>
        <v>0</v>
      </c>
      <c r="BF142" s="4284">
        <f t="shared" ref="BF142:BF173" si="75">IF($D142="是",Q142-R142,0)</f>
        <v>0</v>
      </c>
      <c r="BG142" s="4284">
        <f t="shared" ref="BG142:BG173" si="76">IF($D142="是",S142-T142,0)</f>
        <v>0</v>
      </c>
      <c r="BH142" s="4284">
        <f t="shared" ref="BH142:BH173" si="77">IF($D142="是",U142-V142,0)</f>
        <v>0</v>
      </c>
      <c r="BI142" s="4284">
        <f t="shared" ref="BI142:BI173" si="78">IF($D142="是",W142-X142,0)</f>
        <v>0</v>
      </c>
      <c r="BJ142" s="4284">
        <f t="shared" ref="BJ142:BJ173" si="79">IF($D142="是",Y142-Z142,0)</f>
        <v>0</v>
      </c>
      <c r="BK142" s="4284">
        <f t="shared" ref="BK142:BK173" si="80">IF($D142="是",AA142-AB142,0)</f>
        <v>0</v>
      </c>
      <c r="BL142" s="4284">
        <f t="shared" ref="BL142:BL173" si="81">SUM(BM142:BT142)</f>
        <v>0</v>
      </c>
      <c r="BM142" s="4284">
        <f t="shared" ref="BM142:BM173" si="82">IF($D142="是",AD142-AE142,0)</f>
        <v>0</v>
      </c>
      <c r="BN142" s="4284">
        <f t="shared" ref="BN142:BN173" si="83">IF($D142="是",AF142-AG142,0)</f>
        <v>0</v>
      </c>
      <c r="BO142" s="4284">
        <f t="shared" ref="BO142:BO173" si="84">IF($D142="是",AH142-AI142,0)</f>
        <v>0</v>
      </c>
      <c r="BP142" s="4284">
        <f t="shared" ref="BP142:BP173" si="85">IF($D142="是",AJ142-AK142,0)</f>
        <v>0</v>
      </c>
      <c r="BQ142" s="4284">
        <f t="shared" ref="BQ142:BQ173" si="86">IF($D142="是",AL142-AM142,0)</f>
        <v>0</v>
      </c>
      <c r="BR142" s="4284">
        <f t="shared" ref="BR142:BR173" si="87">IF($D142="是",AN142-AO142,0)</f>
        <v>0</v>
      </c>
      <c r="BS142" s="4284">
        <f t="shared" ref="BS142:BS173" si="88">IF($D142="是",AP142-AQ142,0)</f>
        <v>0</v>
      </c>
      <c r="BT142" s="4285">
        <f t="shared" ref="BT142:BT173" si="89">IF($D142="是",AR142-AS142,0)</f>
        <v>0</v>
      </c>
    </row>
    <row r="143" spans="1:72">
      <c r="A143" s="4278"/>
      <c r="B143" s="4279"/>
      <c r="C143" s="4279"/>
      <c r="D143" s="4280"/>
      <c r="E143" s="1188">
        <f t="shared" si="61"/>
        <v>0</v>
      </c>
      <c r="F143" s="1680"/>
      <c r="G143" s="4281">
        <f t="shared" si="65"/>
        <v>0</v>
      </c>
      <c r="H143" s="3457">
        <f t="shared" si="66"/>
        <v>0</v>
      </c>
      <c r="I143" s="4282"/>
      <c r="J143" s="4282"/>
      <c r="K143" s="4282"/>
      <c r="L143" s="4282"/>
      <c r="M143" s="4282"/>
      <c r="N143" s="4282"/>
      <c r="O143" s="4282"/>
      <c r="P143" s="4282"/>
      <c r="Q143" s="4282"/>
      <c r="R143" s="4282"/>
      <c r="S143" s="4282"/>
      <c r="T143" s="4282"/>
      <c r="U143" s="4282"/>
      <c r="V143" s="4282"/>
      <c r="W143" s="4282"/>
      <c r="X143" s="4282"/>
      <c r="Y143" s="4282"/>
      <c r="Z143" s="4282"/>
      <c r="AA143" s="4282"/>
      <c r="AB143" s="4282"/>
      <c r="AC143" s="1188">
        <f t="shared" si="67"/>
        <v>0</v>
      </c>
      <c r="AD143" s="4278"/>
      <c r="AE143" s="4278"/>
      <c r="AF143" s="4278"/>
      <c r="AG143" s="4278"/>
      <c r="AH143" s="4278"/>
      <c r="AI143" s="4278"/>
      <c r="AJ143" s="4278"/>
      <c r="AK143" s="4278"/>
      <c r="AL143" s="4278"/>
      <c r="AM143" s="4278"/>
      <c r="AN143" s="4278"/>
      <c r="AO143" s="4278"/>
      <c r="AP143" s="4278"/>
      <c r="AQ143" s="4278"/>
      <c r="AR143" s="4278"/>
      <c r="AS143" s="4278"/>
      <c r="AT143" s="4279"/>
      <c r="AU143" s="4283"/>
      <c r="AV143" s="1188">
        <f t="shared" si="62"/>
        <v>0</v>
      </c>
      <c r="AW143" s="1188">
        <f t="shared" si="63"/>
        <v>0</v>
      </c>
      <c r="AX143" s="1188">
        <f t="shared" si="64"/>
        <v>0</v>
      </c>
      <c r="AY143" s="1452">
        <f t="shared" si="68"/>
        <v>0</v>
      </c>
      <c r="AZ143" s="4284">
        <f t="shared" si="69"/>
        <v>0</v>
      </c>
      <c r="BA143" s="4284">
        <f t="shared" si="70"/>
        <v>0</v>
      </c>
      <c r="BB143" s="4284">
        <f t="shared" si="71"/>
        <v>0</v>
      </c>
      <c r="BC143" s="4284">
        <f t="shared" si="72"/>
        <v>0</v>
      </c>
      <c r="BD143" s="4284">
        <f t="shared" si="73"/>
        <v>0</v>
      </c>
      <c r="BE143" s="4284">
        <f t="shared" si="74"/>
        <v>0</v>
      </c>
      <c r="BF143" s="4284">
        <f t="shared" si="75"/>
        <v>0</v>
      </c>
      <c r="BG143" s="4284">
        <f t="shared" si="76"/>
        <v>0</v>
      </c>
      <c r="BH143" s="4284">
        <f t="shared" si="77"/>
        <v>0</v>
      </c>
      <c r="BI143" s="4284">
        <f t="shared" si="78"/>
        <v>0</v>
      </c>
      <c r="BJ143" s="4284">
        <f t="shared" si="79"/>
        <v>0</v>
      </c>
      <c r="BK143" s="4284">
        <f t="shared" si="80"/>
        <v>0</v>
      </c>
      <c r="BL143" s="4284">
        <f t="shared" si="81"/>
        <v>0</v>
      </c>
      <c r="BM143" s="4284">
        <f t="shared" si="82"/>
        <v>0</v>
      </c>
      <c r="BN143" s="4284">
        <f t="shared" si="83"/>
        <v>0</v>
      </c>
      <c r="BO143" s="4284">
        <f t="shared" si="84"/>
        <v>0</v>
      </c>
      <c r="BP143" s="4284">
        <f t="shared" si="85"/>
        <v>0</v>
      </c>
      <c r="BQ143" s="4284">
        <f t="shared" si="86"/>
        <v>0</v>
      </c>
      <c r="BR143" s="4284">
        <f t="shared" si="87"/>
        <v>0</v>
      </c>
      <c r="BS143" s="4284">
        <f t="shared" si="88"/>
        <v>0</v>
      </c>
      <c r="BT143" s="4285">
        <f t="shared" si="89"/>
        <v>0</v>
      </c>
    </row>
    <row r="144" spans="1:72">
      <c r="A144" s="4278"/>
      <c r="B144" s="4279"/>
      <c r="C144" s="4279"/>
      <c r="D144" s="4280"/>
      <c r="E144" s="1188">
        <f t="shared" si="61"/>
        <v>0</v>
      </c>
      <c r="F144" s="1680"/>
      <c r="G144" s="4281">
        <f t="shared" si="65"/>
        <v>0</v>
      </c>
      <c r="H144" s="3457">
        <f t="shared" si="66"/>
        <v>0</v>
      </c>
      <c r="I144" s="4282"/>
      <c r="J144" s="4282"/>
      <c r="K144" s="4282"/>
      <c r="L144" s="4282"/>
      <c r="M144" s="4282"/>
      <c r="N144" s="4282"/>
      <c r="O144" s="4282"/>
      <c r="P144" s="4282"/>
      <c r="Q144" s="4282"/>
      <c r="R144" s="4282"/>
      <c r="S144" s="4282"/>
      <c r="T144" s="4282"/>
      <c r="U144" s="4282"/>
      <c r="V144" s="4282"/>
      <c r="W144" s="4282"/>
      <c r="X144" s="4282"/>
      <c r="Y144" s="4282"/>
      <c r="Z144" s="4282"/>
      <c r="AA144" s="4282"/>
      <c r="AB144" s="4282"/>
      <c r="AC144" s="1188">
        <f t="shared" si="67"/>
        <v>0</v>
      </c>
      <c r="AD144" s="4278"/>
      <c r="AE144" s="4278"/>
      <c r="AF144" s="4278"/>
      <c r="AG144" s="4278"/>
      <c r="AH144" s="4278"/>
      <c r="AI144" s="4278"/>
      <c r="AJ144" s="4278"/>
      <c r="AK144" s="4278"/>
      <c r="AL144" s="4278"/>
      <c r="AM144" s="4278"/>
      <c r="AN144" s="4278"/>
      <c r="AO144" s="4278"/>
      <c r="AP144" s="4278"/>
      <c r="AQ144" s="4278"/>
      <c r="AR144" s="4278"/>
      <c r="AS144" s="4278"/>
      <c r="AT144" s="4279"/>
      <c r="AU144" s="4283"/>
      <c r="AV144" s="1188">
        <f t="shared" si="62"/>
        <v>0</v>
      </c>
      <c r="AW144" s="1188">
        <f t="shared" si="63"/>
        <v>0</v>
      </c>
      <c r="AX144" s="1188">
        <f t="shared" si="64"/>
        <v>0</v>
      </c>
      <c r="AY144" s="1452">
        <f t="shared" si="68"/>
        <v>0</v>
      </c>
      <c r="AZ144" s="4284">
        <f t="shared" si="69"/>
        <v>0</v>
      </c>
      <c r="BA144" s="4284">
        <f t="shared" si="70"/>
        <v>0</v>
      </c>
      <c r="BB144" s="4284">
        <f t="shared" si="71"/>
        <v>0</v>
      </c>
      <c r="BC144" s="4284">
        <f t="shared" si="72"/>
        <v>0</v>
      </c>
      <c r="BD144" s="4284">
        <f t="shared" si="73"/>
        <v>0</v>
      </c>
      <c r="BE144" s="4284">
        <f t="shared" si="74"/>
        <v>0</v>
      </c>
      <c r="BF144" s="4284">
        <f t="shared" si="75"/>
        <v>0</v>
      </c>
      <c r="BG144" s="4284">
        <f t="shared" si="76"/>
        <v>0</v>
      </c>
      <c r="BH144" s="4284">
        <f t="shared" si="77"/>
        <v>0</v>
      </c>
      <c r="BI144" s="4284">
        <f t="shared" si="78"/>
        <v>0</v>
      </c>
      <c r="BJ144" s="4284">
        <f t="shared" si="79"/>
        <v>0</v>
      </c>
      <c r="BK144" s="4284">
        <f t="shared" si="80"/>
        <v>0</v>
      </c>
      <c r="BL144" s="4284">
        <f t="shared" si="81"/>
        <v>0</v>
      </c>
      <c r="BM144" s="4284">
        <f t="shared" si="82"/>
        <v>0</v>
      </c>
      <c r="BN144" s="4284">
        <f t="shared" si="83"/>
        <v>0</v>
      </c>
      <c r="BO144" s="4284">
        <f t="shared" si="84"/>
        <v>0</v>
      </c>
      <c r="BP144" s="4284">
        <f t="shared" si="85"/>
        <v>0</v>
      </c>
      <c r="BQ144" s="4284">
        <f t="shared" si="86"/>
        <v>0</v>
      </c>
      <c r="BR144" s="4284">
        <f t="shared" si="87"/>
        <v>0</v>
      </c>
      <c r="BS144" s="4284">
        <f t="shared" si="88"/>
        <v>0</v>
      </c>
      <c r="BT144" s="4285">
        <f t="shared" si="89"/>
        <v>0</v>
      </c>
    </row>
    <row r="145" spans="1:72">
      <c r="A145" s="4278"/>
      <c r="B145" s="4279"/>
      <c r="C145" s="4279"/>
      <c r="D145" s="4280"/>
      <c r="E145" s="1188">
        <f t="shared" ref="E145:E176" si="90">IF($C$3="是",ROUND($A$3*G145/$B$3,2),ROUND($A$3*(G145-AT145)/$B$3,2))</f>
        <v>0</v>
      </c>
      <c r="F145" s="1680"/>
      <c r="G145" s="4281">
        <f t="shared" si="65"/>
        <v>0</v>
      </c>
      <c r="H145" s="3457">
        <f t="shared" si="66"/>
        <v>0</v>
      </c>
      <c r="I145" s="4282"/>
      <c r="J145" s="4282"/>
      <c r="K145" s="4282"/>
      <c r="L145" s="4282"/>
      <c r="M145" s="4282"/>
      <c r="N145" s="4282"/>
      <c r="O145" s="4282"/>
      <c r="P145" s="4282"/>
      <c r="Q145" s="4282"/>
      <c r="R145" s="4282"/>
      <c r="S145" s="4282"/>
      <c r="T145" s="4282"/>
      <c r="U145" s="4282"/>
      <c r="V145" s="4282"/>
      <c r="W145" s="4282"/>
      <c r="X145" s="4282"/>
      <c r="Y145" s="4282"/>
      <c r="Z145" s="4282"/>
      <c r="AA145" s="4282"/>
      <c r="AB145" s="4282"/>
      <c r="AC145" s="1188">
        <f t="shared" si="67"/>
        <v>0</v>
      </c>
      <c r="AD145" s="4278"/>
      <c r="AE145" s="4278"/>
      <c r="AF145" s="4278"/>
      <c r="AG145" s="4278"/>
      <c r="AH145" s="4278"/>
      <c r="AI145" s="4278"/>
      <c r="AJ145" s="4278"/>
      <c r="AK145" s="4278"/>
      <c r="AL145" s="4278"/>
      <c r="AM145" s="4278"/>
      <c r="AN145" s="4278"/>
      <c r="AO145" s="4278"/>
      <c r="AP145" s="4278"/>
      <c r="AQ145" s="4278"/>
      <c r="AR145" s="4278"/>
      <c r="AS145" s="4278"/>
      <c r="AT145" s="4279"/>
      <c r="AU145" s="4283"/>
      <c r="AV145" s="1188">
        <f t="shared" ref="AV145:AV176" si="91">A145</f>
        <v>0</v>
      </c>
      <c r="AW145" s="1188">
        <f t="shared" ref="AW145:AW176" si="92">B145</f>
        <v>0</v>
      </c>
      <c r="AX145" s="1188">
        <f t="shared" ref="AX145:AX176" si="93">C145</f>
        <v>0</v>
      </c>
      <c r="AY145" s="1452">
        <f t="shared" si="68"/>
        <v>0</v>
      </c>
      <c r="AZ145" s="4284">
        <f t="shared" si="69"/>
        <v>0</v>
      </c>
      <c r="BA145" s="4284">
        <f t="shared" si="70"/>
        <v>0</v>
      </c>
      <c r="BB145" s="4284">
        <f t="shared" si="71"/>
        <v>0</v>
      </c>
      <c r="BC145" s="4284">
        <f t="shared" si="72"/>
        <v>0</v>
      </c>
      <c r="BD145" s="4284">
        <f t="shared" si="73"/>
        <v>0</v>
      </c>
      <c r="BE145" s="4284">
        <f t="shared" si="74"/>
        <v>0</v>
      </c>
      <c r="BF145" s="4284">
        <f t="shared" si="75"/>
        <v>0</v>
      </c>
      <c r="BG145" s="4284">
        <f t="shared" si="76"/>
        <v>0</v>
      </c>
      <c r="BH145" s="4284">
        <f t="shared" si="77"/>
        <v>0</v>
      </c>
      <c r="BI145" s="4284">
        <f t="shared" si="78"/>
        <v>0</v>
      </c>
      <c r="BJ145" s="4284">
        <f t="shared" si="79"/>
        <v>0</v>
      </c>
      <c r="BK145" s="4284">
        <f t="shared" si="80"/>
        <v>0</v>
      </c>
      <c r="BL145" s="4284">
        <f t="shared" si="81"/>
        <v>0</v>
      </c>
      <c r="BM145" s="4284">
        <f t="shared" si="82"/>
        <v>0</v>
      </c>
      <c r="BN145" s="4284">
        <f t="shared" si="83"/>
        <v>0</v>
      </c>
      <c r="BO145" s="4284">
        <f t="shared" si="84"/>
        <v>0</v>
      </c>
      <c r="BP145" s="4284">
        <f t="shared" si="85"/>
        <v>0</v>
      </c>
      <c r="BQ145" s="4284">
        <f t="shared" si="86"/>
        <v>0</v>
      </c>
      <c r="BR145" s="4284">
        <f t="shared" si="87"/>
        <v>0</v>
      </c>
      <c r="BS145" s="4284">
        <f t="shared" si="88"/>
        <v>0</v>
      </c>
      <c r="BT145" s="4285">
        <f t="shared" si="89"/>
        <v>0</v>
      </c>
    </row>
    <row r="146" spans="1:72">
      <c r="A146" s="4278"/>
      <c r="B146" s="4279"/>
      <c r="C146" s="4279"/>
      <c r="D146" s="4280"/>
      <c r="E146" s="1188">
        <f t="shared" si="90"/>
        <v>0</v>
      </c>
      <c r="F146" s="1680"/>
      <c r="G146" s="4281">
        <f t="shared" si="65"/>
        <v>0</v>
      </c>
      <c r="H146" s="3457">
        <f t="shared" si="66"/>
        <v>0</v>
      </c>
      <c r="I146" s="4282"/>
      <c r="J146" s="4282"/>
      <c r="K146" s="4282"/>
      <c r="L146" s="4282"/>
      <c r="M146" s="4282"/>
      <c r="N146" s="4282"/>
      <c r="O146" s="4282"/>
      <c r="P146" s="4282"/>
      <c r="Q146" s="4282"/>
      <c r="R146" s="4282"/>
      <c r="S146" s="4282"/>
      <c r="T146" s="4282"/>
      <c r="U146" s="4282"/>
      <c r="V146" s="4282"/>
      <c r="W146" s="4282"/>
      <c r="X146" s="4282"/>
      <c r="Y146" s="4282"/>
      <c r="Z146" s="4282"/>
      <c r="AA146" s="4282"/>
      <c r="AB146" s="4282"/>
      <c r="AC146" s="1188">
        <f t="shared" si="67"/>
        <v>0</v>
      </c>
      <c r="AD146" s="4278"/>
      <c r="AE146" s="4278"/>
      <c r="AF146" s="4278"/>
      <c r="AG146" s="4278"/>
      <c r="AH146" s="4278"/>
      <c r="AI146" s="4278"/>
      <c r="AJ146" s="4278"/>
      <c r="AK146" s="4278"/>
      <c r="AL146" s="4278"/>
      <c r="AM146" s="4278"/>
      <c r="AN146" s="4278"/>
      <c r="AO146" s="4278"/>
      <c r="AP146" s="4278"/>
      <c r="AQ146" s="4278"/>
      <c r="AR146" s="4278"/>
      <c r="AS146" s="4278"/>
      <c r="AT146" s="4279"/>
      <c r="AU146" s="4283"/>
      <c r="AV146" s="1188">
        <f t="shared" si="91"/>
        <v>0</v>
      </c>
      <c r="AW146" s="1188">
        <f t="shared" si="92"/>
        <v>0</v>
      </c>
      <c r="AX146" s="1188">
        <f t="shared" si="93"/>
        <v>0</v>
      </c>
      <c r="AY146" s="1452">
        <f t="shared" si="68"/>
        <v>0</v>
      </c>
      <c r="AZ146" s="4284">
        <f t="shared" si="69"/>
        <v>0</v>
      </c>
      <c r="BA146" s="4284">
        <f t="shared" si="70"/>
        <v>0</v>
      </c>
      <c r="BB146" s="4284">
        <f t="shared" si="71"/>
        <v>0</v>
      </c>
      <c r="BC146" s="4284">
        <f t="shared" si="72"/>
        <v>0</v>
      </c>
      <c r="BD146" s="4284">
        <f t="shared" si="73"/>
        <v>0</v>
      </c>
      <c r="BE146" s="4284">
        <f t="shared" si="74"/>
        <v>0</v>
      </c>
      <c r="BF146" s="4284">
        <f t="shared" si="75"/>
        <v>0</v>
      </c>
      <c r="BG146" s="4284">
        <f t="shared" si="76"/>
        <v>0</v>
      </c>
      <c r="BH146" s="4284">
        <f t="shared" si="77"/>
        <v>0</v>
      </c>
      <c r="BI146" s="4284">
        <f t="shared" si="78"/>
        <v>0</v>
      </c>
      <c r="BJ146" s="4284">
        <f t="shared" si="79"/>
        <v>0</v>
      </c>
      <c r="BK146" s="4284">
        <f t="shared" si="80"/>
        <v>0</v>
      </c>
      <c r="BL146" s="4284">
        <f t="shared" si="81"/>
        <v>0</v>
      </c>
      <c r="BM146" s="4284">
        <f t="shared" si="82"/>
        <v>0</v>
      </c>
      <c r="BN146" s="4284">
        <f t="shared" si="83"/>
        <v>0</v>
      </c>
      <c r="BO146" s="4284">
        <f t="shared" si="84"/>
        <v>0</v>
      </c>
      <c r="BP146" s="4284">
        <f t="shared" si="85"/>
        <v>0</v>
      </c>
      <c r="BQ146" s="4284">
        <f t="shared" si="86"/>
        <v>0</v>
      </c>
      <c r="BR146" s="4284">
        <f t="shared" si="87"/>
        <v>0</v>
      </c>
      <c r="BS146" s="4284">
        <f t="shared" si="88"/>
        <v>0</v>
      </c>
      <c r="BT146" s="4285">
        <f t="shared" si="89"/>
        <v>0</v>
      </c>
    </row>
    <row r="147" spans="1:72">
      <c r="A147" s="4278"/>
      <c r="B147" s="4279"/>
      <c r="C147" s="4279"/>
      <c r="D147" s="4280"/>
      <c r="E147" s="1188">
        <f t="shared" si="90"/>
        <v>0</v>
      </c>
      <c r="F147" s="1680"/>
      <c r="G147" s="4281">
        <f t="shared" si="65"/>
        <v>0</v>
      </c>
      <c r="H147" s="3457">
        <f t="shared" si="66"/>
        <v>0</v>
      </c>
      <c r="I147" s="4282"/>
      <c r="J147" s="4282"/>
      <c r="K147" s="4282"/>
      <c r="L147" s="4282"/>
      <c r="M147" s="4282"/>
      <c r="N147" s="4282"/>
      <c r="O147" s="4282"/>
      <c r="P147" s="4282"/>
      <c r="Q147" s="4282"/>
      <c r="R147" s="4282"/>
      <c r="S147" s="4282"/>
      <c r="T147" s="4282"/>
      <c r="U147" s="4282"/>
      <c r="V147" s="4282"/>
      <c r="W147" s="4282"/>
      <c r="X147" s="4282"/>
      <c r="Y147" s="4282"/>
      <c r="Z147" s="4282"/>
      <c r="AA147" s="4282"/>
      <c r="AB147" s="4282"/>
      <c r="AC147" s="1188">
        <f t="shared" si="67"/>
        <v>0</v>
      </c>
      <c r="AD147" s="4278"/>
      <c r="AE147" s="4278"/>
      <c r="AF147" s="4278"/>
      <c r="AG147" s="4278"/>
      <c r="AH147" s="4278"/>
      <c r="AI147" s="4278"/>
      <c r="AJ147" s="4278"/>
      <c r="AK147" s="4278"/>
      <c r="AL147" s="4278"/>
      <c r="AM147" s="4278"/>
      <c r="AN147" s="4278"/>
      <c r="AO147" s="4278"/>
      <c r="AP147" s="4278"/>
      <c r="AQ147" s="4278"/>
      <c r="AR147" s="4278"/>
      <c r="AS147" s="4278"/>
      <c r="AT147" s="4279"/>
      <c r="AU147" s="4283"/>
      <c r="AV147" s="1188">
        <f t="shared" si="91"/>
        <v>0</v>
      </c>
      <c r="AW147" s="1188">
        <f t="shared" si="92"/>
        <v>0</v>
      </c>
      <c r="AX147" s="1188">
        <f t="shared" si="93"/>
        <v>0</v>
      </c>
      <c r="AY147" s="1452">
        <f t="shared" si="68"/>
        <v>0</v>
      </c>
      <c r="AZ147" s="4284">
        <f t="shared" si="69"/>
        <v>0</v>
      </c>
      <c r="BA147" s="4284">
        <f t="shared" si="70"/>
        <v>0</v>
      </c>
      <c r="BB147" s="4284">
        <f t="shared" si="71"/>
        <v>0</v>
      </c>
      <c r="BC147" s="4284">
        <f t="shared" si="72"/>
        <v>0</v>
      </c>
      <c r="BD147" s="4284">
        <f t="shared" si="73"/>
        <v>0</v>
      </c>
      <c r="BE147" s="4284">
        <f t="shared" si="74"/>
        <v>0</v>
      </c>
      <c r="BF147" s="4284">
        <f t="shared" si="75"/>
        <v>0</v>
      </c>
      <c r="BG147" s="4284">
        <f t="shared" si="76"/>
        <v>0</v>
      </c>
      <c r="BH147" s="4284">
        <f t="shared" si="77"/>
        <v>0</v>
      </c>
      <c r="BI147" s="4284">
        <f t="shared" si="78"/>
        <v>0</v>
      </c>
      <c r="BJ147" s="4284">
        <f t="shared" si="79"/>
        <v>0</v>
      </c>
      <c r="BK147" s="4284">
        <f t="shared" si="80"/>
        <v>0</v>
      </c>
      <c r="BL147" s="4284">
        <f t="shared" si="81"/>
        <v>0</v>
      </c>
      <c r="BM147" s="4284">
        <f t="shared" si="82"/>
        <v>0</v>
      </c>
      <c r="BN147" s="4284">
        <f t="shared" si="83"/>
        <v>0</v>
      </c>
      <c r="BO147" s="4284">
        <f t="shared" si="84"/>
        <v>0</v>
      </c>
      <c r="BP147" s="4284">
        <f t="shared" si="85"/>
        <v>0</v>
      </c>
      <c r="BQ147" s="4284">
        <f t="shared" si="86"/>
        <v>0</v>
      </c>
      <c r="BR147" s="4284">
        <f t="shared" si="87"/>
        <v>0</v>
      </c>
      <c r="BS147" s="4284">
        <f t="shared" si="88"/>
        <v>0</v>
      </c>
      <c r="BT147" s="4285">
        <f t="shared" si="89"/>
        <v>0</v>
      </c>
    </row>
    <row r="148" spans="1:72">
      <c r="A148" s="4278"/>
      <c r="B148" s="4279"/>
      <c r="C148" s="4279"/>
      <c r="D148" s="4280"/>
      <c r="E148" s="1188">
        <f t="shared" si="90"/>
        <v>0</v>
      </c>
      <c r="F148" s="1680"/>
      <c r="G148" s="4281">
        <f t="shared" si="65"/>
        <v>0</v>
      </c>
      <c r="H148" s="3457">
        <f t="shared" si="66"/>
        <v>0</v>
      </c>
      <c r="I148" s="4282"/>
      <c r="J148" s="4282"/>
      <c r="K148" s="4282"/>
      <c r="L148" s="4282"/>
      <c r="M148" s="4282"/>
      <c r="N148" s="4282"/>
      <c r="O148" s="4282"/>
      <c r="P148" s="4282"/>
      <c r="Q148" s="4282"/>
      <c r="R148" s="4282"/>
      <c r="S148" s="4282"/>
      <c r="T148" s="4282"/>
      <c r="U148" s="4282"/>
      <c r="V148" s="4282"/>
      <c r="W148" s="4282"/>
      <c r="X148" s="4282"/>
      <c r="Y148" s="4282"/>
      <c r="Z148" s="4282"/>
      <c r="AA148" s="4282"/>
      <c r="AB148" s="4282"/>
      <c r="AC148" s="1188">
        <f t="shared" si="67"/>
        <v>0</v>
      </c>
      <c r="AD148" s="4278"/>
      <c r="AE148" s="4278"/>
      <c r="AF148" s="4278"/>
      <c r="AG148" s="4278"/>
      <c r="AH148" s="4278"/>
      <c r="AI148" s="4278"/>
      <c r="AJ148" s="4278"/>
      <c r="AK148" s="4278"/>
      <c r="AL148" s="4278"/>
      <c r="AM148" s="4278"/>
      <c r="AN148" s="4278"/>
      <c r="AO148" s="4278"/>
      <c r="AP148" s="4278"/>
      <c r="AQ148" s="4278"/>
      <c r="AR148" s="4278"/>
      <c r="AS148" s="4278"/>
      <c r="AT148" s="4279"/>
      <c r="AU148" s="4283"/>
      <c r="AV148" s="1188">
        <f t="shared" si="91"/>
        <v>0</v>
      </c>
      <c r="AW148" s="1188">
        <f t="shared" si="92"/>
        <v>0</v>
      </c>
      <c r="AX148" s="1188">
        <f t="shared" si="93"/>
        <v>0</v>
      </c>
      <c r="AY148" s="1452">
        <f t="shared" si="68"/>
        <v>0</v>
      </c>
      <c r="AZ148" s="4284">
        <f t="shared" si="69"/>
        <v>0</v>
      </c>
      <c r="BA148" s="4284">
        <f t="shared" si="70"/>
        <v>0</v>
      </c>
      <c r="BB148" s="4284">
        <f t="shared" si="71"/>
        <v>0</v>
      </c>
      <c r="BC148" s="4284">
        <f t="shared" si="72"/>
        <v>0</v>
      </c>
      <c r="BD148" s="4284">
        <f t="shared" si="73"/>
        <v>0</v>
      </c>
      <c r="BE148" s="4284">
        <f t="shared" si="74"/>
        <v>0</v>
      </c>
      <c r="BF148" s="4284">
        <f t="shared" si="75"/>
        <v>0</v>
      </c>
      <c r="BG148" s="4284">
        <f t="shared" si="76"/>
        <v>0</v>
      </c>
      <c r="BH148" s="4284">
        <f t="shared" si="77"/>
        <v>0</v>
      </c>
      <c r="BI148" s="4284">
        <f t="shared" si="78"/>
        <v>0</v>
      </c>
      <c r="BJ148" s="4284">
        <f t="shared" si="79"/>
        <v>0</v>
      </c>
      <c r="BK148" s="4284">
        <f t="shared" si="80"/>
        <v>0</v>
      </c>
      <c r="BL148" s="4284">
        <f t="shared" si="81"/>
        <v>0</v>
      </c>
      <c r="BM148" s="4284">
        <f t="shared" si="82"/>
        <v>0</v>
      </c>
      <c r="BN148" s="4284">
        <f t="shared" si="83"/>
        <v>0</v>
      </c>
      <c r="BO148" s="4284">
        <f t="shared" si="84"/>
        <v>0</v>
      </c>
      <c r="BP148" s="4284">
        <f t="shared" si="85"/>
        <v>0</v>
      </c>
      <c r="BQ148" s="4284">
        <f t="shared" si="86"/>
        <v>0</v>
      </c>
      <c r="BR148" s="4284">
        <f t="shared" si="87"/>
        <v>0</v>
      </c>
      <c r="BS148" s="4284">
        <f t="shared" si="88"/>
        <v>0</v>
      </c>
      <c r="BT148" s="4285">
        <f t="shared" si="89"/>
        <v>0</v>
      </c>
    </row>
    <row r="149" spans="1:72">
      <c r="A149" s="4278"/>
      <c r="B149" s="4279"/>
      <c r="C149" s="4279"/>
      <c r="D149" s="4280"/>
      <c r="E149" s="1188">
        <f t="shared" si="90"/>
        <v>0</v>
      </c>
      <c r="F149" s="1680"/>
      <c r="G149" s="4281">
        <f t="shared" si="65"/>
        <v>0</v>
      </c>
      <c r="H149" s="3457">
        <f t="shared" si="66"/>
        <v>0</v>
      </c>
      <c r="I149" s="4282"/>
      <c r="J149" s="4282"/>
      <c r="K149" s="4282"/>
      <c r="L149" s="4282"/>
      <c r="M149" s="4282"/>
      <c r="N149" s="4282"/>
      <c r="O149" s="4282"/>
      <c r="P149" s="4282"/>
      <c r="Q149" s="4282"/>
      <c r="R149" s="4282"/>
      <c r="S149" s="4282"/>
      <c r="T149" s="4282"/>
      <c r="U149" s="4282"/>
      <c r="V149" s="4282"/>
      <c r="W149" s="4282"/>
      <c r="X149" s="4282"/>
      <c r="Y149" s="4282"/>
      <c r="Z149" s="4282"/>
      <c r="AA149" s="4282"/>
      <c r="AB149" s="4282"/>
      <c r="AC149" s="1188">
        <f t="shared" si="67"/>
        <v>0</v>
      </c>
      <c r="AD149" s="4278"/>
      <c r="AE149" s="4278"/>
      <c r="AF149" s="4278"/>
      <c r="AG149" s="4278"/>
      <c r="AH149" s="4278"/>
      <c r="AI149" s="4278"/>
      <c r="AJ149" s="4278"/>
      <c r="AK149" s="4278"/>
      <c r="AL149" s="4278"/>
      <c r="AM149" s="4278"/>
      <c r="AN149" s="4278"/>
      <c r="AO149" s="4278"/>
      <c r="AP149" s="4278"/>
      <c r="AQ149" s="4278"/>
      <c r="AR149" s="4278"/>
      <c r="AS149" s="4278"/>
      <c r="AT149" s="4279"/>
      <c r="AU149" s="4283"/>
      <c r="AV149" s="1188">
        <f t="shared" si="91"/>
        <v>0</v>
      </c>
      <c r="AW149" s="1188">
        <f t="shared" si="92"/>
        <v>0</v>
      </c>
      <c r="AX149" s="1188">
        <f t="shared" si="93"/>
        <v>0</v>
      </c>
      <c r="AY149" s="1452">
        <f t="shared" si="68"/>
        <v>0</v>
      </c>
      <c r="AZ149" s="4284">
        <f t="shared" si="69"/>
        <v>0</v>
      </c>
      <c r="BA149" s="4284">
        <f t="shared" si="70"/>
        <v>0</v>
      </c>
      <c r="BB149" s="4284">
        <f t="shared" si="71"/>
        <v>0</v>
      </c>
      <c r="BC149" s="4284">
        <f t="shared" si="72"/>
        <v>0</v>
      </c>
      <c r="BD149" s="4284">
        <f t="shared" si="73"/>
        <v>0</v>
      </c>
      <c r="BE149" s="4284">
        <f t="shared" si="74"/>
        <v>0</v>
      </c>
      <c r="BF149" s="4284">
        <f t="shared" si="75"/>
        <v>0</v>
      </c>
      <c r="BG149" s="4284">
        <f t="shared" si="76"/>
        <v>0</v>
      </c>
      <c r="BH149" s="4284">
        <f t="shared" si="77"/>
        <v>0</v>
      </c>
      <c r="BI149" s="4284">
        <f t="shared" si="78"/>
        <v>0</v>
      </c>
      <c r="BJ149" s="4284">
        <f t="shared" si="79"/>
        <v>0</v>
      </c>
      <c r="BK149" s="4284">
        <f t="shared" si="80"/>
        <v>0</v>
      </c>
      <c r="BL149" s="4284">
        <f t="shared" si="81"/>
        <v>0</v>
      </c>
      <c r="BM149" s="4284">
        <f t="shared" si="82"/>
        <v>0</v>
      </c>
      <c r="BN149" s="4284">
        <f t="shared" si="83"/>
        <v>0</v>
      </c>
      <c r="BO149" s="4284">
        <f t="shared" si="84"/>
        <v>0</v>
      </c>
      <c r="BP149" s="4284">
        <f t="shared" si="85"/>
        <v>0</v>
      </c>
      <c r="BQ149" s="4284">
        <f t="shared" si="86"/>
        <v>0</v>
      </c>
      <c r="BR149" s="4284">
        <f t="shared" si="87"/>
        <v>0</v>
      </c>
      <c r="BS149" s="4284">
        <f t="shared" si="88"/>
        <v>0</v>
      </c>
      <c r="BT149" s="4285">
        <f t="shared" si="89"/>
        <v>0</v>
      </c>
    </row>
    <row r="150" spans="1:72">
      <c r="A150" s="4278"/>
      <c r="B150" s="4279"/>
      <c r="C150" s="4279"/>
      <c r="D150" s="4280"/>
      <c r="E150" s="1188">
        <f t="shared" si="90"/>
        <v>0</v>
      </c>
      <c r="F150" s="1680"/>
      <c r="G150" s="4281">
        <f t="shared" si="65"/>
        <v>0</v>
      </c>
      <c r="H150" s="3457">
        <f t="shared" si="66"/>
        <v>0</v>
      </c>
      <c r="I150" s="4282"/>
      <c r="J150" s="4282"/>
      <c r="K150" s="4282"/>
      <c r="L150" s="4282"/>
      <c r="M150" s="4282"/>
      <c r="N150" s="4282"/>
      <c r="O150" s="4282"/>
      <c r="P150" s="4282"/>
      <c r="Q150" s="4282"/>
      <c r="R150" s="4282"/>
      <c r="S150" s="4282"/>
      <c r="T150" s="4282"/>
      <c r="U150" s="4282"/>
      <c r="V150" s="4282"/>
      <c r="W150" s="4282"/>
      <c r="X150" s="4282"/>
      <c r="Y150" s="4282"/>
      <c r="Z150" s="4282"/>
      <c r="AA150" s="4282"/>
      <c r="AB150" s="4282"/>
      <c r="AC150" s="1188">
        <f t="shared" si="67"/>
        <v>0</v>
      </c>
      <c r="AD150" s="4278"/>
      <c r="AE150" s="4278"/>
      <c r="AF150" s="4278"/>
      <c r="AG150" s="4278"/>
      <c r="AH150" s="4278"/>
      <c r="AI150" s="4278"/>
      <c r="AJ150" s="4278"/>
      <c r="AK150" s="4278"/>
      <c r="AL150" s="4278"/>
      <c r="AM150" s="4278"/>
      <c r="AN150" s="4278"/>
      <c r="AO150" s="4278"/>
      <c r="AP150" s="4278"/>
      <c r="AQ150" s="4278"/>
      <c r="AR150" s="4278"/>
      <c r="AS150" s="4278"/>
      <c r="AT150" s="4279"/>
      <c r="AU150" s="4283"/>
      <c r="AV150" s="1188">
        <f t="shared" si="91"/>
        <v>0</v>
      </c>
      <c r="AW150" s="1188">
        <f t="shared" si="92"/>
        <v>0</v>
      </c>
      <c r="AX150" s="1188">
        <f t="shared" si="93"/>
        <v>0</v>
      </c>
      <c r="AY150" s="1452">
        <f t="shared" si="68"/>
        <v>0</v>
      </c>
      <c r="AZ150" s="4284">
        <f t="shared" si="69"/>
        <v>0</v>
      </c>
      <c r="BA150" s="4284">
        <f t="shared" si="70"/>
        <v>0</v>
      </c>
      <c r="BB150" s="4284">
        <f t="shared" si="71"/>
        <v>0</v>
      </c>
      <c r="BC150" s="4284">
        <f t="shared" si="72"/>
        <v>0</v>
      </c>
      <c r="BD150" s="4284">
        <f t="shared" si="73"/>
        <v>0</v>
      </c>
      <c r="BE150" s="4284">
        <f t="shared" si="74"/>
        <v>0</v>
      </c>
      <c r="BF150" s="4284">
        <f t="shared" si="75"/>
        <v>0</v>
      </c>
      <c r="BG150" s="4284">
        <f t="shared" si="76"/>
        <v>0</v>
      </c>
      <c r="BH150" s="4284">
        <f t="shared" si="77"/>
        <v>0</v>
      </c>
      <c r="BI150" s="4284">
        <f t="shared" si="78"/>
        <v>0</v>
      </c>
      <c r="BJ150" s="4284">
        <f t="shared" si="79"/>
        <v>0</v>
      </c>
      <c r="BK150" s="4284">
        <f t="shared" si="80"/>
        <v>0</v>
      </c>
      <c r="BL150" s="4284">
        <f t="shared" si="81"/>
        <v>0</v>
      </c>
      <c r="BM150" s="4284">
        <f t="shared" si="82"/>
        <v>0</v>
      </c>
      <c r="BN150" s="4284">
        <f t="shared" si="83"/>
        <v>0</v>
      </c>
      <c r="BO150" s="4284">
        <f t="shared" si="84"/>
        <v>0</v>
      </c>
      <c r="BP150" s="4284">
        <f t="shared" si="85"/>
        <v>0</v>
      </c>
      <c r="BQ150" s="4284">
        <f t="shared" si="86"/>
        <v>0</v>
      </c>
      <c r="BR150" s="4284">
        <f t="shared" si="87"/>
        <v>0</v>
      </c>
      <c r="BS150" s="4284">
        <f t="shared" si="88"/>
        <v>0</v>
      </c>
      <c r="BT150" s="4285">
        <f t="shared" si="89"/>
        <v>0</v>
      </c>
    </row>
    <row r="151" spans="1:72">
      <c r="A151" s="4278"/>
      <c r="B151" s="4279"/>
      <c r="C151" s="4279"/>
      <c r="D151" s="4280"/>
      <c r="E151" s="1188">
        <f t="shared" si="90"/>
        <v>0</v>
      </c>
      <c r="F151" s="1680"/>
      <c r="G151" s="4281">
        <f t="shared" si="65"/>
        <v>0</v>
      </c>
      <c r="H151" s="3457">
        <f t="shared" si="66"/>
        <v>0</v>
      </c>
      <c r="I151" s="4282"/>
      <c r="J151" s="4282"/>
      <c r="K151" s="4282"/>
      <c r="L151" s="4282"/>
      <c r="M151" s="4282"/>
      <c r="N151" s="4282"/>
      <c r="O151" s="4282"/>
      <c r="P151" s="4282"/>
      <c r="Q151" s="4282"/>
      <c r="R151" s="4282"/>
      <c r="S151" s="4282"/>
      <c r="T151" s="4282"/>
      <c r="U151" s="4282"/>
      <c r="V151" s="4282"/>
      <c r="W151" s="4282"/>
      <c r="X151" s="4282"/>
      <c r="Y151" s="4282"/>
      <c r="Z151" s="4282"/>
      <c r="AA151" s="4282"/>
      <c r="AB151" s="4282"/>
      <c r="AC151" s="1188">
        <f t="shared" si="67"/>
        <v>0</v>
      </c>
      <c r="AD151" s="4278"/>
      <c r="AE151" s="4278"/>
      <c r="AF151" s="4278"/>
      <c r="AG151" s="4278"/>
      <c r="AH151" s="4278"/>
      <c r="AI151" s="4278"/>
      <c r="AJ151" s="4278"/>
      <c r="AK151" s="4278"/>
      <c r="AL151" s="4278"/>
      <c r="AM151" s="4278"/>
      <c r="AN151" s="4278"/>
      <c r="AO151" s="4278"/>
      <c r="AP151" s="4278"/>
      <c r="AQ151" s="4278"/>
      <c r="AR151" s="4278"/>
      <c r="AS151" s="4278"/>
      <c r="AT151" s="4279"/>
      <c r="AU151" s="4283"/>
      <c r="AV151" s="1188">
        <f t="shared" si="91"/>
        <v>0</v>
      </c>
      <c r="AW151" s="1188">
        <f t="shared" si="92"/>
        <v>0</v>
      </c>
      <c r="AX151" s="1188">
        <f t="shared" si="93"/>
        <v>0</v>
      </c>
      <c r="AY151" s="1452">
        <f t="shared" si="68"/>
        <v>0</v>
      </c>
      <c r="AZ151" s="4284">
        <f t="shared" si="69"/>
        <v>0</v>
      </c>
      <c r="BA151" s="4284">
        <f t="shared" si="70"/>
        <v>0</v>
      </c>
      <c r="BB151" s="4284">
        <f t="shared" si="71"/>
        <v>0</v>
      </c>
      <c r="BC151" s="4284">
        <f t="shared" si="72"/>
        <v>0</v>
      </c>
      <c r="BD151" s="4284">
        <f t="shared" si="73"/>
        <v>0</v>
      </c>
      <c r="BE151" s="4284">
        <f t="shared" si="74"/>
        <v>0</v>
      </c>
      <c r="BF151" s="4284">
        <f t="shared" si="75"/>
        <v>0</v>
      </c>
      <c r="BG151" s="4284">
        <f t="shared" si="76"/>
        <v>0</v>
      </c>
      <c r="BH151" s="4284">
        <f t="shared" si="77"/>
        <v>0</v>
      </c>
      <c r="BI151" s="4284">
        <f t="shared" si="78"/>
        <v>0</v>
      </c>
      <c r="BJ151" s="4284">
        <f t="shared" si="79"/>
        <v>0</v>
      </c>
      <c r="BK151" s="4284">
        <f t="shared" si="80"/>
        <v>0</v>
      </c>
      <c r="BL151" s="4284">
        <f t="shared" si="81"/>
        <v>0</v>
      </c>
      <c r="BM151" s="4284">
        <f t="shared" si="82"/>
        <v>0</v>
      </c>
      <c r="BN151" s="4284">
        <f t="shared" si="83"/>
        <v>0</v>
      </c>
      <c r="BO151" s="4284">
        <f t="shared" si="84"/>
        <v>0</v>
      </c>
      <c r="BP151" s="4284">
        <f t="shared" si="85"/>
        <v>0</v>
      </c>
      <c r="BQ151" s="4284">
        <f t="shared" si="86"/>
        <v>0</v>
      </c>
      <c r="BR151" s="4284">
        <f t="shared" si="87"/>
        <v>0</v>
      </c>
      <c r="BS151" s="4284">
        <f t="shared" si="88"/>
        <v>0</v>
      </c>
      <c r="BT151" s="4285">
        <f t="shared" si="89"/>
        <v>0</v>
      </c>
    </row>
    <row r="152" spans="1:72">
      <c r="A152" s="4278"/>
      <c r="B152" s="4279"/>
      <c r="C152" s="4279"/>
      <c r="D152" s="4280"/>
      <c r="E152" s="1188">
        <f t="shared" si="90"/>
        <v>0</v>
      </c>
      <c r="F152" s="1680"/>
      <c r="G152" s="4281">
        <f t="shared" si="65"/>
        <v>0</v>
      </c>
      <c r="H152" s="3457">
        <f t="shared" si="66"/>
        <v>0</v>
      </c>
      <c r="I152" s="4282"/>
      <c r="J152" s="4282"/>
      <c r="K152" s="4282"/>
      <c r="L152" s="4282"/>
      <c r="M152" s="4282"/>
      <c r="N152" s="4282"/>
      <c r="O152" s="4282"/>
      <c r="P152" s="4282"/>
      <c r="Q152" s="4282"/>
      <c r="R152" s="4282"/>
      <c r="S152" s="4282"/>
      <c r="T152" s="4282"/>
      <c r="U152" s="4282"/>
      <c r="V152" s="4282"/>
      <c r="W152" s="4282"/>
      <c r="X152" s="4282"/>
      <c r="Y152" s="4282"/>
      <c r="Z152" s="4282"/>
      <c r="AA152" s="4282"/>
      <c r="AB152" s="4282"/>
      <c r="AC152" s="1188">
        <f t="shared" si="67"/>
        <v>0</v>
      </c>
      <c r="AD152" s="4278"/>
      <c r="AE152" s="4278"/>
      <c r="AF152" s="4278"/>
      <c r="AG152" s="4278"/>
      <c r="AH152" s="4278"/>
      <c r="AI152" s="4278"/>
      <c r="AJ152" s="4278"/>
      <c r="AK152" s="4278"/>
      <c r="AL152" s="4278"/>
      <c r="AM152" s="4278"/>
      <c r="AN152" s="4278"/>
      <c r="AO152" s="4278"/>
      <c r="AP152" s="4278"/>
      <c r="AQ152" s="4278"/>
      <c r="AR152" s="4278"/>
      <c r="AS152" s="4278"/>
      <c r="AT152" s="4279"/>
      <c r="AU152" s="4283"/>
      <c r="AV152" s="1188">
        <f t="shared" si="91"/>
        <v>0</v>
      </c>
      <c r="AW152" s="1188">
        <f t="shared" si="92"/>
        <v>0</v>
      </c>
      <c r="AX152" s="1188">
        <f t="shared" si="93"/>
        <v>0</v>
      </c>
      <c r="AY152" s="1452">
        <f t="shared" si="68"/>
        <v>0</v>
      </c>
      <c r="AZ152" s="4284">
        <f t="shared" si="69"/>
        <v>0</v>
      </c>
      <c r="BA152" s="4284">
        <f t="shared" si="70"/>
        <v>0</v>
      </c>
      <c r="BB152" s="4284">
        <f t="shared" si="71"/>
        <v>0</v>
      </c>
      <c r="BC152" s="4284">
        <f t="shared" si="72"/>
        <v>0</v>
      </c>
      <c r="BD152" s="4284">
        <f t="shared" si="73"/>
        <v>0</v>
      </c>
      <c r="BE152" s="4284">
        <f t="shared" si="74"/>
        <v>0</v>
      </c>
      <c r="BF152" s="4284">
        <f t="shared" si="75"/>
        <v>0</v>
      </c>
      <c r="BG152" s="4284">
        <f t="shared" si="76"/>
        <v>0</v>
      </c>
      <c r="BH152" s="4284">
        <f t="shared" si="77"/>
        <v>0</v>
      </c>
      <c r="BI152" s="4284">
        <f t="shared" si="78"/>
        <v>0</v>
      </c>
      <c r="BJ152" s="4284">
        <f t="shared" si="79"/>
        <v>0</v>
      </c>
      <c r="BK152" s="4284">
        <f t="shared" si="80"/>
        <v>0</v>
      </c>
      <c r="BL152" s="4284">
        <f t="shared" si="81"/>
        <v>0</v>
      </c>
      <c r="BM152" s="4284">
        <f t="shared" si="82"/>
        <v>0</v>
      </c>
      <c r="BN152" s="4284">
        <f t="shared" si="83"/>
        <v>0</v>
      </c>
      <c r="BO152" s="4284">
        <f t="shared" si="84"/>
        <v>0</v>
      </c>
      <c r="BP152" s="4284">
        <f t="shared" si="85"/>
        <v>0</v>
      </c>
      <c r="BQ152" s="4284">
        <f t="shared" si="86"/>
        <v>0</v>
      </c>
      <c r="BR152" s="4284">
        <f t="shared" si="87"/>
        <v>0</v>
      </c>
      <c r="BS152" s="4284">
        <f t="shared" si="88"/>
        <v>0</v>
      </c>
      <c r="BT152" s="4285">
        <f t="shared" si="89"/>
        <v>0</v>
      </c>
    </row>
    <row r="153" spans="1:72">
      <c r="A153" s="4278"/>
      <c r="B153" s="4279"/>
      <c r="C153" s="4279"/>
      <c r="D153" s="4280"/>
      <c r="E153" s="1188">
        <f t="shared" si="90"/>
        <v>0</v>
      </c>
      <c r="F153" s="1680"/>
      <c r="G153" s="4281">
        <f t="shared" si="65"/>
        <v>0</v>
      </c>
      <c r="H153" s="3457">
        <f t="shared" si="66"/>
        <v>0</v>
      </c>
      <c r="I153" s="4282"/>
      <c r="J153" s="4282"/>
      <c r="K153" s="4282"/>
      <c r="L153" s="4282"/>
      <c r="M153" s="4282"/>
      <c r="N153" s="4282"/>
      <c r="O153" s="4282"/>
      <c r="P153" s="4282"/>
      <c r="Q153" s="4282"/>
      <c r="R153" s="4282"/>
      <c r="S153" s="4282"/>
      <c r="T153" s="4282"/>
      <c r="U153" s="4282"/>
      <c r="V153" s="4282"/>
      <c r="W153" s="4282"/>
      <c r="X153" s="4282"/>
      <c r="Y153" s="4282"/>
      <c r="Z153" s="4282"/>
      <c r="AA153" s="4282"/>
      <c r="AB153" s="4282"/>
      <c r="AC153" s="1188">
        <f t="shared" si="67"/>
        <v>0</v>
      </c>
      <c r="AD153" s="4278"/>
      <c r="AE153" s="4278"/>
      <c r="AF153" s="4278"/>
      <c r="AG153" s="4278"/>
      <c r="AH153" s="4278"/>
      <c r="AI153" s="4278"/>
      <c r="AJ153" s="4278"/>
      <c r="AK153" s="4278"/>
      <c r="AL153" s="4278"/>
      <c r="AM153" s="4278"/>
      <c r="AN153" s="4278"/>
      <c r="AO153" s="4278"/>
      <c r="AP153" s="4278"/>
      <c r="AQ153" s="4278"/>
      <c r="AR153" s="4278"/>
      <c r="AS153" s="4278"/>
      <c r="AT153" s="4279"/>
      <c r="AU153" s="4283"/>
      <c r="AV153" s="1188">
        <f t="shared" si="91"/>
        <v>0</v>
      </c>
      <c r="AW153" s="1188">
        <f t="shared" si="92"/>
        <v>0</v>
      </c>
      <c r="AX153" s="1188">
        <f t="shared" si="93"/>
        <v>0</v>
      </c>
      <c r="AY153" s="1452">
        <f t="shared" si="68"/>
        <v>0</v>
      </c>
      <c r="AZ153" s="4284">
        <f t="shared" si="69"/>
        <v>0</v>
      </c>
      <c r="BA153" s="4284">
        <f t="shared" si="70"/>
        <v>0</v>
      </c>
      <c r="BB153" s="4284">
        <f t="shared" si="71"/>
        <v>0</v>
      </c>
      <c r="BC153" s="4284">
        <f t="shared" si="72"/>
        <v>0</v>
      </c>
      <c r="BD153" s="4284">
        <f t="shared" si="73"/>
        <v>0</v>
      </c>
      <c r="BE153" s="4284">
        <f t="shared" si="74"/>
        <v>0</v>
      </c>
      <c r="BF153" s="4284">
        <f t="shared" si="75"/>
        <v>0</v>
      </c>
      <c r="BG153" s="4284">
        <f t="shared" si="76"/>
        <v>0</v>
      </c>
      <c r="BH153" s="4284">
        <f t="shared" si="77"/>
        <v>0</v>
      </c>
      <c r="BI153" s="4284">
        <f t="shared" si="78"/>
        <v>0</v>
      </c>
      <c r="BJ153" s="4284">
        <f t="shared" si="79"/>
        <v>0</v>
      </c>
      <c r="BK153" s="4284">
        <f t="shared" si="80"/>
        <v>0</v>
      </c>
      <c r="BL153" s="4284">
        <f t="shared" si="81"/>
        <v>0</v>
      </c>
      <c r="BM153" s="4284">
        <f t="shared" si="82"/>
        <v>0</v>
      </c>
      <c r="BN153" s="4284">
        <f t="shared" si="83"/>
        <v>0</v>
      </c>
      <c r="BO153" s="4284">
        <f t="shared" si="84"/>
        <v>0</v>
      </c>
      <c r="BP153" s="4284">
        <f t="shared" si="85"/>
        <v>0</v>
      </c>
      <c r="BQ153" s="4284">
        <f t="shared" si="86"/>
        <v>0</v>
      </c>
      <c r="BR153" s="4284">
        <f t="shared" si="87"/>
        <v>0</v>
      </c>
      <c r="BS153" s="4284">
        <f t="shared" si="88"/>
        <v>0</v>
      </c>
      <c r="BT153" s="4285">
        <f t="shared" si="89"/>
        <v>0</v>
      </c>
    </row>
    <row r="154" spans="1:72">
      <c r="A154" s="4278"/>
      <c r="B154" s="4279"/>
      <c r="C154" s="4279"/>
      <c r="D154" s="4280"/>
      <c r="E154" s="1188">
        <f t="shared" si="90"/>
        <v>0</v>
      </c>
      <c r="F154" s="1680"/>
      <c r="G154" s="4281">
        <f t="shared" si="65"/>
        <v>0</v>
      </c>
      <c r="H154" s="3457">
        <f t="shared" si="66"/>
        <v>0</v>
      </c>
      <c r="I154" s="4282"/>
      <c r="J154" s="4282"/>
      <c r="K154" s="4282"/>
      <c r="L154" s="4282"/>
      <c r="M154" s="4282"/>
      <c r="N154" s="4282"/>
      <c r="O154" s="4282"/>
      <c r="P154" s="4282"/>
      <c r="Q154" s="4282"/>
      <c r="R154" s="4282"/>
      <c r="S154" s="4282"/>
      <c r="T154" s="4282"/>
      <c r="U154" s="4282"/>
      <c r="V154" s="4282"/>
      <c r="W154" s="4282"/>
      <c r="X154" s="4282"/>
      <c r="Y154" s="4282"/>
      <c r="Z154" s="4282"/>
      <c r="AA154" s="4282"/>
      <c r="AB154" s="4282"/>
      <c r="AC154" s="1188">
        <f t="shared" si="67"/>
        <v>0</v>
      </c>
      <c r="AD154" s="4278"/>
      <c r="AE154" s="4278"/>
      <c r="AF154" s="4278"/>
      <c r="AG154" s="4278"/>
      <c r="AH154" s="4278"/>
      <c r="AI154" s="4278"/>
      <c r="AJ154" s="4278"/>
      <c r="AK154" s="4278"/>
      <c r="AL154" s="4278"/>
      <c r="AM154" s="4278"/>
      <c r="AN154" s="4278"/>
      <c r="AO154" s="4278"/>
      <c r="AP154" s="4278"/>
      <c r="AQ154" s="4278"/>
      <c r="AR154" s="4278"/>
      <c r="AS154" s="4278"/>
      <c r="AT154" s="4279"/>
      <c r="AU154" s="4283"/>
      <c r="AV154" s="1188">
        <f t="shared" si="91"/>
        <v>0</v>
      </c>
      <c r="AW154" s="1188">
        <f t="shared" si="92"/>
        <v>0</v>
      </c>
      <c r="AX154" s="1188">
        <f t="shared" si="93"/>
        <v>0</v>
      </c>
      <c r="AY154" s="1452">
        <f t="shared" si="68"/>
        <v>0</v>
      </c>
      <c r="AZ154" s="4284">
        <f t="shared" si="69"/>
        <v>0</v>
      </c>
      <c r="BA154" s="4284">
        <f t="shared" si="70"/>
        <v>0</v>
      </c>
      <c r="BB154" s="4284">
        <f t="shared" si="71"/>
        <v>0</v>
      </c>
      <c r="BC154" s="4284">
        <f t="shared" si="72"/>
        <v>0</v>
      </c>
      <c r="BD154" s="4284">
        <f t="shared" si="73"/>
        <v>0</v>
      </c>
      <c r="BE154" s="4284">
        <f t="shared" si="74"/>
        <v>0</v>
      </c>
      <c r="BF154" s="4284">
        <f t="shared" si="75"/>
        <v>0</v>
      </c>
      <c r="BG154" s="4284">
        <f t="shared" si="76"/>
        <v>0</v>
      </c>
      <c r="BH154" s="4284">
        <f t="shared" si="77"/>
        <v>0</v>
      </c>
      <c r="BI154" s="4284">
        <f t="shared" si="78"/>
        <v>0</v>
      </c>
      <c r="BJ154" s="4284">
        <f t="shared" si="79"/>
        <v>0</v>
      </c>
      <c r="BK154" s="4284">
        <f t="shared" si="80"/>
        <v>0</v>
      </c>
      <c r="BL154" s="4284">
        <f t="shared" si="81"/>
        <v>0</v>
      </c>
      <c r="BM154" s="4284">
        <f t="shared" si="82"/>
        <v>0</v>
      </c>
      <c r="BN154" s="4284">
        <f t="shared" si="83"/>
        <v>0</v>
      </c>
      <c r="BO154" s="4284">
        <f t="shared" si="84"/>
        <v>0</v>
      </c>
      <c r="BP154" s="4284">
        <f t="shared" si="85"/>
        <v>0</v>
      </c>
      <c r="BQ154" s="4284">
        <f t="shared" si="86"/>
        <v>0</v>
      </c>
      <c r="BR154" s="4284">
        <f t="shared" si="87"/>
        <v>0</v>
      </c>
      <c r="BS154" s="4284">
        <f t="shared" si="88"/>
        <v>0</v>
      </c>
      <c r="BT154" s="4285">
        <f t="shared" si="89"/>
        <v>0</v>
      </c>
    </row>
    <row r="155" spans="1:72">
      <c r="A155" s="4278"/>
      <c r="B155" s="4279"/>
      <c r="C155" s="4279"/>
      <c r="D155" s="4280"/>
      <c r="E155" s="1188">
        <f t="shared" si="90"/>
        <v>0</v>
      </c>
      <c r="F155" s="1680"/>
      <c r="G155" s="4281">
        <f t="shared" si="65"/>
        <v>0</v>
      </c>
      <c r="H155" s="3457">
        <f t="shared" si="66"/>
        <v>0</v>
      </c>
      <c r="I155" s="4282"/>
      <c r="J155" s="4282"/>
      <c r="K155" s="4282"/>
      <c r="L155" s="4282"/>
      <c r="M155" s="4282"/>
      <c r="N155" s="4282"/>
      <c r="O155" s="4282"/>
      <c r="P155" s="4282"/>
      <c r="Q155" s="4282"/>
      <c r="R155" s="4282"/>
      <c r="S155" s="4282"/>
      <c r="T155" s="4282"/>
      <c r="U155" s="4282"/>
      <c r="V155" s="4282"/>
      <c r="W155" s="4282"/>
      <c r="X155" s="4282"/>
      <c r="Y155" s="4282"/>
      <c r="Z155" s="4282"/>
      <c r="AA155" s="4282"/>
      <c r="AB155" s="4282"/>
      <c r="AC155" s="1188">
        <f t="shared" si="67"/>
        <v>0</v>
      </c>
      <c r="AD155" s="4278"/>
      <c r="AE155" s="4278"/>
      <c r="AF155" s="4278"/>
      <c r="AG155" s="4278"/>
      <c r="AH155" s="4278"/>
      <c r="AI155" s="4278"/>
      <c r="AJ155" s="4278"/>
      <c r="AK155" s="4278"/>
      <c r="AL155" s="4278"/>
      <c r="AM155" s="4278"/>
      <c r="AN155" s="4278"/>
      <c r="AO155" s="4278"/>
      <c r="AP155" s="4278"/>
      <c r="AQ155" s="4278"/>
      <c r="AR155" s="4278"/>
      <c r="AS155" s="4278"/>
      <c r="AT155" s="4279"/>
      <c r="AU155" s="4283"/>
      <c r="AV155" s="1188">
        <f t="shared" si="91"/>
        <v>0</v>
      </c>
      <c r="AW155" s="1188">
        <f t="shared" si="92"/>
        <v>0</v>
      </c>
      <c r="AX155" s="1188">
        <f t="shared" si="93"/>
        <v>0</v>
      </c>
      <c r="AY155" s="1452">
        <f t="shared" si="68"/>
        <v>0</v>
      </c>
      <c r="AZ155" s="4284">
        <f t="shared" si="69"/>
        <v>0</v>
      </c>
      <c r="BA155" s="4284">
        <f t="shared" si="70"/>
        <v>0</v>
      </c>
      <c r="BB155" s="4284">
        <f t="shared" si="71"/>
        <v>0</v>
      </c>
      <c r="BC155" s="4284">
        <f t="shared" si="72"/>
        <v>0</v>
      </c>
      <c r="BD155" s="4284">
        <f t="shared" si="73"/>
        <v>0</v>
      </c>
      <c r="BE155" s="4284">
        <f t="shared" si="74"/>
        <v>0</v>
      </c>
      <c r="BF155" s="4284">
        <f t="shared" si="75"/>
        <v>0</v>
      </c>
      <c r="BG155" s="4284">
        <f t="shared" si="76"/>
        <v>0</v>
      </c>
      <c r="BH155" s="4284">
        <f t="shared" si="77"/>
        <v>0</v>
      </c>
      <c r="BI155" s="4284">
        <f t="shared" si="78"/>
        <v>0</v>
      </c>
      <c r="BJ155" s="4284">
        <f t="shared" si="79"/>
        <v>0</v>
      </c>
      <c r="BK155" s="4284">
        <f t="shared" si="80"/>
        <v>0</v>
      </c>
      <c r="BL155" s="4284">
        <f t="shared" si="81"/>
        <v>0</v>
      </c>
      <c r="BM155" s="4284">
        <f t="shared" si="82"/>
        <v>0</v>
      </c>
      <c r="BN155" s="4284">
        <f t="shared" si="83"/>
        <v>0</v>
      </c>
      <c r="BO155" s="4284">
        <f t="shared" si="84"/>
        <v>0</v>
      </c>
      <c r="BP155" s="4284">
        <f t="shared" si="85"/>
        <v>0</v>
      </c>
      <c r="BQ155" s="4284">
        <f t="shared" si="86"/>
        <v>0</v>
      </c>
      <c r="BR155" s="4284">
        <f t="shared" si="87"/>
        <v>0</v>
      </c>
      <c r="BS155" s="4284">
        <f t="shared" si="88"/>
        <v>0</v>
      </c>
      <c r="BT155" s="4285">
        <f t="shared" si="89"/>
        <v>0</v>
      </c>
    </row>
    <row r="156" spans="1:72">
      <c r="A156" s="4278"/>
      <c r="B156" s="4279"/>
      <c r="C156" s="4279"/>
      <c r="D156" s="4280"/>
      <c r="E156" s="1188">
        <f t="shared" si="90"/>
        <v>0</v>
      </c>
      <c r="F156" s="1680"/>
      <c r="G156" s="4281">
        <f t="shared" si="65"/>
        <v>0</v>
      </c>
      <c r="H156" s="3457">
        <f t="shared" si="66"/>
        <v>0</v>
      </c>
      <c r="I156" s="4282"/>
      <c r="J156" s="4282"/>
      <c r="K156" s="4282"/>
      <c r="L156" s="4282"/>
      <c r="M156" s="4282"/>
      <c r="N156" s="4282"/>
      <c r="O156" s="4282"/>
      <c r="P156" s="4282"/>
      <c r="Q156" s="4282"/>
      <c r="R156" s="4282"/>
      <c r="S156" s="4282"/>
      <c r="T156" s="4282"/>
      <c r="U156" s="4282"/>
      <c r="V156" s="4282"/>
      <c r="W156" s="4282"/>
      <c r="X156" s="4282"/>
      <c r="Y156" s="4282"/>
      <c r="Z156" s="4282"/>
      <c r="AA156" s="4282"/>
      <c r="AB156" s="4282"/>
      <c r="AC156" s="1188">
        <f t="shared" si="67"/>
        <v>0</v>
      </c>
      <c r="AD156" s="4278"/>
      <c r="AE156" s="4278"/>
      <c r="AF156" s="4278"/>
      <c r="AG156" s="4278"/>
      <c r="AH156" s="4278"/>
      <c r="AI156" s="4278"/>
      <c r="AJ156" s="4278"/>
      <c r="AK156" s="4278"/>
      <c r="AL156" s="4278"/>
      <c r="AM156" s="4278"/>
      <c r="AN156" s="4278"/>
      <c r="AO156" s="4278"/>
      <c r="AP156" s="4278"/>
      <c r="AQ156" s="4278"/>
      <c r="AR156" s="4278"/>
      <c r="AS156" s="4278"/>
      <c r="AT156" s="4279"/>
      <c r="AU156" s="4283"/>
      <c r="AV156" s="1188">
        <f t="shared" si="91"/>
        <v>0</v>
      </c>
      <c r="AW156" s="1188">
        <f t="shared" si="92"/>
        <v>0</v>
      </c>
      <c r="AX156" s="1188">
        <f t="shared" si="93"/>
        <v>0</v>
      </c>
      <c r="AY156" s="1452">
        <f t="shared" si="68"/>
        <v>0</v>
      </c>
      <c r="AZ156" s="4284">
        <f t="shared" si="69"/>
        <v>0</v>
      </c>
      <c r="BA156" s="4284">
        <f t="shared" si="70"/>
        <v>0</v>
      </c>
      <c r="BB156" s="4284">
        <f t="shared" si="71"/>
        <v>0</v>
      </c>
      <c r="BC156" s="4284">
        <f t="shared" si="72"/>
        <v>0</v>
      </c>
      <c r="BD156" s="4284">
        <f t="shared" si="73"/>
        <v>0</v>
      </c>
      <c r="BE156" s="4284">
        <f t="shared" si="74"/>
        <v>0</v>
      </c>
      <c r="BF156" s="4284">
        <f t="shared" si="75"/>
        <v>0</v>
      </c>
      <c r="BG156" s="4284">
        <f t="shared" si="76"/>
        <v>0</v>
      </c>
      <c r="BH156" s="4284">
        <f t="shared" si="77"/>
        <v>0</v>
      </c>
      <c r="BI156" s="4284">
        <f t="shared" si="78"/>
        <v>0</v>
      </c>
      <c r="BJ156" s="4284">
        <f t="shared" si="79"/>
        <v>0</v>
      </c>
      <c r="BK156" s="4284">
        <f t="shared" si="80"/>
        <v>0</v>
      </c>
      <c r="BL156" s="4284">
        <f t="shared" si="81"/>
        <v>0</v>
      </c>
      <c r="BM156" s="4284">
        <f t="shared" si="82"/>
        <v>0</v>
      </c>
      <c r="BN156" s="4284">
        <f t="shared" si="83"/>
        <v>0</v>
      </c>
      <c r="BO156" s="4284">
        <f t="shared" si="84"/>
        <v>0</v>
      </c>
      <c r="BP156" s="4284">
        <f t="shared" si="85"/>
        <v>0</v>
      </c>
      <c r="BQ156" s="4284">
        <f t="shared" si="86"/>
        <v>0</v>
      </c>
      <c r="BR156" s="4284">
        <f t="shared" si="87"/>
        <v>0</v>
      </c>
      <c r="BS156" s="4284">
        <f t="shared" si="88"/>
        <v>0</v>
      </c>
      <c r="BT156" s="4285">
        <f t="shared" si="89"/>
        <v>0</v>
      </c>
    </row>
    <row r="157" spans="1:72">
      <c r="A157" s="4278"/>
      <c r="B157" s="4279"/>
      <c r="C157" s="4279"/>
      <c r="D157" s="4280"/>
      <c r="E157" s="1188">
        <f t="shared" si="90"/>
        <v>0</v>
      </c>
      <c r="F157" s="1680"/>
      <c r="G157" s="4281">
        <f t="shared" si="65"/>
        <v>0</v>
      </c>
      <c r="H157" s="3457">
        <f t="shared" si="66"/>
        <v>0</v>
      </c>
      <c r="I157" s="4282"/>
      <c r="J157" s="4282"/>
      <c r="K157" s="4282"/>
      <c r="L157" s="4282"/>
      <c r="M157" s="4282"/>
      <c r="N157" s="4282"/>
      <c r="O157" s="4282"/>
      <c r="P157" s="4282"/>
      <c r="Q157" s="4282"/>
      <c r="R157" s="4282"/>
      <c r="S157" s="4282"/>
      <c r="T157" s="4282"/>
      <c r="U157" s="4282"/>
      <c r="V157" s="4282"/>
      <c r="W157" s="4282"/>
      <c r="X157" s="4282"/>
      <c r="Y157" s="4282"/>
      <c r="Z157" s="4282"/>
      <c r="AA157" s="4282"/>
      <c r="AB157" s="4282"/>
      <c r="AC157" s="1188">
        <f t="shared" si="67"/>
        <v>0</v>
      </c>
      <c r="AD157" s="4278"/>
      <c r="AE157" s="4278"/>
      <c r="AF157" s="4278"/>
      <c r="AG157" s="4278"/>
      <c r="AH157" s="4278"/>
      <c r="AI157" s="4278"/>
      <c r="AJ157" s="4278"/>
      <c r="AK157" s="4278"/>
      <c r="AL157" s="4278"/>
      <c r="AM157" s="4278"/>
      <c r="AN157" s="4278"/>
      <c r="AO157" s="4278"/>
      <c r="AP157" s="4278"/>
      <c r="AQ157" s="4278"/>
      <c r="AR157" s="4278"/>
      <c r="AS157" s="4278"/>
      <c r="AT157" s="4279"/>
      <c r="AU157" s="4283"/>
      <c r="AV157" s="1188">
        <f t="shared" si="91"/>
        <v>0</v>
      </c>
      <c r="AW157" s="1188">
        <f t="shared" si="92"/>
        <v>0</v>
      </c>
      <c r="AX157" s="1188">
        <f t="shared" si="93"/>
        <v>0</v>
      </c>
      <c r="AY157" s="1452">
        <f t="shared" si="68"/>
        <v>0</v>
      </c>
      <c r="AZ157" s="4284">
        <f t="shared" si="69"/>
        <v>0</v>
      </c>
      <c r="BA157" s="4284">
        <f t="shared" si="70"/>
        <v>0</v>
      </c>
      <c r="BB157" s="4284">
        <f t="shared" si="71"/>
        <v>0</v>
      </c>
      <c r="BC157" s="4284">
        <f t="shared" si="72"/>
        <v>0</v>
      </c>
      <c r="BD157" s="4284">
        <f t="shared" si="73"/>
        <v>0</v>
      </c>
      <c r="BE157" s="4284">
        <f t="shared" si="74"/>
        <v>0</v>
      </c>
      <c r="BF157" s="4284">
        <f t="shared" si="75"/>
        <v>0</v>
      </c>
      <c r="BG157" s="4284">
        <f t="shared" si="76"/>
        <v>0</v>
      </c>
      <c r="BH157" s="4284">
        <f t="shared" si="77"/>
        <v>0</v>
      </c>
      <c r="BI157" s="4284">
        <f t="shared" si="78"/>
        <v>0</v>
      </c>
      <c r="BJ157" s="4284">
        <f t="shared" si="79"/>
        <v>0</v>
      </c>
      <c r="BK157" s="4284">
        <f t="shared" si="80"/>
        <v>0</v>
      </c>
      <c r="BL157" s="4284">
        <f t="shared" si="81"/>
        <v>0</v>
      </c>
      <c r="BM157" s="4284">
        <f t="shared" si="82"/>
        <v>0</v>
      </c>
      <c r="BN157" s="4284">
        <f t="shared" si="83"/>
        <v>0</v>
      </c>
      <c r="BO157" s="4284">
        <f t="shared" si="84"/>
        <v>0</v>
      </c>
      <c r="BP157" s="4284">
        <f t="shared" si="85"/>
        <v>0</v>
      </c>
      <c r="BQ157" s="4284">
        <f t="shared" si="86"/>
        <v>0</v>
      </c>
      <c r="BR157" s="4284">
        <f t="shared" si="87"/>
        <v>0</v>
      </c>
      <c r="BS157" s="4284">
        <f t="shared" si="88"/>
        <v>0</v>
      </c>
      <c r="BT157" s="4285">
        <f t="shared" si="89"/>
        <v>0</v>
      </c>
    </row>
    <row r="158" spans="1:72">
      <c r="A158" s="4278"/>
      <c r="B158" s="4279"/>
      <c r="C158" s="4279"/>
      <c r="D158" s="4280"/>
      <c r="E158" s="1188">
        <f t="shared" si="90"/>
        <v>0</v>
      </c>
      <c r="F158" s="1680"/>
      <c r="G158" s="4281">
        <f t="shared" si="65"/>
        <v>0</v>
      </c>
      <c r="H158" s="3457">
        <f t="shared" si="66"/>
        <v>0</v>
      </c>
      <c r="I158" s="4282"/>
      <c r="J158" s="4282"/>
      <c r="K158" s="4282"/>
      <c r="L158" s="4282"/>
      <c r="M158" s="4282"/>
      <c r="N158" s="4282"/>
      <c r="O158" s="4282"/>
      <c r="P158" s="4282"/>
      <c r="Q158" s="4282"/>
      <c r="R158" s="4282"/>
      <c r="S158" s="4282"/>
      <c r="T158" s="4282"/>
      <c r="U158" s="4282"/>
      <c r="V158" s="4282"/>
      <c r="W158" s="4282"/>
      <c r="X158" s="4282"/>
      <c r="Y158" s="4282"/>
      <c r="Z158" s="4282"/>
      <c r="AA158" s="4282"/>
      <c r="AB158" s="4282"/>
      <c r="AC158" s="1188">
        <f t="shared" si="67"/>
        <v>0</v>
      </c>
      <c r="AD158" s="4278"/>
      <c r="AE158" s="4278"/>
      <c r="AF158" s="4278"/>
      <c r="AG158" s="4278"/>
      <c r="AH158" s="4278"/>
      <c r="AI158" s="4278"/>
      <c r="AJ158" s="4278"/>
      <c r="AK158" s="4278"/>
      <c r="AL158" s="4278"/>
      <c r="AM158" s="4278"/>
      <c r="AN158" s="4278"/>
      <c r="AO158" s="4278"/>
      <c r="AP158" s="4278"/>
      <c r="AQ158" s="4278"/>
      <c r="AR158" s="4278"/>
      <c r="AS158" s="4278"/>
      <c r="AT158" s="4279"/>
      <c r="AU158" s="4283"/>
      <c r="AV158" s="1188">
        <f t="shared" si="91"/>
        <v>0</v>
      </c>
      <c r="AW158" s="1188">
        <f t="shared" si="92"/>
        <v>0</v>
      </c>
      <c r="AX158" s="1188">
        <f t="shared" si="93"/>
        <v>0</v>
      </c>
      <c r="AY158" s="1452">
        <f t="shared" si="68"/>
        <v>0</v>
      </c>
      <c r="AZ158" s="4284">
        <f t="shared" si="69"/>
        <v>0</v>
      </c>
      <c r="BA158" s="4284">
        <f t="shared" si="70"/>
        <v>0</v>
      </c>
      <c r="BB158" s="4284">
        <f t="shared" si="71"/>
        <v>0</v>
      </c>
      <c r="BC158" s="4284">
        <f t="shared" si="72"/>
        <v>0</v>
      </c>
      <c r="BD158" s="4284">
        <f t="shared" si="73"/>
        <v>0</v>
      </c>
      <c r="BE158" s="4284">
        <f t="shared" si="74"/>
        <v>0</v>
      </c>
      <c r="BF158" s="4284">
        <f t="shared" si="75"/>
        <v>0</v>
      </c>
      <c r="BG158" s="4284">
        <f t="shared" si="76"/>
        <v>0</v>
      </c>
      <c r="BH158" s="4284">
        <f t="shared" si="77"/>
        <v>0</v>
      </c>
      <c r="BI158" s="4284">
        <f t="shared" si="78"/>
        <v>0</v>
      </c>
      <c r="BJ158" s="4284">
        <f t="shared" si="79"/>
        <v>0</v>
      </c>
      <c r="BK158" s="4284">
        <f t="shared" si="80"/>
        <v>0</v>
      </c>
      <c r="BL158" s="4284">
        <f t="shared" si="81"/>
        <v>0</v>
      </c>
      <c r="BM158" s="4284">
        <f t="shared" si="82"/>
        <v>0</v>
      </c>
      <c r="BN158" s="4284">
        <f t="shared" si="83"/>
        <v>0</v>
      </c>
      <c r="BO158" s="4284">
        <f t="shared" si="84"/>
        <v>0</v>
      </c>
      <c r="BP158" s="4284">
        <f t="shared" si="85"/>
        <v>0</v>
      </c>
      <c r="BQ158" s="4284">
        <f t="shared" si="86"/>
        <v>0</v>
      </c>
      <c r="BR158" s="4284">
        <f t="shared" si="87"/>
        <v>0</v>
      </c>
      <c r="BS158" s="4284">
        <f t="shared" si="88"/>
        <v>0</v>
      </c>
      <c r="BT158" s="4285">
        <f t="shared" si="89"/>
        <v>0</v>
      </c>
    </row>
    <row r="159" spans="1:72">
      <c r="A159" s="4278"/>
      <c r="B159" s="4279"/>
      <c r="C159" s="4279"/>
      <c r="D159" s="4280"/>
      <c r="E159" s="1188">
        <f t="shared" si="90"/>
        <v>0</v>
      </c>
      <c r="F159" s="1680"/>
      <c r="G159" s="4281">
        <f t="shared" si="65"/>
        <v>0</v>
      </c>
      <c r="H159" s="3457">
        <f t="shared" si="66"/>
        <v>0</v>
      </c>
      <c r="I159" s="4282"/>
      <c r="J159" s="4282"/>
      <c r="K159" s="4282"/>
      <c r="L159" s="4282"/>
      <c r="M159" s="4282"/>
      <c r="N159" s="4282"/>
      <c r="O159" s="4282"/>
      <c r="P159" s="4282"/>
      <c r="Q159" s="4282"/>
      <c r="R159" s="4282"/>
      <c r="S159" s="4282"/>
      <c r="T159" s="4282"/>
      <c r="U159" s="4282"/>
      <c r="V159" s="4282"/>
      <c r="W159" s="4282"/>
      <c r="X159" s="4282"/>
      <c r="Y159" s="4282"/>
      <c r="Z159" s="4282"/>
      <c r="AA159" s="4282"/>
      <c r="AB159" s="4282"/>
      <c r="AC159" s="1188">
        <f t="shared" si="67"/>
        <v>0</v>
      </c>
      <c r="AD159" s="4278"/>
      <c r="AE159" s="4278"/>
      <c r="AF159" s="4278"/>
      <c r="AG159" s="4278"/>
      <c r="AH159" s="4278"/>
      <c r="AI159" s="4278"/>
      <c r="AJ159" s="4278"/>
      <c r="AK159" s="4278"/>
      <c r="AL159" s="4278"/>
      <c r="AM159" s="4278"/>
      <c r="AN159" s="4278"/>
      <c r="AO159" s="4278"/>
      <c r="AP159" s="4278"/>
      <c r="AQ159" s="4278"/>
      <c r="AR159" s="4278"/>
      <c r="AS159" s="4278"/>
      <c r="AT159" s="4279"/>
      <c r="AU159" s="4283"/>
      <c r="AV159" s="1188">
        <f t="shared" si="91"/>
        <v>0</v>
      </c>
      <c r="AW159" s="1188">
        <f t="shared" si="92"/>
        <v>0</v>
      </c>
      <c r="AX159" s="1188">
        <f t="shared" si="93"/>
        <v>0</v>
      </c>
      <c r="AY159" s="1452">
        <f t="shared" si="68"/>
        <v>0</v>
      </c>
      <c r="AZ159" s="4284">
        <f t="shared" si="69"/>
        <v>0</v>
      </c>
      <c r="BA159" s="4284">
        <f t="shared" si="70"/>
        <v>0</v>
      </c>
      <c r="BB159" s="4284">
        <f t="shared" si="71"/>
        <v>0</v>
      </c>
      <c r="BC159" s="4284">
        <f t="shared" si="72"/>
        <v>0</v>
      </c>
      <c r="BD159" s="4284">
        <f t="shared" si="73"/>
        <v>0</v>
      </c>
      <c r="BE159" s="4284">
        <f t="shared" si="74"/>
        <v>0</v>
      </c>
      <c r="BF159" s="4284">
        <f t="shared" si="75"/>
        <v>0</v>
      </c>
      <c r="BG159" s="4284">
        <f t="shared" si="76"/>
        <v>0</v>
      </c>
      <c r="BH159" s="4284">
        <f t="shared" si="77"/>
        <v>0</v>
      </c>
      <c r="BI159" s="4284">
        <f t="shared" si="78"/>
        <v>0</v>
      </c>
      <c r="BJ159" s="4284">
        <f t="shared" si="79"/>
        <v>0</v>
      </c>
      <c r="BK159" s="4284">
        <f t="shared" si="80"/>
        <v>0</v>
      </c>
      <c r="BL159" s="4284">
        <f t="shared" si="81"/>
        <v>0</v>
      </c>
      <c r="BM159" s="4284">
        <f t="shared" si="82"/>
        <v>0</v>
      </c>
      <c r="BN159" s="4284">
        <f t="shared" si="83"/>
        <v>0</v>
      </c>
      <c r="BO159" s="4284">
        <f t="shared" si="84"/>
        <v>0</v>
      </c>
      <c r="BP159" s="4284">
        <f t="shared" si="85"/>
        <v>0</v>
      </c>
      <c r="BQ159" s="4284">
        <f t="shared" si="86"/>
        <v>0</v>
      </c>
      <c r="BR159" s="4284">
        <f t="shared" si="87"/>
        <v>0</v>
      </c>
      <c r="BS159" s="4284">
        <f t="shared" si="88"/>
        <v>0</v>
      </c>
      <c r="BT159" s="4285">
        <f t="shared" si="89"/>
        <v>0</v>
      </c>
    </row>
    <row r="160" spans="1:72">
      <c r="A160" s="4278"/>
      <c r="B160" s="4279"/>
      <c r="C160" s="4279"/>
      <c r="D160" s="4280"/>
      <c r="E160" s="1188">
        <f t="shared" si="90"/>
        <v>0</v>
      </c>
      <c r="F160" s="1680"/>
      <c r="G160" s="4281">
        <f t="shared" si="65"/>
        <v>0</v>
      </c>
      <c r="H160" s="3457">
        <f t="shared" si="66"/>
        <v>0</v>
      </c>
      <c r="I160" s="4282"/>
      <c r="J160" s="4282"/>
      <c r="K160" s="4282"/>
      <c r="L160" s="4282"/>
      <c r="M160" s="4282"/>
      <c r="N160" s="4282"/>
      <c r="O160" s="4282"/>
      <c r="P160" s="4282"/>
      <c r="Q160" s="4282"/>
      <c r="R160" s="4282"/>
      <c r="S160" s="4282"/>
      <c r="T160" s="4282"/>
      <c r="U160" s="4282"/>
      <c r="V160" s="4282"/>
      <c r="W160" s="4282"/>
      <c r="X160" s="4282"/>
      <c r="Y160" s="4282"/>
      <c r="Z160" s="4282"/>
      <c r="AA160" s="4282"/>
      <c r="AB160" s="4282"/>
      <c r="AC160" s="1188">
        <f t="shared" si="67"/>
        <v>0</v>
      </c>
      <c r="AD160" s="4278"/>
      <c r="AE160" s="4278"/>
      <c r="AF160" s="4278"/>
      <c r="AG160" s="4278"/>
      <c r="AH160" s="4278"/>
      <c r="AI160" s="4278"/>
      <c r="AJ160" s="4278"/>
      <c r="AK160" s="4278"/>
      <c r="AL160" s="4278"/>
      <c r="AM160" s="4278"/>
      <c r="AN160" s="4278"/>
      <c r="AO160" s="4278"/>
      <c r="AP160" s="4278"/>
      <c r="AQ160" s="4278"/>
      <c r="AR160" s="4278"/>
      <c r="AS160" s="4278"/>
      <c r="AT160" s="4279"/>
      <c r="AU160" s="4283"/>
      <c r="AV160" s="1188">
        <f t="shared" si="91"/>
        <v>0</v>
      </c>
      <c r="AW160" s="1188">
        <f t="shared" si="92"/>
        <v>0</v>
      </c>
      <c r="AX160" s="1188">
        <f t="shared" si="93"/>
        <v>0</v>
      </c>
      <c r="AY160" s="1452">
        <f t="shared" si="68"/>
        <v>0</v>
      </c>
      <c r="AZ160" s="4284">
        <f t="shared" si="69"/>
        <v>0</v>
      </c>
      <c r="BA160" s="4284">
        <f t="shared" si="70"/>
        <v>0</v>
      </c>
      <c r="BB160" s="4284">
        <f t="shared" si="71"/>
        <v>0</v>
      </c>
      <c r="BC160" s="4284">
        <f t="shared" si="72"/>
        <v>0</v>
      </c>
      <c r="BD160" s="4284">
        <f t="shared" si="73"/>
        <v>0</v>
      </c>
      <c r="BE160" s="4284">
        <f t="shared" si="74"/>
        <v>0</v>
      </c>
      <c r="BF160" s="4284">
        <f t="shared" si="75"/>
        <v>0</v>
      </c>
      <c r="BG160" s="4284">
        <f t="shared" si="76"/>
        <v>0</v>
      </c>
      <c r="BH160" s="4284">
        <f t="shared" si="77"/>
        <v>0</v>
      </c>
      <c r="BI160" s="4284">
        <f t="shared" si="78"/>
        <v>0</v>
      </c>
      <c r="BJ160" s="4284">
        <f t="shared" si="79"/>
        <v>0</v>
      </c>
      <c r="BK160" s="4284">
        <f t="shared" si="80"/>
        <v>0</v>
      </c>
      <c r="BL160" s="4284">
        <f t="shared" si="81"/>
        <v>0</v>
      </c>
      <c r="BM160" s="4284">
        <f t="shared" si="82"/>
        <v>0</v>
      </c>
      <c r="BN160" s="4284">
        <f t="shared" si="83"/>
        <v>0</v>
      </c>
      <c r="BO160" s="4284">
        <f t="shared" si="84"/>
        <v>0</v>
      </c>
      <c r="BP160" s="4284">
        <f t="shared" si="85"/>
        <v>0</v>
      </c>
      <c r="BQ160" s="4284">
        <f t="shared" si="86"/>
        <v>0</v>
      </c>
      <c r="BR160" s="4284">
        <f t="shared" si="87"/>
        <v>0</v>
      </c>
      <c r="BS160" s="4284">
        <f t="shared" si="88"/>
        <v>0</v>
      </c>
      <c r="BT160" s="4285">
        <f t="shared" si="89"/>
        <v>0</v>
      </c>
    </row>
    <row r="161" spans="1:72">
      <c r="A161" s="4278"/>
      <c r="B161" s="4279"/>
      <c r="C161" s="4279"/>
      <c r="D161" s="4280"/>
      <c r="E161" s="1188">
        <f t="shared" si="90"/>
        <v>0</v>
      </c>
      <c r="F161" s="1680"/>
      <c r="G161" s="4281">
        <f t="shared" si="65"/>
        <v>0</v>
      </c>
      <c r="H161" s="3457">
        <f t="shared" si="66"/>
        <v>0</v>
      </c>
      <c r="I161" s="4282"/>
      <c r="J161" s="4282"/>
      <c r="K161" s="4282"/>
      <c r="L161" s="4282"/>
      <c r="M161" s="4282"/>
      <c r="N161" s="4282"/>
      <c r="O161" s="4282"/>
      <c r="P161" s="4282"/>
      <c r="Q161" s="4282"/>
      <c r="R161" s="4282"/>
      <c r="S161" s="4282"/>
      <c r="T161" s="4282"/>
      <c r="U161" s="4282"/>
      <c r="V161" s="4282"/>
      <c r="W161" s="4282"/>
      <c r="X161" s="4282"/>
      <c r="Y161" s="4282"/>
      <c r="Z161" s="4282"/>
      <c r="AA161" s="4282"/>
      <c r="AB161" s="4282"/>
      <c r="AC161" s="1188">
        <f t="shared" si="67"/>
        <v>0</v>
      </c>
      <c r="AD161" s="4278"/>
      <c r="AE161" s="4278"/>
      <c r="AF161" s="4278"/>
      <c r="AG161" s="4278"/>
      <c r="AH161" s="4278"/>
      <c r="AI161" s="4278"/>
      <c r="AJ161" s="4278"/>
      <c r="AK161" s="4278"/>
      <c r="AL161" s="4278"/>
      <c r="AM161" s="4278"/>
      <c r="AN161" s="4278"/>
      <c r="AO161" s="4278"/>
      <c r="AP161" s="4278"/>
      <c r="AQ161" s="4278"/>
      <c r="AR161" s="4278"/>
      <c r="AS161" s="4278"/>
      <c r="AT161" s="4279"/>
      <c r="AU161" s="4283"/>
      <c r="AV161" s="1188">
        <f t="shared" si="91"/>
        <v>0</v>
      </c>
      <c r="AW161" s="1188">
        <f t="shared" si="92"/>
        <v>0</v>
      </c>
      <c r="AX161" s="1188">
        <f t="shared" si="93"/>
        <v>0</v>
      </c>
      <c r="AY161" s="1452">
        <f t="shared" si="68"/>
        <v>0</v>
      </c>
      <c r="AZ161" s="4284">
        <f t="shared" si="69"/>
        <v>0</v>
      </c>
      <c r="BA161" s="4284">
        <f t="shared" si="70"/>
        <v>0</v>
      </c>
      <c r="BB161" s="4284">
        <f t="shared" si="71"/>
        <v>0</v>
      </c>
      <c r="BC161" s="4284">
        <f t="shared" si="72"/>
        <v>0</v>
      </c>
      <c r="BD161" s="4284">
        <f t="shared" si="73"/>
        <v>0</v>
      </c>
      <c r="BE161" s="4284">
        <f t="shared" si="74"/>
        <v>0</v>
      </c>
      <c r="BF161" s="4284">
        <f t="shared" si="75"/>
        <v>0</v>
      </c>
      <c r="BG161" s="4284">
        <f t="shared" si="76"/>
        <v>0</v>
      </c>
      <c r="BH161" s="4284">
        <f t="shared" si="77"/>
        <v>0</v>
      </c>
      <c r="BI161" s="4284">
        <f t="shared" si="78"/>
        <v>0</v>
      </c>
      <c r="BJ161" s="4284">
        <f t="shared" si="79"/>
        <v>0</v>
      </c>
      <c r="BK161" s="4284">
        <f t="shared" si="80"/>
        <v>0</v>
      </c>
      <c r="BL161" s="4284">
        <f t="shared" si="81"/>
        <v>0</v>
      </c>
      <c r="BM161" s="4284">
        <f t="shared" si="82"/>
        <v>0</v>
      </c>
      <c r="BN161" s="4284">
        <f t="shared" si="83"/>
        <v>0</v>
      </c>
      <c r="BO161" s="4284">
        <f t="shared" si="84"/>
        <v>0</v>
      </c>
      <c r="BP161" s="4284">
        <f t="shared" si="85"/>
        <v>0</v>
      </c>
      <c r="BQ161" s="4284">
        <f t="shared" si="86"/>
        <v>0</v>
      </c>
      <c r="BR161" s="4284">
        <f t="shared" si="87"/>
        <v>0</v>
      </c>
      <c r="BS161" s="4284">
        <f t="shared" si="88"/>
        <v>0</v>
      </c>
      <c r="BT161" s="4285">
        <f t="shared" si="89"/>
        <v>0</v>
      </c>
    </row>
    <row r="162" spans="1:72">
      <c r="A162" s="4278"/>
      <c r="B162" s="4279"/>
      <c r="C162" s="4279"/>
      <c r="D162" s="4280"/>
      <c r="E162" s="1188">
        <f t="shared" si="90"/>
        <v>0</v>
      </c>
      <c r="F162" s="1680"/>
      <c r="G162" s="4281">
        <f t="shared" si="65"/>
        <v>0</v>
      </c>
      <c r="H162" s="3457">
        <f t="shared" si="66"/>
        <v>0</v>
      </c>
      <c r="I162" s="4282"/>
      <c r="J162" s="4282"/>
      <c r="K162" s="4282"/>
      <c r="L162" s="4282"/>
      <c r="M162" s="4282"/>
      <c r="N162" s="4282"/>
      <c r="O162" s="4282"/>
      <c r="P162" s="4282"/>
      <c r="Q162" s="4282"/>
      <c r="R162" s="4282"/>
      <c r="S162" s="4282"/>
      <c r="T162" s="4282"/>
      <c r="U162" s="4282"/>
      <c r="V162" s="4282"/>
      <c r="W162" s="4282"/>
      <c r="X162" s="4282"/>
      <c r="Y162" s="4282"/>
      <c r="Z162" s="4282"/>
      <c r="AA162" s="4282"/>
      <c r="AB162" s="4282"/>
      <c r="AC162" s="1188">
        <f t="shared" si="67"/>
        <v>0</v>
      </c>
      <c r="AD162" s="4278"/>
      <c r="AE162" s="4278"/>
      <c r="AF162" s="4278"/>
      <c r="AG162" s="4278"/>
      <c r="AH162" s="4278"/>
      <c r="AI162" s="4278"/>
      <c r="AJ162" s="4278"/>
      <c r="AK162" s="4278"/>
      <c r="AL162" s="4278"/>
      <c r="AM162" s="4278"/>
      <c r="AN162" s="4278"/>
      <c r="AO162" s="4278"/>
      <c r="AP162" s="4278"/>
      <c r="AQ162" s="4278"/>
      <c r="AR162" s="4278"/>
      <c r="AS162" s="4278"/>
      <c r="AT162" s="4279"/>
      <c r="AU162" s="4283"/>
      <c r="AV162" s="1188">
        <f t="shared" si="91"/>
        <v>0</v>
      </c>
      <c r="AW162" s="1188">
        <f t="shared" si="92"/>
        <v>0</v>
      </c>
      <c r="AX162" s="1188">
        <f t="shared" si="93"/>
        <v>0</v>
      </c>
      <c r="AY162" s="1452">
        <f t="shared" si="68"/>
        <v>0</v>
      </c>
      <c r="AZ162" s="4284">
        <f t="shared" si="69"/>
        <v>0</v>
      </c>
      <c r="BA162" s="4284">
        <f t="shared" si="70"/>
        <v>0</v>
      </c>
      <c r="BB162" s="4284">
        <f t="shared" si="71"/>
        <v>0</v>
      </c>
      <c r="BC162" s="4284">
        <f t="shared" si="72"/>
        <v>0</v>
      </c>
      <c r="BD162" s="4284">
        <f t="shared" si="73"/>
        <v>0</v>
      </c>
      <c r="BE162" s="4284">
        <f t="shared" si="74"/>
        <v>0</v>
      </c>
      <c r="BF162" s="4284">
        <f t="shared" si="75"/>
        <v>0</v>
      </c>
      <c r="BG162" s="4284">
        <f t="shared" si="76"/>
        <v>0</v>
      </c>
      <c r="BH162" s="4284">
        <f t="shared" si="77"/>
        <v>0</v>
      </c>
      <c r="BI162" s="4284">
        <f t="shared" si="78"/>
        <v>0</v>
      </c>
      <c r="BJ162" s="4284">
        <f t="shared" si="79"/>
        <v>0</v>
      </c>
      <c r="BK162" s="4284">
        <f t="shared" si="80"/>
        <v>0</v>
      </c>
      <c r="BL162" s="4284">
        <f t="shared" si="81"/>
        <v>0</v>
      </c>
      <c r="BM162" s="4284">
        <f t="shared" si="82"/>
        <v>0</v>
      </c>
      <c r="BN162" s="4284">
        <f t="shared" si="83"/>
        <v>0</v>
      </c>
      <c r="BO162" s="4284">
        <f t="shared" si="84"/>
        <v>0</v>
      </c>
      <c r="BP162" s="4284">
        <f t="shared" si="85"/>
        <v>0</v>
      </c>
      <c r="BQ162" s="4284">
        <f t="shared" si="86"/>
        <v>0</v>
      </c>
      <c r="BR162" s="4284">
        <f t="shared" si="87"/>
        <v>0</v>
      </c>
      <c r="BS162" s="4284">
        <f t="shared" si="88"/>
        <v>0</v>
      </c>
      <c r="BT162" s="4285">
        <f t="shared" si="89"/>
        <v>0</v>
      </c>
    </row>
    <row r="163" spans="1:72">
      <c r="A163" s="4278"/>
      <c r="B163" s="4279"/>
      <c r="C163" s="4279"/>
      <c r="D163" s="4280"/>
      <c r="E163" s="1188">
        <f t="shared" si="90"/>
        <v>0</v>
      </c>
      <c r="F163" s="1680"/>
      <c r="G163" s="4281">
        <f t="shared" si="65"/>
        <v>0</v>
      </c>
      <c r="H163" s="3457">
        <f t="shared" si="66"/>
        <v>0</v>
      </c>
      <c r="I163" s="4282"/>
      <c r="J163" s="4282"/>
      <c r="K163" s="4282"/>
      <c r="L163" s="4282"/>
      <c r="M163" s="4282"/>
      <c r="N163" s="4282"/>
      <c r="O163" s="4282"/>
      <c r="P163" s="4282"/>
      <c r="Q163" s="4282"/>
      <c r="R163" s="4282"/>
      <c r="S163" s="4282"/>
      <c r="T163" s="4282"/>
      <c r="U163" s="4282"/>
      <c r="V163" s="4282"/>
      <c r="W163" s="4282"/>
      <c r="X163" s="4282"/>
      <c r="Y163" s="4282"/>
      <c r="Z163" s="4282"/>
      <c r="AA163" s="4282"/>
      <c r="AB163" s="4282"/>
      <c r="AC163" s="1188">
        <f t="shared" si="67"/>
        <v>0</v>
      </c>
      <c r="AD163" s="4278"/>
      <c r="AE163" s="4278"/>
      <c r="AF163" s="4278"/>
      <c r="AG163" s="4278"/>
      <c r="AH163" s="4278"/>
      <c r="AI163" s="4278"/>
      <c r="AJ163" s="4278"/>
      <c r="AK163" s="4278"/>
      <c r="AL163" s="4278"/>
      <c r="AM163" s="4278"/>
      <c r="AN163" s="4278"/>
      <c r="AO163" s="4278"/>
      <c r="AP163" s="4278"/>
      <c r="AQ163" s="4278"/>
      <c r="AR163" s="4278"/>
      <c r="AS163" s="4278"/>
      <c r="AT163" s="4279"/>
      <c r="AU163" s="4283"/>
      <c r="AV163" s="1188">
        <f t="shared" si="91"/>
        <v>0</v>
      </c>
      <c r="AW163" s="1188">
        <f t="shared" si="92"/>
        <v>0</v>
      </c>
      <c r="AX163" s="1188">
        <f t="shared" si="93"/>
        <v>0</v>
      </c>
      <c r="AY163" s="1452">
        <f t="shared" si="68"/>
        <v>0</v>
      </c>
      <c r="AZ163" s="4284">
        <f t="shared" si="69"/>
        <v>0</v>
      </c>
      <c r="BA163" s="4284">
        <f t="shared" si="70"/>
        <v>0</v>
      </c>
      <c r="BB163" s="4284">
        <f t="shared" si="71"/>
        <v>0</v>
      </c>
      <c r="BC163" s="4284">
        <f t="shared" si="72"/>
        <v>0</v>
      </c>
      <c r="BD163" s="4284">
        <f t="shared" si="73"/>
        <v>0</v>
      </c>
      <c r="BE163" s="4284">
        <f t="shared" si="74"/>
        <v>0</v>
      </c>
      <c r="BF163" s="4284">
        <f t="shared" si="75"/>
        <v>0</v>
      </c>
      <c r="BG163" s="4284">
        <f t="shared" si="76"/>
        <v>0</v>
      </c>
      <c r="BH163" s="4284">
        <f t="shared" si="77"/>
        <v>0</v>
      </c>
      <c r="BI163" s="4284">
        <f t="shared" si="78"/>
        <v>0</v>
      </c>
      <c r="BJ163" s="4284">
        <f t="shared" si="79"/>
        <v>0</v>
      </c>
      <c r="BK163" s="4284">
        <f t="shared" si="80"/>
        <v>0</v>
      </c>
      <c r="BL163" s="4284">
        <f t="shared" si="81"/>
        <v>0</v>
      </c>
      <c r="BM163" s="4284">
        <f t="shared" si="82"/>
        <v>0</v>
      </c>
      <c r="BN163" s="4284">
        <f t="shared" si="83"/>
        <v>0</v>
      </c>
      <c r="BO163" s="4284">
        <f t="shared" si="84"/>
        <v>0</v>
      </c>
      <c r="BP163" s="4284">
        <f t="shared" si="85"/>
        <v>0</v>
      </c>
      <c r="BQ163" s="4284">
        <f t="shared" si="86"/>
        <v>0</v>
      </c>
      <c r="BR163" s="4284">
        <f t="shared" si="87"/>
        <v>0</v>
      </c>
      <c r="BS163" s="4284">
        <f t="shared" si="88"/>
        <v>0</v>
      </c>
      <c r="BT163" s="4285">
        <f t="shared" si="89"/>
        <v>0</v>
      </c>
    </row>
    <row r="164" spans="1:72">
      <c r="A164" s="4278"/>
      <c r="B164" s="4279"/>
      <c r="C164" s="4279"/>
      <c r="D164" s="4280"/>
      <c r="E164" s="1188">
        <f t="shared" si="90"/>
        <v>0</v>
      </c>
      <c r="F164" s="1680"/>
      <c r="G164" s="4281">
        <f t="shared" si="65"/>
        <v>0</v>
      </c>
      <c r="H164" s="3457">
        <f t="shared" si="66"/>
        <v>0</v>
      </c>
      <c r="I164" s="4282"/>
      <c r="J164" s="4282"/>
      <c r="K164" s="4282"/>
      <c r="L164" s="4282"/>
      <c r="M164" s="4282"/>
      <c r="N164" s="4282"/>
      <c r="O164" s="4282"/>
      <c r="P164" s="4282"/>
      <c r="Q164" s="4282"/>
      <c r="R164" s="4282"/>
      <c r="S164" s="4282"/>
      <c r="T164" s="4282"/>
      <c r="U164" s="4282"/>
      <c r="V164" s="4282"/>
      <c r="W164" s="4282"/>
      <c r="X164" s="4282"/>
      <c r="Y164" s="4282"/>
      <c r="Z164" s="4282"/>
      <c r="AA164" s="4282"/>
      <c r="AB164" s="4282"/>
      <c r="AC164" s="1188">
        <f t="shared" si="67"/>
        <v>0</v>
      </c>
      <c r="AD164" s="4278"/>
      <c r="AE164" s="4278"/>
      <c r="AF164" s="4278"/>
      <c r="AG164" s="4278"/>
      <c r="AH164" s="4278"/>
      <c r="AI164" s="4278"/>
      <c r="AJ164" s="4278"/>
      <c r="AK164" s="4278"/>
      <c r="AL164" s="4278"/>
      <c r="AM164" s="4278"/>
      <c r="AN164" s="4278"/>
      <c r="AO164" s="4278"/>
      <c r="AP164" s="4278"/>
      <c r="AQ164" s="4278"/>
      <c r="AR164" s="4278"/>
      <c r="AS164" s="4278"/>
      <c r="AT164" s="4279"/>
      <c r="AU164" s="4283"/>
      <c r="AV164" s="1188">
        <f t="shared" si="91"/>
        <v>0</v>
      </c>
      <c r="AW164" s="1188">
        <f t="shared" si="92"/>
        <v>0</v>
      </c>
      <c r="AX164" s="1188">
        <f t="shared" si="93"/>
        <v>0</v>
      </c>
      <c r="AY164" s="1452">
        <f t="shared" si="68"/>
        <v>0</v>
      </c>
      <c r="AZ164" s="4284">
        <f t="shared" si="69"/>
        <v>0</v>
      </c>
      <c r="BA164" s="4284">
        <f t="shared" si="70"/>
        <v>0</v>
      </c>
      <c r="BB164" s="4284">
        <f t="shared" si="71"/>
        <v>0</v>
      </c>
      <c r="BC164" s="4284">
        <f t="shared" si="72"/>
        <v>0</v>
      </c>
      <c r="BD164" s="4284">
        <f t="shared" si="73"/>
        <v>0</v>
      </c>
      <c r="BE164" s="4284">
        <f t="shared" si="74"/>
        <v>0</v>
      </c>
      <c r="BF164" s="4284">
        <f t="shared" si="75"/>
        <v>0</v>
      </c>
      <c r="BG164" s="4284">
        <f t="shared" si="76"/>
        <v>0</v>
      </c>
      <c r="BH164" s="4284">
        <f t="shared" si="77"/>
        <v>0</v>
      </c>
      <c r="BI164" s="4284">
        <f t="shared" si="78"/>
        <v>0</v>
      </c>
      <c r="BJ164" s="4284">
        <f t="shared" si="79"/>
        <v>0</v>
      </c>
      <c r="BK164" s="4284">
        <f t="shared" si="80"/>
        <v>0</v>
      </c>
      <c r="BL164" s="4284">
        <f t="shared" si="81"/>
        <v>0</v>
      </c>
      <c r="BM164" s="4284">
        <f t="shared" si="82"/>
        <v>0</v>
      </c>
      <c r="BN164" s="4284">
        <f t="shared" si="83"/>
        <v>0</v>
      </c>
      <c r="BO164" s="4284">
        <f t="shared" si="84"/>
        <v>0</v>
      </c>
      <c r="BP164" s="4284">
        <f t="shared" si="85"/>
        <v>0</v>
      </c>
      <c r="BQ164" s="4284">
        <f t="shared" si="86"/>
        <v>0</v>
      </c>
      <c r="BR164" s="4284">
        <f t="shared" si="87"/>
        <v>0</v>
      </c>
      <c r="BS164" s="4284">
        <f t="shared" si="88"/>
        <v>0</v>
      </c>
      <c r="BT164" s="4285">
        <f t="shared" si="89"/>
        <v>0</v>
      </c>
    </row>
    <row r="165" spans="1:72">
      <c r="A165" s="4278"/>
      <c r="B165" s="4279"/>
      <c r="C165" s="4279"/>
      <c r="D165" s="4280"/>
      <c r="E165" s="1188">
        <f t="shared" si="90"/>
        <v>0</v>
      </c>
      <c r="F165" s="1680"/>
      <c r="G165" s="4281">
        <f t="shared" si="65"/>
        <v>0</v>
      </c>
      <c r="H165" s="3457">
        <f t="shared" si="66"/>
        <v>0</v>
      </c>
      <c r="I165" s="4282"/>
      <c r="J165" s="4282"/>
      <c r="K165" s="4282"/>
      <c r="L165" s="4282"/>
      <c r="M165" s="4282"/>
      <c r="N165" s="4282"/>
      <c r="O165" s="4282"/>
      <c r="P165" s="4282"/>
      <c r="Q165" s="4282"/>
      <c r="R165" s="4282"/>
      <c r="S165" s="4282"/>
      <c r="T165" s="4282"/>
      <c r="U165" s="4282"/>
      <c r="V165" s="4282"/>
      <c r="W165" s="4282"/>
      <c r="X165" s="4282"/>
      <c r="Y165" s="4282"/>
      <c r="Z165" s="4282"/>
      <c r="AA165" s="4282"/>
      <c r="AB165" s="4282"/>
      <c r="AC165" s="1188">
        <f t="shared" si="67"/>
        <v>0</v>
      </c>
      <c r="AD165" s="4278"/>
      <c r="AE165" s="4278"/>
      <c r="AF165" s="4278"/>
      <c r="AG165" s="4278"/>
      <c r="AH165" s="4278"/>
      <c r="AI165" s="4278"/>
      <c r="AJ165" s="4278"/>
      <c r="AK165" s="4278"/>
      <c r="AL165" s="4278"/>
      <c r="AM165" s="4278"/>
      <c r="AN165" s="4278"/>
      <c r="AO165" s="4278"/>
      <c r="AP165" s="4278"/>
      <c r="AQ165" s="4278"/>
      <c r="AR165" s="4278"/>
      <c r="AS165" s="4278"/>
      <c r="AT165" s="4279"/>
      <c r="AU165" s="4283"/>
      <c r="AV165" s="1188">
        <f t="shared" si="91"/>
        <v>0</v>
      </c>
      <c r="AW165" s="1188">
        <f t="shared" si="92"/>
        <v>0</v>
      </c>
      <c r="AX165" s="1188">
        <f t="shared" si="93"/>
        <v>0</v>
      </c>
      <c r="AY165" s="1452">
        <f t="shared" si="68"/>
        <v>0</v>
      </c>
      <c r="AZ165" s="4284">
        <f t="shared" si="69"/>
        <v>0</v>
      </c>
      <c r="BA165" s="4284">
        <f t="shared" si="70"/>
        <v>0</v>
      </c>
      <c r="BB165" s="4284">
        <f t="shared" si="71"/>
        <v>0</v>
      </c>
      <c r="BC165" s="4284">
        <f t="shared" si="72"/>
        <v>0</v>
      </c>
      <c r="BD165" s="4284">
        <f t="shared" si="73"/>
        <v>0</v>
      </c>
      <c r="BE165" s="4284">
        <f t="shared" si="74"/>
        <v>0</v>
      </c>
      <c r="BF165" s="4284">
        <f t="shared" si="75"/>
        <v>0</v>
      </c>
      <c r="BG165" s="4284">
        <f t="shared" si="76"/>
        <v>0</v>
      </c>
      <c r="BH165" s="4284">
        <f t="shared" si="77"/>
        <v>0</v>
      </c>
      <c r="BI165" s="4284">
        <f t="shared" si="78"/>
        <v>0</v>
      </c>
      <c r="BJ165" s="4284">
        <f t="shared" si="79"/>
        <v>0</v>
      </c>
      <c r="BK165" s="4284">
        <f t="shared" si="80"/>
        <v>0</v>
      </c>
      <c r="BL165" s="4284">
        <f t="shared" si="81"/>
        <v>0</v>
      </c>
      <c r="BM165" s="4284">
        <f t="shared" si="82"/>
        <v>0</v>
      </c>
      <c r="BN165" s="4284">
        <f t="shared" si="83"/>
        <v>0</v>
      </c>
      <c r="BO165" s="4284">
        <f t="shared" si="84"/>
        <v>0</v>
      </c>
      <c r="BP165" s="4284">
        <f t="shared" si="85"/>
        <v>0</v>
      </c>
      <c r="BQ165" s="4284">
        <f t="shared" si="86"/>
        <v>0</v>
      </c>
      <c r="BR165" s="4284">
        <f t="shared" si="87"/>
        <v>0</v>
      </c>
      <c r="BS165" s="4284">
        <f t="shared" si="88"/>
        <v>0</v>
      </c>
      <c r="BT165" s="4285">
        <f t="shared" si="89"/>
        <v>0</v>
      </c>
    </row>
    <row r="166" spans="1:72">
      <c r="A166" s="4278"/>
      <c r="B166" s="4279"/>
      <c r="C166" s="4279"/>
      <c r="D166" s="4280"/>
      <c r="E166" s="1188">
        <f t="shared" si="90"/>
        <v>0</v>
      </c>
      <c r="F166" s="1680"/>
      <c r="G166" s="4281">
        <f t="shared" si="65"/>
        <v>0</v>
      </c>
      <c r="H166" s="3457">
        <f t="shared" si="66"/>
        <v>0</v>
      </c>
      <c r="I166" s="4282"/>
      <c r="J166" s="4282"/>
      <c r="K166" s="4282"/>
      <c r="L166" s="4282"/>
      <c r="M166" s="4282"/>
      <c r="N166" s="4282"/>
      <c r="O166" s="4282"/>
      <c r="P166" s="4282"/>
      <c r="Q166" s="4282"/>
      <c r="R166" s="4282"/>
      <c r="S166" s="4282"/>
      <c r="T166" s="4282"/>
      <c r="U166" s="4282"/>
      <c r="V166" s="4282"/>
      <c r="W166" s="4282"/>
      <c r="X166" s="4282"/>
      <c r="Y166" s="4282"/>
      <c r="Z166" s="4282"/>
      <c r="AA166" s="4282"/>
      <c r="AB166" s="4282"/>
      <c r="AC166" s="1188">
        <f t="shared" si="67"/>
        <v>0</v>
      </c>
      <c r="AD166" s="4278"/>
      <c r="AE166" s="4278"/>
      <c r="AF166" s="4278"/>
      <c r="AG166" s="4278"/>
      <c r="AH166" s="4278"/>
      <c r="AI166" s="4278"/>
      <c r="AJ166" s="4278"/>
      <c r="AK166" s="4278"/>
      <c r="AL166" s="4278"/>
      <c r="AM166" s="4278"/>
      <c r="AN166" s="4278"/>
      <c r="AO166" s="4278"/>
      <c r="AP166" s="4278"/>
      <c r="AQ166" s="4278"/>
      <c r="AR166" s="4278"/>
      <c r="AS166" s="4278"/>
      <c r="AT166" s="4279"/>
      <c r="AU166" s="4283"/>
      <c r="AV166" s="1188">
        <f t="shared" si="91"/>
        <v>0</v>
      </c>
      <c r="AW166" s="1188">
        <f t="shared" si="92"/>
        <v>0</v>
      </c>
      <c r="AX166" s="1188">
        <f t="shared" si="93"/>
        <v>0</v>
      </c>
      <c r="AY166" s="1452">
        <f t="shared" si="68"/>
        <v>0</v>
      </c>
      <c r="AZ166" s="4284">
        <f t="shared" si="69"/>
        <v>0</v>
      </c>
      <c r="BA166" s="4284">
        <f t="shared" si="70"/>
        <v>0</v>
      </c>
      <c r="BB166" s="4284">
        <f t="shared" si="71"/>
        <v>0</v>
      </c>
      <c r="BC166" s="4284">
        <f t="shared" si="72"/>
        <v>0</v>
      </c>
      <c r="BD166" s="4284">
        <f t="shared" si="73"/>
        <v>0</v>
      </c>
      <c r="BE166" s="4284">
        <f t="shared" si="74"/>
        <v>0</v>
      </c>
      <c r="BF166" s="4284">
        <f t="shared" si="75"/>
        <v>0</v>
      </c>
      <c r="BG166" s="4284">
        <f t="shared" si="76"/>
        <v>0</v>
      </c>
      <c r="BH166" s="4284">
        <f t="shared" si="77"/>
        <v>0</v>
      </c>
      <c r="BI166" s="4284">
        <f t="shared" si="78"/>
        <v>0</v>
      </c>
      <c r="BJ166" s="4284">
        <f t="shared" si="79"/>
        <v>0</v>
      </c>
      <c r="BK166" s="4284">
        <f t="shared" si="80"/>
        <v>0</v>
      </c>
      <c r="BL166" s="4284">
        <f t="shared" si="81"/>
        <v>0</v>
      </c>
      <c r="BM166" s="4284">
        <f t="shared" si="82"/>
        <v>0</v>
      </c>
      <c r="BN166" s="4284">
        <f t="shared" si="83"/>
        <v>0</v>
      </c>
      <c r="BO166" s="4284">
        <f t="shared" si="84"/>
        <v>0</v>
      </c>
      <c r="BP166" s="4284">
        <f t="shared" si="85"/>
        <v>0</v>
      </c>
      <c r="BQ166" s="4284">
        <f t="shared" si="86"/>
        <v>0</v>
      </c>
      <c r="BR166" s="4284">
        <f t="shared" si="87"/>
        <v>0</v>
      </c>
      <c r="BS166" s="4284">
        <f t="shared" si="88"/>
        <v>0</v>
      </c>
      <c r="BT166" s="4285">
        <f t="shared" si="89"/>
        <v>0</v>
      </c>
    </row>
    <row r="167" spans="1:72">
      <c r="A167" s="4278"/>
      <c r="B167" s="4279"/>
      <c r="C167" s="4279"/>
      <c r="D167" s="4280"/>
      <c r="E167" s="1188">
        <f t="shared" si="90"/>
        <v>0</v>
      </c>
      <c r="F167" s="1680"/>
      <c r="G167" s="4281">
        <f t="shared" si="65"/>
        <v>0</v>
      </c>
      <c r="H167" s="3457">
        <f t="shared" si="66"/>
        <v>0</v>
      </c>
      <c r="I167" s="4282"/>
      <c r="J167" s="4282"/>
      <c r="K167" s="4282"/>
      <c r="L167" s="4282"/>
      <c r="M167" s="4282"/>
      <c r="N167" s="4282"/>
      <c r="O167" s="4282"/>
      <c r="P167" s="4282"/>
      <c r="Q167" s="4282"/>
      <c r="R167" s="4282"/>
      <c r="S167" s="4282"/>
      <c r="T167" s="4282"/>
      <c r="U167" s="4282"/>
      <c r="V167" s="4282"/>
      <c r="W167" s="4282"/>
      <c r="X167" s="4282"/>
      <c r="Y167" s="4282"/>
      <c r="Z167" s="4282"/>
      <c r="AA167" s="4282"/>
      <c r="AB167" s="4282"/>
      <c r="AC167" s="1188">
        <f t="shared" si="67"/>
        <v>0</v>
      </c>
      <c r="AD167" s="4278"/>
      <c r="AE167" s="4278"/>
      <c r="AF167" s="4278"/>
      <c r="AG167" s="4278"/>
      <c r="AH167" s="4278"/>
      <c r="AI167" s="4278"/>
      <c r="AJ167" s="4278"/>
      <c r="AK167" s="4278"/>
      <c r="AL167" s="4278"/>
      <c r="AM167" s="4278"/>
      <c r="AN167" s="4278"/>
      <c r="AO167" s="4278"/>
      <c r="AP167" s="4278"/>
      <c r="AQ167" s="4278"/>
      <c r="AR167" s="4278"/>
      <c r="AS167" s="4278"/>
      <c r="AT167" s="4279"/>
      <c r="AU167" s="4283"/>
      <c r="AV167" s="1188">
        <f t="shared" si="91"/>
        <v>0</v>
      </c>
      <c r="AW167" s="1188">
        <f t="shared" si="92"/>
        <v>0</v>
      </c>
      <c r="AX167" s="1188">
        <f t="shared" si="93"/>
        <v>0</v>
      </c>
      <c r="AY167" s="1452">
        <f t="shared" si="68"/>
        <v>0</v>
      </c>
      <c r="AZ167" s="4284">
        <f t="shared" si="69"/>
        <v>0</v>
      </c>
      <c r="BA167" s="4284">
        <f t="shared" si="70"/>
        <v>0</v>
      </c>
      <c r="BB167" s="4284">
        <f t="shared" si="71"/>
        <v>0</v>
      </c>
      <c r="BC167" s="4284">
        <f t="shared" si="72"/>
        <v>0</v>
      </c>
      <c r="BD167" s="4284">
        <f t="shared" si="73"/>
        <v>0</v>
      </c>
      <c r="BE167" s="4284">
        <f t="shared" si="74"/>
        <v>0</v>
      </c>
      <c r="BF167" s="4284">
        <f t="shared" si="75"/>
        <v>0</v>
      </c>
      <c r="BG167" s="4284">
        <f t="shared" si="76"/>
        <v>0</v>
      </c>
      <c r="BH167" s="4284">
        <f t="shared" si="77"/>
        <v>0</v>
      </c>
      <c r="BI167" s="4284">
        <f t="shared" si="78"/>
        <v>0</v>
      </c>
      <c r="BJ167" s="4284">
        <f t="shared" si="79"/>
        <v>0</v>
      </c>
      <c r="BK167" s="4284">
        <f t="shared" si="80"/>
        <v>0</v>
      </c>
      <c r="BL167" s="4284">
        <f t="shared" si="81"/>
        <v>0</v>
      </c>
      <c r="BM167" s="4284">
        <f t="shared" si="82"/>
        <v>0</v>
      </c>
      <c r="BN167" s="4284">
        <f t="shared" si="83"/>
        <v>0</v>
      </c>
      <c r="BO167" s="4284">
        <f t="shared" si="84"/>
        <v>0</v>
      </c>
      <c r="BP167" s="4284">
        <f t="shared" si="85"/>
        <v>0</v>
      </c>
      <c r="BQ167" s="4284">
        <f t="shared" si="86"/>
        <v>0</v>
      </c>
      <c r="BR167" s="4284">
        <f t="shared" si="87"/>
        <v>0</v>
      </c>
      <c r="BS167" s="4284">
        <f t="shared" si="88"/>
        <v>0</v>
      </c>
      <c r="BT167" s="4285">
        <f t="shared" si="89"/>
        <v>0</v>
      </c>
    </row>
    <row r="168" spans="1:72">
      <c r="A168" s="4278"/>
      <c r="B168" s="4279"/>
      <c r="C168" s="4279"/>
      <c r="D168" s="4280"/>
      <c r="E168" s="1188">
        <f t="shared" si="90"/>
        <v>0</v>
      </c>
      <c r="F168" s="1680"/>
      <c r="G168" s="4281">
        <f t="shared" si="65"/>
        <v>0</v>
      </c>
      <c r="H168" s="3457">
        <f t="shared" si="66"/>
        <v>0</v>
      </c>
      <c r="I168" s="4282"/>
      <c r="J168" s="4282"/>
      <c r="K168" s="4282"/>
      <c r="L168" s="4282"/>
      <c r="M168" s="4282"/>
      <c r="N168" s="4282"/>
      <c r="O168" s="4282"/>
      <c r="P168" s="4282"/>
      <c r="Q168" s="4282"/>
      <c r="R168" s="4282"/>
      <c r="S168" s="4282"/>
      <c r="T168" s="4282"/>
      <c r="U168" s="4282"/>
      <c r="V168" s="4282"/>
      <c r="W168" s="4282"/>
      <c r="X168" s="4282"/>
      <c r="Y168" s="4282"/>
      <c r="Z168" s="4282"/>
      <c r="AA168" s="4282"/>
      <c r="AB168" s="4282"/>
      <c r="AC168" s="1188">
        <f t="shared" si="67"/>
        <v>0</v>
      </c>
      <c r="AD168" s="4278"/>
      <c r="AE168" s="4278"/>
      <c r="AF168" s="4278"/>
      <c r="AG168" s="4278"/>
      <c r="AH168" s="4278"/>
      <c r="AI168" s="4278"/>
      <c r="AJ168" s="4278"/>
      <c r="AK168" s="4278"/>
      <c r="AL168" s="4278"/>
      <c r="AM168" s="4278"/>
      <c r="AN168" s="4278"/>
      <c r="AO168" s="4278"/>
      <c r="AP168" s="4278"/>
      <c r="AQ168" s="4278"/>
      <c r="AR168" s="4278"/>
      <c r="AS168" s="4278"/>
      <c r="AT168" s="4279"/>
      <c r="AU168" s="4283"/>
      <c r="AV168" s="1188">
        <f t="shared" si="91"/>
        <v>0</v>
      </c>
      <c r="AW168" s="1188">
        <f t="shared" si="92"/>
        <v>0</v>
      </c>
      <c r="AX168" s="1188">
        <f t="shared" si="93"/>
        <v>0</v>
      </c>
      <c r="AY168" s="1452">
        <f t="shared" si="68"/>
        <v>0</v>
      </c>
      <c r="AZ168" s="4284">
        <f t="shared" si="69"/>
        <v>0</v>
      </c>
      <c r="BA168" s="4284">
        <f t="shared" si="70"/>
        <v>0</v>
      </c>
      <c r="BB168" s="4284">
        <f t="shared" si="71"/>
        <v>0</v>
      </c>
      <c r="BC168" s="4284">
        <f t="shared" si="72"/>
        <v>0</v>
      </c>
      <c r="BD168" s="4284">
        <f t="shared" si="73"/>
        <v>0</v>
      </c>
      <c r="BE168" s="4284">
        <f t="shared" si="74"/>
        <v>0</v>
      </c>
      <c r="BF168" s="4284">
        <f t="shared" si="75"/>
        <v>0</v>
      </c>
      <c r="BG168" s="4284">
        <f t="shared" si="76"/>
        <v>0</v>
      </c>
      <c r="BH168" s="4284">
        <f t="shared" si="77"/>
        <v>0</v>
      </c>
      <c r="BI168" s="4284">
        <f t="shared" si="78"/>
        <v>0</v>
      </c>
      <c r="BJ168" s="4284">
        <f t="shared" si="79"/>
        <v>0</v>
      </c>
      <c r="BK168" s="4284">
        <f t="shared" si="80"/>
        <v>0</v>
      </c>
      <c r="BL168" s="4284">
        <f t="shared" si="81"/>
        <v>0</v>
      </c>
      <c r="BM168" s="4284">
        <f t="shared" si="82"/>
        <v>0</v>
      </c>
      <c r="BN168" s="4284">
        <f t="shared" si="83"/>
        <v>0</v>
      </c>
      <c r="BO168" s="4284">
        <f t="shared" si="84"/>
        <v>0</v>
      </c>
      <c r="BP168" s="4284">
        <f t="shared" si="85"/>
        <v>0</v>
      </c>
      <c r="BQ168" s="4284">
        <f t="shared" si="86"/>
        <v>0</v>
      </c>
      <c r="BR168" s="4284">
        <f t="shared" si="87"/>
        <v>0</v>
      </c>
      <c r="BS168" s="4284">
        <f t="shared" si="88"/>
        <v>0</v>
      </c>
      <c r="BT168" s="4285">
        <f t="shared" si="89"/>
        <v>0</v>
      </c>
    </row>
    <row r="169" spans="1:72">
      <c r="A169" s="4278"/>
      <c r="B169" s="4279"/>
      <c r="C169" s="4279"/>
      <c r="D169" s="4280"/>
      <c r="E169" s="1188">
        <f t="shared" si="90"/>
        <v>0</v>
      </c>
      <c r="F169" s="1680"/>
      <c r="G169" s="4281">
        <f t="shared" si="65"/>
        <v>0</v>
      </c>
      <c r="H169" s="3457">
        <f t="shared" si="66"/>
        <v>0</v>
      </c>
      <c r="I169" s="4282"/>
      <c r="J169" s="4282"/>
      <c r="K169" s="4282"/>
      <c r="L169" s="4282"/>
      <c r="M169" s="4282"/>
      <c r="N169" s="4282"/>
      <c r="O169" s="4282"/>
      <c r="P169" s="4282"/>
      <c r="Q169" s="4282"/>
      <c r="R169" s="4282"/>
      <c r="S169" s="4282"/>
      <c r="T169" s="4282"/>
      <c r="U169" s="4282"/>
      <c r="V169" s="4282"/>
      <c r="W169" s="4282"/>
      <c r="X169" s="4282"/>
      <c r="Y169" s="4282"/>
      <c r="Z169" s="4282"/>
      <c r="AA169" s="4282"/>
      <c r="AB169" s="4282"/>
      <c r="AC169" s="1188">
        <f t="shared" si="67"/>
        <v>0</v>
      </c>
      <c r="AD169" s="4278"/>
      <c r="AE169" s="4278"/>
      <c r="AF169" s="4278"/>
      <c r="AG169" s="4278"/>
      <c r="AH169" s="4278"/>
      <c r="AI169" s="4278"/>
      <c r="AJ169" s="4278"/>
      <c r="AK169" s="4278"/>
      <c r="AL169" s="4278"/>
      <c r="AM169" s="4278"/>
      <c r="AN169" s="4278"/>
      <c r="AO169" s="4278"/>
      <c r="AP169" s="4278"/>
      <c r="AQ169" s="4278"/>
      <c r="AR169" s="4278"/>
      <c r="AS169" s="4278"/>
      <c r="AT169" s="4279"/>
      <c r="AU169" s="4283"/>
      <c r="AV169" s="1188">
        <f t="shared" si="91"/>
        <v>0</v>
      </c>
      <c r="AW169" s="1188">
        <f t="shared" si="92"/>
        <v>0</v>
      </c>
      <c r="AX169" s="1188">
        <f t="shared" si="93"/>
        <v>0</v>
      </c>
      <c r="AY169" s="1452">
        <f t="shared" si="68"/>
        <v>0</v>
      </c>
      <c r="AZ169" s="4284">
        <f t="shared" si="69"/>
        <v>0</v>
      </c>
      <c r="BA169" s="4284">
        <f t="shared" si="70"/>
        <v>0</v>
      </c>
      <c r="BB169" s="4284">
        <f t="shared" si="71"/>
        <v>0</v>
      </c>
      <c r="BC169" s="4284">
        <f t="shared" si="72"/>
        <v>0</v>
      </c>
      <c r="BD169" s="4284">
        <f t="shared" si="73"/>
        <v>0</v>
      </c>
      <c r="BE169" s="4284">
        <f t="shared" si="74"/>
        <v>0</v>
      </c>
      <c r="BF169" s="4284">
        <f t="shared" si="75"/>
        <v>0</v>
      </c>
      <c r="BG169" s="4284">
        <f t="shared" si="76"/>
        <v>0</v>
      </c>
      <c r="BH169" s="4284">
        <f t="shared" si="77"/>
        <v>0</v>
      </c>
      <c r="BI169" s="4284">
        <f t="shared" si="78"/>
        <v>0</v>
      </c>
      <c r="BJ169" s="4284">
        <f t="shared" si="79"/>
        <v>0</v>
      </c>
      <c r="BK169" s="4284">
        <f t="shared" si="80"/>
        <v>0</v>
      </c>
      <c r="BL169" s="4284">
        <f t="shared" si="81"/>
        <v>0</v>
      </c>
      <c r="BM169" s="4284">
        <f t="shared" si="82"/>
        <v>0</v>
      </c>
      <c r="BN169" s="4284">
        <f t="shared" si="83"/>
        <v>0</v>
      </c>
      <c r="BO169" s="4284">
        <f t="shared" si="84"/>
        <v>0</v>
      </c>
      <c r="BP169" s="4284">
        <f t="shared" si="85"/>
        <v>0</v>
      </c>
      <c r="BQ169" s="4284">
        <f t="shared" si="86"/>
        <v>0</v>
      </c>
      <c r="BR169" s="4284">
        <f t="shared" si="87"/>
        <v>0</v>
      </c>
      <c r="BS169" s="4284">
        <f t="shared" si="88"/>
        <v>0</v>
      </c>
      <c r="BT169" s="4285">
        <f t="shared" si="89"/>
        <v>0</v>
      </c>
    </row>
    <row r="170" spans="1:72">
      <c r="A170" s="4278"/>
      <c r="B170" s="4279"/>
      <c r="C170" s="4279"/>
      <c r="D170" s="4280"/>
      <c r="E170" s="1188">
        <f t="shared" si="90"/>
        <v>0</v>
      </c>
      <c r="F170" s="1680"/>
      <c r="G170" s="4281">
        <f t="shared" si="65"/>
        <v>0</v>
      </c>
      <c r="H170" s="3457">
        <f t="shared" si="66"/>
        <v>0</v>
      </c>
      <c r="I170" s="4282"/>
      <c r="J170" s="4282"/>
      <c r="K170" s="4282"/>
      <c r="L170" s="4282"/>
      <c r="M170" s="4282"/>
      <c r="N170" s="4282"/>
      <c r="O170" s="4282"/>
      <c r="P170" s="4282"/>
      <c r="Q170" s="4282"/>
      <c r="R170" s="4282"/>
      <c r="S170" s="4282"/>
      <c r="T170" s="4282"/>
      <c r="U170" s="4282"/>
      <c r="V170" s="4282"/>
      <c r="W170" s="4282"/>
      <c r="X170" s="4282"/>
      <c r="Y170" s="4282"/>
      <c r="Z170" s="4282"/>
      <c r="AA170" s="4282"/>
      <c r="AB170" s="4282"/>
      <c r="AC170" s="1188">
        <f t="shared" si="67"/>
        <v>0</v>
      </c>
      <c r="AD170" s="4278"/>
      <c r="AE170" s="4278"/>
      <c r="AF170" s="4278"/>
      <c r="AG170" s="4278"/>
      <c r="AH170" s="4278"/>
      <c r="AI170" s="4278"/>
      <c r="AJ170" s="4278"/>
      <c r="AK170" s="4278"/>
      <c r="AL170" s="4278"/>
      <c r="AM170" s="4278"/>
      <c r="AN170" s="4278"/>
      <c r="AO170" s="4278"/>
      <c r="AP170" s="4278"/>
      <c r="AQ170" s="4278"/>
      <c r="AR170" s="4278"/>
      <c r="AS170" s="4278"/>
      <c r="AT170" s="4279"/>
      <c r="AU170" s="4283"/>
      <c r="AV170" s="1188">
        <f t="shared" si="91"/>
        <v>0</v>
      </c>
      <c r="AW170" s="1188">
        <f t="shared" si="92"/>
        <v>0</v>
      </c>
      <c r="AX170" s="1188">
        <f t="shared" si="93"/>
        <v>0</v>
      </c>
      <c r="AY170" s="1452">
        <f t="shared" si="68"/>
        <v>0</v>
      </c>
      <c r="AZ170" s="4284">
        <f t="shared" si="69"/>
        <v>0</v>
      </c>
      <c r="BA170" s="4284">
        <f t="shared" si="70"/>
        <v>0</v>
      </c>
      <c r="BB170" s="4284">
        <f t="shared" si="71"/>
        <v>0</v>
      </c>
      <c r="BC170" s="4284">
        <f t="shared" si="72"/>
        <v>0</v>
      </c>
      <c r="BD170" s="4284">
        <f t="shared" si="73"/>
        <v>0</v>
      </c>
      <c r="BE170" s="4284">
        <f t="shared" si="74"/>
        <v>0</v>
      </c>
      <c r="BF170" s="4284">
        <f t="shared" si="75"/>
        <v>0</v>
      </c>
      <c r="BG170" s="4284">
        <f t="shared" si="76"/>
        <v>0</v>
      </c>
      <c r="BH170" s="4284">
        <f t="shared" si="77"/>
        <v>0</v>
      </c>
      <c r="BI170" s="4284">
        <f t="shared" si="78"/>
        <v>0</v>
      </c>
      <c r="BJ170" s="4284">
        <f t="shared" si="79"/>
        <v>0</v>
      </c>
      <c r="BK170" s="4284">
        <f t="shared" si="80"/>
        <v>0</v>
      </c>
      <c r="BL170" s="4284">
        <f t="shared" si="81"/>
        <v>0</v>
      </c>
      <c r="BM170" s="4284">
        <f t="shared" si="82"/>
        <v>0</v>
      </c>
      <c r="BN170" s="4284">
        <f t="shared" si="83"/>
        <v>0</v>
      </c>
      <c r="BO170" s="4284">
        <f t="shared" si="84"/>
        <v>0</v>
      </c>
      <c r="BP170" s="4284">
        <f t="shared" si="85"/>
        <v>0</v>
      </c>
      <c r="BQ170" s="4284">
        <f t="shared" si="86"/>
        <v>0</v>
      </c>
      <c r="BR170" s="4284">
        <f t="shared" si="87"/>
        <v>0</v>
      </c>
      <c r="BS170" s="4284">
        <f t="shared" si="88"/>
        <v>0</v>
      </c>
      <c r="BT170" s="4285">
        <f t="shared" si="89"/>
        <v>0</v>
      </c>
    </row>
    <row r="171" spans="1:72">
      <c r="A171" s="4278"/>
      <c r="B171" s="4279"/>
      <c r="C171" s="4279"/>
      <c r="D171" s="4280"/>
      <c r="E171" s="1188">
        <f t="shared" si="90"/>
        <v>0</v>
      </c>
      <c r="F171" s="1680"/>
      <c r="G171" s="4281">
        <f t="shared" si="65"/>
        <v>0</v>
      </c>
      <c r="H171" s="3457">
        <f t="shared" si="66"/>
        <v>0</v>
      </c>
      <c r="I171" s="4282"/>
      <c r="J171" s="4282"/>
      <c r="K171" s="4282"/>
      <c r="L171" s="4282"/>
      <c r="M171" s="4282"/>
      <c r="N171" s="4282"/>
      <c r="O171" s="4282"/>
      <c r="P171" s="4282"/>
      <c r="Q171" s="4282"/>
      <c r="R171" s="4282"/>
      <c r="S171" s="4282"/>
      <c r="T171" s="4282"/>
      <c r="U171" s="4282"/>
      <c r="V171" s="4282"/>
      <c r="W171" s="4282"/>
      <c r="X171" s="4282"/>
      <c r="Y171" s="4282"/>
      <c r="Z171" s="4282"/>
      <c r="AA171" s="4282"/>
      <c r="AB171" s="4282"/>
      <c r="AC171" s="1188">
        <f t="shared" si="67"/>
        <v>0</v>
      </c>
      <c r="AD171" s="4278"/>
      <c r="AE171" s="4278"/>
      <c r="AF171" s="4278"/>
      <c r="AG171" s="4278"/>
      <c r="AH171" s="4278"/>
      <c r="AI171" s="4278"/>
      <c r="AJ171" s="4278"/>
      <c r="AK171" s="4278"/>
      <c r="AL171" s="4278"/>
      <c r="AM171" s="4278"/>
      <c r="AN171" s="4278"/>
      <c r="AO171" s="4278"/>
      <c r="AP171" s="4278"/>
      <c r="AQ171" s="4278"/>
      <c r="AR171" s="4278"/>
      <c r="AS171" s="4278"/>
      <c r="AT171" s="4279"/>
      <c r="AU171" s="4283"/>
      <c r="AV171" s="1188">
        <f t="shared" si="91"/>
        <v>0</v>
      </c>
      <c r="AW171" s="1188">
        <f t="shared" si="92"/>
        <v>0</v>
      </c>
      <c r="AX171" s="1188">
        <f t="shared" si="93"/>
        <v>0</v>
      </c>
      <c r="AY171" s="1452">
        <f t="shared" si="68"/>
        <v>0</v>
      </c>
      <c r="AZ171" s="4284">
        <f t="shared" si="69"/>
        <v>0</v>
      </c>
      <c r="BA171" s="4284">
        <f t="shared" si="70"/>
        <v>0</v>
      </c>
      <c r="BB171" s="4284">
        <f t="shared" si="71"/>
        <v>0</v>
      </c>
      <c r="BC171" s="4284">
        <f t="shared" si="72"/>
        <v>0</v>
      </c>
      <c r="BD171" s="4284">
        <f t="shared" si="73"/>
        <v>0</v>
      </c>
      <c r="BE171" s="4284">
        <f t="shared" si="74"/>
        <v>0</v>
      </c>
      <c r="BF171" s="4284">
        <f t="shared" si="75"/>
        <v>0</v>
      </c>
      <c r="BG171" s="4284">
        <f t="shared" si="76"/>
        <v>0</v>
      </c>
      <c r="BH171" s="4284">
        <f t="shared" si="77"/>
        <v>0</v>
      </c>
      <c r="BI171" s="4284">
        <f t="shared" si="78"/>
        <v>0</v>
      </c>
      <c r="BJ171" s="4284">
        <f t="shared" si="79"/>
        <v>0</v>
      </c>
      <c r="BK171" s="4284">
        <f t="shared" si="80"/>
        <v>0</v>
      </c>
      <c r="BL171" s="4284">
        <f t="shared" si="81"/>
        <v>0</v>
      </c>
      <c r="BM171" s="4284">
        <f t="shared" si="82"/>
        <v>0</v>
      </c>
      <c r="BN171" s="4284">
        <f t="shared" si="83"/>
        <v>0</v>
      </c>
      <c r="BO171" s="4284">
        <f t="shared" si="84"/>
        <v>0</v>
      </c>
      <c r="BP171" s="4284">
        <f t="shared" si="85"/>
        <v>0</v>
      </c>
      <c r="BQ171" s="4284">
        <f t="shared" si="86"/>
        <v>0</v>
      </c>
      <c r="BR171" s="4284">
        <f t="shared" si="87"/>
        <v>0</v>
      </c>
      <c r="BS171" s="4284">
        <f t="shared" si="88"/>
        <v>0</v>
      </c>
      <c r="BT171" s="4285">
        <f t="shared" si="89"/>
        <v>0</v>
      </c>
    </row>
    <row r="172" spans="1:72">
      <c r="A172" s="4278"/>
      <c r="B172" s="4279"/>
      <c r="C172" s="4279"/>
      <c r="D172" s="4280"/>
      <c r="E172" s="1188">
        <f t="shared" si="90"/>
        <v>0</v>
      </c>
      <c r="F172" s="1680"/>
      <c r="G172" s="4281">
        <f t="shared" si="65"/>
        <v>0</v>
      </c>
      <c r="H172" s="3457">
        <f t="shared" si="66"/>
        <v>0</v>
      </c>
      <c r="I172" s="4282"/>
      <c r="J172" s="4282"/>
      <c r="K172" s="4282"/>
      <c r="L172" s="4282"/>
      <c r="M172" s="4282"/>
      <c r="N172" s="4282"/>
      <c r="O172" s="4282"/>
      <c r="P172" s="4282"/>
      <c r="Q172" s="4282"/>
      <c r="R172" s="4282"/>
      <c r="S172" s="4282"/>
      <c r="T172" s="4282"/>
      <c r="U172" s="4282"/>
      <c r="V172" s="4282"/>
      <c r="W172" s="4282"/>
      <c r="X172" s="4282"/>
      <c r="Y172" s="4282"/>
      <c r="Z172" s="4282"/>
      <c r="AA172" s="4282"/>
      <c r="AB172" s="4282"/>
      <c r="AC172" s="1188">
        <f t="shared" si="67"/>
        <v>0</v>
      </c>
      <c r="AD172" s="4278"/>
      <c r="AE172" s="4278"/>
      <c r="AF172" s="4278"/>
      <c r="AG172" s="4278"/>
      <c r="AH172" s="4278"/>
      <c r="AI172" s="4278"/>
      <c r="AJ172" s="4278"/>
      <c r="AK172" s="4278"/>
      <c r="AL172" s="4278"/>
      <c r="AM172" s="4278"/>
      <c r="AN172" s="4278"/>
      <c r="AO172" s="4278"/>
      <c r="AP172" s="4278"/>
      <c r="AQ172" s="4278"/>
      <c r="AR172" s="4278"/>
      <c r="AS172" s="4278"/>
      <c r="AT172" s="4279"/>
      <c r="AU172" s="4283"/>
      <c r="AV172" s="1188">
        <f t="shared" si="91"/>
        <v>0</v>
      </c>
      <c r="AW172" s="1188">
        <f t="shared" si="92"/>
        <v>0</v>
      </c>
      <c r="AX172" s="1188">
        <f t="shared" si="93"/>
        <v>0</v>
      </c>
      <c r="AY172" s="1452">
        <f t="shared" si="68"/>
        <v>0</v>
      </c>
      <c r="AZ172" s="4284">
        <f t="shared" si="69"/>
        <v>0</v>
      </c>
      <c r="BA172" s="4284">
        <f t="shared" si="70"/>
        <v>0</v>
      </c>
      <c r="BB172" s="4284">
        <f t="shared" si="71"/>
        <v>0</v>
      </c>
      <c r="BC172" s="4284">
        <f t="shared" si="72"/>
        <v>0</v>
      </c>
      <c r="BD172" s="4284">
        <f t="shared" si="73"/>
        <v>0</v>
      </c>
      <c r="BE172" s="4284">
        <f t="shared" si="74"/>
        <v>0</v>
      </c>
      <c r="BF172" s="4284">
        <f t="shared" si="75"/>
        <v>0</v>
      </c>
      <c r="BG172" s="4284">
        <f t="shared" si="76"/>
        <v>0</v>
      </c>
      <c r="BH172" s="4284">
        <f t="shared" si="77"/>
        <v>0</v>
      </c>
      <c r="BI172" s="4284">
        <f t="shared" si="78"/>
        <v>0</v>
      </c>
      <c r="BJ172" s="4284">
        <f t="shared" si="79"/>
        <v>0</v>
      </c>
      <c r="BK172" s="4284">
        <f t="shared" si="80"/>
        <v>0</v>
      </c>
      <c r="BL172" s="4284">
        <f t="shared" si="81"/>
        <v>0</v>
      </c>
      <c r="BM172" s="4284">
        <f t="shared" si="82"/>
        <v>0</v>
      </c>
      <c r="BN172" s="4284">
        <f t="shared" si="83"/>
        <v>0</v>
      </c>
      <c r="BO172" s="4284">
        <f t="shared" si="84"/>
        <v>0</v>
      </c>
      <c r="BP172" s="4284">
        <f t="shared" si="85"/>
        <v>0</v>
      </c>
      <c r="BQ172" s="4284">
        <f t="shared" si="86"/>
        <v>0</v>
      </c>
      <c r="BR172" s="4284">
        <f t="shared" si="87"/>
        <v>0</v>
      </c>
      <c r="BS172" s="4284">
        <f t="shared" si="88"/>
        <v>0</v>
      </c>
      <c r="BT172" s="4285">
        <f t="shared" si="89"/>
        <v>0</v>
      </c>
    </row>
    <row r="173" spans="1:72">
      <c r="A173" s="4278"/>
      <c r="B173" s="4279"/>
      <c r="C173" s="4279"/>
      <c r="D173" s="4280"/>
      <c r="E173" s="1188">
        <f t="shared" si="90"/>
        <v>0</v>
      </c>
      <c r="F173" s="1680"/>
      <c r="G173" s="4281">
        <f t="shared" si="65"/>
        <v>0</v>
      </c>
      <c r="H173" s="3457">
        <f t="shared" si="66"/>
        <v>0</v>
      </c>
      <c r="I173" s="4282"/>
      <c r="J173" s="4282"/>
      <c r="K173" s="4282"/>
      <c r="L173" s="4282"/>
      <c r="M173" s="4282"/>
      <c r="N173" s="4282"/>
      <c r="O173" s="4282"/>
      <c r="P173" s="4282"/>
      <c r="Q173" s="4282"/>
      <c r="R173" s="4282"/>
      <c r="S173" s="4282"/>
      <c r="T173" s="4282"/>
      <c r="U173" s="4282"/>
      <c r="V173" s="4282"/>
      <c r="W173" s="4282"/>
      <c r="X173" s="4282"/>
      <c r="Y173" s="4282"/>
      <c r="Z173" s="4282"/>
      <c r="AA173" s="4282"/>
      <c r="AB173" s="4282"/>
      <c r="AC173" s="1188">
        <f t="shared" si="67"/>
        <v>0</v>
      </c>
      <c r="AD173" s="4278"/>
      <c r="AE173" s="4278"/>
      <c r="AF173" s="4278"/>
      <c r="AG173" s="4278"/>
      <c r="AH173" s="4278"/>
      <c r="AI173" s="4278"/>
      <c r="AJ173" s="4278"/>
      <c r="AK173" s="4278"/>
      <c r="AL173" s="4278"/>
      <c r="AM173" s="4278"/>
      <c r="AN173" s="4278"/>
      <c r="AO173" s="4278"/>
      <c r="AP173" s="4278"/>
      <c r="AQ173" s="4278"/>
      <c r="AR173" s="4278"/>
      <c r="AS173" s="4278"/>
      <c r="AT173" s="4279"/>
      <c r="AU173" s="4283"/>
      <c r="AV173" s="1188">
        <f t="shared" si="91"/>
        <v>0</v>
      </c>
      <c r="AW173" s="1188">
        <f t="shared" si="92"/>
        <v>0</v>
      </c>
      <c r="AX173" s="1188">
        <f t="shared" si="93"/>
        <v>0</v>
      </c>
      <c r="AY173" s="1452">
        <f t="shared" si="68"/>
        <v>0</v>
      </c>
      <c r="AZ173" s="4284">
        <f t="shared" si="69"/>
        <v>0</v>
      </c>
      <c r="BA173" s="4284">
        <f t="shared" si="70"/>
        <v>0</v>
      </c>
      <c r="BB173" s="4284">
        <f t="shared" si="71"/>
        <v>0</v>
      </c>
      <c r="BC173" s="4284">
        <f t="shared" si="72"/>
        <v>0</v>
      </c>
      <c r="BD173" s="4284">
        <f t="shared" si="73"/>
        <v>0</v>
      </c>
      <c r="BE173" s="4284">
        <f t="shared" si="74"/>
        <v>0</v>
      </c>
      <c r="BF173" s="4284">
        <f t="shared" si="75"/>
        <v>0</v>
      </c>
      <c r="BG173" s="4284">
        <f t="shared" si="76"/>
        <v>0</v>
      </c>
      <c r="BH173" s="4284">
        <f t="shared" si="77"/>
        <v>0</v>
      </c>
      <c r="BI173" s="4284">
        <f t="shared" si="78"/>
        <v>0</v>
      </c>
      <c r="BJ173" s="4284">
        <f t="shared" si="79"/>
        <v>0</v>
      </c>
      <c r="BK173" s="4284">
        <f t="shared" si="80"/>
        <v>0</v>
      </c>
      <c r="BL173" s="4284">
        <f t="shared" si="81"/>
        <v>0</v>
      </c>
      <c r="BM173" s="4284">
        <f t="shared" si="82"/>
        <v>0</v>
      </c>
      <c r="BN173" s="4284">
        <f t="shared" si="83"/>
        <v>0</v>
      </c>
      <c r="BO173" s="4284">
        <f t="shared" si="84"/>
        <v>0</v>
      </c>
      <c r="BP173" s="4284">
        <f t="shared" si="85"/>
        <v>0</v>
      </c>
      <c r="BQ173" s="4284">
        <f t="shared" si="86"/>
        <v>0</v>
      </c>
      <c r="BR173" s="4284">
        <f t="shared" si="87"/>
        <v>0</v>
      </c>
      <c r="BS173" s="4284">
        <f t="shared" si="88"/>
        <v>0</v>
      </c>
      <c r="BT173" s="4285">
        <f t="shared" si="89"/>
        <v>0</v>
      </c>
    </row>
    <row r="174" spans="1:72">
      <c r="A174" s="4278"/>
      <c r="B174" s="4279"/>
      <c r="C174" s="4279"/>
      <c r="D174" s="4280"/>
      <c r="E174" s="1188">
        <f t="shared" si="90"/>
        <v>0</v>
      </c>
      <c r="F174" s="1680"/>
      <c r="G174" s="4281">
        <f t="shared" ref="G174:G207" si="94">H174+AC174+AT174</f>
        <v>0</v>
      </c>
      <c r="H174" s="3457">
        <f t="shared" ref="H174:H207" si="95">SUMIF(I$12:AB$12,"总值",I174:AB174)</f>
        <v>0</v>
      </c>
      <c r="I174" s="4282"/>
      <c r="J174" s="4282"/>
      <c r="K174" s="4282"/>
      <c r="L174" s="4282"/>
      <c r="M174" s="4282"/>
      <c r="N174" s="4282"/>
      <c r="O174" s="4282"/>
      <c r="P174" s="4282"/>
      <c r="Q174" s="4282"/>
      <c r="R174" s="4282"/>
      <c r="S174" s="4282"/>
      <c r="T174" s="4282"/>
      <c r="U174" s="4282"/>
      <c r="V174" s="4282"/>
      <c r="W174" s="4282"/>
      <c r="X174" s="4282"/>
      <c r="Y174" s="4282"/>
      <c r="Z174" s="4282"/>
      <c r="AA174" s="4282"/>
      <c r="AB174" s="4282"/>
      <c r="AC174" s="1188">
        <f t="shared" ref="AC174:AC207" si="96">SUMIF(AD$12:AS$12,"总值",AD174:AS174)</f>
        <v>0</v>
      </c>
      <c r="AD174" s="4278"/>
      <c r="AE174" s="4278"/>
      <c r="AF174" s="4278"/>
      <c r="AG174" s="4278"/>
      <c r="AH174" s="4278"/>
      <c r="AI174" s="4278"/>
      <c r="AJ174" s="4278"/>
      <c r="AK174" s="4278"/>
      <c r="AL174" s="4278"/>
      <c r="AM174" s="4278"/>
      <c r="AN174" s="4278"/>
      <c r="AO174" s="4278"/>
      <c r="AP174" s="4278"/>
      <c r="AQ174" s="4278"/>
      <c r="AR174" s="4278"/>
      <c r="AS174" s="4278"/>
      <c r="AT174" s="4279"/>
      <c r="AU174" s="4283"/>
      <c r="AV174" s="1188">
        <f t="shared" si="91"/>
        <v>0</v>
      </c>
      <c r="AW174" s="1188">
        <f t="shared" si="92"/>
        <v>0</v>
      </c>
      <c r="AX174" s="1188">
        <f t="shared" si="93"/>
        <v>0</v>
      </c>
      <c r="AY174" s="1452">
        <f t="shared" ref="AY174:AY207" si="97">ROUND($AY$6*AZ174/$AZ$5,2)</f>
        <v>0</v>
      </c>
      <c r="AZ174" s="4284">
        <f t="shared" ref="AZ174:AZ207" si="98">BA174+BL174</f>
        <v>0</v>
      </c>
      <c r="BA174" s="4284">
        <f t="shared" ref="BA174:BA207" si="99">SUM(BB174:BK174)</f>
        <v>0</v>
      </c>
      <c r="BB174" s="4284">
        <f t="shared" ref="BB174:BB207" si="100">IF($D174="是",I174-J174,0)</f>
        <v>0</v>
      </c>
      <c r="BC174" s="4284">
        <f t="shared" ref="BC174:BC207" si="101">IF($D174="是",K174-L174,0)</f>
        <v>0</v>
      </c>
      <c r="BD174" s="4284">
        <f t="shared" ref="BD174:BD207" si="102">IF($D174="是",M174-N174,0)</f>
        <v>0</v>
      </c>
      <c r="BE174" s="4284">
        <f t="shared" ref="BE174:BE207" si="103">IF($D174="是",O174-P174,0)</f>
        <v>0</v>
      </c>
      <c r="BF174" s="4284">
        <f t="shared" ref="BF174:BF207" si="104">IF($D174="是",Q174-R174,0)</f>
        <v>0</v>
      </c>
      <c r="BG174" s="4284">
        <f t="shared" ref="BG174:BG207" si="105">IF($D174="是",S174-T174,0)</f>
        <v>0</v>
      </c>
      <c r="BH174" s="4284">
        <f t="shared" ref="BH174:BH207" si="106">IF($D174="是",U174-V174,0)</f>
        <v>0</v>
      </c>
      <c r="BI174" s="4284">
        <f t="shared" ref="BI174:BI207" si="107">IF($D174="是",W174-X174,0)</f>
        <v>0</v>
      </c>
      <c r="BJ174" s="4284">
        <f t="shared" ref="BJ174:BJ207" si="108">IF($D174="是",Y174-Z174,0)</f>
        <v>0</v>
      </c>
      <c r="BK174" s="4284">
        <f t="shared" ref="BK174:BK207" si="109">IF($D174="是",AA174-AB174,0)</f>
        <v>0</v>
      </c>
      <c r="BL174" s="4284">
        <f t="shared" ref="BL174:BL207" si="110">SUM(BM174:BT174)</f>
        <v>0</v>
      </c>
      <c r="BM174" s="4284">
        <f t="shared" ref="BM174:BM207" si="111">IF($D174="是",AD174-AE174,0)</f>
        <v>0</v>
      </c>
      <c r="BN174" s="4284">
        <f t="shared" ref="BN174:BN207" si="112">IF($D174="是",AF174-AG174,0)</f>
        <v>0</v>
      </c>
      <c r="BO174" s="4284">
        <f t="shared" ref="BO174:BO207" si="113">IF($D174="是",AH174-AI174,0)</f>
        <v>0</v>
      </c>
      <c r="BP174" s="4284">
        <f t="shared" ref="BP174:BP207" si="114">IF($D174="是",AJ174-AK174,0)</f>
        <v>0</v>
      </c>
      <c r="BQ174" s="4284">
        <f t="shared" ref="BQ174:BQ207" si="115">IF($D174="是",AL174-AM174,0)</f>
        <v>0</v>
      </c>
      <c r="BR174" s="4284">
        <f t="shared" ref="BR174:BR207" si="116">IF($D174="是",AN174-AO174,0)</f>
        <v>0</v>
      </c>
      <c r="BS174" s="4284">
        <f t="shared" ref="BS174:BS207" si="117">IF($D174="是",AP174-AQ174,0)</f>
        <v>0</v>
      </c>
      <c r="BT174" s="4285">
        <f t="shared" ref="BT174:BT207" si="118">IF($D174="是",AR174-AS174,0)</f>
        <v>0</v>
      </c>
    </row>
    <row r="175" spans="1:72">
      <c r="A175" s="4278"/>
      <c r="B175" s="4279"/>
      <c r="C175" s="4279"/>
      <c r="D175" s="4280"/>
      <c r="E175" s="1188">
        <f t="shared" si="90"/>
        <v>0</v>
      </c>
      <c r="F175" s="1680"/>
      <c r="G175" s="4281">
        <f t="shared" si="94"/>
        <v>0</v>
      </c>
      <c r="H175" s="3457">
        <f t="shared" si="95"/>
        <v>0</v>
      </c>
      <c r="I175" s="4282"/>
      <c r="J175" s="4282"/>
      <c r="K175" s="4282"/>
      <c r="L175" s="4282"/>
      <c r="M175" s="4282"/>
      <c r="N175" s="4282"/>
      <c r="O175" s="4282"/>
      <c r="P175" s="4282"/>
      <c r="Q175" s="4282"/>
      <c r="R175" s="4282"/>
      <c r="S175" s="4282"/>
      <c r="T175" s="4282"/>
      <c r="U175" s="4282"/>
      <c r="V175" s="4282"/>
      <c r="W175" s="4282"/>
      <c r="X175" s="4282"/>
      <c r="Y175" s="4282"/>
      <c r="Z175" s="4282"/>
      <c r="AA175" s="4282"/>
      <c r="AB175" s="4282"/>
      <c r="AC175" s="1188">
        <f t="shared" si="96"/>
        <v>0</v>
      </c>
      <c r="AD175" s="4278"/>
      <c r="AE175" s="4278"/>
      <c r="AF175" s="4278"/>
      <c r="AG175" s="4278"/>
      <c r="AH175" s="4278"/>
      <c r="AI175" s="4278"/>
      <c r="AJ175" s="4278"/>
      <c r="AK175" s="4278"/>
      <c r="AL175" s="4278"/>
      <c r="AM175" s="4278"/>
      <c r="AN175" s="4278"/>
      <c r="AO175" s="4278"/>
      <c r="AP175" s="4278"/>
      <c r="AQ175" s="4278"/>
      <c r="AR175" s="4278"/>
      <c r="AS175" s="4278"/>
      <c r="AT175" s="4279"/>
      <c r="AU175" s="4283"/>
      <c r="AV175" s="1188">
        <f t="shared" si="91"/>
        <v>0</v>
      </c>
      <c r="AW175" s="1188">
        <f t="shared" si="92"/>
        <v>0</v>
      </c>
      <c r="AX175" s="1188">
        <f t="shared" si="93"/>
        <v>0</v>
      </c>
      <c r="AY175" s="1452">
        <f t="shared" si="97"/>
        <v>0</v>
      </c>
      <c r="AZ175" s="4284">
        <f t="shared" si="98"/>
        <v>0</v>
      </c>
      <c r="BA175" s="4284">
        <f t="shared" si="99"/>
        <v>0</v>
      </c>
      <c r="BB175" s="4284">
        <f t="shared" si="100"/>
        <v>0</v>
      </c>
      <c r="BC175" s="4284">
        <f t="shared" si="101"/>
        <v>0</v>
      </c>
      <c r="BD175" s="4284">
        <f t="shared" si="102"/>
        <v>0</v>
      </c>
      <c r="BE175" s="4284">
        <f t="shared" si="103"/>
        <v>0</v>
      </c>
      <c r="BF175" s="4284">
        <f t="shared" si="104"/>
        <v>0</v>
      </c>
      <c r="BG175" s="4284">
        <f t="shared" si="105"/>
        <v>0</v>
      </c>
      <c r="BH175" s="4284">
        <f t="shared" si="106"/>
        <v>0</v>
      </c>
      <c r="BI175" s="4284">
        <f t="shared" si="107"/>
        <v>0</v>
      </c>
      <c r="BJ175" s="4284">
        <f t="shared" si="108"/>
        <v>0</v>
      </c>
      <c r="BK175" s="4284">
        <f t="shared" si="109"/>
        <v>0</v>
      </c>
      <c r="BL175" s="4284">
        <f t="shared" si="110"/>
        <v>0</v>
      </c>
      <c r="BM175" s="4284">
        <f t="shared" si="111"/>
        <v>0</v>
      </c>
      <c r="BN175" s="4284">
        <f t="shared" si="112"/>
        <v>0</v>
      </c>
      <c r="BO175" s="4284">
        <f t="shared" si="113"/>
        <v>0</v>
      </c>
      <c r="BP175" s="4284">
        <f t="shared" si="114"/>
        <v>0</v>
      </c>
      <c r="BQ175" s="4284">
        <f t="shared" si="115"/>
        <v>0</v>
      </c>
      <c r="BR175" s="4284">
        <f t="shared" si="116"/>
        <v>0</v>
      </c>
      <c r="BS175" s="4284">
        <f t="shared" si="117"/>
        <v>0</v>
      </c>
      <c r="BT175" s="4285">
        <f t="shared" si="118"/>
        <v>0</v>
      </c>
    </row>
    <row r="176" spans="1:72">
      <c r="A176" s="4278"/>
      <c r="B176" s="4279"/>
      <c r="C176" s="4279"/>
      <c r="D176" s="4280"/>
      <c r="E176" s="1188">
        <f t="shared" si="90"/>
        <v>0</v>
      </c>
      <c r="F176" s="1680"/>
      <c r="G176" s="4281">
        <f t="shared" si="94"/>
        <v>0</v>
      </c>
      <c r="H176" s="3457">
        <f t="shared" si="95"/>
        <v>0</v>
      </c>
      <c r="I176" s="4282"/>
      <c r="J176" s="4282"/>
      <c r="K176" s="4282"/>
      <c r="L176" s="4282"/>
      <c r="M176" s="4282"/>
      <c r="N176" s="4282"/>
      <c r="O176" s="4282"/>
      <c r="P176" s="4282"/>
      <c r="Q176" s="4282"/>
      <c r="R176" s="4282"/>
      <c r="S176" s="4282"/>
      <c r="T176" s="4282"/>
      <c r="U176" s="4282"/>
      <c r="V176" s="4282"/>
      <c r="W176" s="4282"/>
      <c r="X176" s="4282"/>
      <c r="Y176" s="4282"/>
      <c r="Z176" s="4282"/>
      <c r="AA176" s="4282"/>
      <c r="AB176" s="4282"/>
      <c r="AC176" s="1188">
        <f t="shared" si="96"/>
        <v>0</v>
      </c>
      <c r="AD176" s="4278"/>
      <c r="AE176" s="4278"/>
      <c r="AF176" s="4278"/>
      <c r="AG176" s="4278"/>
      <c r="AH176" s="4278"/>
      <c r="AI176" s="4278"/>
      <c r="AJ176" s="4278"/>
      <c r="AK176" s="4278"/>
      <c r="AL176" s="4278"/>
      <c r="AM176" s="4278"/>
      <c r="AN176" s="4278"/>
      <c r="AO176" s="4278"/>
      <c r="AP176" s="4278"/>
      <c r="AQ176" s="4278"/>
      <c r="AR176" s="4278"/>
      <c r="AS176" s="4278"/>
      <c r="AT176" s="4279"/>
      <c r="AU176" s="4283"/>
      <c r="AV176" s="1188">
        <f t="shared" si="91"/>
        <v>0</v>
      </c>
      <c r="AW176" s="1188">
        <f t="shared" si="92"/>
        <v>0</v>
      </c>
      <c r="AX176" s="1188">
        <f t="shared" si="93"/>
        <v>0</v>
      </c>
      <c r="AY176" s="1452">
        <f t="shared" si="97"/>
        <v>0</v>
      </c>
      <c r="AZ176" s="4284">
        <f t="shared" si="98"/>
        <v>0</v>
      </c>
      <c r="BA176" s="4284">
        <f t="shared" si="99"/>
        <v>0</v>
      </c>
      <c r="BB176" s="4284">
        <f t="shared" si="100"/>
        <v>0</v>
      </c>
      <c r="BC176" s="4284">
        <f t="shared" si="101"/>
        <v>0</v>
      </c>
      <c r="BD176" s="4284">
        <f t="shared" si="102"/>
        <v>0</v>
      </c>
      <c r="BE176" s="4284">
        <f t="shared" si="103"/>
        <v>0</v>
      </c>
      <c r="BF176" s="4284">
        <f t="shared" si="104"/>
        <v>0</v>
      </c>
      <c r="BG176" s="4284">
        <f t="shared" si="105"/>
        <v>0</v>
      </c>
      <c r="BH176" s="4284">
        <f t="shared" si="106"/>
        <v>0</v>
      </c>
      <c r="BI176" s="4284">
        <f t="shared" si="107"/>
        <v>0</v>
      </c>
      <c r="BJ176" s="4284">
        <f t="shared" si="108"/>
        <v>0</v>
      </c>
      <c r="BK176" s="4284">
        <f t="shared" si="109"/>
        <v>0</v>
      </c>
      <c r="BL176" s="4284">
        <f t="shared" si="110"/>
        <v>0</v>
      </c>
      <c r="BM176" s="4284">
        <f t="shared" si="111"/>
        <v>0</v>
      </c>
      <c r="BN176" s="4284">
        <f t="shared" si="112"/>
        <v>0</v>
      </c>
      <c r="BO176" s="4284">
        <f t="shared" si="113"/>
        <v>0</v>
      </c>
      <c r="BP176" s="4284">
        <f t="shared" si="114"/>
        <v>0</v>
      </c>
      <c r="BQ176" s="4284">
        <f t="shared" si="115"/>
        <v>0</v>
      </c>
      <c r="BR176" s="4284">
        <f t="shared" si="116"/>
        <v>0</v>
      </c>
      <c r="BS176" s="4284">
        <f t="shared" si="117"/>
        <v>0</v>
      </c>
      <c r="BT176" s="4285">
        <f t="shared" si="118"/>
        <v>0</v>
      </c>
    </row>
    <row r="177" spans="1:72">
      <c r="A177" s="4278"/>
      <c r="B177" s="4279"/>
      <c r="C177" s="4279"/>
      <c r="D177" s="4280"/>
      <c r="E177" s="1188">
        <f t="shared" ref="E177:E207" si="119">IF($C$3="是",ROUND($A$3*G177/$B$3,2),ROUND($A$3*(G177-AT177)/$B$3,2))</f>
        <v>0</v>
      </c>
      <c r="F177" s="1680"/>
      <c r="G177" s="4281">
        <f t="shared" si="94"/>
        <v>0</v>
      </c>
      <c r="H177" s="3457">
        <f t="shared" si="95"/>
        <v>0</v>
      </c>
      <c r="I177" s="4282"/>
      <c r="J177" s="4282"/>
      <c r="K177" s="4282"/>
      <c r="L177" s="4282"/>
      <c r="M177" s="4282"/>
      <c r="N177" s="4282"/>
      <c r="O177" s="4282"/>
      <c r="P177" s="4282"/>
      <c r="Q177" s="4282"/>
      <c r="R177" s="4282"/>
      <c r="S177" s="4282"/>
      <c r="T177" s="4282"/>
      <c r="U177" s="4282"/>
      <c r="V177" s="4282"/>
      <c r="W177" s="4282"/>
      <c r="X177" s="4282"/>
      <c r="Y177" s="4282"/>
      <c r="Z177" s="4282"/>
      <c r="AA177" s="4282"/>
      <c r="AB177" s="4282"/>
      <c r="AC177" s="1188">
        <f t="shared" si="96"/>
        <v>0</v>
      </c>
      <c r="AD177" s="4278"/>
      <c r="AE177" s="4278"/>
      <c r="AF177" s="4278"/>
      <c r="AG177" s="4278"/>
      <c r="AH177" s="4278"/>
      <c r="AI177" s="4278"/>
      <c r="AJ177" s="4278"/>
      <c r="AK177" s="4278"/>
      <c r="AL177" s="4278"/>
      <c r="AM177" s="4278"/>
      <c r="AN177" s="4278"/>
      <c r="AO177" s="4278"/>
      <c r="AP177" s="4278"/>
      <c r="AQ177" s="4278"/>
      <c r="AR177" s="4278"/>
      <c r="AS177" s="4278"/>
      <c r="AT177" s="4279"/>
      <c r="AU177" s="4283"/>
      <c r="AV177" s="1188">
        <f t="shared" ref="AV177:AV207" si="120">A177</f>
        <v>0</v>
      </c>
      <c r="AW177" s="1188">
        <f t="shared" ref="AW177:AW207" si="121">B177</f>
        <v>0</v>
      </c>
      <c r="AX177" s="1188">
        <f t="shared" ref="AX177:AX207" si="122">C177</f>
        <v>0</v>
      </c>
      <c r="AY177" s="1452">
        <f t="shared" si="97"/>
        <v>0</v>
      </c>
      <c r="AZ177" s="4284">
        <f t="shared" si="98"/>
        <v>0</v>
      </c>
      <c r="BA177" s="4284">
        <f t="shared" si="99"/>
        <v>0</v>
      </c>
      <c r="BB177" s="4284">
        <f t="shared" si="100"/>
        <v>0</v>
      </c>
      <c r="BC177" s="4284">
        <f t="shared" si="101"/>
        <v>0</v>
      </c>
      <c r="BD177" s="4284">
        <f t="shared" si="102"/>
        <v>0</v>
      </c>
      <c r="BE177" s="4284">
        <f t="shared" si="103"/>
        <v>0</v>
      </c>
      <c r="BF177" s="4284">
        <f t="shared" si="104"/>
        <v>0</v>
      </c>
      <c r="BG177" s="4284">
        <f t="shared" si="105"/>
        <v>0</v>
      </c>
      <c r="BH177" s="4284">
        <f t="shared" si="106"/>
        <v>0</v>
      </c>
      <c r="BI177" s="4284">
        <f t="shared" si="107"/>
        <v>0</v>
      </c>
      <c r="BJ177" s="4284">
        <f t="shared" si="108"/>
        <v>0</v>
      </c>
      <c r="BK177" s="4284">
        <f t="shared" si="109"/>
        <v>0</v>
      </c>
      <c r="BL177" s="4284">
        <f t="shared" si="110"/>
        <v>0</v>
      </c>
      <c r="BM177" s="4284">
        <f t="shared" si="111"/>
        <v>0</v>
      </c>
      <c r="BN177" s="4284">
        <f t="shared" si="112"/>
        <v>0</v>
      </c>
      <c r="BO177" s="4284">
        <f t="shared" si="113"/>
        <v>0</v>
      </c>
      <c r="BP177" s="4284">
        <f t="shared" si="114"/>
        <v>0</v>
      </c>
      <c r="BQ177" s="4284">
        <f t="shared" si="115"/>
        <v>0</v>
      </c>
      <c r="BR177" s="4284">
        <f t="shared" si="116"/>
        <v>0</v>
      </c>
      <c r="BS177" s="4284">
        <f t="shared" si="117"/>
        <v>0</v>
      </c>
      <c r="BT177" s="4285">
        <f t="shared" si="118"/>
        <v>0</v>
      </c>
    </row>
    <row r="178" spans="1:72">
      <c r="A178" s="4278"/>
      <c r="B178" s="4279"/>
      <c r="C178" s="4279"/>
      <c r="D178" s="4280"/>
      <c r="E178" s="1188">
        <f t="shared" si="119"/>
        <v>0</v>
      </c>
      <c r="F178" s="1680"/>
      <c r="G178" s="4281">
        <f t="shared" si="94"/>
        <v>0</v>
      </c>
      <c r="H178" s="3457">
        <f t="shared" si="95"/>
        <v>0</v>
      </c>
      <c r="I178" s="4282"/>
      <c r="J178" s="4282"/>
      <c r="K178" s="4282"/>
      <c r="L178" s="4282"/>
      <c r="M178" s="4282"/>
      <c r="N178" s="4282"/>
      <c r="O178" s="4282"/>
      <c r="P178" s="4282"/>
      <c r="Q178" s="4282"/>
      <c r="R178" s="4282"/>
      <c r="S178" s="4282"/>
      <c r="T178" s="4282"/>
      <c r="U178" s="4282"/>
      <c r="V178" s="4282"/>
      <c r="W178" s="4282"/>
      <c r="X178" s="4282"/>
      <c r="Y178" s="4282"/>
      <c r="Z178" s="4282"/>
      <c r="AA178" s="4282"/>
      <c r="AB178" s="4282"/>
      <c r="AC178" s="1188">
        <f t="shared" si="96"/>
        <v>0</v>
      </c>
      <c r="AD178" s="4278"/>
      <c r="AE178" s="4278"/>
      <c r="AF178" s="4278"/>
      <c r="AG178" s="4278"/>
      <c r="AH178" s="4278"/>
      <c r="AI178" s="4278"/>
      <c r="AJ178" s="4278"/>
      <c r="AK178" s="4278"/>
      <c r="AL178" s="4278"/>
      <c r="AM178" s="4278"/>
      <c r="AN178" s="4278"/>
      <c r="AO178" s="4278"/>
      <c r="AP178" s="4278"/>
      <c r="AQ178" s="4278"/>
      <c r="AR178" s="4278"/>
      <c r="AS178" s="4278"/>
      <c r="AT178" s="4279"/>
      <c r="AU178" s="4283"/>
      <c r="AV178" s="1188">
        <f t="shared" si="120"/>
        <v>0</v>
      </c>
      <c r="AW178" s="1188">
        <f t="shared" si="121"/>
        <v>0</v>
      </c>
      <c r="AX178" s="1188">
        <f t="shared" si="122"/>
        <v>0</v>
      </c>
      <c r="AY178" s="1452">
        <f t="shared" si="97"/>
        <v>0</v>
      </c>
      <c r="AZ178" s="4284">
        <f t="shared" si="98"/>
        <v>0</v>
      </c>
      <c r="BA178" s="4284">
        <f t="shared" si="99"/>
        <v>0</v>
      </c>
      <c r="BB178" s="4284">
        <f t="shared" si="100"/>
        <v>0</v>
      </c>
      <c r="BC178" s="4284">
        <f t="shared" si="101"/>
        <v>0</v>
      </c>
      <c r="BD178" s="4284">
        <f t="shared" si="102"/>
        <v>0</v>
      </c>
      <c r="BE178" s="4284">
        <f t="shared" si="103"/>
        <v>0</v>
      </c>
      <c r="BF178" s="4284">
        <f t="shared" si="104"/>
        <v>0</v>
      </c>
      <c r="BG178" s="4284">
        <f t="shared" si="105"/>
        <v>0</v>
      </c>
      <c r="BH178" s="4284">
        <f t="shared" si="106"/>
        <v>0</v>
      </c>
      <c r="BI178" s="4284">
        <f t="shared" si="107"/>
        <v>0</v>
      </c>
      <c r="BJ178" s="4284">
        <f t="shared" si="108"/>
        <v>0</v>
      </c>
      <c r="BK178" s="4284">
        <f t="shared" si="109"/>
        <v>0</v>
      </c>
      <c r="BL178" s="4284">
        <f t="shared" si="110"/>
        <v>0</v>
      </c>
      <c r="BM178" s="4284">
        <f t="shared" si="111"/>
        <v>0</v>
      </c>
      <c r="BN178" s="4284">
        <f t="shared" si="112"/>
        <v>0</v>
      </c>
      <c r="BO178" s="4284">
        <f t="shared" si="113"/>
        <v>0</v>
      </c>
      <c r="BP178" s="4284">
        <f t="shared" si="114"/>
        <v>0</v>
      </c>
      <c r="BQ178" s="4284">
        <f t="shared" si="115"/>
        <v>0</v>
      </c>
      <c r="BR178" s="4284">
        <f t="shared" si="116"/>
        <v>0</v>
      </c>
      <c r="BS178" s="4284">
        <f t="shared" si="117"/>
        <v>0</v>
      </c>
      <c r="BT178" s="4285">
        <f t="shared" si="118"/>
        <v>0</v>
      </c>
    </row>
    <row r="179" spans="1:72">
      <c r="A179" s="4278"/>
      <c r="B179" s="4279"/>
      <c r="C179" s="4279"/>
      <c r="D179" s="4280"/>
      <c r="E179" s="1188">
        <f t="shared" si="119"/>
        <v>0</v>
      </c>
      <c r="F179" s="1680"/>
      <c r="G179" s="4281">
        <f t="shared" si="94"/>
        <v>0</v>
      </c>
      <c r="H179" s="3457">
        <f t="shared" si="95"/>
        <v>0</v>
      </c>
      <c r="I179" s="4282"/>
      <c r="J179" s="4282"/>
      <c r="K179" s="4282"/>
      <c r="L179" s="4282"/>
      <c r="M179" s="4282"/>
      <c r="N179" s="4282"/>
      <c r="O179" s="4282"/>
      <c r="P179" s="4282"/>
      <c r="Q179" s="4282"/>
      <c r="R179" s="4282"/>
      <c r="S179" s="4282"/>
      <c r="T179" s="4282"/>
      <c r="U179" s="4282"/>
      <c r="V179" s="4282"/>
      <c r="W179" s="4282"/>
      <c r="X179" s="4282"/>
      <c r="Y179" s="4282"/>
      <c r="Z179" s="4282"/>
      <c r="AA179" s="4282"/>
      <c r="AB179" s="4282"/>
      <c r="AC179" s="1188">
        <f t="shared" si="96"/>
        <v>0</v>
      </c>
      <c r="AD179" s="4278"/>
      <c r="AE179" s="4278"/>
      <c r="AF179" s="4278"/>
      <c r="AG179" s="4278"/>
      <c r="AH179" s="4278"/>
      <c r="AI179" s="4278"/>
      <c r="AJ179" s="4278"/>
      <c r="AK179" s="4278"/>
      <c r="AL179" s="4278"/>
      <c r="AM179" s="4278"/>
      <c r="AN179" s="4278"/>
      <c r="AO179" s="4278"/>
      <c r="AP179" s="4278"/>
      <c r="AQ179" s="4278"/>
      <c r="AR179" s="4278"/>
      <c r="AS179" s="4278"/>
      <c r="AT179" s="4279"/>
      <c r="AU179" s="4283"/>
      <c r="AV179" s="1188">
        <f t="shared" si="120"/>
        <v>0</v>
      </c>
      <c r="AW179" s="1188">
        <f t="shared" si="121"/>
        <v>0</v>
      </c>
      <c r="AX179" s="1188">
        <f t="shared" si="122"/>
        <v>0</v>
      </c>
      <c r="AY179" s="1452">
        <f t="shared" si="97"/>
        <v>0</v>
      </c>
      <c r="AZ179" s="4284">
        <f t="shared" si="98"/>
        <v>0</v>
      </c>
      <c r="BA179" s="4284">
        <f t="shared" si="99"/>
        <v>0</v>
      </c>
      <c r="BB179" s="4284">
        <f t="shared" si="100"/>
        <v>0</v>
      </c>
      <c r="BC179" s="4284">
        <f t="shared" si="101"/>
        <v>0</v>
      </c>
      <c r="BD179" s="4284">
        <f t="shared" si="102"/>
        <v>0</v>
      </c>
      <c r="BE179" s="4284">
        <f t="shared" si="103"/>
        <v>0</v>
      </c>
      <c r="BF179" s="4284">
        <f t="shared" si="104"/>
        <v>0</v>
      </c>
      <c r="BG179" s="4284">
        <f t="shared" si="105"/>
        <v>0</v>
      </c>
      <c r="BH179" s="4284">
        <f t="shared" si="106"/>
        <v>0</v>
      </c>
      <c r="BI179" s="4284">
        <f t="shared" si="107"/>
        <v>0</v>
      </c>
      <c r="BJ179" s="4284">
        <f t="shared" si="108"/>
        <v>0</v>
      </c>
      <c r="BK179" s="4284">
        <f t="shared" si="109"/>
        <v>0</v>
      </c>
      <c r="BL179" s="4284">
        <f t="shared" si="110"/>
        <v>0</v>
      </c>
      <c r="BM179" s="4284">
        <f t="shared" si="111"/>
        <v>0</v>
      </c>
      <c r="BN179" s="4284">
        <f t="shared" si="112"/>
        <v>0</v>
      </c>
      <c r="BO179" s="4284">
        <f t="shared" si="113"/>
        <v>0</v>
      </c>
      <c r="BP179" s="4284">
        <f t="shared" si="114"/>
        <v>0</v>
      </c>
      <c r="BQ179" s="4284">
        <f t="shared" si="115"/>
        <v>0</v>
      </c>
      <c r="BR179" s="4284">
        <f t="shared" si="116"/>
        <v>0</v>
      </c>
      <c r="BS179" s="4284">
        <f t="shared" si="117"/>
        <v>0</v>
      </c>
      <c r="BT179" s="4285">
        <f t="shared" si="118"/>
        <v>0</v>
      </c>
    </row>
    <row r="180" spans="1:72">
      <c r="A180" s="4278"/>
      <c r="B180" s="4279"/>
      <c r="C180" s="4279"/>
      <c r="D180" s="4280"/>
      <c r="E180" s="1188">
        <f t="shared" si="119"/>
        <v>0</v>
      </c>
      <c r="F180" s="1680"/>
      <c r="G180" s="4281">
        <f t="shared" si="94"/>
        <v>0</v>
      </c>
      <c r="H180" s="3457">
        <f t="shared" si="95"/>
        <v>0</v>
      </c>
      <c r="I180" s="4282"/>
      <c r="J180" s="4282"/>
      <c r="K180" s="4282"/>
      <c r="L180" s="4282"/>
      <c r="M180" s="4282"/>
      <c r="N180" s="4282"/>
      <c r="O180" s="4282"/>
      <c r="P180" s="4282"/>
      <c r="Q180" s="4282"/>
      <c r="R180" s="4282"/>
      <c r="S180" s="4282"/>
      <c r="T180" s="4282"/>
      <c r="U180" s="4282"/>
      <c r="V180" s="4282"/>
      <c r="W180" s="4282"/>
      <c r="X180" s="4282"/>
      <c r="Y180" s="4282"/>
      <c r="Z180" s="4282"/>
      <c r="AA180" s="4282"/>
      <c r="AB180" s="4282"/>
      <c r="AC180" s="1188">
        <f t="shared" si="96"/>
        <v>0</v>
      </c>
      <c r="AD180" s="4278"/>
      <c r="AE180" s="4278"/>
      <c r="AF180" s="4278"/>
      <c r="AG180" s="4278"/>
      <c r="AH180" s="4278"/>
      <c r="AI180" s="4278"/>
      <c r="AJ180" s="4278"/>
      <c r="AK180" s="4278"/>
      <c r="AL180" s="4278"/>
      <c r="AM180" s="4278"/>
      <c r="AN180" s="4278"/>
      <c r="AO180" s="4278"/>
      <c r="AP180" s="4278"/>
      <c r="AQ180" s="4278"/>
      <c r="AR180" s="4278"/>
      <c r="AS180" s="4278"/>
      <c r="AT180" s="4279"/>
      <c r="AU180" s="4283"/>
      <c r="AV180" s="1188">
        <f t="shared" si="120"/>
        <v>0</v>
      </c>
      <c r="AW180" s="1188">
        <f t="shared" si="121"/>
        <v>0</v>
      </c>
      <c r="AX180" s="1188">
        <f t="shared" si="122"/>
        <v>0</v>
      </c>
      <c r="AY180" s="1452">
        <f t="shared" si="97"/>
        <v>0</v>
      </c>
      <c r="AZ180" s="4284">
        <f t="shared" si="98"/>
        <v>0</v>
      </c>
      <c r="BA180" s="4284">
        <f t="shared" si="99"/>
        <v>0</v>
      </c>
      <c r="BB180" s="4284">
        <f t="shared" si="100"/>
        <v>0</v>
      </c>
      <c r="BC180" s="4284">
        <f t="shared" si="101"/>
        <v>0</v>
      </c>
      <c r="BD180" s="4284">
        <f t="shared" si="102"/>
        <v>0</v>
      </c>
      <c r="BE180" s="4284">
        <f t="shared" si="103"/>
        <v>0</v>
      </c>
      <c r="BF180" s="4284">
        <f t="shared" si="104"/>
        <v>0</v>
      </c>
      <c r="BG180" s="4284">
        <f t="shared" si="105"/>
        <v>0</v>
      </c>
      <c r="BH180" s="4284">
        <f t="shared" si="106"/>
        <v>0</v>
      </c>
      <c r="BI180" s="4284">
        <f t="shared" si="107"/>
        <v>0</v>
      </c>
      <c r="BJ180" s="4284">
        <f t="shared" si="108"/>
        <v>0</v>
      </c>
      <c r="BK180" s="4284">
        <f t="shared" si="109"/>
        <v>0</v>
      </c>
      <c r="BL180" s="4284">
        <f t="shared" si="110"/>
        <v>0</v>
      </c>
      <c r="BM180" s="4284">
        <f t="shared" si="111"/>
        <v>0</v>
      </c>
      <c r="BN180" s="4284">
        <f t="shared" si="112"/>
        <v>0</v>
      </c>
      <c r="BO180" s="4284">
        <f t="shared" si="113"/>
        <v>0</v>
      </c>
      <c r="BP180" s="4284">
        <f t="shared" si="114"/>
        <v>0</v>
      </c>
      <c r="BQ180" s="4284">
        <f t="shared" si="115"/>
        <v>0</v>
      </c>
      <c r="BR180" s="4284">
        <f t="shared" si="116"/>
        <v>0</v>
      </c>
      <c r="BS180" s="4284">
        <f t="shared" si="117"/>
        <v>0</v>
      </c>
      <c r="BT180" s="4285">
        <f t="shared" si="118"/>
        <v>0</v>
      </c>
    </row>
    <row r="181" spans="1:72">
      <c r="A181" s="4278"/>
      <c r="B181" s="4279"/>
      <c r="C181" s="4279"/>
      <c r="D181" s="4280"/>
      <c r="E181" s="1188">
        <f t="shared" si="119"/>
        <v>0</v>
      </c>
      <c r="F181" s="1680"/>
      <c r="G181" s="4281">
        <f t="shared" si="94"/>
        <v>0</v>
      </c>
      <c r="H181" s="3457">
        <f t="shared" si="95"/>
        <v>0</v>
      </c>
      <c r="I181" s="4282"/>
      <c r="J181" s="4282"/>
      <c r="K181" s="4282"/>
      <c r="L181" s="4282"/>
      <c r="M181" s="4282"/>
      <c r="N181" s="4282"/>
      <c r="O181" s="4282"/>
      <c r="P181" s="4282"/>
      <c r="Q181" s="4282"/>
      <c r="R181" s="4282"/>
      <c r="S181" s="4282"/>
      <c r="T181" s="4282"/>
      <c r="U181" s="4282"/>
      <c r="V181" s="4282"/>
      <c r="W181" s="4282"/>
      <c r="X181" s="4282"/>
      <c r="Y181" s="4282"/>
      <c r="Z181" s="4282"/>
      <c r="AA181" s="4282"/>
      <c r="AB181" s="4282"/>
      <c r="AC181" s="1188">
        <f t="shared" si="96"/>
        <v>0</v>
      </c>
      <c r="AD181" s="4278"/>
      <c r="AE181" s="4278"/>
      <c r="AF181" s="4278"/>
      <c r="AG181" s="4278"/>
      <c r="AH181" s="4278"/>
      <c r="AI181" s="4278"/>
      <c r="AJ181" s="4278"/>
      <c r="AK181" s="4278"/>
      <c r="AL181" s="4278"/>
      <c r="AM181" s="4278"/>
      <c r="AN181" s="4278"/>
      <c r="AO181" s="4278"/>
      <c r="AP181" s="4278"/>
      <c r="AQ181" s="4278"/>
      <c r="AR181" s="4278"/>
      <c r="AS181" s="4278"/>
      <c r="AT181" s="4279"/>
      <c r="AU181" s="4283"/>
      <c r="AV181" s="1188">
        <f t="shared" si="120"/>
        <v>0</v>
      </c>
      <c r="AW181" s="1188">
        <f t="shared" si="121"/>
        <v>0</v>
      </c>
      <c r="AX181" s="1188">
        <f t="shared" si="122"/>
        <v>0</v>
      </c>
      <c r="AY181" s="1452">
        <f t="shared" si="97"/>
        <v>0</v>
      </c>
      <c r="AZ181" s="4284">
        <f t="shared" si="98"/>
        <v>0</v>
      </c>
      <c r="BA181" s="4284">
        <f t="shared" si="99"/>
        <v>0</v>
      </c>
      <c r="BB181" s="4284">
        <f t="shared" si="100"/>
        <v>0</v>
      </c>
      <c r="BC181" s="4284">
        <f t="shared" si="101"/>
        <v>0</v>
      </c>
      <c r="BD181" s="4284">
        <f t="shared" si="102"/>
        <v>0</v>
      </c>
      <c r="BE181" s="4284">
        <f t="shared" si="103"/>
        <v>0</v>
      </c>
      <c r="BF181" s="4284">
        <f t="shared" si="104"/>
        <v>0</v>
      </c>
      <c r="BG181" s="4284">
        <f t="shared" si="105"/>
        <v>0</v>
      </c>
      <c r="BH181" s="4284">
        <f t="shared" si="106"/>
        <v>0</v>
      </c>
      <c r="BI181" s="4284">
        <f t="shared" si="107"/>
        <v>0</v>
      </c>
      <c r="BJ181" s="4284">
        <f t="shared" si="108"/>
        <v>0</v>
      </c>
      <c r="BK181" s="4284">
        <f t="shared" si="109"/>
        <v>0</v>
      </c>
      <c r="BL181" s="4284">
        <f t="shared" si="110"/>
        <v>0</v>
      </c>
      <c r="BM181" s="4284">
        <f t="shared" si="111"/>
        <v>0</v>
      </c>
      <c r="BN181" s="4284">
        <f t="shared" si="112"/>
        <v>0</v>
      </c>
      <c r="BO181" s="4284">
        <f t="shared" si="113"/>
        <v>0</v>
      </c>
      <c r="BP181" s="4284">
        <f t="shared" si="114"/>
        <v>0</v>
      </c>
      <c r="BQ181" s="4284">
        <f t="shared" si="115"/>
        <v>0</v>
      </c>
      <c r="BR181" s="4284">
        <f t="shared" si="116"/>
        <v>0</v>
      </c>
      <c r="BS181" s="4284">
        <f t="shared" si="117"/>
        <v>0</v>
      </c>
      <c r="BT181" s="4285">
        <f t="shared" si="118"/>
        <v>0</v>
      </c>
    </row>
    <row r="182" spans="1:72">
      <c r="A182" s="4278"/>
      <c r="B182" s="4279"/>
      <c r="C182" s="4279"/>
      <c r="D182" s="4280"/>
      <c r="E182" s="1188">
        <f t="shared" si="119"/>
        <v>0</v>
      </c>
      <c r="F182" s="1680"/>
      <c r="G182" s="4281">
        <f t="shared" si="94"/>
        <v>0</v>
      </c>
      <c r="H182" s="3457">
        <f t="shared" si="95"/>
        <v>0</v>
      </c>
      <c r="I182" s="4282"/>
      <c r="J182" s="4282"/>
      <c r="K182" s="4282"/>
      <c r="L182" s="4282"/>
      <c r="M182" s="4282"/>
      <c r="N182" s="4282"/>
      <c r="O182" s="4282"/>
      <c r="P182" s="4282"/>
      <c r="Q182" s="4282"/>
      <c r="R182" s="4282"/>
      <c r="S182" s="4282"/>
      <c r="T182" s="4282"/>
      <c r="U182" s="4282"/>
      <c r="V182" s="4282"/>
      <c r="W182" s="4282"/>
      <c r="X182" s="4282"/>
      <c r="Y182" s="4282"/>
      <c r="Z182" s="4282"/>
      <c r="AA182" s="4282"/>
      <c r="AB182" s="4282"/>
      <c r="AC182" s="1188">
        <f t="shared" si="96"/>
        <v>0</v>
      </c>
      <c r="AD182" s="4278"/>
      <c r="AE182" s="4278"/>
      <c r="AF182" s="4278"/>
      <c r="AG182" s="4278"/>
      <c r="AH182" s="4278"/>
      <c r="AI182" s="4278"/>
      <c r="AJ182" s="4278"/>
      <c r="AK182" s="4278"/>
      <c r="AL182" s="4278"/>
      <c r="AM182" s="4278"/>
      <c r="AN182" s="4278"/>
      <c r="AO182" s="4278"/>
      <c r="AP182" s="4278"/>
      <c r="AQ182" s="4278"/>
      <c r="AR182" s="4278"/>
      <c r="AS182" s="4278"/>
      <c r="AT182" s="4279"/>
      <c r="AU182" s="4283"/>
      <c r="AV182" s="1188">
        <f t="shared" si="120"/>
        <v>0</v>
      </c>
      <c r="AW182" s="1188">
        <f t="shared" si="121"/>
        <v>0</v>
      </c>
      <c r="AX182" s="1188">
        <f t="shared" si="122"/>
        <v>0</v>
      </c>
      <c r="AY182" s="1452">
        <f t="shared" si="97"/>
        <v>0</v>
      </c>
      <c r="AZ182" s="4284">
        <f t="shared" si="98"/>
        <v>0</v>
      </c>
      <c r="BA182" s="4284">
        <f t="shared" si="99"/>
        <v>0</v>
      </c>
      <c r="BB182" s="4284">
        <f t="shared" si="100"/>
        <v>0</v>
      </c>
      <c r="BC182" s="4284">
        <f t="shared" si="101"/>
        <v>0</v>
      </c>
      <c r="BD182" s="4284">
        <f t="shared" si="102"/>
        <v>0</v>
      </c>
      <c r="BE182" s="4284">
        <f t="shared" si="103"/>
        <v>0</v>
      </c>
      <c r="BF182" s="4284">
        <f t="shared" si="104"/>
        <v>0</v>
      </c>
      <c r="BG182" s="4284">
        <f t="shared" si="105"/>
        <v>0</v>
      </c>
      <c r="BH182" s="4284">
        <f t="shared" si="106"/>
        <v>0</v>
      </c>
      <c r="BI182" s="4284">
        <f t="shared" si="107"/>
        <v>0</v>
      </c>
      <c r="BJ182" s="4284">
        <f t="shared" si="108"/>
        <v>0</v>
      </c>
      <c r="BK182" s="4284">
        <f t="shared" si="109"/>
        <v>0</v>
      </c>
      <c r="BL182" s="4284">
        <f t="shared" si="110"/>
        <v>0</v>
      </c>
      <c r="BM182" s="4284">
        <f t="shared" si="111"/>
        <v>0</v>
      </c>
      <c r="BN182" s="4284">
        <f t="shared" si="112"/>
        <v>0</v>
      </c>
      <c r="BO182" s="4284">
        <f t="shared" si="113"/>
        <v>0</v>
      </c>
      <c r="BP182" s="4284">
        <f t="shared" si="114"/>
        <v>0</v>
      </c>
      <c r="BQ182" s="4284">
        <f t="shared" si="115"/>
        <v>0</v>
      </c>
      <c r="BR182" s="4284">
        <f t="shared" si="116"/>
        <v>0</v>
      </c>
      <c r="BS182" s="4284">
        <f t="shared" si="117"/>
        <v>0</v>
      </c>
      <c r="BT182" s="4285">
        <f t="shared" si="118"/>
        <v>0</v>
      </c>
    </row>
    <row r="183" spans="1:72">
      <c r="A183" s="4278"/>
      <c r="B183" s="4279"/>
      <c r="C183" s="4279"/>
      <c r="D183" s="4280"/>
      <c r="E183" s="1188">
        <f t="shared" si="119"/>
        <v>0</v>
      </c>
      <c r="F183" s="1680"/>
      <c r="G183" s="4281">
        <f t="shared" si="94"/>
        <v>0</v>
      </c>
      <c r="H183" s="3457">
        <f t="shared" si="95"/>
        <v>0</v>
      </c>
      <c r="I183" s="4282"/>
      <c r="J183" s="4282"/>
      <c r="K183" s="4282"/>
      <c r="L183" s="4282"/>
      <c r="M183" s="4282"/>
      <c r="N183" s="4282"/>
      <c r="O183" s="4282"/>
      <c r="P183" s="4282"/>
      <c r="Q183" s="4282"/>
      <c r="R183" s="4282"/>
      <c r="S183" s="4282"/>
      <c r="T183" s="4282"/>
      <c r="U183" s="4282"/>
      <c r="V183" s="4282"/>
      <c r="W183" s="4282"/>
      <c r="X183" s="4282"/>
      <c r="Y183" s="4282"/>
      <c r="Z183" s="4282"/>
      <c r="AA183" s="4282"/>
      <c r="AB183" s="4282"/>
      <c r="AC183" s="1188">
        <f t="shared" si="96"/>
        <v>0</v>
      </c>
      <c r="AD183" s="4278"/>
      <c r="AE183" s="4278"/>
      <c r="AF183" s="4278"/>
      <c r="AG183" s="4278"/>
      <c r="AH183" s="4278"/>
      <c r="AI183" s="4278"/>
      <c r="AJ183" s="4278"/>
      <c r="AK183" s="4278"/>
      <c r="AL183" s="4278"/>
      <c r="AM183" s="4278"/>
      <c r="AN183" s="4278"/>
      <c r="AO183" s="4278"/>
      <c r="AP183" s="4278"/>
      <c r="AQ183" s="4278"/>
      <c r="AR183" s="4278"/>
      <c r="AS183" s="4278"/>
      <c r="AT183" s="4279"/>
      <c r="AU183" s="4283"/>
      <c r="AV183" s="1188">
        <f t="shared" si="120"/>
        <v>0</v>
      </c>
      <c r="AW183" s="1188">
        <f t="shared" si="121"/>
        <v>0</v>
      </c>
      <c r="AX183" s="1188">
        <f t="shared" si="122"/>
        <v>0</v>
      </c>
      <c r="AY183" s="1452">
        <f t="shared" si="97"/>
        <v>0</v>
      </c>
      <c r="AZ183" s="4284">
        <f t="shared" si="98"/>
        <v>0</v>
      </c>
      <c r="BA183" s="4284">
        <f t="shared" si="99"/>
        <v>0</v>
      </c>
      <c r="BB183" s="4284">
        <f t="shared" si="100"/>
        <v>0</v>
      </c>
      <c r="BC183" s="4284">
        <f t="shared" si="101"/>
        <v>0</v>
      </c>
      <c r="BD183" s="4284">
        <f t="shared" si="102"/>
        <v>0</v>
      </c>
      <c r="BE183" s="4284">
        <f t="shared" si="103"/>
        <v>0</v>
      </c>
      <c r="BF183" s="4284">
        <f t="shared" si="104"/>
        <v>0</v>
      </c>
      <c r="BG183" s="4284">
        <f t="shared" si="105"/>
        <v>0</v>
      </c>
      <c r="BH183" s="4284">
        <f t="shared" si="106"/>
        <v>0</v>
      </c>
      <c r="BI183" s="4284">
        <f t="shared" si="107"/>
        <v>0</v>
      </c>
      <c r="BJ183" s="4284">
        <f t="shared" si="108"/>
        <v>0</v>
      </c>
      <c r="BK183" s="4284">
        <f t="shared" si="109"/>
        <v>0</v>
      </c>
      <c r="BL183" s="4284">
        <f t="shared" si="110"/>
        <v>0</v>
      </c>
      <c r="BM183" s="4284">
        <f t="shared" si="111"/>
        <v>0</v>
      </c>
      <c r="BN183" s="4284">
        <f t="shared" si="112"/>
        <v>0</v>
      </c>
      <c r="BO183" s="4284">
        <f t="shared" si="113"/>
        <v>0</v>
      </c>
      <c r="BP183" s="4284">
        <f t="shared" si="114"/>
        <v>0</v>
      </c>
      <c r="BQ183" s="4284">
        <f t="shared" si="115"/>
        <v>0</v>
      </c>
      <c r="BR183" s="4284">
        <f t="shared" si="116"/>
        <v>0</v>
      </c>
      <c r="BS183" s="4284">
        <f t="shared" si="117"/>
        <v>0</v>
      </c>
      <c r="BT183" s="4285">
        <f t="shared" si="118"/>
        <v>0</v>
      </c>
    </row>
    <row r="184" spans="1:72">
      <c r="A184" s="4278"/>
      <c r="B184" s="4279"/>
      <c r="C184" s="4279"/>
      <c r="D184" s="4280"/>
      <c r="E184" s="1188">
        <f t="shared" si="119"/>
        <v>0</v>
      </c>
      <c r="F184" s="1680"/>
      <c r="G184" s="4281">
        <f t="shared" si="94"/>
        <v>0</v>
      </c>
      <c r="H184" s="3457">
        <f t="shared" si="95"/>
        <v>0</v>
      </c>
      <c r="I184" s="4282"/>
      <c r="J184" s="4282"/>
      <c r="K184" s="4282"/>
      <c r="L184" s="4282"/>
      <c r="M184" s="4282"/>
      <c r="N184" s="4282"/>
      <c r="O184" s="4282"/>
      <c r="P184" s="4282"/>
      <c r="Q184" s="4282"/>
      <c r="R184" s="4282"/>
      <c r="S184" s="4282"/>
      <c r="T184" s="4282"/>
      <c r="U184" s="4282"/>
      <c r="V184" s="4282"/>
      <c r="W184" s="4282"/>
      <c r="X184" s="4282"/>
      <c r="Y184" s="4282"/>
      <c r="Z184" s="4282"/>
      <c r="AA184" s="4282"/>
      <c r="AB184" s="4282"/>
      <c r="AC184" s="1188">
        <f t="shared" si="96"/>
        <v>0</v>
      </c>
      <c r="AD184" s="4278"/>
      <c r="AE184" s="4278"/>
      <c r="AF184" s="4278"/>
      <c r="AG184" s="4278"/>
      <c r="AH184" s="4278"/>
      <c r="AI184" s="4278"/>
      <c r="AJ184" s="4278"/>
      <c r="AK184" s="4278"/>
      <c r="AL184" s="4278"/>
      <c r="AM184" s="4278"/>
      <c r="AN184" s="4278"/>
      <c r="AO184" s="4278"/>
      <c r="AP184" s="4278"/>
      <c r="AQ184" s="4278"/>
      <c r="AR184" s="4278"/>
      <c r="AS184" s="4278"/>
      <c r="AT184" s="4279"/>
      <c r="AU184" s="4283"/>
      <c r="AV184" s="1188">
        <f t="shared" si="120"/>
        <v>0</v>
      </c>
      <c r="AW184" s="1188">
        <f t="shared" si="121"/>
        <v>0</v>
      </c>
      <c r="AX184" s="1188">
        <f t="shared" si="122"/>
        <v>0</v>
      </c>
      <c r="AY184" s="1452">
        <f t="shared" si="97"/>
        <v>0</v>
      </c>
      <c r="AZ184" s="4284">
        <f t="shared" si="98"/>
        <v>0</v>
      </c>
      <c r="BA184" s="4284">
        <f t="shared" si="99"/>
        <v>0</v>
      </c>
      <c r="BB184" s="4284">
        <f t="shared" si="100"/>
        <v>0</v>
      </c>
      <c r="BC184" s="4284">
        <f t="shared" si="101"/>
        <v>0</v>
      </c>
      <c r="BD184" s="4284">
        <f t="shared" si="102"/>
        <v>0</v>
      </c>
      <c r="BE184" s="4284">
        <f t="shared" si="103"/>
        <v>0</v>
      </c>
      <c r="BF184" s="4284">
        <f t="shared" si="104"/>
        <v>0</v>
      </c>
      <c r="BG184" s="4284">
        <f t="shared" si="105"/>
        <v>0</v>
      </c>
      <c r="BH184" s="4284">
        <f t="shared" si="106"/>
        <v>0</v>
      </c>
      <c r="BI184" s="4284">
        <f t="shared" si="107"/>
        <v>0</v>
      </c>
      <c r="BJ184" s="4284">
        <f t="shared" si="108"/>
        <v>0</v>
      </c>
      <c r="BK184" s="4284">
        <f t="shared" si="109"/>
        <v>0</v>
      </c>
      <c r="BL184" s="4284">
        <f t="shared" si="110"/>
        <v>0</v>
      </c>
      <c r="BM184" s="4284">
        <f t="shared" si="111"/>
        <v>0</v>
      </c>
      <c r="BN184" s="4284">
        <f t="shared" si="112"/>
        <v>0</v>
      </c>
      <c r="BO184" s="4284">
        <f t="shared" si="113"/>
        <v>0</v>
      </c>
      <c r="BP184" s="4284">
        <f t="shared" si="114"/>
        <v>0</v>
      </c>
      <c r="BQ184" s="4284">
        <f t="shared" si="115"/>
        <v>0</v>
      </c>
      <c r="BR184" s="4284">
        <f t="shared" si="116"/>
        <v>0</v>
      </c>
      <c r="BS184" s="4284">
        <f t="shared" si="117"/>
        <v>0</v>
      </c>
      <c r="BT184" s="4285">
        <f t="shared" si="118"/>
        <v>0</v>
      </c>
    </row>
    <row r="185" spans="1:72">
      <c r="A185" s="4278"/>
      <c r="B185" s="4279"/>
      <c r="C185" s="4279"/>
      <c r="D185" s="4280"/>
      <c r="E185" s="1188">
        <f t="shared" si="119"/>
        <v>0</v>
      </c>
      <c r="F185" s="1680"/>
      <c r="G185" s="4281">
        <f t="shared" si="94"/>
        <v>0</v>
      </c>
      <c r="H185" s="3457">
        <f t="shared" si="95"/>
        <v>0</v>
      </c>
      <c r="I185" s="4282"/>
      <c r="J185" s="4282"/>
      <c r="K185" s="4282"/>
      <c r="L185" s="4282"/>
      <c r="M185" s="4282"/>
      <c r="N185" s="4282"/>
      <c r="O185" s="4282"/>
      <c r="P185" s="4282"/>
      <c r="Q185" s="4282"/>
      <c r="R185" s="4282"/>
      <c r="S185" s="4282"/>
      <c r="T185" s="4282"/>
      <c r="U185" s="4282"/>
      <c r="V185" s="4282"/>
      <c r="W185" s="4282"/>
      <c r="X185" s="4282"/>
      <c r="Y185" s="4282"/>
      <c r="Z185" s="4282"/>
      <c r="AA185" s="4282"/>
      <c r="AB185" s="4282"/>
      <c r="AC185" s="1188">
        <f t="shared" si="96"/>
        <v>0</v>
      </c>
      <c r="AD185" s="4278"/>
      <c r="AE185" s="4278"/>
      <c r="AF185" s="4278"/>
      <c r="AG185" s="4278"/>
      <c r="AH185" s="4278"/>
      <c r="AI185" s="4278"/>
      <c r="AJ185" s="4278"/>
      <c r="AK185" s="4278"/>
      <c r="AL185" s="4278"/>
      <c r="AM185" s="4278"/>
      <c r="AN185" s="4278"/>
      <c r="AO185" s="4278"/>
      <c r="AP185" s="4278"/>
      <c r="AQ185" s="4278"/>
      <c r="AR185" s="4278"/>
      <c r="AS185" s="4278"/>
      <c r="AT185" s="4279"/>
      <c r="AU185" s="4283"/>
      <c r="AV185" s="1188">
        <f t="shared" si="120"/>
        <v>0</v>
      </c>
      <c r="AW185" s="1188">
        <f t="shared" si="121"/>
        <v>0</v>
      </c>
      <c r="AX185" s="1188">
        <f t="shared" si="122"/>
        <v>0</v>
      </c>
      <c r="AY185" s="1452">
        <f t="shared" si="97"/>
        <v>0</v>
      </c>
      <c r="AZ185" s="4284">
        <f t="shared" si="98"/>
        <v>0</v>
      </c>
      <c r="BA185" s="4284">
        <f t="shared" si="99"/>
        <v>0</v>
      </c>
      <c r="BB185" s="4284">
        <f t="shared" si="100"/>
        <v>0</v>
      </c>
      <c r="BC185" s="4284">
        <f t="shared" si="101"/>
        <v>0</v>
      </c>
      <c r="BD185" s="4284">
        <f t="shared" si="102"/>
        <v>0</v>
      </c>
      <c r="BE185" s="4284">
        <f t="shared" si="103"/>
        <v>0</v>
      </c>
      <c r="BF185" s="4284">
        <f t="shared" si="104"/>
        <v>0</v>
      </c>
      <c r="BG185" s="4284">
        <f t="shared" si="105"/>
        <v>0</v>
      </c>
      <c r="BH185" s="4284">
        <f t="shared" si="106"/>
        <v>0</v>
      </c>
      <c r="BI185" s="4284">
        <f t="shared" si="107"/>
        <v>0</v>
      </c>
      <c r="BJ185" s="4284">
        <f t="shared" si="108"/>
        <v>0</v>
      </c>
      <c r="BK185" s="4284">
        <f t="shared" si="109"/>
        <v>0</v>
      </c>
      <c r="BL185" s="4284">
        <f t="shared" si="110"/>
        <v>0</v>
      </c>
      <c r="BM185" s="4284">
        <f t="shared" si="111"/>
        <v>0</v>
      </c>
      <c r="BN185" s="4284">
        <f t="shared" si="112"/>
        <v>0</v>
      </c>
      <c r="BO185" s="4284">
        <f t="shared" si="113"/>
        <v>0</v>
      </c>
      <c r="BP185" s="4284">
        <f t="shared" si="114"/>
        <v>0</v>
      </c>
      <c r="BQ185" s="4284">
        <f t="shared" si="115"/>
        <v>0</v>
      </c>
      <c r="BR185" s="4284">
        <f t="shared" si="116"/>
        <v>0</v>
      </c>
      <c r="BS185" s="4284">
        <f t="shared" si="117"/>
        <v>0</v>
      </c>
      <c r="BT185" s="4285">
        <f t="shared" si="118"/>
        <v>0</v>
      </c>
    </row>
    <row r="186" spans="1:72">
      <c r="A186" s="4278"/>
      <c r="B186" s="4279"/>
      <c r="C186" s="4279"/>
      <c r="D186" s="4280"/>
      <c r="E186" s="1188">
        <f t="shared" si="119"/>
        <v>0</v>
      </c>
      <c r="F186" s="1680"/>
      <c r="G186" s="4281">
        <f t="shared" si="94"/>
        <v>0</v>
      </c>
      <c r="H186" s="3457">
        <f t="shared" si="95"/>
        <v>0</v>
      </c>
      <c r="I186" s="4282"/>
      <c r="J186" s="4282"/>
      <c r="K186" s="4282"/>
      <c r="L186" s="4282"/>
      <c r="M186" s="4282"/>
      <c r="N186" s="4282"/>
      <c r="O186" s="4282"/>
      <c r="P186" s="4282"/>
      <c r="Q186" s="4282"/>
      <c r="R186" s="4282"/>
      <c r="S186" s="4282"/>
      <c r="T186" s="4282"/>
      <c r="U186" s="4282"/>
      <c r="V186" s="4282"/>
      <c r="W186" s="4282"/>
      <c r="X186" s="4282"/>
      <c r="Y186" s="4282"/>
      <c r="Z186" s="4282"/>
      <c r="AA186" s="4282"/>
      <c r="AB186" s="4282"/>
      <c r="AC186" s="1188">
        <f t="shared" si="96"/>
        <v>0</v>
      </c>
      <c r="AD186" s="4278"/>
      <c r="AE186" s="4278"/>
      <c r="AF186" s="4278"/>
      <c r="AG186" s="4278"/>
      <c r="AH186" s="4278"/>
      <c r="AI186" s="4278"/>
      <c r="AJ186" s="4278"/>
      <c r="AK186" s="4278"/>
      <c r="AL186" s="4278"/>
      <c r="AM186" s="4278"/>
      <c r="AN186" s="4278"/>
      <c r="AO186" s="4278"/>
      <c r="AP186" s="4278"/>
      <c r="AQ186" s="4278"/>
      <c r="AR186" s="4278"/>
      <c r="AS186" s="4278"/>
      <c r="AT186" s="4279"/>
      <c r="AU186" s="4283"/>
      <c r="AV186" s="1188">
        <f t="shared" si="120"/>
        <v>0</v>
      </c>
      <c r="AW186" s="1188">
        <f t="shared" si="121"/>
        <v>0</v>
      </c>
      <c r="AX186" s="1188">
        <f t="shared" si="122"/>
        <v>0</v>
      </c>
      <c r="AY186" s="1452">
        <f t="shared" si="97"/>
        <v>0</v>
      </c>
      <c r="AZ186" s="4284">
        <f t="shared" si="98"/>
        <v>0</v>
      </c>
      <c r="BA186" s="4284">
        <f t="shared" si="99"/>
        <v>0</v>
      </c>
      <c r="BB186" s="4284">
        <f t="shared" si="100"/>
        <v>0</v>
      </c>
      <c r="BC186" s="4284">
        <f t="shared" si="101"/>
        <v>0</v>
      </c>
      <c r="BD186" s="4284">
        <f t="shared" si="102"/>
        <v>0</v>
      </c>
      <c r="BE186" s="4284">
        <f t="shared" si="103"/>
        <v>0</v>
      </c>
      <c r="BF186" s="4284">
        <f t="shared" si="104"/>
        <v>0</v>
      </c>
      <c r="BG186" s="4284">
        <f t="shared" si="105"/>
        <v>0</v>
      </c>
      <c r="BH186" s="4284">
        <f t="shared" si="106"/>
        <v>0</v>
      </c>
      <c r="BI186" s="4284">
        <f t="shared" si="107"/>
        <v>0</v>
      </c>
      <c r="BJ186" s="4284">
        <f t="shared" si="108"/>
        <v>0</v>
      </c>
      <c r="BK186" s="4284">
        <f t="shared" si="109"/>
        <v>0</v>
      </c>
      <c r="BL186" s="4284">
        <f t="shared" si="110"/>
        <v>0</v>
      </c>
      <c r="BM186" s="4284">
        <f t="shared" si="111"/>
        <v>0</v>
      </c>
      <c r="BN186" s="4284">
        <f t="shared" si="112"/>
        <v>0</v>
      </c>
      <c r="BO186" s="4284">
        <f t="shared" si="113"/>
        <v>0</v>
      </c>
      <c r="BP186" s="4284">
        <f t="shared" si="114"/>
        <v>0</v>
      </c>
      <c r="BQ186" s="4284">
        <f t="shared" si="115"/>
        <v>0</v>
      </c>
      <c r="BR186" s="4284">
        <f t="shared" si="116"/>
        <v>0</v>
      </c>
      <c r="BS186" s="4284">
        <f t="shared" si="117"/>
        <v>0</v>
      </c>
      <c r="BT186" s="4285">
        <f t="shared" si="118"/>
        <v>0</v>
      </c>
    </row>
    <row r="187" spans="1:72">
      <c r="A187" s="4278"/>
      <c r="B187" s="4279"/>
      <c r="C187" s="4279"/>
      <c r="D187" s="4280"/>
      <c r="E187" s="1188">
        <f t="shared" si="119"/>
        <v>0</v>
      </c>
      <c r="F187" s="1680"/>
      <c r="G187" s="4281">
        <f t="shared" si="94"/>
        <v>0</v>
      </c>
      <c r="H187" s="3457">
        <f t="shared" si="95"/>
        <v>0</v>
      </c>
      <c r="I187" s="4282"/>
      <c r="J187" s="4282"/>
      <c r="K187" s="4282"/>
      <c r="L187" s="4282"/>
      <c r="M187" s="4282"/>
      <c r="N187" s="4282"/>
      <c r="O187" s="4282"/>
      <c r="P187" s="4282"/>
      <c r="Q187" s="4282"/>
      <c r="R187" s="4282"/>
      <c r="S187" s="4282"/>
      <c r="T187" s="4282"/>
      <c r="U187" s="4282"/>
      <c r="V187" s="4282"/>
      <c r="W187" s="4282"/>
      <c r="X187" s="4282"/>
      <c r="Y187" s="4282"/>
      <c r="Z187" s="4282"/>
      <c r="AA187" s="4282"/>
      <c r="AB187" s="4282"/>
      <c r="AC187" s="1188">
        <f t="shared" si="96"/>
        <v>0</v>
      </c>
      <c r="AD187" s="4278"/>
      <c r="AE187" s="4278"/>
      <c r="AF187" s="4278"/>
      <c r="AG187" s="4278"/>
      <c r="AH187" s="4278"/>
      <c r="AI187" s="4278"/>
      <c r="AJ187" s="4278"/>
      <c r="AK187" s="4278"/>
      <c r="AL187" s="4278"/>
      <c r="AM187" s="4278"/>
      <c r="AN187" s="4278"/>
      <c r="AO187" s="4278"/>
      <c r="AP187" s="4278"/>
      <c r="AQ187" s="4278"/>
      <c r="AR187" s="4278"/>
      <c r="AS187" s="4278"/>
      <c r="AT187" s="4279"/>
      <c r="AU187" s="4283"/>
      <c r="AV187" s="1188">
        <f t="shared" si="120"/>
        <v>0</v>
      </c>
      <c r="AW187" s="1188">
        <f t="shared" si="121"/>
        <v>0</v>
      </c>
      <c r="AX187" s="1188">
        <f t="shared" si="122"/>
        <v>0</v>
      </c>
      <c r="AY187" s="1452">
        <f t="shared" si="97"/>
        <v>0</v>
      </c>
      <c r="AZ187" s="4284">
        <f t="shared" si="98"/>
        <v>0</v>
      </c>
      <c r="BA187" s="4284">
        <f t="shared" si="99"/>
        <v>0</v>
      </c>
      <c r="BB187" s="4284">
        <f t="shared" si="100"/>
        <v>0</v>
      </c>
      <c r="BC187" s="4284">
        <f t="shared" si="101"/>
        <v>0</v>
      </c>
      <c r="BD187" s="4284">
        <f t="shared" si="102"/>
        <v>0</v>
      </c>
      <c r="BE187" s="4284">
        <f t="shared" si="103"/>
        <v>0</v>
      </c>
      <c r="BF187" s="4284">
        <f t="shared" si="104"/>
        <v>0</v>
      </c>
      <c r="BG187" s="4284">
        <f t="shared" si="105"/>
        <v>0</v>
      </c>
      <c r="BH187" s="4284">
        <f t="shared" si="106"/>
        <v>0</v>
      </c>
      <c r="BI187" s="4284">
        <f t="shared" si="107"/>
        <v>0</v>
      </c>
      <c r="BJ187" s="4284">
        <f t="shared" si="108"/>
        <v>0</v>
      </c>
      <c r="BK187" s="4284">
        <f t="shared" si="109"/>
        <v>0</v>
      </c>
      <c r="BL187" s="4284">
        <f t="shared" si="110"/>
        <v>0</v>
      </c>
      <c r="BM187" s="4284">
        <f t="shared" si="111"/>
        <v>0</v>
      </c>
      <c r="BN187" s="4284">
        <f t="shared" si="112"/>
        <v>0</v>
      </c>
      <c r="BO187" s="4284">
        <f t="shared" si="113"/>
        <v>0</v>
      </c>
      <c r="BP187" s="4284">
        <f t="shared" si="114"/>
        <v>0</v>
      </c>
      <c r="BQ187" s="4284">
        <f t="shared" si="115"/>
        <v>0</v>
      </c>
      <c r="BR187" s="4284">
        <f t="shared" si="116"/>
        <v>0</v>
      </c>
      <c r="BS187" s="4284">
        <f t="shared" si="117"/>
        <v>0</v>
      </c>
      <c r="BT187" s="4285">
        <f t="shared" si="118"/>
        <v>0</v>
      </c>
    </row>
    <row r="188" spans="1:72">
      <c r="A188" s="4278"/>
      <c r="B188" s="4279"/>
      <c r="C188" s="4279"/>
      <c r="D188" s="4280"/>
      <c r="E188" s="1188">
        <f t="shared" si="119"/>
        <v>0</v>
      </c>
      <c r="F188" s="1680"/>
      <c r="G188" s="4281">
        <f t="shared" si="94"/>
        <v>0</v>
      </c>
      <c r="H188" s="3457">
        <f t="shared" si="95"/>
        <v>0</v>
      </c>
      <c r="I188" s="4282"/>
      <c r="J188" s="4282"/>
      <c r="K188" s="4282"/>
      <c r="L188" s="4282"/>
      <c r="M188" s="4282"/>
      <c r="N188" s="4282"/>
      <c r="O188" s="4282"/>
      <c r="P188" s="4282"/>
      <c r="Q188" s="4282"/>
      <c r="R188" s="4282"/>
      <c r="S188" s="4282"/>
      <c r="T188" s="4282"/>
      <c r="U188" s="4282"/>
      <c r="V188" s="4282"/>
      <c r="W188" s="4282"/>
      <c r="X188" s="4282"/>
      <c r="Y188" s="4282"/>
      <c r="Z188" s="4282"/>
      <c r="AA188" s="4282"/>
      <c r="AB188" s="4282"/>
      <c r="AC188" s="1188">
        <f t="shared" si="96"/>
        <v>0</v>
      </c>
      <c r="AD188" s="4278"/>
      <c r="AE188" s="4278"/>
      <c r="AF188" s="4278"/>
      <c r="AG188" s="4278"/>
      <c r="AH188" s="4278"/>
      <c r="AI188" s="4278"/>
      <c r="AJ188" s="4278"/>
      <c r="AK188" s="4278"/>
      <c r="AL188" s="4278"/>
      <c r="AM188" s="4278"/>
      <c r="AN188" s="4278"/>
      <c r="AO188" s="4278"/>
      <c r="AP188" s="4278"/>
      <c r="AQ188" s="4278"/>
      <c r="AR188" s="4278"/>
      <c r="AS188" s="4278"/>
      <c r="AT188" s="4279"/>
      <c r="AU188" s="4283"/>
      <c r="AV188" s="1188">
        <f t="shared" si="120"/>
        <v>0</v>
      </c>
      <c r="AW188" s="1188">
        <f t="shared" si="121"/>
        <v>0</v>
      </c>
      <c r="AX188" s="1188">
        <f t="shared" si="122"/>
        <v>0</v>
      </c>
      <c r="AY188" s="1452">
        <f t="shared" si="97"/>
        <v>0</v>
      </c>
      <c r="AZ188" s="4284">
        <f t="shared" si="98"/>
        <v>0</v>
      </c>
      <c r="BA188" s="4284">
        <f t="shared" si="99"/>
        <v>0</v>
      </c>
      <c r="BB188" s="4284">
        <f t="shared" si="100"/>
        <v>0</v>
      </c>
      <c r="BC188" s="4284">
        <f t="shared" si="101"/>
        <v>0</v>
      </c>
      <c r="BD188" s="4284">
        <f t="shared" si="102"/>
        <v>0</v>
      </c>
      <c r="BE188" s="4284">
        <f t="shared" si="103"/>
        <v>0</v>
      </c>
      <c r="BF188" s="4284">
        <f t="shared" si="104"/>
        <v>0</v>
      </c>
      <c r="BG188" s="4284">
        <f t="shared" si="105"/>
        <v>0</v>
      </c>
      <c r="BH188" s="4284">
        <f t="shared" si="106"/>
        <v>0</v>
      </c>
      <c r="BI188" s="4284">
        <f t="shared" si="107"/>
        <v>0</v>
      </c>
      <c r="BJ188" s="4284">
        <f t="shared" si="108"/>
        <v>0</v>
      </c>
      <c r="BK188" s="4284">
        <f t="shared" si="109"/>
        <v>0</v>
      </c>
      <c r="BL188" s="4284">
        <f t="shared" si="110"/>
        <v>0</v>
      </c>
      <c r="BM188" s="4284">
        <f t="shared" si="111"/>
        <v>0</v>
      </c>
      <c r="BN188" s="4284">
        <f t="shared" si="112"/>
        <v>0</v>
      </c>
      <c r="BO188" s="4284">
        <f t="shared" si="113"/>
        <v>0</v>
      </c>
      <c r="BP188" s="4284">
        <f t="shared" si="114"/>
        <v>0</v>
      </c>
      <c r="BQ188" s="4284">
        <f t="shared" si="115"/>
        <v>0</v>
      </c>
      <c r="BR188" s="4284">
        <f t="shared" si="116"/>
        <v>0</v>
      </c>
      <c r="BS188" s="4284">
        <f t="shared" si="117"/>
        <v>0</v>
      </c>
      <c r="BT188" s="4285">
        <f t="shared" si="118"/>
        <v>0</v>
      </c>
    </row>
    <row r="189" spans="1:72">
      <c r="A189" s="4278"/>
      <c r="B189" s="4279"/>
      <c r="C189" s="4279"/>
      <c r="D189" s="4280"/>
      <c r="E189" s="1188">
        <f t="shared" si="119"/>
        <v>0</v>
      </c>
      <c r="F189" s="1680"/>
      <c r="G189" s="4281">
        <f t="shared" si="94"/>
        <v>0</v>
      </c>
      <c r="H189" s="3457">
        <f t="shared" si="95"/>
        <v>0</v>
      </c>
      <c r="I189" s="4282"/>
      <c r="J189" s="4282"/>
      <c r="K189" s="4282"/>
      <c r="L189" s="4282"/>
      <c r="M189" s="4282"/>
      <c r="N189" s="4282"/>
      <c r="O189" s="4282"/>
      <c r="P189" s="4282"/>
      <c r="Q189" s="4282"/>
      <c r="R189" s="4282"/>
      <c r="S189" s="4282"/>
      <c r="T189" s="4282"/>
      <c r="U189" s="4282"/>
      <c r="V189" s="4282"/>
      <c r="W189" s="4282"/>
      <c r="X189" s="4282"/>
      <c r="Y189" s="4282"/>
      <c r="Z189" s="4282"/>
      <c r="AA189" s="4282"/>
      <c r="AB189" s="4282"/>
      <c r="AC189" s="1188">
        <f t="shared" si="96"/>
        <v>0</v>
      </c>
      <c r="AD189" s="4278"/>
      <c r="AE189" s="4278"/>
      <c r="AF189" s="4278"/>
      <c r="AG189" s="4278"/>
      <c r="AH189" s="4278"/>
      <c r="AI189" s="4278"/>
      <c r="AJ189" s="4278"/>
      <c r="AK189" s="4278"/>
      <c r="AL189" s="4278"/>
      <c r="AM189" s="4278"/>
      <c r="AN189" s="4278"/>
      <c r="AO189" s="4278"/>
      <c r="AP189" s="4278"/>
      <c r="AQ189" s="4278"/>
      <c r="AR189" s="4278"/>
      <c r="AS189" s="4278"/>
      <c r="AT189" s="4279"/>
      <c r="AU189" s="4283"/>
      <c r="AV189" s="1188">
        <f t="shared" si="120"/>
        <v>0</v>
      </c>
      <c r="AW189" s="1188">
        <f t="shared" si="121"/>
        <v>0</v>
      </c>
      <c r="AX189" s="1188">
        <f t="shared" si="122"/>
        <v>0</v>
      </c>
      <c r="AY189" s="1452">
        <f t="shared" si="97"/>
        <v>0</v>
      </c>
      <c r="AZ189" s="4284">
        <f t="shared" si="98"/>
        <v>0</v>
      </c>
      <c r="BA189" s="4284">
        <f t="shared" si="99"/>
        <v>0</v>
      </c>
      <c r="BB189" s="4284">
        <f t="shared" si="100"/>
        <v>0</v>
      </c>
      <c r="BC189" s="4284">
        <f t="shared" si="101"/>
        <v>0</v>
      </c>
      <c r="BD189" s="4284">
        <f t="shared" si="102"/>
        <v>0</v>
      </c>
      <c r="BE189" s="4284">
        <f t="shared" si="103"/>
        <v>0</v>
      </c>
      <c r="BF189" s="4284">
        <f t="shared" si="104"/>
        <v>0</v>
      </c>
      <c r="BG189" s="4284">
        <f t="shared" si="105"/>
        <v>0</v>
      </c>
      <c r="BH189" s="4284">
        <f t="shared" si="106"/>
        <v>0</v>
      </c>
      <c r="BI189" s="4284">
        <f t="shared" si="107"/>
        <v>0</v>
      </c>
      <c r="BJ189" s="4284">
        <f t="shared" si="108"/>
        <v>0</v>
      </c>
      <c r="BK189" s="4284">
        <f t="shared" si="109"/>
        <v>0</v>
      </c>
      <c r="BL189" s="4284">
        <f t="shared" si="110"/>
        <v>0</v>
      </c>
      <c r="BM189" s="4284">
        <f t="shared" si="111"/>
        <v>0</v>
      </c>
      <c r="BN189" s="4284">
        <f t="shared" si="112"/>
        <v>0</v>
      </c>
      <c r="BO189" s="4284">
        <f t="shared" si="113"/>
        <v>0</v>
      </c>
      <c r="BP189" s="4284">
        <f t="shared" si="114"/>
        <v>0</v>
      </c>
      <c r="BQ189" s="4284">
        <f t="shared" si="115"/>
        <v>0</v>
      </c>
      <c r="BR189" s="4284">
        <f t="shared" si="116"/>
        <v>0</v>
      </c>
      <c r="BS189" s="4284">
        <f t="shared" si="117"/>
        <v>0</v>
      </c>
      <c r="BT189" s="4285">
        <f t="shared" si="118"/>
        <v>0</v>
      </c>
    </row>
    <row r="190" spans="1:72">
      <c r="A190" s="4278"/>
      <c r="B190" s="4279"/>
      <c r="C190" s="4279"/>
      <c r="D190" s="4280"/>
      <c r="E190" s="1188">
        <f t="shared" si="119"/>
        <v>0</v>
      </c>
      <c r="F190" s="1680"/>
      <c r="G190" s="4281">
        <f t="shared" si="94"/>
        <v>0</v>
      </c>
      <c r="H190" s="3457">
        <f t="shared" si="95"/>
        <v>0</v>
      </c>
      <c r="I190" s="4282"/>
      <c r="J190" s="4282"/>
      <c r="K190" s="4282"/>
      <c r="L190" s="4282"/>
      <c r="M190" s="4282"/>
      <c r="N190" s="4282"/>
      <c r="O190" s="4282"/>
      <c r="P190" s="4282"/>
      <c r="Q190" s="4282"/>
      <c r="R190" s="4282"/>
      <c r="S190" s="4282"/>
      <c r="T190" s="4282"/>
      <c r="U190" s="4282"/>
      <c r="V190" s="4282"/>
      <c r="W190" s="4282"/>
      <c r="X190" s="4282"/>
      <c r="Y190" s="4282"/>
      <c r="Z190" s="4282"/>
      <c r="AA190" s="4282"/>
      <c r="AB190" s="4282"/>
      <c r="AC190" s="1188">
        <f t="shared" si="96"/>
        <v>0</v>
      </c>
      <c r="AD190" s="4278"/>
      <c r="AE190" s="4278"/>
      <c r="AF190" s="4278"/>
      <c r="AG190" s="4278"/>
      <c r="AH190" s="4278"/>
      <c r="AI190" s="4278"/>
      <c r="AJ190" s="4278"/>
      <c r="AK190" s="4278"/>
      <c r="AL190" s="4278"/>
      <c r="AM190" s="4278"/>
      <c r="AN190" s="4278"/>
      <c r="AO190" s="4278"/>
      <c r="AP190" s="4278"/>
      <c r="AQ190" s="4278"/>
      <c r="AR190" s="4278"/>
      <c r="AS190" s="4278"/>
      <c r="AT190" s="4279"/>
      <c r="AU190" s="4283"/>
      <c r="AV190" s="1188">
        <f t="shared" si="120"/>
        <v>0</v>
      </c>
      <c r="AW190" s="1188">
        <f t="shared" si="121"/>
        <v>0</v>
      </c>
      <c r="AX190" s="1188">
        <f t="shared" si="122"/>
        <v>0</v>
      </c>
      <c r="AY190" s="1452">
        <f t="shared" si="97"/>
        <v>0</v>
      </c>
      <c r="AZ190" s="4284">
        <f t="shared" si="98"/>
        <v>0</v>
      </c>
      <c r="BA190" s="4284">
        <f t="shared" si="99"/>
        <v>0</v>
      </c>
      <c r="BB190" s="4284">
        <f t="shared" si="100"/>
        <v>0</v>
      </c>
      <c r="BC190" s="4284">
        <f t="shared" si="101"/>
        <v>0</v>
      </c>
      <c r="BD190" s="4284">
        <f t="shared" si="102"/>
        <v>0</v>
      </c>
      <c r="BE190" s="4284">
        <f t="shared" si="103"/>
        <v>0</v>
      </c>
      <c r="BF190" s="4284">
        <f t="shared" si="104"/>
        <v>0</v>
      </c>
      <c r="BG190" s="4284">
        <f t="shared" si="105"/>
        <v>0</v>
      </c>
      <c r="BH190" s="4284">
        <f t="shared" si="106"/>
        <v>0</v>
      </c>
      <c r="BI190" s="4284">
        <f t="shared" si="107"/>
        <v>0</v>
      </c>
      <c r="BJ190" s="4284">
        <f t="shared" si="108"/>
        <v>0</v>
      </c>
      <c r="BK190" s="4284">
        <f t="shared" si="109"/>
        <v>0</v>
      </c>
      <c r="BL190" s="4284">
        <f t="shared" si="110"/>
        <v>0</v>
      </c>
      <c r="BM190" s="4284">
        <f t="shared" si="111"/>
        <v>0</v>
      </c>
      <c r="BN190" s="4284">
        <f t="shared" si="112"/>
        <v>0</v>
      </c>
      <c r="BO190" s="4284">
        <f t="shared" si="113"/>
        <v>0</v>
      </c>
      <c r="BP190" s="4284">
        <f t="shared" si="114"/>
        <v>0</v>
      </c>
      <c r="BQ190" s="4284">
        <f t="shared" si="115"/>
        <v>0</v>
      </c>
      <c r="BR190" s="4284">
        <f t="shared" si="116"/>
        <v>0</v>
      </c>
      <c r="BS190" s="4284">
        <f t="shared" si="117"/>
        <v>0</v>
      </c>
      <c r="BT190" s="4285">
        <f t="shared" si="118"/>
        <v>0</v>
      </c>
    </row>
    <row r="191" spans="1:72">
      <c r="A191" s="4278"/>
      <c r="B191" s="4279"/>
      <c r="C191" s="4279"/>
      <c r="D191" s="4280"/>
      <c r="E191" s="1188">
        <f t="shared" si="119"/>
        <v>0</v>
      </c>
      <c r="F191" s="1680"/>
      <c r="G191" s="4281">
        <f t="shared" si="94"/>
        <v>0</v>
      </c>
      <c r="H191" s="3457">
        <f t="shared" si="95"/>
        <v>0</v>
      </c>
      <c r="I191" s="4282"/>
      <c r="J191" s="4282"/>
      <c r="K191" s="4282"/>
      <c r="L191" s="4282"/>
      <c r="M191" s="4282"/>
      <c r="N191" s="4282"/>
      <c r="O191" s="4282"/>
      <c r="P191" s="4282"/>
      <c r="Q191" s="4282"/>
      <c r="R191" s="4282"/>
      <c r="S191" s="4282"/>
      <c r="T191" s="4282"/>
      <c r="U191" s="4282"/>
      <c r="V191" s="4282"/>
      <c r="W191" s="4282"/>
      <c r="X191" s="4282"/>
      <c r="Y191" s="4282"/>
      <c r="Z191" s="4282"/>
      <c r="AA191" s="4282"/>
      <c r="AB191" s="4282"/>
      <c r="AC191" s="1188">
        <f t="shared" si="96"/>
        <v>0</v>
      </c>
      <c r="AD191" s="4278"/>
      <c r="AE191" s="4278"/>
      <c r="AF191" s="4278"/>
      <c r="AG191" s="4278"/>
      <c r="AH191" s="4278"/>
      <c r="AI191" s="4278"/>
      <c r="AJ191" s="4278"/>
      <c r="AK191" s="4278"/>
      <c r="AL191" s="4278"/>
      <c r="AM191" s="4278"/>
      <c r="AN191" s="4278"/>
      <c r="AO191" s="4278"/>
      <c r="AP191" s="4278"/>
      <c r="AQ191" s="4278"/>
      <c r="AR191" s="4278"/>
      <c r="AS191" s="4278"/>
      <c r="AT191" s="4279"/>
      <c r="AU191" s="4283"/>
      <c r="AV191" s="1188">
        <f t="shared" si="120"/>
        <v>0</v>
      </c>
      <c r="AW191" s="1188">
        <f t="shared" si="121"/>
        <v>0</v>
      </c>
      <c r="AX191" s="1188">
        <f t="shared" si="122"/>
        <v>0</v>
      </c>
      <c r="AY191" s="1452">
        <f t="shared" si="97"/>
        <v>0</v>
      </c>
      <c r="AZ191" s="4284">
        <f t="shared" si="98"/>
        <v>0</v>
      </c>
      <c r="BA191" s="4284">
        <f t="shared" si="99"/>
        <v>0</v>
      </c>
      <c r="BB191" s="4284">
        <f t="shared" si="100"/>
        <v>0</v>
      </c>
      <c r="BC191" s="4284">
        <f t="shared" si="101"/>
        <v>0</v>
      </c>
      <c r="BD191" s="4284">
        <f t="shared" si="102"/>
        <v>0</v>
      </c>
      <c r="BE191" s="4284">
        <f t="shared" si="103"/>
        <v>0</v>
      </c>
      <c r="BF191" s="4284">
        <f t="shared" si="104"/>
        <v>0</v>
      </c>
      <c r="BG191" s="4284">
        <f t="shared" si="105"/>
        <v>0</v>
      </c>
      <c r="BH191" s="4284">
        <f t="shared" si="106"/>
        <v>0</v>
      </c>
      <c r="BI191" s="4284">
        <f t="shared" si="107"/>
        <v>0</v>
      </c>
      <c r="BJ191" s="4284">
        <f t="shared" si="108"/>
        <v>0</v>
      </c>
      <c r="BK191" s="4284">
        <f t="shared" si="109"/>
        <v>0</v>
      </c>
      <c r="BL191" s="4284">
        <f t="shared" si="110"/>
        <v>0</v>
      </c>
      <c r="BM191" s="4284">
        <f t="shared" si="111"/>
        <v>0</v>
      </c>
      <c r="BN191" s="4284">
        <f t="shared" si="112"/>
        <v>0</v>
      </c>
      <c r="BO191" s="4284">
        <f t="shared" si="113"/>
        <v>0</v>
      </c>
      <c r="BP191" s="4284">
        <f t="shared" si="114"/>
        <v>0</v>
      </c>
      <c r="BQ191" s="4284">
        <f t="shared" si="115"/>
        <v>0</v>
      </c>
      <c r="BR191" s="4284">
        <f t="shared" si="116"/>
        <v>0</v>
      </c>
      <c r="BS191" s="4284">
        <f t="shared" si="117"/>
        <v>0</v>
      </c>
      <c r="BT191" s="4285">
        <f t="shared" si="118"/>
        <v>0</v>
      </c>
    </row>
    <row r="192" spans="1:72">
      <c r="A192" s="4278"/>
      <c r="B192" s="4279"/>
      <c r="C192" s="4279"/>
      <c r="D192" s="4280"/>
      <c r="E192" s="1188">
        <f t="shared" si="119"/>
        <v>0</v>
      </c>
      <c r="F192" s="1680"/>
      <c r="G192" s="4281">
        <f t="shared" si="94"/>
        <v>0</v>
      </c>
      <c r="H192" s="3457">
        <f t="shared" si="95"/>
        <v>0</v>
      </c>
      <c r="I192" s="4282"/>
      <c r="J192" s="4282"/>
      <c r="K192" s="4282"/>
      <c r="L192" s="4282"/>
      <c r="M192" s="4282"/>
      <c r="N192" s="4282"/>
      <c r="O192" s="4282"/>
      <c r="P192" s="4282"/>
      <c r="Q192" s="4282"/>
      <c r="R192" s="4282"/>
      <c r="S192" s="4282"/>
      <c r="T192" s="4282"/>
      <c r="U192" s="4282"/>
      <c r="V192" s="4282"/>
      <c r="W192" s="4282"/>
      <c r="X192" s="4282"/>
      <c r="Y192" s="4282"/>
      <c r="Z192" s="4282"/>
      <c r="AA192" s="4282"/>
      <c r="AB192" s="4282"/>
      <c r="AC192" s="1188">
        <f t="shared" si="96"/>
        <v>0</v>
      </c>
      <c r="AD192" s="4278"/>
      <c r="AE192" s="4278"/>
      <c r="AF192" s="4278"/>
      <c r="AG192" s="4278"/>
      <c r="AH192" s="4278"/>
      <c r="AI192" s="4278"/>
      <c r="AJ192" s="4278"/>
      <c r="AK192" s="4278"/>
      <c r="AL192" s="4278"/>
      <c r="AM192" s="4278"/>
      <c r="AN192" s="4278"/>
      <c r="AO192" s="4278"/>
      <c r="AP192" s="4278"/>
      <c r="AQ192" s="4278"/>
      <c r="AR192" s="4278"/>
      <c r="AS192" s="4278"/>
      <c r="AT192" s="4279"/>
      <c r="AU192" s="4283"/>
      <c r="AV192" s="1188">
        <f t="shared" si="120"/>
        <v>0</v>
      </c>
      <c r="AW192" s="1188">
        <f t="shared" si="121"/>
        <v>0</v>
      </c>
      <c r="AX192" s="1188">
        <f t="shared" si="122"/>
        <v>0</v>
      </c>
      <c r="AY192" s="1452">
        <f t="shared" si="97"/>
        <v>0</v>
      </c>
      <c r="AZ192" s="4284">
        <f t="shared" si="98"/>
        <v>0</v>
      </c>
      <c r="BA192" s="4284">
        <f t="shared" si="99"/>
        <v>0</v>
      </c>
      <c r="BB192" s="4284">
        <f t="shared" si="100"/>
        <v>0</v>
      </c>
      <c r="BC192" s="4284">
        <f t="shared" si="101"/>
        <v>0</v>
      </c>
      <c r="BD192" s="4284">
        <f t="shared" si="102"/>
        <v>0</v>
      </c>
      <c r="BE192" s="4284">
        <f t="shared" si="103"/>
        <v>0</v>
      </c>
      <c r="BF192" s="4284">
        <f t="shared" si="104"/>
        <v>0</v>
      </c>
      <c r="BG192" s="4284">
        <f t="shared" si="105"/>
        <v>0</v>
      </c>
      <c r="BH192" s="4284">
        <f t="shared" si="106"/>
        <v>0</v>
      </c>
      <c r="BI192" s="4284">
        <f t="shared" si="107"/>
        <v>0</v>
      </c>
      <c r="BJ192" s="4284">
        <f t="shared" si="108"/>
        <v>0</v>
      </c>
      <c r="BK192" s="4284">
        <f t="shared" si="109"/>
        <v>0</v>
      </c>
      <c r="BL192" s="4284">
        <f t="shared" si="110"/>
        <v>0</v>
      </c>
      <c r="BM192" s="4284">
        <f t="shared" si="111"/>
        <v>0</v>
      </c>
      <c r="BN192" s="4284">
        <f t="shared" si="112"/>
        <v>0</v>
      </c>
      <c r="BO192" s="4284">
        <f t="shared" si="113"/>
        <v>0</v>
      </c>
      <c r="BP192" s="4284">
        <f t="shared" si="114"/>
        <v>0</v>
      </c>
      <c r="BQ192" s="4284">
        <f t="shared" si="115"/>
        <v>0</v>
      </c>
      <c r="BR192" s="4284">
        <f t="shared" si="116"/>
        <v>0</v>
      </c>
      <c r="BS192" s="4284">
        <f t="shared" si="117"/>
        <v>0</v>
      </c>
      <c r="BT192" s="4285">
        <f t="shared" si="118"/>
        <v>0</v>
      </c>
    </row>
    <row r="193" spans="1:72">
      <c r="A193" s="4278"/>
      <c r="B193" s="4279"/>
      <c r="C193" s="4279"/>
      <c r="D193" s="4280"/>
      <c r="E193" s="1188">
        <f t="shared" si="119"/>
        <v>0</v>
      </c>
      <c r="F193" s="1680"/>
      <c r="G193" s="4281">
        <f t="shared" si="94"/>
        <v>0</v>
      </c>
      <c r="H193" s="3457">
        <f t="shared" si="95"/>
        <v>0</v>
      </c>
      <c r="I193" s="4282"/>
      <c r="J193" s="4282"/>
      <c r="K193" s="4282"/>
      <c r="L193" s="4282"/>
      <c r="M193" s="4282"/>
      <c r="N193" s="4282"/>
      <c r="O193" s="4282"/>
      <c r="P193" s="4282"/>
      <c r="Q193" s="4282"/>
      <c r="R193" s="4282"/>
      <c r="S193" s="4282"/>
      <c r="T193" s="4282"/>
      <c r="U193" s="4282"/>
      <c r="V193" s="4282"/>
      <c r="W193" s="4282"/>
      <c r="X193" s="4282"/>
      <c r="Y193" s="4282"/>
      <c r="Z193" s="4282"/>
      <c r="AA193" s="4282"/>
      <c r="AB193" s="4282"/>
      <c r="AC193" s="1188">
        <f t="shared" si="96"/>
        <v>0</v>
      </c>
      <c r="AD193" s="4278"/>
      <c r="AE193" s="4278"/>
      <c r="AF193" s="4278"/>
      <c r="AG193" s="4278"/>
      <c r="AH193" s="4278"/>
      <c r="AI193" s="4278"/>
      <c r="AJ193" s="4278"/>
      <c r="AK193" s="4278"/>
      <c r="AL193" s="4278"/>
      <c r="AM193" s="4278"/>
      <c r="AN193" s="4278"/>
      <c r="AO193" s="4278"/>
      <c r="AP193" s="4278"/>
      <c r="AQ193" s="4278"/>
      <c r="AR193" s="4278"/>
      <c r="AS193" s="4278"/>
      <c r="AT193" s="4279"/>
      <c r="AU193" s="4283"/>
      <c r="AV193" s="1188">
        <f t="shared" si="120"/>
        <v>0</v>
      </c>
      <c r="AW193" s="1188">
        <f t="shared" si="121"/>
        <v>0</v>
      </c>
      <c r="AX193" s="1188">
        <f t="shared" si="122"/>
        <v>0</v>
      </c>
      <c r="AY193" s="1452">
        <f t="shared" si="97"/>
        <v>0</v>
      </c>
      <c r="AZ193" s="4284">
        <f t="shared" si="98"/>
        <v>0</v>
      </c>
      <c r="BA193" s="4284">
        <f t="shared" si="99"/>
        <v>0</v>
      </c>
      <c r="BB193" s="4284">
        <f t="shared" si="100"/>
        <v>0</v>
      </c>
      <c r="BC193" s="4284">
        <f t="shared" si="101"/>
        <v>0</v>
      </c>
      <c r="BD193" s="4284">
        <f t="shared" si="102"/>
        <v>0</v>
      </c>
      <c r="BE193" s="4284">
        <f t="shared" si="103"/>
        <v>0</v>
      </c>
      <c r="BF193" s="4284">
        <f t="shared" si="104"/>
        <v>0</v>
      </c>
      <c r="BG193" s="4284">
        <f t="shared" si="105"/>
        <v>0</v>
      </c>
      <c r="BH193" s="4284">
        <f t="shared" si="106"/>
        <v>0</v>
      </c>
      <c r="BI193" s="4284">
        <f t="shared" si="107"/>
        <v>0</v>
      </c>
      <c r="BJ193" s="4284">
        <f t="shared" si="108"/>
        <v>0</v>
      </c>
      <c r="BK193" s="4284">
        <f t="shared" si="109"/>
        <v>0</v>
      </c>
      <c r="BL193" s="4284">
        <f t="shared" si="110"/>
        <v>0</v>
      </c>
      <c r="BM193" s="4284">
        <f t="shared" si="111"/>
        <v>0</v>
      </c>
      <c r="BN193" s="4284">
        <f t="shared" si="112"/>
        <v>0</v>
      </c>
      <c r="BO193" s="4284">
        <f t="shared" si="113"/>
        <v>0</v>
      </c>
      <c r="BP193" s="4284">
        <f t="shared" si="114"/>
        <v>0</v>
      </c>
      <c r="BQ193" s="4284">
        <f t="shared" si="115"/>
        <v>0</v>
      </c>
      <c r="BR193" s="4284">
        <f t="shared" si="116"/>
        <v>0</v>
      </c>
      <c r="BS193" s="4284">
        <f t="shared" si="117"/>
        <v>0</v>
      </c>
      <c r="BT193" s="4285">
        <f t="shared" si="118"/>
        <v>0</v>
      </c>
    </row>
    <row r="194" spans="1:72">
      <c r="A194" s="4278"/>
      <c r="B194" s="4279"/>
      <c r="C194" s="4279"/>
      <c r="D194" s="4280"/>
      <c r="E194" s="1188">
        <f t="shared" si="119"/>
        <v>0</v>
      </c>
      <c r="F194" s="1680"/>
      <c r="G194" s="4281">
        <f t="shared" si="94"/>
        <v>0</v>
      </c>
      <c r="H194" s="3457">
        <f t="shared" si="95"/>
        <v>0</v>
      </c>
      <c r="I194" s="4282"/>
      <c r="J194" s="4282"/>
      <c r="K194" s="4282"/>
      <c r="L194" s="4282"/>
      <c r="M194" s="4282"/>
      <c r="N194" s="4282"/>
      <c r="O194" s="4282"/>
      <c r="P194" s="4282"/>
      <c r="Q194" s="4282"/>
      <c r="R194" s="4282"/>
      <c r="S194" s="4282"/>
      <c r="T194" s="4282"/>
      <c r="U194" s="4282"/>
      <c r="V194" s="4282"/>
      <c r="W194" s="4282"/>
      <c r="X194" s="4282"/>
      <c r="Y194" s="4282"/>
      <c r="Z194" s="4282"/>
      <c r="AA194" s="4282"/>
      <c r="AB194" s="4282"/>
      <c r="AC194" s="1188">
        <f t="shared" si="96"/>
        <v>0</v>
      </c>
      <c r="AD194" s="4278"/>
      <c r="AE194" s="4278"/>
      <c r="AF194" s="4278"/>
      <c r="AG194" s="4278"/>
      <c r="AH194" s="4278"/>
      <c r="AI194" s="4278"/>
      <c r="AJ194" s="4278"/>
      <c r="AK194" s="4278"/>
      <c r="AL194" s="4278"/>
      <c r="AM194" s="4278"/>
      <c r="AN194" s="4278"/>
      <c r="AO194" s="4278"/>
      <c r="AP194" s="4278"/>
      <c r="AQ194" s="4278"/>
      <c r="AR194" s="4278"/>
      <c r="AS194" s="4278"/>
      <c r="AT194" s="4279"/>
      <c r="AU194" s="4283"/>
      <c r="AV194" s="1188">
        <f t="shared" si="120"/>
        <v>0</v>
      </c>
      <c r="AW194" s="1188">
        <f t="shared" si="121"/>
        <v>0</v>
      </c>
      <c r="AX194" s="1188">
        <f t="shared" si="122"/>
        <v>0</v>
      </c>
      <c r="AY194" s="1452">
        <f t="shared" si="97"/>
        <v>0</v>
      </c>
      <c r="AZ194" s="4284">
        <f t="shared" si="98"/>
        <v>0</v>
      </c>
      <c r="BA194" s="4284">
        <f t="shared" si="99"/>
        <v>0</v>
      </c>
      <c r="BB194" s="4284">
        <f t="shared" si="100"/>
        <v>0</v>
      </c>
      <c r="BC194" s="4284">
        <f t="shared" si="101"/>
        <v>0</v>
      </c>
      <c r="BD194" s="4284">
        <f t="shared" si="102"/>
        <v>0</v>
      </c>
      <c r="BE194" s="4284">
        <f t="shared" si="103"/>
        <v>0</v>
      </c>
      <c r="BF194" s="4284">
        <f t="shared" si="104"/>
        <v>0</v>
      </c>
      <c r="BG194" s="4284">
        <f t="shared" si="105"/>
        <v>0</v>
      </c>
      <c r="BH194" s="4284">
        <f t="shared" si="106"/>
        <v>0</v>
      </c>
      <c r="BI194" s="4284">
        <f t="shared" si="107"/>
        <v>0</v>
      </c>
      <c r="BJ194" s="4284">
        <f t="shared" si="108"/>
        <v>0</v>
      </c>
      <c r="BK194" s="4284">
        <f t="shared" si="109"/>
        <v>0</v>
      </c>
      <c r="BL194" s="4284">
        <f t="shared" si="110"/>
        <v>0</v>
      </c>
      <c r="BM194" s="4284">
        <f t="shared" si="111"/>
        <v>0</v>
      </c>
      <c r="BN194" s="4284">
        <f t="shared" si="112"/>
        <v>0</v>
      </c>
      <c r="BO194" s="4284">
        <f t="shared" si="113"/>
        <v>0</v>
      </c>
      <c r="BP194" s="4284">
        <f t="shared" si="114"/>
        <v>0</v>
      </c>
      <c r="BQ194" s="4284">
        <f t="shared" si="115"/>
        <v>0</v>
      </c>
      <c r="BR194" s="4284">
        <f t="shared" si="116"/>
        <v>0</v>
      </c>
      <c r="BS194" s="4284">
        <f t="shared" si="117"/>
        <v>0</v>
      </c>
      <c r="BT194" s="4285">
        <f t="shared" si="118"/>
        <v>0</v>
      </c>
    </row>
    <row r="195" spans="1:72">
      <c r="A195" s="4278"/>
      <c r="B195" s="4279"/>
      <c r="C195" s="4279"/>
      <c r="D195" s="4280"/>
      <c r="E195" s="1188">
        <f t="shared" si="119"/>
        <v>0</v>
      </c>
      <c r="F195" s="1680"/>
      <c r="G195" s="4281">
        <f t="shared" si="94"/>
        <v>0</v>
      </c>
      <c r="H195" s="3457">
        <f t="shared" si="95"/>
        <v>0</v>
      </c>
      <c r="I195" s="4282"/>
      <c r="J195" s="4282"/>
      <c r="K195" s="4282"/>
      <c r="L195" s="4282"/>
      <c r="M195" s="4282"/>
      <c r="N195" s="4282"/>
      <c r="O195" s="4282"/>
      <c r="P195" s="4282"/>
      <c r="Q195" s="4282"/>
      <c r="R195" s="4282"/>
      <c r="S195" s="4282"/>
      <c r="T195" s="4282"/>
      <c r="U195" s="4282"/>
      <c r="V195" s="4282"/>
      <c r="W195" s="4282"/>
      <c r="X195" s="4282"/>
      <c r="Y195" s="4282"/>
      <c r="Z195" s="4282"/>
      <c r="AA195" s="4282"/>
      <c r="AB195" s="4282"/>
      <c r="AC195" s="1188">
        <f t="shared" si="96"/>
        <v>0</v>
      </c>
      <c r="AD195" s="4278"/>
      <c r="AE195" s="4278"/>
      <c r="AF195" s="4278"/>
      <c r="AG195" s="4278"/>
      <c r="AH195" s="4278"/>
      <c r="AI195" s="4278"/>
      <c r="AJ195" s="4278"/>
      <c r="AK195" s="4278"/>
      <c r="AL195" s="4278"/>
      <c r="AM195" s="4278"/>
      <c r="AN195" s="4278"/>
      <c r="AO195" s="4278"/>
      <c r="AP195" s="4278"/>
      <c r="AQ195" s="4278"/>
      <c r="AR195" s="4278"/>
      <c r="AS195" s="4278"/>
      <c r="AT195" s="4279"/>
      <c r="AU195" s="4283"/>
      <c r="AV195" s="1188">
        <f t="shared" si="120"/>
        <v>0</v>
      </c>
      <c r="AW195" s="1188">
        <f t="shared" si="121"/>
        <v>0</v>
      </c>
      <c r="AX195" s="1188">
        <f t="shared" si="122"/>
        <v>0</v>
      </c>
      <c r="AY195" s="1452">
        <f t="shared" si="97"/>
        <v>0</v>
      </c>
      <c r="AZ195" s="4284">
        <f t="shared" si="98"/>
        <v>0</v>
      </c>
      <c r="BA195" s="4284">
        <f t="shared" si="99"/>
        <v>0</v>
      </c>
      <c r="BB195" s="4284">
        <f t="shared" si="100"/>
        <v>0</v>
      </c>
      <c r="BC195" s="4284">
        <f t="shared" si="101"/>
        <v>0</v>
      </c>
      <c r="BD195" s="4284">
        <f t="shared" si="102"/>
        <v>0</v>
      </c>
      <c r="BE195" s="4284">
        <f t="shared" si="103"/>
        <v>0</v>
      </c>
      <c r="BF195" s="4284">
        <f t="shared" si="104"/>
        <v>0</v>
      </c>
      <c r="BG195" s="4284">
        <f t="shared" si="105"/>
        <v>0</v>
      </c>
      <c r="BH195" s="4284">
        <f t="shared" si="106"/>
        <v>0</v>
      </c>
      <c r="BI195" s="4284">
        <f t="shared" si="107"/>
        <v>0</v>
      </c>
      <c r="BJ195" s="4284">
        <f t="shared" si="108"/>
        <v>0</v>
      </c>
      <c r="BK195" s="4284">
        <f t="shared" si="109"/>
        <v>0</v>
      </c>
      <c r="BL195" s="4284">
        <f t="shared" si="110"/>
        <v>0</v>
      </c>
      <c r="BM195" s="4284">
        <f t="shared" si="111"/>
        <v>0</v>
      </c>
      <c r="BN195" s="4284">
        <f t="shared" si="112"/>
        <v>0</v>
      </c>
      <c r="BO195" s="4284">
        <f t="shared" si="113"/>
        <v>0</v>
      </c>
      <c r="BP195" s="4284">
        <f t="shared" si="114"/>
        <v>0</v>
      </c>
      <c r="BQ195" s="4284">
        <f t="shared" si="115"/>
        <v>0</v>
      </c>
      <c r="BR195" s="4284">
        <f t="shared" si="116"/>
        <v>0</v>
      </c>
      <c r="BS195" s="4284">
        <f t="shared" si="117"/>
        <v>0</v>
      </c>
      <c r="BT195" s="4285">
        <f t="shared" si="118"/>
        <v>0</v>
      </c>
    </row>
    <row r="196" spans="1:72">
      <c r="A196" s="4278"/>
      <c r="B196" s="4279"/>
      <c r="C196" s="4279"/>
      <c r="D196" s="4280"/>
      <c r="E196" s="1188">
        <f t="shared" si="119"/>
        <v>0</v>
      </c>
      <c r="F196" s="1680"/>
      <c r="G196" s="4281">
        <f t="shared" si="94"/>
        <v>0</v>
      </c>
      <c r="H196" s="3457">
        <f t="shared" si="95"/>
        <v>0</v>
      </c>
      <c r="I196" s="4282"/>
      <c r="J196" s="4282"/>
      <c r="K196" s="4282"/>
      <c r="L196" s="4282"/>
      <c r="M196" s="4282"/>
      <c r="N196" s="4282"/>
      <c r="O196" s="4282"/>
      <c r="P196" s="4282"/>
      <c r="Q196" s="4282"/>
      <c r="R196" s="4282"/>
      <c r="S196" s="4282"/>
      <c r="T196" s="4282"/>
      <c r="U196" s="4282"/>
      <c r="V196" s="4282"/>
      <c r="W196" s="4282"/>
      <c r="X196" s="4282"/>
      <c r="Y196" s="4282"/>
      <c r="Z196" s="4282"/>
      <c r="AA196" s="4282"/>
      <c r="AB196" s="4282"/>
      <c r="AC196" s="1188">
        <f t="shared" si="96"/>
        <v>0</v>
      </c>
      <c r="AD196" s="4278"/>
      <c r="AE196" s="4278"/>
      <c r="AF196" s="4278"/>
      <c r="AG196" s="4278"/>
      <c r="AH196" s="4278"/>
      <c r="AI196" s="4278"/>
      <c r="AJ196" s="4278"/>
      <c r="AK196" s="4278"/>
      <c r="AL196" s="4278"/>
      <c r="AM196" s="4278"/>
      <c r="AN196" s="4278"/>
      <c r="AO196" s="4278"/>
      <c r="AP196" s="4278"/>
      <c r="AQ196" s="4278"/>
      <c r="AR196" s="4278"/>
      <c r="AS196" s="4278"/>
      <c r="AT196" s="4279"/>
      <c r="AU196" s="4283"/>
      <c r="AV196" s="1188">
        <f t="shared" si="120"/>
        <v>0</v>
      </c>
      <c r="AW196" s="1188">
        <f t="shared" si="121"/>
        <v>0</v>
      </c>
      <c r="AX196" s="1188">
        <f t="shared" si="122"/>
        <v>0</v>
      </c>
      <c r="AY196" s="1452">
        <f t="shared" si="97"/>
        <v>0</v>
      </c>
      <c r="AZ196" s="4284">
        <f t="shared" si="98"/>
        <v>0</v>
      </c>
      <c r="BA196" s="4284">
        <f t="shared" si="99"/>
        <v>0</v>
      </c>
      <c r="BB196" s="4284">
        <f t="shared" si="100"/>
        <v>0</v>
      </c>
      <c r="BC196" s="4284">
        <f t="shared" si="101"/>
        <v>0</v>
      </c>
      <c r="BD196" s="4284">
        <f t="shared" si="102"/>
        <v>0</v>
      </c>
      <c r="BE196" s="4284">
        <f t="shared" si="103"/>
        <v>0</v>
      </c>
      <c r="BF196" s="4284">
        <f t="shared" si="104"/>
        <v>0</v>
      </c>
      <c r="BG196" s="4284">
        <f t="shared" si="105"/>
        <v>0</v>
      </c>
      <c r="BH196" s="4284">
        <f t="shared" si="106"/>
        <v>0</v>
      </c>
      <c r="BI196" s="4284">
        <f t="shared" si="107"/>
        <v>0</v>
      </c>
      <c r="BJ196" s="4284">
        <f t="shared" si="108"/>
        <v>0</v>
      </c>
      <c r="BK196" s="4284">
        <f t="shared" si="109"/>
        <v>0</v>
      </c>
      <c r="BL196" s="4284">
        <f t="shared" si="110"/>
        <v>0</v>
      </c>
      <c r="BM196" s="4284">
        <f t="shared" si="111"/>
        <v>0</v>
      </c>
      <c r="BN196" s="4284">
        <f t="shared" si="112"/>
        <v>0</v>
      </c>
      <c r="BO196" s="4284">
        <f t="shared" si="113"/>
        <v>0</v>
      </c>
      <c r="BP196" s="4284">
        <f t="shared" si="114"/>
        <v>0</v>
      </c>
      <c r="BQ196" s="4284">
        <f t="shared" si="115"/>
        <v>0</v>
      </c>
      <c r="BR196" s="4284">
        <f t="shared" si="116"/>
        <v>0</v>
      </c>
      <c r="BS196" s="4284">
        <f t="shared" si="117"/>
        <v>0</v>
      </c>
      <c r="BT196" s="4285">
        <f t="shared" si="118"/>
        <v>0</v>
      </c>
    </row>
    <row r="197" spans="1:72">
      <c r="A197" s="4278"/>
      <c r="B197" s="4279"/>
      <c r="C197" s="4279"/>
      <c r="D197" s="4280"/>
      <c r="E197" s="1188">
        <f t="shared" si="119"/>
        <v>0</v>
      </c>
      <c r="F197" s="1680"/>
      <c r="G197" s="4281">
        <f t="shared" si="94"/>
        <v>0</v>
      </c>
      <c r="H197" s="3457">
        <f t="shared" si="95"/>
        <v>0</v>
      </c>
      <c r="I197" s="4282"/>
      <c r="J197" s="4282"/>
      <c r="K197" s="4282"/>
      <c r="L197" s="4282"/>
      <c r="M197" s="4282"/>
      <c r="N197" s="4282"/>
      <c r="O197" s="4282"/>
      <c r="P197" s="4282"/>
      <c r="Q197" s="4282"/>
      <c r="R197" s="4282"/>
      <c r="S197" s="4282"/>
      <c r="T197" s="4282"/>
      <c r="U197" s="4282"/>
      <c r="V197" s="4282"/>
      <c r="W197" s="4282"/>
      <c r="X197" s="4282"/>
      <c r="Y197" s="4282"/>
      <c r="Z197" s="4282"/>
      <c r="AA197" s="4282"/>
      <c r="AB197" s="4282"/>
      <c r="AC197" s="1188">
        <f t="shared" si="96"/>
        <v>0</v>
      </c>
      <c r="AD197" s="4278"/>
      <c r="AE197" s="4278"/>
      <c r="AF197" s="4278"/>
      <c r="AG197" s="4278"/>
      <c r="AH197" s="4278"/>
      <c r="AI197" s="4278"/>
      <c r="AJ197" s="4278"/>
      <c r="AK197" s="4278"/>
      <c r="AL197" s="4278"/>
      <c r="AM197" s="4278"/>
      <c r="AN197" s="4278"/>
      <c r="AO197" s="4278"/>
      <c r="AP197" s="4278"/>
      <c r="AQ197" s="4278"/>
      <c r="AR197" s="4278"/>
      <c r="AS197" s="4278"/>
      <c r="AT197" s="4279"/>
      <c r="AU197" s="4283"/>
      <c r="AV197" s="1188">
        <f t="shared" si="120"/>
        <v>0</v>
      </c>
      <c r="AW197" s="1188">
        <f t="shared" si="121"/>
        <v>0</v>
      </c>
      <c r="AX197" s="1188">
        <f t="shared" si="122"/>
        <v>0</v>
      </c>
      <c r="AY197" s="1452">
        <f t="shared" si="97"/>
        <v>0</v>
      </c>
      <c r="AZ197" s="4284">
        <f t="shared" si="98"/>
        <v>0</v>
      </c>
      <c r="BA197" s="4284">
        <f t="shared" si="99"/>
        <v>0</v>
      </c>
      <c r="BB197" s="4284">
        <f t="shared" si="100"/>
        <v>0</v>
      </c>
      <c r="BC197" s="4284">
        <f t="shared" si="101"/>
        <v>0</v>
      </c>
      <c r="BD197" s="4284">
        <f t="shared" si="102"/>
        <v>0</v>
      </c>
      <c r="BE197" s="4284">
        <f t="shared" si="103"/>
        <v>0</v>
      </c>
      <c r="BF197" s="4284">
        <f t="shared" si="104"/>
        <v>0</v>
      </c>
      <c r="BG197" s="4284">
        <f t="shared" si="105"/>
        <v>0</v>
      </c>
      <c r="BH197" s="4284">
        <f t="shared" si="106"/>
        <v>0</v>
      </c>
      <c r="BI197" s="4284">
        <f t="shared" si="107"/>
        <v>0</v>
      </c>
      <c r="BJ197" s="4284">
        <f t="shared" si="108"/>
        <v>0</v>
      </c>
      <c r="BK197" s="4284">
        <f t="shared" si="109"/>
        <v>0</v>
      </c>
      <c r="BL197" s="4284">
        <f t="shared" si="110"/>
        <v>0</v>
      </c>
      <c r="BM197" s="4284">
        <f t="shared" si="111"/>
        <v>0</v>
      </c>
      <c r="BN197" s="4284">
        <f t="shared" si="112"/>
        <v>0</v>
      </c>
      <c r="BO197" s="4284">
        <f t="shared" si="113"/>
        <v>0</v>
      </c>
      <c r="BP197" s="4284">
        <f t="shared" si="114"/>
        <v>0</v>
      </c>
      <c r="BQ197" s="4284">
        <f t="shared" si="115"/>
        <v>0</v>
      </c>
      <c r="BR197" s="4284">
        <f t="shared" si="116"/>
        <v>0</v>
      </c>
      <c r="BS197" s="4284">
        <f t="shared" si="117"/>
        <v>0</v>
      </c>
      <c r="BT197" s="4285">
        <f t="shared" si="118"/>
        <v>0</v>
      </c>
    </row>
    <row r="198" spans="1:72">
      <c r="A198" s="4278"/>
      <c r="B198" s="4279"/>
      <c r="C198" s="4279"/>
      <c r="D198" s="4280"/>
      <c r="E198" s="1188">
        <f t="shared" si="119"/>
        <v>0</v>
      </c>
      <c r="F198" s="1680"/>
      <c r="G198" s="4281">
        <f t="shared" si="94"/>
        <v>0</v>
      </c>
      <c r="H198" s="3457">
        <f t="shared" si="95"/>
        <v>0</v>
      </c>
      <c r="I198" s="4282"/>
      <c r="J198" s="4282"/>
      <c r="K198" s="4282"/>
      <c r="L198" s="4282"/>
      <c r="M198" s="4282"/>
      <c r="N198" s="4282"/>
      <c r="O198" s="4282"/>
      <c r="P198" s="4282"/>
      <c r="Q198" s="4282"/>
      <c r="R198" s="4282"/>
      <c r="S198" s="4282"/>
      <c r="T198" s="4282"/>
      <c r="U198" s="4282"/>
      <c r="V198" s="4282"/>
      <c r="W198" s="4282"/>
      <c r="X198" s="4282"/>
      <c r="Y198" s="4282"/>
      <c r="Z198" s="4282"/>
      <c r="AA198" s="4282"/>
      <c r="AB198" s="4282"/>
      <c r="AC198" s="1188">
        <f t="shared" si="96"/>
        <v>0</v>
      </c>
      <c r="AD198" s="4278"/>
      <c r="AE198" s="4278"/>
      <c r="AF198" s="4278"/>
      <c r="AG198" s="4278"/>
      <c r="AH198" s="4278"/>
      <c r="AI198" s="4278"/>
      <c r="AJ198" s="4278"/>
      <c r="AK198" s="4278"/>
      <c r="AL198" s="4278"/>
      <c r="AM198" s="4278"/>
      <c r="AN198" s="4278"/>
      <c r="AO198" s="4278"/>
      <c r="AP198" s="4278"/>
      <c r="AQ198" s="4278"/>
      <c r="AR198" s="4278"/>
      <c r="AS198" s="4278"/>
      <c r="AT198" s="4279"/>
      <c r="AU198" s="4283"/>
      <c r="AV198" s="1188">
        <f t="shared" si="120"/>
        <v>0</v>
      </c>
      <c r="AW198" s="1188">
        <f t="shared" si="121"/>
        <v>0</v>
      </c>
      <c r="AX198" s="1188">
        <f t="shared" si="122"/>
        <v>0</v>
      </c>
      <c r="AY198" s="1452">
        <f t="shared" si="97"/>
        <v>0</v>
      </c>
      <c r="AZ198" s="4284">
        <f t="shared" si="98"/>
        <v>0</v>
      </c>
      <c r="BA198" s="4284">
        <f t="shared" si="99"/>
        <v>0</v>
      </c>
      <c r="BB198" s="4284">
        <f t="shared" si="100"/>
        <v>0</v>
      </c>
      <c r="BC198" s="4284">
        <f t="shared" si="101"/>
        <v>0</v>
      </c>
      <c r="BD198" s="4284">
        <f t="shared" si="102"/>
        <v>0</v>
      </c>
      <c r="BE198" s="4284">
        <f t="shared" si="103"/>
        <v>0</v>
      </c>
      <c r="BF198" s="4284">
        <f t="shared" si="104"/>
        <v>0</v>
      </c>
      <c r="BG198" s="4284">
        <f t="shared" si="105"/>
        <v>0</v>
      </c>
      <c r="BH198" s="4284">
        <f t="shared" si="106"/>
        <v>0</v>
      </c>
      <c r="BI198" s="4284">
        <f t="shared" si="107"/>
        <v>0</v>
      </c>
      <c r="BJ198" s="4284">
        <f t="shared" si="108"/>
        <v>0</v>
      </c>
      <c r="BK198" s="4284">
        <f t="shared" si="109"/>
        <v>0</v>
      </c>
      <c r="BL198" s="4284">
        <f t="shared" si="110"/>
        <v>0</v>
      </c>
      <c r="BM198" s="4284">
        <f t="shared" si="111"/>
        <v>0</v>
      </c>
      <c r="BN198" s="4284">
        <f t="shared" si="112"/>
        <v>0</v>
      </c>
      <c r="BO198" s="4284">
        <f t="shared" si="113"/>
        <v>0</v>
      </c>
      <c r="BP198" s="4284">
        <f t="shared" si="114"/>
        <v>0</v>
      </c>
      <c r="BQ198" s="4284">
        <f t="shared" si="115"/>
        <v>0</v>
      </c>
      <c r="BR198" s="4284">
        <f t="shared" si="116"/>
        <v>0</v>
      </c>
      <c r="BS198" s="4284">
        <f t="shared" si="117"/>
        <v>0</v>
      </c>
      <c r="BT198" s="4285">
        <f t="shared" si="118"/>
        <v>0</v>
      </c>
    </row>
    <row r="199" spans="1:72">
      <c r="A199" s="4278"/>
      <c r="B199" s="4279"/>
      <c r="C199" s="4279"/>
      <c r="D199" s="4280"/>
      <c r="E199" s="1188">
        <f t="shared" si="119"/>
        <v>0</v>
      </c>
      <c r="F199" s="1680"/>
      <c r="G199" s="4281">
        <f t="shared" si="94"/>
        <v>0</v>
      </c>
      <c r="H199" s="3457">
        <f t="shared" si="95"/>
        <v>0</v>
      </c>
      <c r="I199" s="4282"/>
      <c r="J199" s="4282"/>
      <c r="K199" s="4282"/>
      <c r="L199" s="4282"/>
      <c r="M199" s="4282"/>
      <c r="N199" s="4282"/>
      <c r="O199" s="4282"/>
      <c r="P199" s="4282"/>
      <c r="Q199" s="4282"/>
      <c r="R199" s="4282"/>
      <c r="S199" s="4282"/>
      <c r="T199" s="4282"/>
      <c r="U199" s="4282"/>
      <c r="V199" s="4282"/>
      <c r="W199" s="4282"/>
      <c r="X199" s="4282"/>
      <c r="Y199" s="4282"/>
      <c r="Z199" s="4282"/>
      <c r="AA199" s="4282"/>
      <c r="AB199" s="4282"/>
      <c r="AC199" s="1188">
        <f t="shared" si="96"/>
        <v>0</v>
      </c>
      <c r="AD199" s="4278"/>
      <c r="AE199" s="4278"/>
      <c r="AF199" s="4278"/>
      <c r="AG199" s="4278"/>
      <c r="AH199" s="4278"/>
      <c r="AI199" s="4278"/>
      <c r="AJ199" s="4278"/>
      <c r="AK199" s="4278"/>
      <c r="AL199" s="4278"/>
      <c r="AM199" s="4278"/>
      <c r="AN199" s="4278"/>
      <c r="AO199" s="4278"/>
      <c r="AP199" s="4278"/>
      <c r="AQ199" s="4278"/>
      <c r="AR199" s="4278"/>
      <c r="AS199" s="4278"/>
      <c r="AT199" s="4279"/>
      <c r="AU199" s="4283"/>
      <c r="AV199" s="1188">
        <f t="shared" si="120"/>
        <v>0</v>
      </c>
      <c r="AW199" s="1188">
        <f t="shared" si="121"/>
        <v>0</v>
      </c>
      <c r="AX199" s="1188">
        <f t="shared" si="122"/>
        <v>0</v>
      </c>
      <c r="AY199" s="1452">
        <f t="shared" si="97"/>
        <v>0</v>
      </c>
      <c r="AZ199" s="4284">
        <f t="shared" si="98"/>
        <v>0</v>
      </c>
      <c r="BA199" s="4284">
        <f t="shared" si="99"/>
        <v>0</v>
      </c>
      <c r="BB199" s="4284">
        <f t="shared" si="100"/>
        <v>0</v>
      </c>
      <c r="BC199" s="4284">
        <f t="shared" si="101"/>
        <v>0</v>
      </c>
      <c r="BD199" s="4284">
        <f t="shared" si="102"/>
        <v>0</v>
      </c>
      <c r="BE199" s="4284">
        <f t="shared" si="103"/>
        <v>0</v>
      </c>
      <c r="BF199" s="4284">
        <f t="shared" si="104"/>
        <v>0</v>
      </c>
      <c r="BG199" s="4284">
        <f t="shared" si="105"/>
        <v>0</v>
      </c>
      <c r="BH199" s="4284">
        <f t="shared" si="106"/>
        <v>0</v>
      </c>
      <c r="BI199" s="4284">
        <f t="shared" si="107"/>
        <v>0</v>
      </c>
      <c r="BJ199" s="4284">
        <f t="shared" si="108"/>
        <v>0</v>
      </c>
      <c r="BK199" s="4284">
        <f t="shared" si="109"/>
        <v>0</v>
      </c>
      <c r="BL199" s="4284">
        <f t="shared" si="110"/>
        <v>0</v>
      </c>
      <c r="BM199" s="4284">
        <f t="shared" si="111"/>
        <v>0</v>
      </c>
      <c r="BN199" s="4284">
        <f t="shared" si="112"/>
        <v>0</v>
      </c>
      <c r="BO199" s="4284">
        <f t="shared" si="113"/>
        <v>0</v>
      </c>
      <c r="BP199" s="4284">
        <f t="shared" si="114"/>
        <v>0</v>
      </c>
      <c r="BQ199" s="4284">
        <f t="shared" si="115"/>
        <v>0</v>
      </c>
      <c r="BR199" s="4284">
        <f t="shared" si="116"/>
        <v>0</v>
      </c>
      <c r="BS199" s="4284">
        <f t="shared" si="117"/>
        <v>0</v>
      </c>
      <c r="BT199" s="4285">
        <f t="shared" si="118"/>
        <v>0</v>
      </c>
    </row>
    <row r="200" spans="1:72">
      <c r="A200" s="4278"/>
      <c r="B200" s="4279"/>
      <c r="C200" s="4279"/>
      <c r="D200" s="4280"/>
      <c r="E200" s="1188">
        <f t="shared" si="119"/>
        <v>0</v>
      </c>
      <c r="F200" s="1680"/>
      <c r="G200" s="4281">
        <f t="shared" si="94"/>
        <v>0</v>
      </c>
      <c r="H200" s="3457">
        <f t="shared" si="95"/>
        <v>0</v>
      </c>
      <c r="I200" s="4282"/>
      <c r="J200" s="4282"/>
      <c r="K200" s="4282"/>
      <c r="L200" s="4282"/>
      <c r="M200" s="4282"/>
      <c r="N200" s="4282"/>
      <c r="O200" s="4282"/>
      <c r="P200" s="4282"/>
      <c r="Q200" s="4282"/>
      <c r="R200" s="4282"/>
      <c r="S200" s="4282"/>
      <c r="T200" s="4282"/>
      <c r="U200" s="4282"/>
      <c r="V200" s="4282"/>
      <c r="W200" s="4282"/>
      <c r="X200" s="4282"/>
      <c r="Y200" s="4282"/>
      <c r="Z200" s="4282"/>
      <c r="AA200" s="4282"/>
      <c r="AB200" s="4282"/>
      <c r="AC200" s="1188">
        <f t="shared" si="96"/>
        <v>0</v>
      </c>
      <c r="AD200" s="4278"/>
      <c r="AE200" s="4278"/>
      <c r="AF200" s="4278"/>
      <c r="AG200" s="4278"/>
      <c r="AH200" s="4278"/>
      <c r="AI200" s="4278"/>
      <c r="AJ200" s="4278"/>
      <c r="AK200" s="4278"/>
      <c r="AL200" s="4278"/>
      <c r="AM200" s="4278"/>
      <c r="AN200" s="4278"/>
      <c r="AO200" s="4278"/>
      <c r="AP200" s="4278"/>
      <c r="AQ200" s="4278"/>
      <c r="AR200" s="4278"/>
      <c r="AS200" s="4278"/>
      <c r="AT200" s="4279"/>
      <c r="AU200" s="4283"/>
      <c r="AV200" s="1188">
        <f t="shared" si="120"/>
        <v>0</v>
      </c>
      <c r="AW200" s="1188">
        <f t="shared" si="121"/>
        <v>0</v>
      </c>
      <c r="AX200" s="1188">
        <f t="shared" si="122"/>
        <v>0</v>
      </c>
      <c r="AY200" s="1452">
        <f t="shared" si="97"/>
        <v>0</v>
      </c>
      <c r="AZ200" s="4284">
        <f t="shared" si="98"/>
        <v>0</v>
      </c>
      <c r="BA200" s="4284">
        <f t="shared" si="99"/>
        <v>0</v>
      </c>
      <c r="BB200" s="4284">
        <f t="shared" si="100"/>
        <v>0</v>
      </c>
      <c r="BC200" s="4284">
        <f t="shared" si="101"/>
        <v>0</v>
      </c>
      <c r="BD200" s="4284">
        <f t="shared" si="102"/>
        <v>0</v>
      </c>
      <c r="BE200" s="4284">
        <f t="shared" si="103"/>
        <v>0</v>
      </c>
      <c r="BF200" s="4284">
        <f t="shared" si="104"/>
        <v>0</v>
      </c>
      <c r="BG200" s="4284">
        <f t="shared" si="105"/>
        <v>0</v>
      </c>
      <c r="BH200" s="4284">
        <f t="shared" si="106"/>
        <v>0</v>
      </c>
      <c r="BI200" s="4284">
        <f t="shared" si="107"/>
        <v>0</v>
      </c>
      <c r="BJ200" s="4284">
        <f t="shared" si="108"/>
        <v>0</v>
      </c>
      <c r="BK200" s="4284">
        <f t="shared" si="109"/>
        <v>0</v>
      </c>
      <c r="BL200" s="4284">
        <f t="shared" si="110"/>
        <v>0</v>
      </c>
      <c r="BM200" s="4284">
        <f t="shared" si="111"/>
        <v>0</v>
      </c>
      <c r="BN200" s="4284">
        <f t="shared" si="112"/>
        <v>0</v>
      </c>
      <c r="BO200" s="4284">
        <f t="shared" si="113"/>
        <v>0</v>
      </c>
      <c r="BP200" s="4284">
        <f t="shared" si="114"/>
        <v>0</v>
      </c>
      <c r="BQ200" s="4284">
        <f t="shared" si="115"/>
        <v>0</v>
      </c>
      <c r="BR200" s="4284">
        <f t="shared" si="116"/>
        <v>0</v>
      </c>
      <c r="BS200" s="4284">
        <f t="shared" si="117"/>
        <v>0</v>
      </c>
      <c r="BT200" s="4285">
        <f t="shared" si="118"/>
        <v>0</v>
      </c>
    </row>
    <row r="201" spans="1:72">
      <c r="A201" s="4278"/>
      <c r="B201" s="4279"/>
      <c r="C201" s="4279"/>
      <c r="D201" s="4280"/>
      <c r="E201" s="1188">
        <f t="shared" si="119"/>
        <v>0</v>
      </c>
      <c r="F201" s="1680"/>
      <c r="G201" s="4281">
        <f t="shared" si="94"/>
        <v>0</v>
      </c>
      <c r="H201" s="3457">
        <f t="shared" si="95"/>
        <v>0</v>
      </c>
      <c r="I201" s="4282"/>
      <c r="J201" s="4282"/>
      <c r="K201" s="4282"/>
      <c r="L201" s="4282"/>
      <c r="M201" s="4282"/>
      <c r="N201" s="4282"/>
      <c r="O201" s="4282"/>
      <c r="P201" s="4282"/>
      <c r="Q201" s="4282"/>
      <c r="R201" s="4282"/>
      <c r="S201" s="4282"/>
      <c r="T201" s="4282"/>
      <c r="U201" s="4282"/>
      <c r="V201" s="4282"/>
      <c r="W201" s="4282"/>
      <c r="X201" s="4282"/>
      <c r="Y201" s="4282"/>
      <c r="Z201" s="4282"/>
      <c r="AA201" s="4282"/>
      <c r="AB201" s="4282"/>
      <c r="AC201" s="1188">
        <f t="shared" si="96"/>
        <v>0</v>
      </c>
      <c r="AD201" s="4278"/>
      <c r="AE201" s="4278"/>
      <c r="AF201" s="4278"/>
      <c r="AG201" s="4278"/>
      <c r="AH201" s="4278"/>
      <c r="AI201" s="4278"/>
      <c r="AJ201" s="4278"/>
      <c r="AK201" s="4278"/>
      <c r="AL201" s="4278"/>
      <c r="AM201" s="4278"/>
      <c r="AN201" s="4278"/>
      <c r="AO201" s="4278"/>
      <c r="AP201" s="4278"/>
      <c r="AQ201" s="4278"/>
      <c r="AR201" s="4278"/>
      <c r="AS201" s="4278"/>
      <c r="AT201" s="4279"/>
      <c r="AU201" s="4283"/>
      <c r="AV201" s="1188">
        <f t="shared" si="120"/>
        <v>0</v>
      </c>
      <c r="AW201" s="1188">
        <f t="shared" si="121"/>
        <v>0</v>
      </c>
      <c r="AX201" s="1188">
        <f t="shared" si="122"/>
        <v>0</v>
      </c>
      <c r="AY201" s="1452">
        <f t="shared" si="97"/>
        <v>0</v>
      </c>
      <c r="AZ201" s="4284">
        <f t="shared" si="98"/>
        <v>0</v>
      </c>
      <c r="BA201" s="4284">
        <f t="shared" si="99"/>
        <v>0</v>
      </c>
      <c r="BB201" s="4284">
        <f t="shared" si="100"/>
        <v>0</v>
      </c>
      <c r="BC201" s="4284">
        <f t="shared" si="101"/>
        <v>0</v>
      </c>
      <c r="BD201" s="4284">
        <f t="shared" si="102"/>
        <v>0</v>
      </c>
      <c r="BE201" s="4284">
        <f t="shared" si="103"/>
        <v>0</v>
      </c>
      <c r="BF201" s="4284">
        <f t="shared" si="104"/>
        <v>0</v>
      </c>
      <c r="BG201" s="4284">
        <f t="shared" si="105"/>
        <v>0</v>
      </c>
      <c r="BH201" s="4284">
        <f t="shared" si="106"/>
        <v>0</v>
      </c>
      <c r="BI201" s="4284">
        <f t="shared" si="107"/>
        <v>0</v>
      </c>
      <c r="BJ201" s="4284">
        <f t="shared" si="108"/>
        <v>0</v>
      </c>
      <c r="BK201" s="4284">
        <f t="shared" si="109"/>
        <v>0</v>
      </c>
      <c r="BL201" s="4284">
        <f t="shared" si="110"/>
        <v>0</v>
      </c>
      <c r="BM201" s="4284">
        <f t="shared" si="111"/>
        <v>0</v>
      </c>
      <c r="BN201" s="4284">
        <f t="shared" si="112"/>
        <v>0</v>
      </c>
      <c r="BO201" s="4284">
        <f t="shared" si="113"/>
        <v>0</v>
      </c>
      <c r="BP201" s="4284">
        <f t="shared" si="114"/>
        <v>0</v>
      </c>
      <c r="BQ201" s="4284">
        <f t="shared" si="115"/>
        <v>0</v>
      </c>
      <c r="BR201" s="4284">
        <f t="shared" si="116"/>
        <v>0</v>
      </c>
      <c r="BS201" s="4284">
        <f t="shared" si="117"/>
        <v>0</v>
      </c>
      <c r="BT201" s="4285">
        <f t="shared" si="118"/>
        <v>0</v>
      </c>
    </row>
    <row r="202" spans="1:72">
      <c r="A202" s="4278"/>
      <c r="B202" s="4279"/>
      <c r="C202" s="4279"/>
      <c r="D202" s="4280"/>
      <c r="E202" s="1188">
        <f t="shared" si="119"/>
        <v>0</v>
      </c>
      <c r="F202" s="1680"/>
      <c r="G202" s="4281">
        <f t="shared" si="94"/>
        <v>0</v>
      </c>
      <c r="H202" s="3457">
        <f t="shared" si="95"/>
        <v>0</v>
      </c>
      <c r="I202" s="4282"/>
      <c r="J202" s="4282"/>
      <c r="K202" s="4282"/>
      <c r="L202" s="4282"/>
      <c r="M202" s="4282"/>
      <c r="N202" s="4282"/>
      <c r="O202" s="4282"/>
      <c r="P202" s="4282"/>
      <c r="Q202" s="4282"/>
      <c r="R202" s="4282"/>
      <c r="S202" s="4282"/>
      <c r="T202" s="4282"/>
      <c r="U202" s="4282"/>
      <c r="V202" s="4282"/>
      <c r="W202" s="4282"/>
      <c r="X202" s="4282"/>
      <c r="Y202" s="4282"/>
      <c r="Z202" s="4282"/>
      <c r="AA202" s="4282"/>
      <c r="AB202" s="4282"/>
      <c r="AC202" s="1188">
        <f t="shared" si="96"/>
        <v>0</v>
      </c>
      <c r="AD202" s="4278"/>
      <c r="AE202" s="4278"/>
      <c r="AF202" s="4278"/>
      <c r="AG202" s="4278"/>
      <c r="AH202" s="4278"/>
      <c r="AI202" s="4278"/>
      <c r="AJ202" s="4278"/>
      <c r="AK202" s="4278"/>
      <c r="AL202" s="4278"/>
      <c r="AM202" s="4278"/>
      <c r="AN202" s="4278"/>
      <c r="AO202" s="4278"/>
      <c r="AP202" s="4278"/>
      <c r="AQ202" s="4278"/>
      <c r="AR202" s="4278"/>
      <c r="AS202" s="4278"/>
      <c r="AT202" s="4279"/>
      <c r="AU202" s="4283"/>
      <c r="AV202" s="1188">
        <f t="shared" si="120"/>
        <v>0</v>
      </c>
      <c r="AW202" s="1188">
        <f t="shared" si="121"/>
        <v>0</v>
      </c>
      <c r="AX202" s="1188">
        <f t="shared" si="122"/>
        <v>0</v>
      </c>
      <c r="AY202" s="1452">
        <f t="shared" si="97"/>
        <v>0</v>
      </c>
      <c r="AZ202" s="4284">
        <f t="shared" si="98"/>
        <v>0</v>
      </c>
      <c r="BA202" s="4284">
        <f t="shared" si="99"/>
        <v>0</v>
      </c>
      <c r="BB202" s="4284">
        <f t="shared" si="100"/>
        <v>0</v>
      </c>
      <c r="BC202" s="4284">
        <f t="shared" si="101"/>
        <v>0</v>
      </c>
      <c r="BD202" s="4284">
        <f t="shared" si="102"/>
        <v>0</v>
      </c>
      <c r="BE202" s="4284">
        <f t="shared" si="103"/>
        <v>0</v>
      </c>
      <c r="BF202" s="4284">
        <f t="shared" si="104"/>
        <v>0</v>
      </c>
      <c r="BG202" s="4284">
        <f t="shared" si="105"/>
        <v>0</v>
      </c>
      <c r="BH202" s="4284">
        <f t="shared" si="106"/>
        <v>0</v>
      </c>
      <c r="BI202" s="4284">
        <f t="shared" si="107"/>
        <v>0</v>
      </c>
      <c r="BJ202" s="4284">
        <f t="shared" si="108"/>
        <v>0</v>
      </c>
      <c r="BK202" s="4284">
        <f t="shared" si="109"/>
        <v>0</v>
      </c>
      <c r="BL202" s="4284">
        <f t="shared" si="110"/>
        <v>0</v>
      </c>
      <c r="BM202" s="4284">
        <f t="shared" si="111"/>
        <v>0</v>
      </c>
      <c r="BN202" s="4284">
        <f t="shared" si="112"/>
        <v>0</v>
      </c>
      <c r="BO202" s="4284">
        <f t="shared" si="113"/>
        <v>0</v>
      </c>
      <c r="BP202" s="4284">
        <f t="shared" si="114"/>
        <v>0</v>
      </c>
      <c r="BQ202" s="4284">
        <f t="shared" si="115"/>
        <v>0</v>
      </c>
      <c r="BR202" s="4284">
        <f t="shared" si="116"/>
        <v>0</v>
      </c>
      <c r="BS202" s="4284">
        <f t="shared" si="117"/>
        <v>0</v>
      </c>
      <c r="BT202" s="4285">
        <f t="shared" si="118"/>
        <v>0</v>
      </c>
    </row>
    <row r="203" spans="1:72">
      <c r="A203" s="4278"/>
      <c r="B203" s="4279"/>
      <c r="C203" s="4279"/>
      <c r="D203" s="4280"/>
      <c r="E203" s="1188">
        <f t="shared" si="119"/>
        <v>0</v>
      </c>
      <c r="F203" s="1680"/>
      <c r="G203" s="4281">
        <f t="shared" si="94"/>
        <v>0</v>
      </c>
      <c r="H203" s="3457">
        <f t="shared" si="95"/>
        <v>0</v>
      </c>
      <c r="I203" s="4282"/>
      <c r="J203" s="4282"/>
      <c r="K203" s="4282"/>
      <c r="L203" s="4282"/>
      <c r="M203" s="4282"/>
      <c r="N203" s="4282"/>
      <c r="O203" s="4282"/>
      <c r="P203" s="4282"/>
      <c r="Q203" s="4282"/>
      <c r="R203" s="4282"/>
      <c r="S203" s="4282"/>
      <c r="T203" s="4282"/>
      <c r="U203" s="4282"/>
      <c r="V203" s="4282"/>
      <c r="W203" s="4282"/>
      <c r="X203" s="4282"/>
      <c r="Y203" s="4282"/>
      <c r="Z203" s="4282"/>
      <c r="AA203" s="4282"/>
      <c r="AB203" s="4282"/>
      <c r="AC203" s="1188">
        <f t="shared" si="96"/>
        <v>0</v>
      </c>
      <c r="AD203" s="4278"/>
      <c r="AE203" s="4278"/>
      <c r="AF203" s="4278"/>
      <c r="AG203" s="4278"/>
      <c r="AH203" s="4278"/>
      <c r="AI203" s="4278"/>
      <c r="AJ203" s="4278"/>
      <c r="AK203" s="4278"/>
      <c r="AL203" s="4278"/>
      <c r="AM203" s="4278"/>
      <c r="AN203" s="4278"/>
      <c r="AO203" s="4278"/>
      <c r="AP203" s="4278"/>
      <c r="AQ203" s="4278"/>
      <c r="AR203" s="4278"/>
      <c r="AS203" s="4278"/>
      <c r="AT203" s="4279"/>
      <c r="AU203" s="4283"/>
      <c r="AV203" s="1188">
        <f t="shared" si="120"/>
        <v>0</v>
      </c>
      <c r="AW203" s="1188">
        <f t="shared" si="121"/>
        <v>0</v>
      </c>
      <c r="AX203" s="1188">
        <f t="shared" si="122"/>
        <v>0</v>
      </c>
      <c r="AY203" s="1452">
        <f t="shared" si="97"/>
        <v>0</v>
      </c>
      <c r="AZ203" s="4284">
        <f t="shared" si="98"/>
        <v>0</v>
      </c>
      <c r="BA203" s="4284">
        <f t="shared" si="99"/>
        <v>0</v>
      </c>
      <c r="BB203" s="4284">
        <f t="shared" si="100"/>
        <v>0</v>
      </c>
      <c r="BC203" s="4284">
        <f t="shared" si="101"/>
        <v>0</v>
      </c>
      <c r="BD203" s="4284">
        <f t="shared" si="102"/>
        <v>0</v>
      </c>
      <c r="BE203" s="4284">
        <f t="shared" si="103"/>
        <v>0</v>
      </c>
      <c r="BF203" s="4284">
        <f t="shared" si="104"/>
        <v>0</v>
      </c>
      <c r="BG203" s="4284">
        <f t="shared" si="105"/>
        <v>0</v>
      </c>
      <c r="BH203" s="4284">
        <f t="shared" si="106"/>
        <v>0</v>
      </c>
      <c r="BI203" s="4284">
        <f t="shared" si="107"/>
        <v>0</v>
      </c>
      <c r="BJ203" s="4284">
        <f t="shared" si="108"/>
        <v>0</v>
      </c>
      <c r="BK203" s="4284">
        <f t="shared" si="109"/>
        <v>0</v>
      </c>
      <c r="BL203" s="4284">
        <f t="shared" si="110"/>
        <v>0</v>
      </c>
      <c r="BM203" s="4284">
        <f t="shared" si="111"/>
        <v>0</v>
      </c>
      <c r="BN203" s="4284">
        <f t="shared" si="112"/>
        <v>0</v>
      </c>
      <c r="BO203" s="4284">
        <f t="shared" si="113"/>
        <v>0</v>
      </c>
      <c r="BP203" s="4284">
        <f t="shared" si="114"/>
        <v>0</v>
      </c>
      <c r="BQ203" s="4284">
        <f t="shared" si="115"/>
        <v>0</v>
      </c>
      <c r="BR203" s="4284">
        <f t="shared" si="116"/>
        <v>0</v>
      </c>
      <c r="BS203" s="4284">
        <f t="shared" si="117"/>
        <v>0</v>
      </c>
      <c r="BT203" s="4285">
        <f t="shared" si="118"/>
        <v>0</v>
      </c>
    </row>
    <row r="204" spans="1:72">
      <c r="A204" s="4278"/>
      <c r="B204" s="4279"/>
      <c r="C204" s="4279"/>
      <c r="D204" s="4280"/>
      <c r="E204" s="1188">
        <f t="shared" si="119"/>
        <v>0</v>
      </c>
      <c r="F204" s="1680"/>
      <c r="G204" s="4281">
        <f t="shared" si="94"/>
        <v>0</v>
      </c>
      <c r="H204" s="3457">
        <f t="shared" si="95"/>
        <v>0</v>
      </c>
      <c r="I204" s="4282"/>
      <c r="J204" s="4282"/>
      <c r="K204" s="4282"/>
      <c r="L204" s="4282"/>
      <c r="M204" s="4282"/>
      <c r="N204" s="4282"/>
      <c r="O204" s="4282"/>
      <c r="P204" s="4282"/>
      <c r="Q204" s="4282"/>
      <c r="R204" s="4282"/>
      <c r="S204" s="4282"/>
      <c r="T204" s="4282"/>
      <c r="U204" s="4282"/>
      <c r="V204" s="4282"/>
      <c r="W204" s="4282"/>
      <c r="X204" s="4282"/>
      <c r="Y204" s="4282"/>
      <c r="Z204" s="4282"/>
      <c r="AA204" s="4282"/>
      <c r="AB204" s="4282"/>
      <c r="AC204" s="1188">
        <f t="shared" si="96"/>
        <v>0</v>
      </c>
      <c r="AD204" s="4278"/>
      <c r="AE204" s="4278"/>
      <c r="AF204" s="4278"/>
      <c r="AG204" s="4278"/>
      <c r="AH204" s="4278"/>
      <c r="AI204" s="4278"/>
      <c r="AJ204" s="4278"/>
      <c r="AK204" s="4278"/>
      <c r="AL204" s="4278"/>
      <c r="AM204" s="4278"/>
      <c r="AN204" s="4278"/>
      <c r="AO204" s="4278"/>
      <c r="AP204" s="4278"/>
      <c r="AQ204" s="4278"/>
      <c r="AR204" s="4278"/>
      <c r="AS204" s="4278"/>
      <c r="AT204" s="4279"/>
      <c r="AU204" s="4283"/>
      <c r="AV204" s="1188">
        <f t="shared" si="120"/>
        <v>0</v>
      </c>
      <c r="AW204" s="1188">
        <f t="shared" si="121"/>
        <v>0</v>
      </c>
      <c r="AX204" s="1188">
        <f t="shared" si="122"/>
        <v>0</v>
      </c>
      <c r="AY204" s="1452">
        <f t="shared" si="97"/>
        <v>0</v>
      </c>
      <c r="AZ204" s="4284">
        <f t="shared" si="98"/>
        <v>0</v>
      </c>
      <c r="BA204" s="4284">
        <f t="shared" si="99"/>
        <v>0</v>
      </c>
      <c r="BB204" s="4284">
        <f t="shared" si="100"/>
        <v>0</v>
      </c>
      <c r="BC204" s="4284">
        <f t="shared" si="101"/>
        <v>0</v>
      </c>
      <c r="BD204" s="4284">
        <f t="shared" si="102"/>
        <v>0</v>
      </c>
      <c r="BE204" s="4284">
        <f t="shared" si="103"/>
        <v>0</v>
      </c>
      <c r="BF204" s="4284">
        <f t="shared" si="104"/>
        <v>0</v>
      </c>
      <c r="BG204" s="4284">
        <f t="shared" si="105"/>
        <v>0</v>
      </c>
      <c r="BH204" s="4284">
        <f t="shared" si="106"/>
        <v>0</v>
      </c>
      <c r="BI204" s="4284">
        <f t="shared" si="107"/>
        <v>0</v>
      </c>
      <c r="BJ204" s="4284">
        <f t="shared" si="108"/>
        <v>0</v>
      </c>
      <c r="BK204" s="4284">
        <f t="shared" si="109"/>
        <v>0</v>
      </c>
      <c r="BL204" s="4284">
        <f t="shared" si="110"/>
        <v>0</v>
      </c>
      <c r="BM204" s="4284">
        <f t="shared" si="111"/>
        <v>0</v>
      </c>
      <c r="BN204" s="4284">
        <f t="shared" si="112"/>
        <v>0</v>
      </c>
      <c r="BO204" s="4284">
        <f t="shared" si="113"/>
        <v>0</v>
      </c>
      <c r="BP204" s="4284">
        <f t="shared" si="114"/>
        <v>0</v>
      </c>
      <c r="BQ204" s="4284">
        <f t="shared" si="115"/>
        <v>0</v>
      </c>
      <c r="BR204" s="4284">
        <f t="shared" si="116"/>
        <v>0</v>
      </c>
      <c r="BS204" s="4284">
        <f t="shared" si="117"/>
        <v>0</v>
      </c>
      <c r="BT204" s="4285">
        <f t="shared" si="118"/>
        <v>0</v>
      </c>
    </row>
    <row r="205" spans="1:72">
      <c r="A205" s="4278"/>
      <c r="B205" s="4278"/>
      <c r="C205" s="4278"/>
      <c r="D205" s="4280"/>
      <c r="E205" s="1188">
        <f t="shared" si="119"/>
        <v>0</v>
      </c>
      <c r="F205" s="1667"/>
      <c r="G205" s="4281">
        <f t="shared" si="94"/>
        <v>0</v>
      </c>
      <c r="H205" s="3457">
        <f t="shared" si="95"/>
        <v>0</v>
      </c>
      <c r="I205" s="4282"/>
      <c r="J205" s="4282"/>
      <c r="K205" s="4282"/>
      <c r="L205" s="4282"/>
      <c r="M205" s="4282"/>
      <c r="N205" s="4282"/>
      <c r="O205" s="4282"/>
      <c r="P205" s="4282"/>
      <c r="Q205" s="4282"/>
      <c r="R205" s="4282"/>
      <c r="S205" s="4282"/>
      <c r="T205" s="4282"/>
      <c r="U205" s="4282"/>
      <c r="V205" s="4282"/>
      <c r="W205" s="4282"/>
      <c r="X205" s="4282"/>
      <c r="Y205" s="4282"/>
      <c r="Z205" s="4282"/>
      <c r="AA205" s="4282"/>
      <c r="AB205" s="4282"/>
      <c r="AC205" s="1188">
        <f t="shared" si="96"/>
        <v>0</v>
      </c>
      <c r="AD205" s="4278"/>
      <c r="AE205" s="4278"/>
      <c r="AF205" s="4278"/>
      <c r="AG205" s="4278"/>
      <c r="AH205" s="4278"/>
      <c r="AI205" s="4278"/>
      <c r="AJ205" s="4278"/>
      <c r="AK205" s="4278"/>
      <c r="AL205" s="4278"/>
      <c r="AM205" s="4278"/>
      <c r="AN205" s="4278"/>
      <c r="AO205" s="4278"/>
      <c r="AP205" s="4278"/>
      <c r="AQ205" s="4278"/>
      <c r="AR205" s="4278"/>
      <c r="AS205" s="4278"/>
      <c r="AT205" s="4278"/>
      <c r="AU205" s="4286"/>
      <c r="AV205" s="1188">
        <f t="shared" si="120"/>
        <v>0</v>
      </c>
      <c r="AW205" s="1188">
        <f t="shared" si="121"/>
        <v>0</v>
      </c>
      <c r="AX205" s="1188">
        <f t="shared" si="122"/>
        <v>0</v>
      </c>
      <c r="AY205" s="1452">
        <f t="shared" si="97"/>
        <v>0</v>
      </c>
      <c r="AZ205" s="4284">
        <f t="shared" si="98"/>
        <v>0</v>
      </c>
      <c r="BA205" s="4284">
        <f t="shared" si="99"/>
        <v>0</v>
      </c>
      <c r="BB205" s="4284">
        <f t="shared" si="100"/>
        <v>0</v>
      </c>
      <c r="BC205" s="4284">
        <f t="shared" si="101"/>
        <v>0</v>
      </c>
      <c r="BD205" s="4284">
        <f t="shared" si="102"/>
        <v>0</v>
      </c>
      <c r="BE205" s="4284">
        <f t="shared" si="103"/>
        <v>0</v>
      </c>
      <c r="BF205" s="4284">
        <f t="shared" si="104"/>
        <v>0</v>
      </c>
      <c r="BG205" s="4284">
        <f t="shared" si="105"/>
        <v>0</v>
      </c>
      <c r="BH205" s="4284">
        <f t="shared" si="106"/>
        <v>0</v>
      </c>
      <c r="BI205" s="4284">
        <f t="shared" si="107"/>
        <v>0</v>
      </c>
      <c r="BJ205" s="4284">
        <f t="shared" si="108"/>
        <v>0</v>
      </c>
      <c r="BK205" s="4284">
        <f t="shared" si="109"/>
        <v>0</v>
      </c>
      <c r="BL205" s="4284">
        <f t="shared" si="110"/>
        <v>0</v>
      </c>
      <c r="BM205" s="4284">
        <f t="shared" si="111"/>
        <v>0</v>
      </c>
      <c r="BN205" s="4284">
        <f t="shared" si="112"/>
        <v>0</v>
      </c>
      <c r="BO205" s="4284">
        <f t="shared" si="113"/>
        <v>0</v>
      </c>
      <c r="BP205" s="4284">
        <f t="shared" si="114"/>
        <v>0</v>
      </c>
      <c r="BQ205" s="4284">
        <f t="shared" si="115"/>
        <v>0</v>
      </c>
      <c r="BR205" s="4284">
        <f t="shared" si="116"/>
        <v>0</v>
      </c>
      <c r="BS205" s="4284">
        <f t="shared" si="117"/>
        <v>0</v>
      </c>
      <c r="BT205" s="4285">
        <f t="shared" si="118"/>
        <v>0</v>
      </c>
    </row>
    <row r="206" spans="1:72">
      <c r="A206" s="4278"/>
      <c r="B206" s="4278"/>
      <c r="C206" s="4278"/>
      <c r="D206" s="4280"/>
      <c r="E206" s="1188">
        <f t="shared" si="119"/>
        <v>0</v>
      </c>
      <c r="F206" s="1667"/>
      <c r="G206" s="4281">
        <f t="shared" si="94"/>
        <v>0</v>
      </c>
      <c r="H206" s="3457">
        <f t="shared" si="95"/>
        <v>0</v>
      </c>
      <c r="I206" s="4282"/>
      <c r="J206" s="4282"/>
      <c r="K206" s="4282"/>
      <c r="L206" s="4282"/>
      <c r="M206" s="4282"/>
      <c r="N206" s="4282"/>
      <c r="O206" s="4282"/>
      <c r="P206" s="4282"/>
      <c r="Q206" s="4282"/>
      <c r="R206" s="4282"/>
      <c r="S206" s="4282"/>
      <c r="T206" s="4282"/>
      <c r="U206" s="4282"/>
      <c r="V206" s="4282"/>
      <c r="W206" s="4282"/>
      <c r="X206" s="4282"/>
      <c r="Y206" s="4282"/>
      <c r="Z206" s="4282"/>
      <c r="AA206" s="4282"/>
      <c r="AB206" s="4282"/>
      <c r="AC206" s="1188">
        <f t="shared" si="96"/>
        <v>0</v>
      </c>
      <c r="AD206" s="4278"/>
      <c r="AE206" s="4278"/>
      <c r="AF206" s="4278"/>
      <c r="AG206" s="4278"/>
      <c r="AH206" s="4278"/>
      <c r="AI206" s="4278"/>
      <c r="AJ206" s="4278"/>
      <c r="AK206" s="4278"/>
      <c r="AL206" s="4278"/>
      <c r="AM206" s="4278"/>
      <c r="AN206" s="4278"/>
      <c r="AO206" s="4278"/>
      <c r="AP206" s="4278"/>
      <c r="AQ206" s="4278"/>
      <c r="AR206" s="4278"/>
      <c r="AS206" s="4278"/>
      <c r="AT206" s="4278"/>
      <c r="AU206" s="4286"/>
      <c r="AV206" s="1188">
        <f t="shared" si="120"/>
        <v>0</v>
      </c>
      <c r="AW206" s="1188">
        <f t="shared" si="121"/>
        <v>0</v>
      </c>
      <c r="AX206" s="1188">
        <f t="shared" si="122"/>
        <v>0</v>
      </c>
      <c r="AY206" s="1452">
        <f t="shared" si="97"/>
        <v>0</v>
      </c>
      <c r="AZ206" s="4284">
        <f t="shared" si="98"/>
        <v>0</v>
      </c>
      <c r="BA206" s="4284">
        <f t="shared" si="99"/>
        <v>0</v>
      </c>
      <c r="BB206" s="4284">
        <f t="shared" si="100"/>
        <v>0</v>
      </c>
      <c r="BC206" s="4284">
        <f t="shared" si="101"/>
        <v>0</v>
      </c>
      <c r="BD206" s="4284">
        <f t="shared" si="102"/>
        <v>0</v>
      </c>
      <c r="BE206" s="4284">
        <f t="shared" si="103"/>
        <v>0</v>
      </c>
      <c r="BF206" s="4284">
        <f t="shared" si="104"/>
        <v>0</v>
      </c>
      <c r="BG206" s="4284">
        <f t="shared" si="105"/>
        <v>0</v>
      </c>
      <c r="BH206" s="4284">
        <f t="shared" si="106"/>
        <v>0</v>
      </c>
      <c r="BI206" s="4284">
        <f t="shared" si="107"/>
        <v>0</v>
      </c>
      <c r="BJ206" s="4284">
        <f t="shared" si="108"/>
        <v>0</v>
      </c>
      <c r="BK206" s="4284">
        <f t="shared" si="109"/>
        <v>0</v>
      </c>
      <c r="BL206" s="4284">
        <f t="shared" si="110"/>
        <v>0</v>
      </c>
      <c r="BM206" s="4284">
        <f t="shared" si="111"/>
        <v>0</v>
      </c>
      <c r="BN206" s="4284">
        <f t="shared" si="112"/>
        <v>0</v>
      </c>
      <c r="BO206" s="4284">
        <f t="shared" si="113"/>
        <v>0</v>
      </c>
      <c r="BP206" s="4284">
        <f t="shared" si="114"/>
        <v>0</v>
      </c>
      <c r="BQ206" s="4284">
        <f t="shared" si="115"/>
        <v>0</v>
      </c>
      <c r="BR206" s="4284">
        <f t="shared" si="116"/>
        <v>0</v>
      </c>
      <c r="BS206" s="4284">
        <f t="shared" si="117"/>
        <v>0</v>
      </c>
      <c r="BT206" s="4285">
        <f t="shared" si="118"/>
        <v>0</v>
      </c>
    </row>
    <row r="207" spans="1:72">
      <c r="A207" s="4278"/>
      <c r="B207" s="4278"/>
      <c r="C207" s="4278"/>
      <c r="D207" s="4280"/>
      <c r="E207" s="1188">
        <f t="shared" si="119"/>
        <v>0</v>
      </c>
      <c r="F207" s="1667"/>
      <c r="G207" s="4281">
        <f t="shared" si="94"/>
        <v>0</v>
      </c>
      <c r="H207" s="3457">
        <f t="shared" si="95"/>
        <v>0</v>
      </c>
      <c r="I207" s="4282"/>
      <c r="J207" s="4282"/>
      <c r="K207" s="4282"/>
      <c r="L207" s="4282"/>
      <c r="M207" s="4282"/>
      <c r="N207" s="4282"/>
      <c r="O207" s="4282"/>
      <c r="P207" s="4282"/>
      <c r="Q207" s="4282"/>
      <c r="R207" s="4282"/>
      <c r="S207" s="4282"/>
      <c r="T207" s="4282"/>
      <c r="U207" s="4282"/>
      <c r="V207" s="4282"/>
      <c r="W207" s="4282"/>
      <c r="X207" s="4282"/>
      <c r="Y207" s="4282"/>
      <c r="Z207" s="4282"/>
      <c r="AA207" s="4282"/>
      <c r="AB207" s="4282"/>
      <c r="AC207" s="1188">
        <f t="shared" si="96"/>
        <v>0</v>
      </c>
      <c r="AD207" s="4278"/>
      <c r="AE207" s="4278"/>
      <c r="AF207" s="4278"/>
      <c r="AG207" s="4278"/>
      <c r="AH207" s="4278"/>
      <c r="AI207" s="4278"/>
      <c r="AJ207" s="4278"/>
      <c r="AK207" s="4278"/>
      <c r="AL207" s="4278"/>
      <c r="AM207" s="4278"/>
      <c r="AN207" s="4278"/>
      <c r="AO207" s="4278"/>
      <c r="AP207" s="4278"/>
      <c r="AQ207" s="4278"/>
      <c r="AR207" s="4278"/>
      <c r="AS207" s="4278"/>
      <c r="AT207" s="4278"/>
      <c r="AU207" s="4286"/>
      <c r="AV207" s="1188">
        <f t="shared" si="120"/>
        <v>0</v>
      </c>
      <c r="AW207" s="1188">
        <f t="shared" si="121"/>
        <v>0</v>
      </c>
      <c r="AX207" s="1188">
        <f t="shared" si="122"/>
        <v>0</v>
      </c>
      <c r="AY207" s="1452">
        <f t="shared" si="97"/>
        <v>0</v>
      </c>
      <c r="AZ207" s="4284">
        <f t="shared" si="98"/>
        <v>0</v>
      </c>
      <c r="BA207" s="4284">
        <f t="shared" si="99"/>
        <v>0</v>
      </c>
      <c r="BB207" s="4284">
        <f t="shared" si="100"/>
        <v>0</v>
      </c>
      <c r="BC207" s="4284">
        <f t="shared" si="101"/>
        <v>0</v>
      </c>
      <c r="BD207" s="4284">
        <f t="shared" si="102"/>
        <v>0</v>
      </c>
      <c r="BE207" s="4284">
        <f t="shared" si="103"/>
        <v>0</v>
      </c>
      <c r="BF207" s="4284">
        <f t="shared" si="104"/>
        <v>0</v>
      </c>
      <c r="BG207" s="4284">
        <f t="shared" si="105"/>
        <v>0</v>
      </c>
      <c r="BH207" s="4284">
        <f t="shared" si="106"/>
        <v>0</v>
      </c>
      <c r="BI207" s="4284">
        <f t="shared" si="107"/>
        <v>0</v>
      </c>
      <c r="BJ207" s="4284">
        <f t="shared" si="108"/>
        <v>0</v>
      </c>
      <c r="BK207" s="4284">
        <f t="shared" si="109"/>
        <v>0</v>
      </c>
      <c r="BL207" s="4284">
        <f t="shared" si="110"/>
        <v>0</v>
      </c>
      <c r="BM207" s="4284">
        <f t="shared" si="111"/>
        <v>0</v>
      </c>
      <c r="BN207" s="4284">
        <f t="shared" si="112"/>
        <v>0</v>
      </c>
      <c r="BO207" s="4284">
        <f t="shared" si="113"/>
        <v>0</v>
      </c>
      <c r="BP207" s="4284">
        <f t="shared" si="114"/>
        <v>0</v>
      </c>
      <c r="BQ207" s="4284">
        <f t="shared" si="115"/>
        <v>0</v>
      </c>
      <c r="BR207" s="4284">
        <f t="shared" si="116"/>
        <v>0</v>
      </c>
      <c r="BS207" s="4284">
        <f t="shared" si="117"/>
        <v>0</v>
      </c>
      <c r="BT207" s="4285">
        <f t="shared" si="118"/>
        <v>0</v>
      </c>
    </row>
    <row r="208" spans="1:72">
      <c r="A208" s="4278"/>
      <c r="B208" s="4279"/>
      <c r="C208" s="4279"/>
      <c r="D208" s="4280"/>
      <c r="E208" s="1188">
        <f t="shared" ref="E208:E302" si="123">IF($C$3="是",ROUND($A$3*G208/$B$3,2),ROUND($A$3*(G208-AT208)/$B$3,2))</f>
        <v>0</v>
      </c>
      <c r="F208" s="1680"/>
      <c r="G208" s="4281">
        <f t="shared" ref="G208:G299" si="124">H208+AC208+AT208</f>
        <v>0</v>
      </c>
      <c r="H208" s="3457">
        <f t="shared" ref="H208:H299" si="125">SUMIF(I$12:AB$12,"总值",I208:AB208)</f>
        <v>0</v>
      </c>
      <c r="I208" s="4282"/>
      <c r="J208" s="4282"/>
      <c r="K208" s="4282"/>
      <c r="L208" s="4282"/>
      <c r="M208" s="4282"/>
      <c r="N208" s="4282"/>
      <c r="O208" s="4282"/>
      <c r="P208" s="4282"/>
      <c r="Q208" s="4282"/>
      <c r="R208" s="4282"/>
      <c r="S208" s="4282"/>
      <c r="T208" s="4282"/>
      <c r="U208" s="4282"/>
      <c r="V208" s="4282"/>
      <c r="W208" s="4282"/>
      <c r="X208" s="4282"/>
      <c r="Y208" s="4282"/>
      <c r="Z208" s="4282"/>
      <c r="AA208" s="4282"/>
      <c r="AB208" s="4282"/>
      <c r="AC208" s="1188">
        <f t="shared" ref="AC208:AC299" si="126">SUMIF(AD$12:AS$12,"总值",AD208:AS208)</f>
        <v>0</v>
      </c>
      <c r="AD208" s="4278"/>
      <c r="AE208" s="4278"/>
      <c r="AF208" s="4278"/>
      <c r="AG208" s="4278"/>
      <c r="AH208" s="4278"/>
      <c r="AI208" s="4278"/>
      <c r="AJ208" s="4278"/>
      <c r="AK208" s="4278"/>
      <c r="AL208" s="4278"/>
      <c r="AM208" s="4278"/>
      <c r="AN208" s="4278"/>
      <c r="AO208" s="4278"/>
      <c r="AP208" s="4278"/>
      <c r="AQ208" s="4278"/>
      <c r="AR208" s="4278"/>
      <c r="AS208" s="4278"/>
      <c r="AT208" s="4279"/>
      <c r="AU208" s="4283"/>
      <c r="AV208" s="1188">
        <f t="shared" ref="AV208:AV302" si="127">A208</f>
        <v>0</v>
      </c>
      <c r="AW208" s="1188">
        <f t="shared" ref="AW208:AW302" si="128">B208</f>
        <v>0</v>
      </c>
      <c r="AX208" s="1188">
        <f t="shared" ref="AX208:AX302" si="129">C208</f>
        <v>0</v>
      </c>
      <c r="AY208" s="1452">
        <f t="shared" ref="AY208:AY299" si="130">ROUND($AY$6*AZ208/$AZ$5,2)</f>
        <v>0</v>
      </c>
      <c r="AZ208" s="4284">
        <f t="shared" ref="AZ208:AZ299" si="131">BA208+BL208</f>
        <v>0</v>
      </c>
      <c r="BA208" s="4284">
        <f t="shared" ref="BA208:BA299" si="132">SUM(BB208:BK208)</f>
        <v>0</v>
      </c>
      <c r="BB208" s="4284">
        <f t="shared" ref="BB208:BB299" si="133">IF($D208="是",I208-J208,0)</f>
        <v>0</v>
      </c>
      <c r="BC208" s="4284">
        <f t="shared" ref="BC208:BC299" si="134">IF($D208="是",K208-L208,0)</f>
        <v>0</v>
      </c>
      <c r="BD208" s="4284">
        <f t="shared" ref="BD208:BD299" si="135">IF($D208="是",M208-N208,0)</f>
        <v>0</v>
      </c>
      <c r="BE208" s="4284">
        <f t="shared" ref="BE208:BE299" si="136">IF($D208="是",O208-P208,0)</f>
        <v>0</v>
      </c>
      <c r="BF208" s="4284">
        <f t="shared" ref="BF208:BF299" si="137">IF($D208="是",Q208-R208,0)</f>
        <v>0</v>
      </c>
      <c r="BG208" s="4284">
        <f t="shared" ref="BG208:BG299" si="138">IF($D208="是",S208-T208,0)</f>
        <v>0</v>
      </c>
      <c r="BH208" s="4284">
        <f t="shared" ref="BH208:BH299" si="139">IF($D208="是",U208-V208,0)</f>
        <v>0</v>
      </c>
      <c r="BI208" s="4284">
        <f t="shared" ref="BI208:BI299" si="140">IF($D208="是",W208-X208,0)</f>
        <v>0</v>
      </c>
      <c r="BJ208" s="4284">
        <f t="shared" ref="BJ208:BJ299" si="141">IF($D208="是",Y208-Z208,0)</f>
        <v>0</v>
      </c>
      <c r="BK208" s="4284">
        <f t="shared" ref="BK208:BK299" si="142">IF($D208="是",AA208-AB208,0)</f>
        <v>0</v>
      </c>
      <c r="BL208" s="4284">
        <f t="shared" ref="BL208:BL299" si="143">SUM(BM208:BT208)</f>
        <v>0</v>
      </c>
      <c r="BM208" s="4284">
        <f t="shared" ref="BM208:BM299" si="144">IF($D208="是",AD208-AE208,0)</f>
        <v>0</v>
      </c>
      <c r="BN208" s="4284">
        <f t="shared" ref="BN208:BN299" si="145">IF($D208="是",AF208-AG208,0)</f>
        <v>0</v>
      </c>
      <c r="BO208" s="4284">
        <f t="shared" ref="BO208:BO299" si="146">IF($D208="是",AH208-AI208,0)</f>
        <v>0</v>
      </c>
      <c r="BP208" s="4284">
        <f t="shared" ref="BP208:BP299" si="147">IF($D208="是",AJ208-AK208,0)</f>
        <v>0</v>
      </c>
      <c r="BQ208" s="4284">
        <f t="shared" ref="BQ208:BQ299" si="148">IF($D208="是",AL208-AM208,0)</f>
        <v>0</v>
      </c>
      <c r="BR208" s="4284">
        <f t="shared" ref="BR208:BR299" si="149">IF($D208="是",AN208-AO208,0)</f>
        <v>0</v>
      </c>
      <c r="BS208" s="4284">
        <f t="shared" ref="BS208:BS299" si="150">IF($D208="是",AP208-AQ208,0)</f>
        <v>0</v>
      </c>
      <c r="BT208" s="4285">
        <f t="shared" ref="BT208:BT299" si="151">IF($D208="是",AR208-AS208,0)</f>
        <v>0</v>
      </c>
    </row>
    <row r="209" spans="1:72">
      <c r="A209" s="4278"/>
      <c r="B209" s="4279"/>
      <c r="C209" s="4279"/>
      <c r="D209" s="4280"/>
      <c r="E209" s="1188">
        <f t="shared" si="123"/>
        <v>0</v>
      </c>
      <c r="F209" s="1680"/>
      <c r="G209" s="4281">
        <f t="shared" si="124"/>
        <v>0</v>
      </c>
      <c r="H209" s="3457">
        <f t="shared" si="125"/>
        <v>0</v>
      </c>
      <c r="I209" s="4282"/>
      <c r="J209" s="4282"/>
      <c r="K209" s="4282"/>
      <c r="L209" s="4282"/>
      <c r="M209" s="4282"/>
      <c r="N209" s="4282"/>
      <c r="O209" s="4282"/>
      <c r="P209" s="4282"/>
      <c r="Q209" s="4282"/>
      <c r="R209" s="4282"/>
      <c r="S209" s="4282"/>
      <c r="T209" s="4282"/>
      <c r="U209" s="4282"/>
      <c r="V209" s="4282"/>
      <c r="W209" s="4282"/>
      <c r="X209" s="4282"/>
      <c r="Y209" s="4282"/>
      <c r="Z209" s="4282"/>
      <c r="AA209" s="4282"/>
      <c r="AB209" s="4282"/>
      <c r="AC209" s="1188">
        <f t="shared" si="126"/>
        <v>0</v>
      </c>
      <c r="AD209" s="4278"/>
      <c r="AE209" s="4278"/>
      <c r="AF209" s="4278"/>
      <c r="AG209" s="4278"/>
      <c r="AH209" s="4278"/>
      <c r="AI209" s="4278"/>
      <c r="AJ209" s="4278"/>
      <c r="AK209" s="4278"/>
      <c r="AL209" s="4278"/>
      <c r="AM209" s="4278"/>
      <c r="AN209" s="4278"/>
      <c r="AO209" s="4278"/>
      <c r="AP209" s="4278"/>
      <c r="AQ209" s="4278"/>
      <c r="AR209" s="4278"/>
      <c r="AS209" s="4278"/>
      <c r="AT209" s="4279"/>
      <c r="AU209" s="4283"/>
      <c r="AV209" s="1188">
        <f t="shared" si="127"/>
        <v>0</v>
      </c>
      <c r="AW209" s="1188">
        <f t="shared" si="128"/>
        <v>0</v>
      </c>
      <c r="AX209" s="1188">
        <f t="shared" si="129"/>
        <v>0</v>
      </c>
      <c r="AY209" s="1452">
        <f t="shared" si="130"/>
        <v>0</v>
      </c>
      <c r="AZ209" s="4284">
        <f t="shared" si="131"/>
        <v>0</v>
      </c>
      <c r="BA209" s="4284">
        <f t="shared" si="132"/>
        <v>0</v>
      </c>
      <c r="BB209" s="4284">
        <f t="shared" si="133"/>
        <v>0</v>
      </c>
      <c r="BC209" s="4284">
        <f t="shared" si="134"/>
        <v>0</v>
      </c>
      <c r="BD209" s="4284">
        <f t="shared" si="135"/>
        <v>0</v>
      </c>
      <c r="BE209" s="4284">
        <f t="shared" si="136"/>
        <v>0</v>
      </c>
      <c r="BF209" s="4284">
        <f t="shared" si="137"/>
        <v>0</v>
      </c>
      <c r="BG209" s="4284">
        <f t="shared" si="138"/>
        <v>0</v>
      </c>
      <c r="BH209" s="4284">
        <f t="shared" si="139"/>
        <v>0</v>
      </c>
      <c r="BI209" s="4284">
        <f t="shared" si="140"/>
        <v>0</v>
      </c>
      <c r="BJ209" s="4284">
        <f t="shared" si="141"/>
        <v>0</v>
      </c>
      <c r="BK209" s="4284">
        <f t="shared" si="142"/>
        <v>0</v>
      </c>
      <c r="BL209" s="4284">
        <f t="shared" si="143"/>
        <v>0</v>
      </c>
      <c r="BM209" s="4284">
        <f t="shared" si="144"/>
        <v>0</v>
      </c>
      <c r="BN209" s="4284">
        <f t="shared" si="145"/>
        <v>0</v>
      </c>
      <c r="BO209" s="4284">
        <f t="shared" si="146"/>
        <v>0</v>
      </c>
      <c r="BP209" s="4284">
        <f t="shared" si="147"/>
        <v>0</v>
      </c>
      <c r="BQ209" s="4284">
        <f t="shared" si="148"/>
        <v>0</v>
      </c>
      <c r="BR209" s="4284">
        <f t="shared" si="149"/>
        <v>0</v>
      </c>
      <c r="BS209" s="4284">
        <f t="shared" si="150"/>
        <v>0</v>
      </c>
      <c r="BT209" s="4285">
        <f t="shared" si="151"/>
        <v>0</v>
      </c>
    </row>
    <row r="210" spans="1:72">
      <c r="A210" s="4278"/>
      <c r="B210" s="4279"/>
      <c r="C210" s="4279"/>
      <c r="D210" s="4280"/>
      <c r="E210" s="1188">
        <f t="shared" si="123"/>
        <v>0</v>
      </c>
      <c r="F210" s="1680"/>
      <c r="G210" s="4281">
        <f t="shared" si="124"/>
        <v>0</v>
      </c>
      <c r="H210" s="3457">
        <f t="shared" si="125"/>
        <v>0</v>
      </c>
      <c r="I210" s="4282"/>
      <c r="J210" s="4282"/>
      <c r="K210" s="4282"/>
      <c r="L210" s="4282"/>
      <c r="M210" s="4282"/>
      <c r="N210" s="4282"/>
      <c r="O210" s="4282"/>
      <c r="P210" s="4282"/>
      <c r="Q210" s="4282"/>
      <c r="R210" s="4282"/>
      <c r="S210" s="4282"/>
      <c r="T210" s="4282"/>
      <c r="U210" s="4282"/>
      <c r="V210" s="4282"/>
      <c r="W210" s="4282"/>
      <c r="X210" s="4282"/>
      <c r="Y210" s="4282"/>
      <c r="Z210" s="4282"/>
      <c r="AA210" s="4282"/>
      <c r="AB210" s="4282"/>
      <c r="AC210" s="1188">
        <f t="shared" si="126"/>
        <v>0</v>
      </c>
      <c r="AD210" s="4278"/>
      <c r="AE210" s="4278"/>
      <c r="AF210" s="4278"/>
      <c r="AG210" s="4278"/>
      <c r="AH210" s="4278"/>
      <c r="AI210" s="4278"/>
      <c r="AJ210" s="4278"/>
      <c r="AK210" s="4278"/>
      <c r="AL210" s="4278"/>
      <c r="AM210" s="4278"/>
      <c r="AN210" s="4278"/>
      <c r="AO210" s="4278"/>
      <c r="AP210" s="4278"/>
      <c r="AQ210" s="4278"/>
      <c r="AR210" s="4278"/>
      <c r="AS210" s="4278"/>
      <c r="AT210" s="4279"/>
      <c r="AU210" s="4283"/>
      <c r="AV210" s="1188">
        <f t="shared" si="127"/>
        <v>0</v>
      </c>
      <c r="AW210" s="1188">
        <f t="shared" si="128"/>
        <v>0</v>
      </c>
      <c r="AX210" s="1188">
        <f t="shared" si="129"/>
        <v>0</v>
      </c>
      <c r="AY210" s="1452">
        <f t="shared" si="130"/>
        <v>0</v>
      </c>
      <c r="AZ210" s="4284">
        <f t="shared" si="131"/>
        <v>0</v>
      </c>
      <c r="BA210" s="4284">
        <f t="shared" si="132"/>
        <v>0</v>
      </c>
      <c r="BB210" s="4284">
        <f t="shared" si="133"/>
        <v>0</v>
      </c>
      <c r="BC210" s="4284">
        <f t="shared" si="134"/>
        <v>0</v>
      </c>
      <c r="BD210" s="4284">
        <f t="shared" si="135"/>
        <v>0</v>
      </c>
      <c r="BE210" s="4284">
        <f t="shared" si="136"/>
        <v>0</v>
      </c>
      <c r="BF210" s="4284">
        <f t="shared" si="137"/>
        <v>0</v>
      </c>
      <c r="BG210" s="4284">
        <f t="shared" si="138"/>
        <v>0</v>
      </c>
      <c r="BH210" s="4284">
        <f t="shared" si="139"/>
        <v>0</v>
      </c>
      <c r="BI210" s="4284">
        <f t="shared" si="140"/>
        <v>0</v>
      </c>
      <c r="BJ210" s="4284">
        <f t="shared" si="141"/>
        <v>0</v>
      </c>
      <c r="BK210" s="4284">
        <f t="shared" si="142"/>
        <v>0</v>
      </c>
      <c r="BL210" s="4284">
        <f t="shared" si="143"/>
        <v>0</v>
      </c>
      <c r="BM210" s="4284">
        <f t="shared" si="144"/>
        <v>0</v>
      </c>
      <c r="BN210" s="4284">
        <f t="shared" si="145"/>
        <v>0</v>
      </c>
      <c r="BO210" s="4284">
        <f t="shared" si="146"/>
        <v>0</v>
      </c>
      <c r="BP210" s="4284">
        <f t="shared" si="147"/>
        <v>0</v>
      </c>
      <c r="BQ210" s="4284">
        <f t="shared" si="148"/>
        <v>0</v>
      </c>
      <c r="BR210" s="4284">
        <f t="shared" si="149"/>
        <v>0</v>
      </c>
      <c r="BS210" s="4284">
        <f t="shared" si="150"/>
        <v>0</v>
      </c>
      <c r="BT210" s="4285">
        <f t="shared" si="151"/>
        <v>0</v>
      </c>
    </row>
    <row r="211" spans="1:72">
      <c r="A211" s="4278"/>
      <c r="B211" s="4279"/>
      <c r="C211" s="4279"/>
      <c r="D211" s="4280"/>
      <c r="E211" s="1188">
        <f t="shared" si="123"/>
        <v>0</v>
      </c>
      <c r="F211" s="1680"/>
      <c r="G211" s="4281">
        <f t="shared" si="124"/>
        <v>0</v>
      </c>
      <c r="H211" s="3457">
        <f t="shared" si="125"/>
        <v>0</v>
      </c>
      <c r="I211" s="4282"/>
      <c r="J211" s="4282"/>
      <c r="K211" s="4282"/>
      <c r="L211" s="4282"/>
      <c r="M211" s="4282"/>
      <c r="N211" s="4282"/>
      <c r="O211" s="4282"/>
      <c r="P211" s="4282"/>
      <c r="Q211" s="4282"/>
      <c r="R211" s="4282"/>
      <c r="S211" s="4282"/>
      <c r="T211" s="4282"/>
      <c r="U211" s="4282"/>
      <c r="V211" s="4282"/>
      <c r="W211" s="4282"/>
      <c r="X211" s="4282"/>
      <c r="Y211" s="4282"/>
      <c r="Z211" s="4282"/>
      <c r="AA211" s="4282"/>
      <c r="AB211" s="4282"/>
      <c r="AC211" s="1188">
        <f t="shared" si="126"/>
        <v>0</v>
      </c>
      <c r="AD211" s="4278"/>
      <c r="AE211" s="4278"/>
      <c r="AF211" s="4278"/>
      <c r="AG211" s="4278"/>
      <c r="AH211" s="4278"/>
      <c r="AI211" s="4278"/>
      <c r="AJ211" s="4278"/>
      <c r="AK211" s="4278"/>
      <c r="AL211" s="4278"/>
      <c r="AM211" s="4278"/>
      <c r="AN211" s="4278"/>
      <c r="AO211" s="4278"/>
      <c r="AP211" s="4278"/>
      <c r="AQ211" s="4278"/>
      <c r="AR211" s="4278"/>
      <c r="AS211" s="4278"/>
      <c r="AT211" s="4279"/>
      <c r="AU211" s="4283"/>
      <c r="AV211" s="1188">
        <f t="shared" si="127"/>
        <v>0</v>
      </c>
      <c r="AW211" s="1188">
        <f t="shared" si="128"/>
        <v>0</v>
      </c>
      <c r="AX211" s="1188">
        <f t="shared" si="129"/>
        <v>0</v>
      </c>
      <c r="AY211" s="1452">
        <f t="shared" si="130"/>
        <v>0</v>
      </c>
      <c r="AZ211" s="4284">
        <f t="shared" si="131"/>
        <v>0</v>
      </c>
      <c r="BA211" s="4284">
        <f t="shared" si="132"/>
        <v>0</v>
      </c>
      <c r="BB211" s="4284">
        <f t="shared" si="133"/>
        <v>0</v>
      </c>
      <c r="BC211" s="4284">
        <f t="shared" si="134"/>
        <v>0</v>
      </c>
      <c r="BD211" s="4284">
        <f t="shared" si="135"/>
        <v>0</v>
      </c>
      <c r="BE211" s="4284">
        <f t="shared" si="136"/>
        <v>0</v>
      </c>
      <c r="BF211" s="4284">
        <f t="shared" si="137"/>
        <v>0</v>
      </c>
      <c r="BG211" s="4284">
        <f t="shared" si="138"/>
        <v>0</v>
      </c>
      <c r="BH211" s="4284">
        <f t="shared" si="139"/>
        <v>0</v>
      </c>
      <c r="BI211" s="4284">
        <f t="shared" si="140"/>
        <v>0</v>
      </c>
      <c r="BJ211" s="4284">
        <f t="shared" si="141"/>
        <v>0</v>
      </c>
      <c r="BK211" s="4284">
        <f t="shared" si="142"/>
        <v>0</v>
      </c>
      <c r="BL211" s="4284">
        <f t="shared" si="143"/>
        <v>0</v>
      </c>
      <c r="BM211" s="4284">
        <f t="shared" si="144"/>
        <v>0</v>
      </c>
      <c r="BN211" s="4284">
        <f t="shared" si="145"/>
        <v>0</v>
      </c>
      <c r="BO211" s="4284">
        <f t="shared" si="146"/>
        <v>0</v>
      </c>
      <c r="BP211" s="4284">
        <f t="shared" si="147"/>
        <v>0</v>
      </c>
      <c r="BQ211" s="4284">
        <f t="shared" si="148"/>
        <v>0</v>
      </c>
      <c r="BR211" s="4284">
        <f t="shared" si="149"/>
        <v>0</v>
      </c>
      <c r="BS211" s="4284">
        <f t="shared" si="150"/>
        <v>0</v>
      </c>
      <c r="BT211" s="4285">
        <f t="shared" si="151"/>
        <v>0</v>
      </c>
    </row>
    <row r="212" spans="1:72">
      <c r="A212" s="4278"/>
      <c r="B212" s="4279"/>
      <c r="C212" s="4279"/>
      <c r="D212" s="4280"/>
      <c r="E212" s="1188">
        <f t="shared" si="123"/>
        <v>0</v>
      </c>
      <c r="F212" s="1680"/>
      <c r="G212" s="4281">
        <f t="shared" si="124"/>
        <v>0</v>
      </c>
      <c r="H212" s="3457">
        <f t="shared" si="125"/>
        <v>0</v>
      </c>
      <c r="I212" s="4282"/>
      <c r="J212" s="4282"/>
      <c r="K212" s="4282"/>
      <c r="L212" s="4282"/>
      <c r="M212" s="4282"/>
      <c r="N212" s="4282"/>
      <c r="O212" s="4282"/>
      <c r="P212" s="4282"/>
      <c r="Q212" s="4282"/>
      <c r="R212" s="4282"/>
      <c r="S212" s="4282"/>
      <c r="T212" s="4282"/>
      <c r="U212" s="4282"/>
      <c r="V212" s="4282"/>
      <c r="W212" s="4282"/>
      <c r="X212" s="4282"/>
      <c r="Y212" s="4282"/>
      <c r="Z212" s="4282"/>
      <c r="AA212" s="4282"/>
      <c r="AB212" s="4282"/>
      <c r="AC212" s="1188">
        <f t="shared" si="126"/>
        <v>0</v>
      </c>
      <c r="AD212" s="4278"/>
      <c r="AE212" s="4278"/>
      <c r="AF212" s="4278"/>
      <c r="AG212" s="4278"/>
      <c r="AH212" s="4278"/>
      <c r="AI212" s="4278"/>
      <c r="AJ212" s="4278"/>
      <c r="AK212" s="4278"/>
      <c r="AL212" s="4278"/>
      <c r="AM212" s="4278"/>
      <c r="AN212" s="4278"/>
      <c r="AO212" s="4278"/>
      <c r="AP212" s="4278"/>
      <c r="AQ212" s="4278"/>
      <c r="AR212" s="4278"/>
      <c r="AS212" s="4278"/>
      <c r="AT212" s="4279"/>
      <c r="AU212" s="4283"/>
      <c r="AV212" s="1188">
        <f t="shared" si="127"/>
        <v>0</v>
      </c>
      <c r="AW212" s="1188">
        <f t="shared" si="128"/>
        <v>0</v>
      </c>
      <c r="AX212" s="1188">
        <f t="shared" si="129"/>
        <v>0</v>
      </c>
      <c r="AY212" s="1452">
        <f t="shared" si="130"/>
        <v>0</v>
      </c>
      <c r="AZ212" s="4284">
        <f t="shared" si="131"/>
        <v>0</v>
      </c>
      <c r="BA212" s="4284">
        <f t="shared" si="132"/>
        <v>0</v>
      </c>
      <c r="BB212" s="4284">
        <f t="shared" si="133"/>
        <v>0</v>
      </c>
      <c r="BC212" s="4284">
        <f t="shared" si="134"/>
        <v>0</v>
      </c>
      <c r="BD212" s="4284">
        <f t="shared" si="135"/>
        <v>0</v>
      </c>
      <c r="BE212" s="4284">
        <f t="shared" si="136"/>
        <v>0</v>
      </c>
      <c r="BF212" s="4284">
        <f t="shared" si="137"/>
        <v>0</v>
      </c>
      <c r="BG212" s="4284">
        <f t="shared" si="138"/>
        <v>0</v>
      </c>
      <c r="BH212" s="4284">
        <f t="shared" si="139"/>
        <v>0</v>
      </c>
      <c r="BI212" s="4284">
        <f t="shared" si="140"/>
        <v>0</v>
      </c>
      <c r="BJ212" s="4284">
        <f t="shared" si="141"/>
        <v>0</v>
      </c>
      <c r="BK212" s="4284">
        <f t="shared" si="142"/>
        <v>0</v>
      </c>
      <c r="BL212" s="4284">
        <f t="shared" si="143"/>
        <v>0</v>
      </c>
      <c r="BM212" s="4284">
        <f t="shared" si="144"/>
        <v>0</v>
      </c>
      <c r="BN212" s="4284">
        <f t="shared" si="145"/>
        <v>0</v>
      </c>
      <c r="BO212" s="4284">
        <f t="shared" si="146"/>
        <v>0</v>
      </c>
      <c r="BP212" s="4284">
        <f t="shared" si="147"/>
        <v>0</v>
      </c>
      <c r="BQ212" s="4284">
        <f t="shared" si="148"/>
        <v>0</v>
      </c>
      <c r="BR212" s="4284">
        <f t="shared" si="149"/>
        <v>0</v>
      </c>
      <c r="BS212" s="4284">
        <f t="shared" si="150"/>
        <v>0</v>
      </c>
      <c r="BT212" s="4285">
        <f t="shared" si="151"/>
        <v>0</v>
      </c>
    </row>
    <row r="213" spans="1:72">
      <c r="A213" s="4278"/>
      <c r="B213" s="4279"/>
      <c r="C213" s="4279"/>
      <c r="D213" s="4280"/>
      <c r="E213" s="1188">
        <f t="shared" si="123"/>
        <v>0</v>
      </c>
      <c r="F213" s="1680"/>
      <c r="G213" s="4281">
        <f t="shared" si="124"/>
        <v>0</v>
      </c>
      <c r="H213" s="3457">
        <f t="shared" si="125"/>
        <v>0</v>
      </c>
      <c r="I213" s="4282"/>
      <c r="J213" s="4282"/>
      <c r="K213" s="4282"/>
      <c r="L213" s="4282"/>
      <c r="M213" s="4282"/>
      <c r="N213" s="4282"/>
      <c r="O213" s="4282"/>
      <c r="P213" s="4282"/>
      <c r="Q213" s="4282"/>
      <c r="R213" s="4282"/>
      <c r="S213" s="4282"/>
      <c r="T213" s="4282"/>
      <c r="U213" s="4282"/>
      <c r="V213" s="4282"/>
      <c r="W213" s="4282"/>
      <c r="X213" s="4282"/>
      <c r="Y213" s="4282"/>
      <c r="Z213" s="4282"/>
      <c r="AA213" s="4282"/>
      <c r="AB213" s="4282"/>
      <c r="AC213" s="1188">
        <f t="shared" si="126"/>
        <v>0</v>
      </c>
      <c r="AD213" s="4278"/>
      <c r="AE213" s="4278"/>
      <c r="AF213" s="4278"/>
      <c r="AG213" s="4278"/>
      <c r="AH213" s="4278"/>
      <c r="AI213" s="4278"/>
      <c r="AJ213" s="4278"/>
      <c r="AK213" s="4278"/>
      <c r="AL213" s="4278"/>
      <c r="AM213" s="4278"/>
      <c r="AN213" s="4278"/>
      <c r="AO213" s="4278"/>
      <c r="AP213" s="4278"/>
      <c r="AQ213" s="4278"/>
      <c r="AR213" s="4278"/>
      <c r="AS213" s="4278"/>
      <c r="AT213" s="4279"/>
      <c r="AU213" s="4283"/>
      <c r="AV213" s="1188">
        <f t="shared" si="127"/>
        <v>0</v>
      </c>
      <c r="AW213" s="1188">
        <f t="shared" si="128"/>
        <v>0</v>
      </c>
      <c r="AX213" s="1188">
        <f t="shared" si="129"/>
        <v>0</v>
      </c>
      <c r="AY213" s="1452">
        <f t="shared" si="130"/>
        <v>0</v>
      </c>
      <c r="AZ213" s="4284">
        <f t="shared" si="131"/>
        <v>0</v>
      </c>
      <c r="BA213" s="4284">
        <f t="shared" si="132"/>
        <v>0</v>
      </c>
      <c r="BB213" s="4284">
        <f t="shared" si="133"/>
        <v>0</v>
      </c>
      <c r="BC213" s="4284">
        <f t="shared" si="134"/>
        <v>0</v>
      </c>
      <c r="BD213" s="4284">
        <f t="shared" si="135"/>
        <v>0</v>
      </c>
      <c r="BE213" s="4284">
        <f t="shared" si="136"/>
        <v>0</v>
      </c>
      <c r="BF213" s="4284">
        <f t="shared" si="137"/>
        <v>0</v>
      </c>
      <c r="BG213" s="4284">
        <f t="shared" si="138"/>
        <v>0</v>
      </c>
      <c r="BH213" s="4284">
        <f t="shared" si="139"/>
        <v>0</v>
      </c>
      <c r="BI213" s="4284">
        <f t="shared" si="140"/>
        <v>0</v>
      </c>
      <c r="BJ213" s="4284">
        <f t="shared" si="141"/>
        <v>0</v>
      </c>
      <c r="BK213" s="4284">
        <f t="shared" si="142"/>
        <v>0</v>
      </c>
      <c r="BL213" s="4284">
        <f t="shared" si="143"/>
        <v>0</v>
      </c>
      <c r="BM213" s="4284">
        <f t="shared" si="144"/>
        <v>0</v>
      </c>
      <c r="BN213" s="4284">
        <f t="shared" si="145"/>
        <v>0</v>
      </c>
      <c r="BO213" s="4284">
        <f t="shared" si="146"/>
        <v>0</v>
      </c>
      <c r="BP213" s="4284">
        <f t="shared" si="147"/>
        <v>0</v>
      </c>
      <c r="BQ213" s="4284">
        <f t="shared" si="148"/>
        <v>0</v>
      </c>
      <c r="BR213" s="4284">
        <f t="shared" si="149"/>
        <v>0</v>
      </c>
      <c r="BS213" s="4284">
        <f t="shared" si="150"/>
        <v>0</v>
      </c>
      <c r="BT213" s="4285">
        <f t="shared" si="151"/>
        <v>0</v>
      </c>
    </row>
    <row r="214" spans="1:72">
      <c r="A214" s="4278"/>
      <c r="B214" s="4279"/>
      <c r="C214" s="4279"/>
      <c r="D214" s="4280"/>
      <c r="E214" s="1188">
        <f t="shared" si="123"/>
        <v>0</v>
      </c>
      <c r="F214" s="1680"/>
      <c r="G214" s="4281">
        <f t="shared" si="124"/>
        <v>0</v>
      </c>
      <c r="H214" s="3457">
        <f t="shared" si="125"/>
        <v>0</v>
      </c>
      <c r="I214" s="4282"/>
      <c r="J214" s="4282"/>
      <c r="K214" s="4282"/>
      <c r="L214" s="4282"/>
      <c r="M214" s="4282"/>
      <c r="N214" s="4282"/>
      <c r="O214" s="4282"/>
      <c r="P214" s="4282"/>
      <c r="Q214" s="4282"/>
      <c r="R214" s="4282"/>
      <c r="S214" s="4282"/>
      <c r="T214" s="4282"/>
      <c r="U214" s="4282"/>
      <c r="V214" s="4282"/>
      <c r="W214" s="4282"/>
      <c r="X214" s="4282"/>
      <c r="Y214" s="4282"/>
      <c r="Z214" s="4282"/>
      <c r="AA214" s="4282"/>
      <c r="AB214" s="4282"/>
      <c r="AC214" s="1188">
        <f t="shared" si="126"/>
        <v>0</v>
      </c>
      <c r="AD214" s="4278"/>
      <c r="AE214" s="4278"/>
      <c r="AF214" s="4278"/>
      <c r="AG214" s="4278"/>
      <c r="AH214" s="4278"/>
      <c r="AI214" s="4278"/>
      <c r="AJ214" s="4278"/>
      <c r="AK214" s="4278"/>
      <c r="AL214" s="4278"/>
      <c r="AM214" s="4278"/>
      <c r="AN214" s="4278"/>
      <c r="AO214" s="4278"/>
      <c r="AP214" s="4278"/>
      <c r="AQ214" s="4278"/>
      <c r="AR214" s="4278"/>
      <c r="AS214" s="4278"/>
      <c r="AT214" s="4279"/>
      <c r="AU214" s="4283"/>
      <c r="AV214" s="1188">
        <f t="shared" si="127"/>
        <v>0</v>
      </c>
      <c r="AW214" s="1188">
        <f t="shared" si="128"/>
        <v>0</v>
      </c>
      <c r="AX214" s="1188">
        <f t="shared" si="129"/>
        <v>0</v>
      </c>
      <c r="AY214" s="1452">
        <f t="shared" si="130"/>
        <v>0</v>
      </c>
      <c r="AZ214" s="4284">
        <f t="shared" si="131"/>
        <v>0</v>
      </c>
      <c r="BA214" s="4284">
        <f t="shared" si="132"/>
        <v>0</v>
      </c>
      <c r="BB214" s="4284">
        <f t="shared" si="133"/>
        <v>0</v>
      </c>
      <c r="BC214" s="4284">
        <f t="shared" si="134"/>
        <v>0</v>
      </c>
      <c r="BD214" s="4284">
        <f t="shared" si="135"/>
        <v>0</v>
      </c>
      <c r="BE214" s="4284">
        <f t="shared" si="136"/>
        <v>0</v>
      </c>
      <c r="BF214" s="4284">
        <f t="shared" si="137"/>
        <v>0</v>
      </c>
      <c r="BG214" s="4284">
        <f t="shared" si="138"/>
        <v>0</v>
      </c>
      <c r="BH214" s="4284">
        <f t="shared" si="139"/>
        <v>0</v>
      </c>
      <c r="BI214" s="4284">
        <f t="shared" si="140"/>
        <v>0</v>
      </c>
      <c r="BJ214" s="4284">
        <f t="shared" si="141"/>
        <v>0</v>
      </c>
      <c r="BK214" s="4284">
        <f t="shared" si="142"/>
        <v>0</v>
      </c>
      <c r="BL214" s="4284">
        <f t="shared" si="143"/>
        <v>0</v>
      </c>
      <c r="BM214" s="4284">
        <f t="shared" si="144"/>
        <v>0</v>
      </c>
      <c r="BN214" s="4284">
        <f t="shared" si="145"/>
        <v>0</v>
      </c>
      <c r="BO214" s="4284">
        <f t="shared" si="146"/>
        <v>0</v>
      </c>
      <c r="BP214" s="4284">
        <f t="shared" si="147"/>
        <v>0</v>
      </c>
      <c r="BQ214" s="4284">
        <f t="shared" si="148"/>
        <v>0</v>
      </c>
      <c r="BR214" s="4284">
        <f t="shared" si="149"/>
        <v>0</v>
      </c>
      <c r="BS214" s="4284">
        <f t="shared" si="150"/>
        <v>0</v>
      </c>
      <c r="BT214" s="4285">
        <f t="shared" si="151"/>
        <v>0</v>
      </c>
    </row>
    <row r="215" spans="1:72">
      <c r="A215" s="4278"/>
      <c r="B215" s="4279"/>
      <c r="C215" s="4279"/>
      <c r="D215" s="4280"/>
      <c r="E215" s="1188">
        <f t="shared" si="123"/>
        <v>0</v>
      </c>
      <c r="F215" s="1680"/>
      <c r="G215" s="4281">
        <f t="shared" si="124"/>
        <v>0</v>
      </c>
      <c r="H215" s="3457">
        <f t="shared" si="125"/>
        <v>0</v>
      </c>
      <c r="I215" s="4282"/>
      <c r="J215" s="4282"/>
      <c r="K215" s="4282"/>
      <c r="L215" s="4282"/>
      <c r="M215" s="4282"/>
      <c r="N215" s="4282"/>
      <c r="O215" s="4282"/>
      <c r="P215" s="4282"/>
      <c r="Q215" s="4282"/>
      <c r="R215" s="4282"/>
      <c r="S215" s="4282"/>
      <c r="T215" s="4282"/>
      <c r="U215" s="4282"/>
      <c r="V215" s="4282"/>
      <c r="W215" s="4282"/>
      <c r="X215" s="4282"/>
      <c r="Y215" s="4282"/>
      <c r="Z215" s="4282"/>
      <c r="AA215" s="4282"/>
      <c r="AB215" s="4282"/>
      <c r="AC215" s="1188">
        <f t="shared" si="126"/>
        <v>0</v>
      </c>
      <c r="AD215" s="4278"/>
      <c r="AE215" s="4278"/>
      <c r="AF215" s="4278"/>
      <c r="AG215" s="4278"/>
      <c r="AH215" s="4278"/>
      <c r="AI215" s="4278"/>
      <c r="AJ215" s="4278"/>
      <c r="AK215" s="4278"/>
      <c r="AL215" s="4278"/>
      <c r="AM215" s="4278"/>
      <c r="AN215" s="4278"/>
      <c r="AO215" s="4278"/>
      <c r="AP215" s="4278"/>
      <c r="AQ215" s="4278"/>
      <c r="AR215" s="4278"/>
      <c r="AS215" s="4278"/>
      <c r="AT215" s="4279"/>
      <c r="AU215" s="4283"/>
      <c r="AV215" s="1188">
        <f t="shared" si="127"/>
        <v>0</v>
      </c>
      <c r="AW215" s="1188">
        <f t="shared" si="128"/>
        <v>0</v>
      </c>
      <c r="AX215" s="1188">
        <f t="shared" si="129"/>
        <v>0</v>
      </c>
      <c r="AY215" s="1452">
        <f t="shared" si="130"/>
        <v>0</v>
      </c>
      <c r="AZ215" s="4284">
        <f t="shared" si="131"/>
        <v>0</v>
      </c>
      <c r="BA215" s="4284">
        <f t="shared" si="132"/>
        <v>0</v>
      </c>
      <c r="BB215" s="4284">
        <f t="shared" si="133"/>
        <v>0</v>
      </c>
      <c r="BC215" s="4284">
        <f t="shared" si="134"/>
        <v>0</v>
      </c>
      <c r="BD215" s="4284">
        <f t="shared" si="135"/>
        <v>0</v>
      </c>
      <c r="BE215" s="4284">
        <f t="shared" si="136"/>
        <v>0</v>
      </c>
      <c r="BF215" s="4284">
        <f t="shared" si="137"/>
        <v>0</v>
      </c>
      <c r="BG215" s="4284">
        <f t="shared" si="138"/>
        <v>0</v>
      </c>
      <c r="BH215" s="4284">
        <f t="shared" si="139"/>
        <v>0</v>
      </c>
      <c r="BI215" s="4284">
        <f t="shared" si="140"/>
        <v>0</v>
      </c>
      <c r="BJ215" s="4284">
        <f t="shared" si="141"/>
        <v>0</v>
      </c>
      <c r="BK215" s="4284">
        <f t="shared" si="142"/>
        <v>0</v>
      </c>
      <c r="BL215" s="4284">
        <f t="shared" si="143"/>
        <v>0</v>
      </c>
      <c r="BM215" s="4284">
        <f t="shared" si="144"/>
        <v>0</v>
      </c>
      <c r="BN215" s="4284">
        <f t="shared" si="145"/>
        <v>0</v>
      </c>
      <c r="BO215" s="4284">
        <f t="shared" si="146"/>
        <v>0</v>
      </c>
      <c r="BP215" s="4284">
        <f t="shared" si="147"/>
        <v>0</v>
      </c>
      <c r="BQ215" s="4284">
        <f t="shared" si="148"/>
        <v>0</v>
      </c>
      <c r="BR215" s="4284">
        <f t="shared" si="149"/>
        <v>0</v>
      </c>
      <c r="BS215" s="4284">
        <f t="shared" si="150"/>
        <v>0</v>
      </c>
      <c r="BT215" s="4285">
        <f t="shared" si="151"/>
        <v>0</v>
      </c>
    </row>
    <row r="216" spans="1:72">
      <c r="A216" s="4278"/>
      <c r="B216" s="4279"/>
      <c r="C216" s="4279"/>
      <c r="D216" s="4280"/>
      <c r="E216" s="1188">
        <f t="shared" si="123"/>
        <v>0</v>
      </c>
      <c r="F216" s="1680"/>
      <c r="G216" s="4281">
        <f t="shared" si="124"/>
        <v>0</v>
      </c>
      <c r="H216" s="3457">
        <f t="shared" si="125"/>
        <v>0</v>
      </c>
      <c r="I216" s="4282"/>
      <c r="J216" s="4282"/>
      <c r="K216" s="4282"/>
      <c r="L216" s="4282"/>
      <c r="M216" s="4282"/>
      <c r="N216" s="4282"/>
      <c r="O216" s="4282"/>
      <c r="P216" s="4282"/>
      <c r="Q216" s="4282"/>
      <c r="R216" s="4282"/>
      <c r="S216" s="4282"/>
      <c r="T216" s="4282"/>
      <c r="U216" s="4282"/>
      <c r="V216" s="4282"/>
      <c r="W216" s="4282"/>
      <c r="X216" s="4282"/>
      <c r="Y216" s="4282"/>
      <c r="Z216" s="4282"/>
      <c r="AA216" s="4282"/>
      <c r="AB216" s="4282"/>
      <c r="AC216" s="1188">
        <f t="shared" si="126"/>
        <v>0</v>
      </c>
      <c r="AD216" s="4278"/>
      <c r="AE216" s="4278"/>
      <c r="AF216" s="4278"/>
      <c r="AG216" s="4278"/>
      <c r="AH216" s="4278"/>
      <c r="AI216" s="4278"/>
      <c r="AJ216" s="4278"/>
      <c r="AK216" s="4278"/>
      <c r="AL216" s="4278"/>
      <c r="AM216" s="4278"/>
      <c r="AN216" s="4278"/>
      <c r="AO216" s="4278"/>
      <c r="AP216" s="4278"/>
      <c r="AQ216" s="4278"/>
      <c r="AR216" s="4278"/>
      <c r="AS216" s="4278"/>
      <c r="AT216" s="4279"/>
      <c r="AU216" s="4283"/>
      <c r="AV216" s="1188">
        <f t="shared" si="127"/>
        <v>0</v>
      </c>
      <c r="AW216" s="1188">
        <f t="shared" si="128"/>
        <v>0</v>
      </c>
      <c r="AX216" s="1188">
        <f t="shared" si="129"/>
        <v>0</v>
      </c>
      <c r="AY216" s="1452">
        <f t="shared" si="130"/>
        <v>0</v>
      </c>
      <c r="AZ216" s="4284">
        <f t="shared" si="131"/>
        <v>0</v>
      </c>
      <c r="BA216" s="4284">
        <f t="shared" si="132"/>
        <v>0</v>
      </c>
      <c r="BB216" s="4284">
        <f t="shared" si="133"/>
        <v>0</v>
      </c>
      <c r="BC216" s="4284">
        <f t="shared" si="134"/>
        <v>0</v>
      </c>
      <c r="BD216" s="4284">
        <f t="shared" si="135"/>
        <v>0</v>
      </c>
      <c r="BE216" s="4284">
        <f t="shared" si="136"/>
        <v>0</v>
      </c>
      <c r="BF216" s="4284">
        <f t="shared" si="137"/>
        <v>0</v>
      </c>
      <c r="BG216" s="4284">
        <f t="shared" si="138"/>
        <v>0</v>
      </c>
      <c r="BH216" s="4284">
        <f t="shared" si="139"/>
        <v>0</v>
      </c>
      <c r="BI216" s="4284">
        <f t="shared" si="140"/>
        <v>0</v>
      </c>
      <c r="BJ216" s="4284">
        <f t="shared" si="141"/>
        <v>0</v>
      </c>
      <c r="BK216" s="4284">
        <f t="shared" si="142"/>
        <v>0</v>
      </c>
      <c r="BL216" s="4284">
        <f t="shared" si="143"/>
        <v>0</v>
      </c>
      <c r="BM216" s="4284">
        <f t="shared" si="144"/>
        <v>0</v>
      </c>
      <c r="BN216" s="4284">
        <f t="shared" si="145"/>
        <v>0</v>
      </c>
      <c r="BO216" s="4284">
        <f t="shared" si="146"/>
        <v>0</v>
      </c>
      <c r="BP216" s="4284">
        <f t="shared" si="147"/>
        <v>0</v>
      </c>
      <c r="BQ216" s="4284">
        <f t="shared" si="148"/>
        <v>0</v>
      </c>
      <c r="BR216" s="4284">
        <f t="shared" si="149"/>
        <v>0</v>
      </c>
      <c r="BS216" s="4284">
        <f t="shared" si="150"/>
        <v>0</v>
      </c>
      <c r="BT216" s="4285">
        <f t="shared" si="151"/>
        <v>0</v>
      </c>
    </row>
    <row r="217" spans="1:72">
      <c r="A217" s="4278"/>
      <c r="B217" s="4279"/>
      <c r="C217" s="4279"/>
      <c r="D217" s="4280"/>
      <c r="E217" s="1188">
        <f t="shared" si="123"/>
        <v>0</v>
      </c>
      <c r="F217" s="1680"/>
      <c r="G217" s="4281">
        <f t="shared" si="124"/>
        <v>0</v>
      </c>
      <c r="H217" s="3457">
        <f t="shared" si="125"/>
        <v>0</v>
      </c>
      <c r="I217" s="4282"/>
      <c r="J217" s="4282"/>
      <c r="K217" s="4282"/>
      <c r="L217" s="4282"/>
      <c r="M217" s="4282"/>
      <c r="N217" s="4282"/>
      <c r="O217" s="4282"/>
      <c r="P217" s="4282"/>
      <c r="Q217" s="4282"/>
      <c r="R217" s="4282"/>
      <c r="S217" s="4282"/>
      <c r="T217" s="4282"/>
      <c r="U217" s="4282"/>
      <c r="V217" s="4282"/>
      <c r="W217" s="4282"/>
      <c r="X217" s="4282"/>
      <c r="Y217" s="4282"/>
      <c r="Z217" s="4282"/>
      <c r="AA217" s="4282"/>
      <c r="AB217" s="4282"/>
      <c r="AC217" s="1188">
        <f t="shared" si="126"/>
        <v>0</v>
      </c>
      <c r="AD217" s="4278"/>
      <c r="AE217" s="4278"/>
      <c r="AF217" s="4278"/>
      <c r="AG217" s="4278"/>
      <c r="AH217" s="4278"/>
      <c r="AI217" s="4278"/>
      <c r="AJ217" s="4278"/>
      <c r="AK217" s="4278"/>
      <c r="AL217" s="4278"/>
      <c r="AM217" s="4278"/>
      <c r="AN217" s="4278"/>
      <c r="AO217" s="4278"/>
      <c r="AP217" s="4278"/>
      <c r="AQ217" s="4278"/>
      <c r="AR217" s="4278"/>
      <c r="AS217" s="4278"/>
      <c r="AT217" s="4279"/>
      <c r="AU217" s="4283"/>
      <c r="AV217" s="1188">
        <f t="shared" si="127"/>
        <v>0</v>
      </c>
      <c r="AW217" s="1188">
        <f t="shared" si="128"/>
        <v>0</v>
      </c>
      <c r="AX217" s="1188">
        <f t="shared" si="129"/>
        <v>0</v>
      </c>
      <c r="AY217" s="1452">
        <f t="shared" si="130"/>
        <v>0</v>
      </c>
      <c r="AZ217" s="4284">
        <f t="shared" si="131"/>
        <v>0</v>
      </c>
      <c r="BA217" s="4284">
        <f t="shared" si="132"/>
        <v>0</v>
      </c>
      <c r="BB217" s="4284">
        <f t="shared" si="133"/>
        <v>0</v>
      </c>
      <c r="BC217" s="4284">
        <f t="shared" si="134"/>
        <v>0</v>
      </c>
      <c r="BD217" s="4284">
        <f t="shared" si="135"/>
        <v>0</v>
      </c>
      <c r="BE217" s="4284">
        <f t="shared" si="136"/>
        <v>0</v>
      </c>
      <c r="BF217" s="4284">
        <f t="shared" si="137"/>
        <v>0</v>
      </c>
      <c r="BG217" s="4284">
        <f t="shared" si="138"/>
        <v>0</v>
      </c>
      <c r="BH217" s="4284">
        <f t="shared" si="139"/>
        <v>0</v>
      </c>
      <c r="BI217" s="4284">
        <f t="shared" si="140"/>
        <v>0</v>
      </c>
      <c r="BJ217" s="4284">
        <f t="shared" si="141"/>
        <v>0</v>
      </c>
      <c r="BK217" s="4284">
        <f t="shared" si="142"/>
        <v>0</v>
      </c>
      <c r="BL217" s="4284">
        <f t="shared" si="143"/>
        <v>0</v>
      </c>
      <c r="BM217" s="4284">
        <f t="shared" si="144"/>
        <v>0</v>
      </c>
      <c r="BN217" s="4284">
        <f t="shared" si="145"/>
        <v>0</v>
      </c>
      <c r="BO217" s="4284">
        <f t="shared" si="146"/>
        <v>0</v>
      </c>
      <c r="BP217" s="4284">
        <f t="shared" si="147"/>
        <v>0</v>
      </c>
      <c r="BQ217" s="4284">
        <f t="shared" si="148"/>
        <v>0</v>
      </c>
      <c r="BR217" s="4284">
        <f t="shared" si="149"/>
        <v>0</v>
      </c>
      <c r="BS217" s="4284">
        <f t="shared" si="150"/>
        <v>0</v>
      </c>
      <c r="BT217" s="4285">
        <f t="shared" si="151"/>
        <v>0</v>
      </c>
    </row>
    <row r="218" spans="1:72">
      <c r="A218" s="4278"/>
      <c r="B218" s="4279"/>
      <c r="C218" s="4279"/>
      <c r="D218" s="4280"/>
      <c r="E218" s="1188">
        <f t="shared" si="123"/>
        <v>0</v>
      </c>
      <c r="F218" s="1680"/>
      <c r="G218" s="4281">
        <f t="shared" si="124"/>
        <v>0</v>
      </c>
      <c r="H218" s="3457">
        <f t="shared" si="125"/>
        <v>0</v>
      </c>
      <c r="I218" s="4282"/>
      <c r="J218" s="4282"/>
      <c r="K218" s="4282"/>
      <c r="L218" s="4282"/>
      <c r="M218" s="4282"/>
      <c r="N218" s="4282"/>
      <c r="O218" s="4282"/>
      <c r="P218" s="4282"/>
      <c r="Q218" s="4282"/>
      <c r="R218" s="4282"/>
      <c r="S218" s="4282"/>
      <c r="T218" s="4282"/>
      <c r="U218" s="4282"/>
      <c r="V218" s="4282"/>
      <c r="W218" s="4282"/>
      <c r="X218" s="4282"/>
      <c r="Y218" s="4282"/>
      <c r="Z218" s="4282"/>
      <c r="AA218" s="4282"/>
      <c r="AB218" s="4282"/>
      <c r="AC218" s="1188">
        <f t="shared" si="126"/>
        <v>0</v>
      </c>
      <c r="AD218" s="4278"/>
      <c r="AE218" s="4278"/>
      <c r="AF218" s="4278"/>
      <c r="AG218" s="4278"/>
      <c r="AH218" s="4278"/>
      <c r="AI218" s="4278"/>
      <c r="AJ218" s="4278"/>
      <c r="AK218" s="4278"/>
      <c r="AL218" s="4278"/>
      <c r="AM218" s="4278"/>
      <c r="AN218" s="4278"/>
      <c r="AO218" s="4278"/>
      <c r="AP218" s="4278"/>
      <c r="AQ218" s="4278"/>
      <c r="AR218" s="4278"/>
      <c r="AS218" s="4278"/>
      <c r="AT218" s="4279"/>
      <c r="AU218" s="4283"/>
      <c r="AV218" s="1188">
        <f t="shared" si="127"/>
        <v>0</v>
      </c>
      <c r="AW218" s="1188">
        <f t="shared" si="128"/>
        <v>0</v>
      </c>
      <c r="AX218" s="1188">
        <f t="shared" si="129"/>
        <v>0</v>
      </c>
      <c r="AY218" s="1452">
        <f t="shared" si="130"/>
        <v>0</v>
      </c>
      <c r="AZ218" s="4284">
        <f t="shared" si="131"/>
        <v>0</v>
      </c>
      <c r="BA218" s="4284">
        <f t="shared" si="132"/>
        <v>0</v>
      </c>
      <c r="BB218" s="4284">
        <f t="shared" si="133"/>
        <v>0</v>
      </c>
      <c r="BC218" s="4284">
        <f t="shared" si="134"/>
        <v>0</v>
      </c>
      <c r="BD218" s="4284">
        <f t="shared" si="135"/>
        <v>0</v>
      </c>
      <c r="BE218" s="4284">
        <f t="shared" si="136"/>
        <v>0</v>
      </c>
      <c r="BF218" s="4284">
        <f t="shared" si="137"/>
        <v>0</v>
      </c>
      <c r="BG218" s="4284">
        <f t="shared" si="138"/>
        <v>0</v>
      </c>
      <c r="BH218" s="4284">
        <f t="shared" si="139"/>
        <v>0</v>
      </c>
      <c r="BI218" s="4284">
        <f t="shared" si="140"/>
        <v>0</v>
      </c>
      <c r="BJ218" s="4284">
        <f t="shared" si="141"/>
        <v>0</v>
      </c>
      <c r="BK218" s="4284">
        <f t="shared" si="142"/>
        <v>0</v>
      </c>
      <c r="BL218" s="4284">
        <f t="shared" si="143"/>
        <v>0</v>
      </c>
      <c r="BM218" s="4284">
        <f t="shared" si="144"/>
        <v>0</v>
      </c>
      <c r="BN218" s="4284">
        <f t="shared" si="145"/>
        <v>0</v>
      </c>
      <c r="BO218" s="4284">
        <f t="shared" si="146"/>
        <v>0</v>
      </c>
      <c r="BP218" s="4284">
        <f t="shared" si="147"/>
        <v>0</v>
      </c>
      <c r="BQ218" s="4284">
        <f t="shared" si="148"/>
        <v>0</v>
      </c>
      <c r="BR218" s="4284">
        <f t="shared" si="149"/>
        <v>0</v>
      </c>
      <c r="BS218" s="4284">
        <f t="shared" si="150"/>
        <v>0</v>
      </c>
      <c r="BT218" s="4285">
        <f t="shared" si="151"/>
        <v>0</v>
      </c>
    </row>
    <row r="219" spans="1:72">
      <c r="A219" s="4278"/>
      <c r="B219" s="4279"/>
      <c r="C219" s="4279"/>
      <c r="D219" s="4280"/>
      <c r="E219" s="1188">
        <f t="shared" si="123"/>
        <v>0</v>
      </c>
      <c r="F219" s="1680"/>
      <c r="G219" s="4281">
        <f t="shared" si="124"/>
        <v>0</v>
      </c>
      <c r="H219" s="3457">
        <f t="shared" si="125"/>
        <v>0</v>
      </c>
      <c r="I219" s="4282"/>
      <c r="J219" s="4282"/>
      <c r="K219" s="4282"/>
      <c r="L219" s="4282"/>
      <c r="M219" s="4282"/>
      <c r="N219" s="4282"/>
      <c r="O219" s="4282"/>
      <c r="P219" s="4282"/>
      <c r="Q219" s="4282"/>
      <c r="R219" s="4282"/>
      <c r="S219" s="4282"/>
      <c r="T219" s="4282"/>
      <c r="U219" s="4282"/>
      <c r="V219" s="4282"/>
      <c r="W219" s="4282"/>
      <c r="X219" s="4282"/>
      <c r="Y219" s="4282"/>
      <c r="Z219" s="4282"/>
      <c r="AA219" s="4282"/>
      <c r="AB219" s="4282"/>
      <c r="AC219" s="1188">
        <f t="shared" si="126"/>
        <v>0</v>
      </c>
      <c r="AD219" s="4278"/>
      <c r="AE219" s="4278"/>
      <c r="AF219" s="4278"/>
      <c r="AG219" s="4278"/>
      <c r="AH219" s="4278"/>
      <c r="AI219" s="4278"/>
      <c r="AJ219" s="4278"/>
      <c r="AK219" s="4278"/>
      <c r="AL219" s="4278"/>
      <c r="AM219" s="4278"/>
      <c r="AN219" s="4278"/>
      <c r="AO219" s="4278"/>
      <c r="AP219" s="4278"/>
      <c r="AQ219" s="4278"/>
      <c r="AR219" s="4278"/>
      <c r="AS219" s="4278"/>
      <c r="AT219" s="4279"/>
      <c r="AU219" s="4283"/>
      <c r="AV219" s="1188">
        <f t="shared" si="127"/>
        <v>0</v>
      </c>
      <c r="AW219" s="1188">
        <f t="shared" si="128"/>
        <v>0</v>
      </c>
      <c r="AX219" s="1188">
        <f t="shared" si="129"/>
        <v>0</v>
      </c>
      <c r="AY219" s="1452">
        <f t="shared" si="130"/>
        <v>0</v>
      </c>
      <c r="AZ219" s="4284">
        <f t="shared" si="131"/>
        <v>0</v>
      </c>
      <c r="BA219" s="4284">
        <f t="shared" si="132"/>
        <v>0</v>
      </c>
      <c r="BB219" s="4284">
        <f t="shared" si="133"/>
        <v>0</v>
      </c>
      <c r="BC219" s="4284">
        <f t="shared" si="134"/>
        <v>0</v>
      </c>
      <c r="BD219" s="4284">
        <f t="shared" si="135"/>
        <v>0</v>
      </c>
      <c r="BE219" s="4284">
        <f t="shared" si="136"/>
        <v>0</v>
      </c>
      <c r="BF219" s="4284">
        <f t="shared" si="137"/>
        <v>0</v>
      </c>
      <c r="BG219" s="4284">
        <f t="shared" si="138"/>
        <v>0</v>
      </c>
      <c r="BH219" s="4284">
        <f t="shared" si="139"/>
        <v>0</v>
      </c>
      <c r="BI219" s="4284">
        <f t="shared" si="140"/>
        <v>0</v>
      </c>
      <c r="BJ219" s="4284">
        <f t="shared" si="141"/>
        <v>0</v>
      </c>
      <c r="BK219" s="4284">
        <f t="shared" si="142"/>
        <v>0</v>
      </c>
      <c r="BL219" s="4284">
        <f t="shared" si="143"/>
        <v>0</v>
      </c>
      <c r="BM219" s="4284">
        <f t="shared" si="144"/>
        <v>0</v>
      </c>
      <c r="BN219" s="4284">
        <f t="shared" si="145"/>
        <v>0</v>
      </c>
      <c r="BO219" s="4284">
        <f t="shared" si="146"/>
        <v>0</v>
      </c>
      <c r="BP219" s="4284">
        <f t="shared" si="147"/>
        <v>0</v>
      </c>
      <c r="BQ219" s="4284">
        <f t="shared" si="148"/>
        <v>0</v>
      </c>
      <c r="BR219" s="4284">
        <f t="shared" si="149"/>
        <v>0</v>
      </c>
      <c r="BS219" s="4284">
        <f t="shared" si="150"/>
        <v>0</v>
      </c>
      <c r="BT219" s="4285">
        <f t="shared" si="151"/>
        <v>0</v>
      </c>
    </row>
    <row r="220" spans="1:72">
      <c r="A220" s="4278"/>
      <c r="B220" s="4279"/>
      <c r="C220" s="4279"/>
      <c r="D220" s="4280"/>
      <c r="E220" s="1188">
        <f t="shared" si="123"/>
        <v>0</v>
      </c>
      <c r="F220" s="1680"/>
      <c r="G220" s="4281">
        <f t="shared" si="124"/>
        <v>0</v>
      </c>
      <c r="H220" s="3457">
        <f t="shared" si="125"/>
        <v>0</v>
      </c>
      <c r="I220" s="4282"/>
      <c r="J220" s="4282"/>
      <c r="K220" s="4282"/>
      <c r="L220" s="4282"/>
      <c r="M220" s="4282"/>
      <c r="N220" s="4282"/>
      <c r="O220" s="4282"/>
      <c r="P220" s="4282"/>
      <c r="Q220" s="4282"/>
      <c r="R220" s="4282"/>
      <c r="S220" s="4282"/>
      <c r="T220" s="4282"/>
      <c r="U220" s="4282"/>
      <c r="V220" s="4282"/>
      <c r="W220" s="4282"/>
      <c r="X220" s="4282"/>
      <c r="Y220" s="4282"/>
      <c r="Z220" s="4282"/>
      <c r="AA220" s="4282"/>
      <c r="AB220" s="4282"/>
      <c r="AC220" s="1188">
        <f t="shared" si="126"/>
        <v>0</v>
      </c>
      <c r="AD220" s="4278"/>
      <c r="AE220" s="4278"/>
      <c r="AF220" s="4278"/>
      <c r="AG220" s="4278"/>
      <c r="AH220" s="4278"/>
      <c r="AI220" s="4278"/>
      <c r="AJ220" s="4278"/>
      <c r="AK220" s="4278"/>
      <c r="AL220" s="4278"/>
      <c r="AM220" s="4278"/>
      <c r="AN220" s="4278"/>
      <c r="AO220" s="4278"/>
      <c r="AP220" s="4278"/>
      <c r="AQ220" s="4278"/>
      <c r="AR220" s="4278"/>
      <c r="AS220" s="4278"/>
      <c r="AT220" s="4279"/>
      <c r="AU220" s="4283"/>
      <c r="AV220" s="1188">
        <f t="shared" si="127"/>
        <v>0</v>
      </c>
      <c r="AW220" s="1188">
        <f t="shared" si="128"/>
        <v>0</v>
      </c>
      <c r="AX220" s="1188">
        <f t="shared" si="129"/>
        <v>0</v>
      </c>
      <c r="AY220" s="1452">
        <f t="shared" si="130"/>
        <v>0</v>
      </c>
      <c r="AZ220" s="4284">
        <f t="shared" si="131"/>
        <v>0</v>
      </c>
      <c r="BA220" s="4284">
        <f t="shared" si="132"/>
        <v>0</v>
      </c>
      <c r="BB220" s="4284">
        <f t="shared" si="133"/>
        <v>0</v>
      </c>
      <c r="BC220" s="4284">
        <f t="shared" si="134"/>
        <v>0</v>
      </c>
      <c r="BD220" s="4284">
        <f t="shared" si="135"/>
        <v>0</v>
      </c>
      <c r="BE220" s="4284">
        <f t="shared" si="136"/>
        <v>0</v>
      </c>
      <c r="BF220" s="4284">
        <f t="shared" si="137"/>
        <v>0</v>
      </c>
      <c r="BG220" s="4284">
        <f t="shared" si="138"/>
        <v>0</v>
      </c>
      <c r="BH220" s="4284">
        <f t="shared" si="139"/>
        <v>0</v>
      </c>
      <c r="BI220" s="4284">
        <f t="shared" si="140"/>
        <v>0</v>
      </c>
      <c r="BJ220" s="4284">
        <f t="shared" si="141"/>
        <v>0</v>
      </c>
      <c r="BK220" s="4284">
        <f t="shared" si="142"/>
        <v>0</v>
      </c>
      <c r="BL220" s="4284">
        <f t="shared" si="143"/>
        <v>0</v>
      </c>
      <c r="BM220" s="4284">
        <f t="shared" si="144"/>
        <v>0</v>
      </c>
      <c r="BN220" s="4284">
        <f t="shared" si="145"/>
        <v>0</v>
      </c>
      <c r="BO220" s="4284">
        <f t="shared" si="146"/>
        <v>0</v>
      </c>
      <c r="BP220" s="4284">
        <f t="shared" si="147"/>
        <v>0</v>
      </c>
      <c r="BQ220" s="4284">
        <f t="shared" si="148"/>
        <v>0</v>
      </c>
      <c r="BR220" s="4284">
        <f t="shared" si="149"/>
        <v>0</v>
      </c>
      <c r="BS220" s="4284">
        <f t="shared" si="150"/>
        <v>0</v>
      </c>
      <c r="BT220" s="4285">
        <f t="shared" si="151"/>
        <v>0</v>
      </c>
    </row>
    <row r="221" spans="1:72">
      <c r="A221" s="4278"/>
      <c r="B221" s="4279"/>
      <c r="C221" s="4279"/>
      <c r="D221" s="4280"/>
      <c r="E221" s="1188">
        <f t="shared" si="123"/>
        <v>0</v>
      </c>
      <c r="F221" s="1680"/>
      <c r="G221" s="4281">
        <f t="shared" si="124"/>
        <v>0</v>
      </c>
      <c r="H221" s="3457">
        <f t="shared" si="125"/>
        <v>0</v>
      </c>
      <c r="I221" s="4282"/>
      <c r="J221" s="4282"/>
      <c r="K221" s="4282"/>
      <c r="L221" s="4282"/>
      <c r="M221" s="4282"/>
      <c r="N221" s="4282"/>
      <c r="O221" s="4282"/>
      <c r="P221" s="4282"/>
      <c r="Q221" s="4282"/>
      <c r="R221" s="4282"/>
      <c r="S221" s="4282"/>
      <c r="T221" s="4282"/>
      <c r="U221" s="4282"/>
      <c r="V221" s="4282"/>
      <c r="W221" s="4282"/>
      <c r="X221" s="4282"/>
      <c r="Y221" s="4282"/>
      <c r="Z221" s="4282"/>
      <c r="AA221" s="4282"/>
      <c r="AB221" s="4282"/>
      <c r="AC221" s="1188">
        <f t="shared" si="126"/>
        <v>0</v>
      </c>
      <c r="AD221" s="4278"/>
      <c r="AE221" s="4278"/>
      <c r="AF221" s="4278"/>
      <c r="AG221" s="4278"/>
      <c r="AH221" s="4278"/>
      <c r="AI221" s="4278"/>
      <c r="AJ221" s="4278"/>
      <c r="AK221" s="4278"/>
      <c r="AL221" s="4278"/>
      <c r="AM221" s="4278"/>
      <c r="AN221" s="4278"/>
      <c r="AO221" s="4278"/>
      <c r="AP221" s="4278"/>
      <c r="AQ221" s="4278"/>
      <c r="AR221" s="4278"/>
      <c r="AS221" s="4278"/>
      <c r="AT221" s="4279"/>
      <c r="AU221" s="4283"/>
      <c r="AV221" s="1188">
        <f t="shared" si="127"/>
        <v>0</v>
      </c>
      <c r="AW221" s="1188">
        <f t="shared" si="128"/>
        <v>0</v>
      </c>
      <c r="AX221" s="1188">
        <f t="shared" si="129"/>
        <v>0</v>
      </c>
      <c r="AY221" s="1452">
        <f t="shared" si="130"/>
        <v>0</v>
      </c>
      <c r="AZ221" s="4284">
        <f t="shared" si="131"/>
        <v>0</v>
      </c>
      <c r="BA221" s="4284">
        <f t="shared" si="132"/>
        <v>0</v>
      </c>
      <c r="BB221" s="4284">
        <f t="shared" si="133"/>
        <v>0</v>
      </c>
      <c r="BC221" s="4284">
        <f t="shared" si="134"/>
        <v>0</v>
      </c>
      <c r="BD221" s="4284">
        <f t="shared" si="135"/>
        <v>0</v>
      </c>
      <c r="BE221" s="4284">
        <f t="shared" si="136"/>
        <v>0</v>
      </c>
      <c r="BF221" s="4284">
        <f t="shared" si="137"/>
        <v>0</v>
      </c>
      <c r="BG221" s="4284">
        <f t="shared" si="138"/>
        <v>0</v>
      </c>
      <c r="BH221" s="4284">
        <f t="shared" si="139"/>
        <v>0</v>
      </c>
      <c r="BI221" s="4284">
        <f t="shared" si="140"/>
        <v>0</v>
      </c>
      <c r="BJ221" s="4284">
        <f t="shared" si="141"/>
        <v>0</v>
      </c>
      <c r="BK221" s="4284">
        <f t="shared" si="142"/>
        <v>0</v>
      </c>
      <c r="BL221" s="4284">
        <f t="shared" si="143"/>
        <v>0</v>
      </c>
      <c r="BM221" s="4284">
        <f t="shared" si="144"/>
        <v>0</v>
      </c>
      <c r="BN221" s="4284">
        <f t="shared" si="145"/>
        <v>0</v>
      </c>
      <c r="BO221" s="4284">
        <f t="shared" si="146"/>
        <v>0</v>
      </c>
      <c r="BP221" s="4284">
        <f t="shared" si="147"/>
        <v>0</v>
      </c>
      <c r="BQ221" s="4284">
        <f t="shared" si="148"/>
        <v>0</v>
      </c>
      <c r="BR221" s="4284">
        <f t="shared" si="149"/>
        <v>0</v>
      </c>
      <c r="BS221" s="4284">
        <f t="shared" si="150"/>
        <v>0</v>
      </c>
      <c r="BT221" s="4285">
        <f t="shared" si="151"/>
        <v>0</v>
      </c>
    </row>
    <row r="222" spans="1:72">
      <c r="A222" s="4278"/>
      <c r="B222" s="4279"/>
      <c r="C222" s="4279"/>
      <c r="D222" s="4280"/>
      <c r="E222" s="1188">
        <f t="shared" si="123"/>
        <v>0</v>
      </c>
      <c r="F222" s="1680"/>
      <c r="G222" s="4281">
        <f t="shared" si="124"/>
        <v>0</v>
      </c>
      <c r="H222" s="3457">
        <f t="shared" si="125"/>
        <v>0</v>
      </c>
      <c r="I222" s="4282"/>
      <c r="J222" s="4282"/>
      <c r="K222" s="4282"/>
      <c r="L222" s="4282"/>
      <c r="M222" s="4282"/>
      <c r="N222" s="4282"/>
      <c r="O222" s="4282"/>
      <c r="P222" s="4282"/>
      <c r="Q222" s="4282"/>
      <c r="R222" s="4282"/>
      <c r="S222" s="4282"/>
      <c r="T222" s="4282"/>
      <c r="U222" s="4282"/>
      <c r="V222" s="4282"/>
      <c r="W222" s="4282"/>
      <c r="X222" s="4282"/>
      <c r="Y222" s="4282"/>
      <c r="Z222" s="4282"/>
      <c r="AA222" s="4282"/>
      <c r="AB222" s="4282"/>
      <c r="AC222" s="1188">
        <f t="shared" si="126"/>
        <v>0</v>
      </c>
      <c r="AD222" s="4278"/>
      <c r="AE222" s="4278"/>
      <c r="AF222" s="4278"/>
      <c r="AG222" s="4278"/>
      <c r="AH222" s="4278"/>
      <c r="AI222" s="4278"/>
      <c r="AJ222" s="4278"/>
      <c r="AK222" s="4278"/>
      <c r="AL222" s="4278"/>
      <c r="AM222" s="4278"/>
      <c r="AN222" s="4278"/>
      <c r="AO222" s="4278"/>
      <c r="AP222" s="4278"/>
      <c r="AQ222" s="4278"/>
      <c r="AR222" s="4278"/>
      <c r="AS222" s="4278"/>
      <c r="AT222" s="4279"/>
      <c r="AU222" s="4283"/>
      <c r="AV222" s="1188">
        <f t="shared" si="127"/>
        <v>0</v>
      </c>
      <c r="AW222" s="1188">
        <f t="shared" si="128"/>
        <v>0</v>
      </c>
      <c r="AX222" s="1188">
        <f t="shared" si="129"/>
        <v>0</v>
      </c>
      <c r="AY222" s="1452">
        <f t="shared" si="130"/>
        <v>0</v>
      </c>
      <c r="AZ222" s="4284">
        <f t="shared" si="131"/>
        <v>0</v>
      </c>
      <c r="BA222" s="4284">
        <f t="shared" si="132"/>
        <v>0</v>
      </c>
      <c r="BB222" s="4284">
        <f t="shared" si="133"/>
        <v>0</v>
      </c>
      <c r="BC222" s="4284">
        <f t="shared" si="134"/>
        <v>0</v>
      </c>
      <c r="BD222" s="4284">
        <f t="shared" si="135"/>
        <v>0</v>
      </c>
      <c r="BE222" s="4284">
        <f t="shared" si="136"/>
        <v>0</v>
      </c>
      <c r="BF222" s="4284">
        <f t="shared" si="137"/>
        <v>0</v>
      </c>
      <c r="BG222" s="4284">
        <f t="shared" si="138"/>
        <v>0</v>
      </c>
      <c r="BH222" s="4284">
        <f t="shared" si="139"/>
        <v>0</v>
      </c>
      <c r="BI222" s="4284">
        <f t="shared" si="140"/>
        <v>0</v>
      </c>
      <c r="BJ222" s="4284">
        <f t="shared" si="141"/>
        <v>0</v>
      </c>
      <c r="BK222" s="4284">
        <f t="shared" si="142"/>
        <v>0</v>
      </c>
      <c r="BL222" s="4284">
        <f t="shared" si="143"/>
        <v>0</v>
      </c>
      <c r="BM222" s="4284">
        <f t="shared" si="144"/>
        <v>0</v>
      </c>
      <c r="BN222" s="4284">
        <f t="shared" si="145"/>
        <v>0</v>
      </c>
      <c r="BO222" s="4284">
        <f t="shared" si="146"/>
        <v>0</v>
      </c>
      <c r="BP222" s="4284">
        <f t="shared" si="147"/>
        <v>0</v>
      </c>
      <c r="BQ222" s="4284">
        <f t="shared" si="148"/>
        <v>0</v>
      </c>
      <c r="BR222" s="4284">
        <f t="shared" si="149"/>
        <v>0</v>
      </c>
      <c r="BS222" s="4284">
        <f t="shared" si="150"/>
        <v>0</v>
      </c>
      <c r="BT222" s="4285">
        <f t="shared" si="151"/>
        <v>0</v>
      </c>
    </row>
    <row r="223" spans="1:72">
      <c r="A223" s="4278"/>
      <c r="B223" s="4279"/>
      <c r="C223" s="4279"/>
      <c r="D223" s="4280"/>
      <c r="E223" s="1188">
        <f t="shared" si="123"/>
        <v>0</v>
      </c>
      <c r="F223" s="1680"/>
      <c r="G223" s="4281">
        <f t="shared" si="124"/>
        <v>0</v>
      </c>
      <c r="H223" s="3457">
        <f t="shared" si="125"/>
        <v>0</v>
      </c>
      <c r="I223" s="4282"/>
      <c r="J223" s="4282"/>
      <c r="K223" s="4282"/>
      <c r="L223" s="4282"/>
      <c r="M223" s="4282"/>
      <c r="N223" s="4282"/>
      <c r="O223" s="4282"/>
      <c r="P223" s="4282"/>
      <c r="Q223" s="4282"/>
      <c r="R223" s="4282"/>
      <c r="S223" s="4282"/>
      <c r="T223" s="4282"/>
      <c r="U223" s="4282"/>
      <c r="V223" s="4282"/>
      <c r="W223" s="4282"/>
      <c r="X223" s="4282"/>
      <c r="Y223" s="4282"/>
      <c r="Z223" s="4282"/>
      <c r="AA223" s="4282"/>
      <c r="AB223" s="4282"/>
      <c r="AC223" s="1188">
        <f t="shared" si="126"/>
        <v>0</v>
      </c>
      <c r="AD223" s="4278"/>
      <c r="AE223" s="4278"/>
      <c r="AF223" s="4278"/>
      <c r="AG223" s="4278"/>
      <c r="AH223" s="4278"/>
      <c r="AI223" s="4278"/>
      <c r="AJ223" s="4278"/>
      <c r="AK223" s="4278"/>
      <c r="AL223" s="4278"/>
      <c r="AM223" s="4278"/>
      <c r="AN223" s="4278"/>
      <c r="AO223" s="4278"/>
      <c r="AP223" s="4278"/>
      <c r="AQ223" s="4278"/>
      <c r="AR223" s="4278"/>
      <c r="AS223" s="4278"/>
      <c r="AT223" s="4279"/>
      <c r="AU223" s="4283"/>
      <c r="AV223" s="1188">
        <f t="shared" si="127"/>
        <v>0</v>
      </c>
      <c r="AW223" s="1188">
        <f t="shared" si="128"/>
        <v>0</v>
      </c>
      <c r="AX223" s="1188">
        <f t="shared" si="129"/>
        <v>0</v>
      </c>
      <c r="AY223" s="1452">
        <f t="shared" si="130"/>
        <v>0</v>
      </c>
      <c r="AZ223" s="4284">
        <f t="shared" si="131"/>
        <v>0</v>
      </c>
      <c r="BA223" s="4284">
        <f t="shared" si="132"/>
        <v>0</v>
      </c>
      <c r="BB223" s="4284">
        <f t="shared" si="133"/>
        <v>0</v>
      </c>
      <c r="BC223" s="4284">
        <f t="shared" si="134"/>
        <v>0</v>
      </c>
      <c r="BD223" s="4284">
        <f t="shared" si="135"/>
        <v>0</v>
      </c>
      <c r="BE223" s="4284">
        <f t="shared" si="136"/>
        <v>0</v>
      </c>
      <c r="BF223" s="4284">
        <f t="shared" si="137"/>
        <v>0</v>
      </c>
      <c r="BG223" s="4284">
        <f t="shared" si="138"/>
        <v>0</v>
      </c>
      <c r="BH223" s="4284">
        <f t="shared" si="139"/>
        <v>0</v>
      </c>
      <c r="BI223" s="4284">
        <f t="shared" si="140"/>
        <v>0</v>
      </c>
      <c r="BJ223" s="4284">
        <f t="shared" si="141"/>
        <v>0</v>
      </c>
      <c r="BK223" s="4284">
        <f t="shared" si="142"/>
        <v>0</v>
      </c>
      <c r="BL223" s="4284">
        <f t="shared" si="143"/>
        <v>0</v>
      </c>
      <c r="BM223" s="4284">
        <f t="shared" si="144"/>
        <v>0</v>
      </c>
      <c r="BN223" s="4284">
        <f t="shared" si="145"/>
        <v>0</v>
      </c>
      <c r="BO223" s="4284">
        <f t="shared" si="146"/>
        <v>0</v>
      </c>
      <c r="BP223" s="4284">
        <f t="shared" si="147"/>
        <v>0</v>
      </c>
      <c r="BQ223" s="4284">
        <f t="shared" si="148"/>
        <v>0</v>
      </c>
      <c r="BR223" s="4284">
        <f t="shared" si="149"/>
        <v>0</v>
      </c>
      <c r="BS223" s="4284">
        <f t="shared" si="150"/>
        <v>0</v>
      </c>
      <c r="BT223" s="4285">
        <f t="shared" si="151"/>
        <v>0</v>
      </c>
    </row>
    <row r="224" spans="1:72">
      <c r="A224" s="4278"/>
      <c r="B224" s="4279"/>
      <c r="C224" s="4279"/>
      <c r="D224" s="4280"/>
      <c r="E224" s="1188">
        <f t="shared" si="123"/>
        <v>0</v>
      </c>
      <c r="F224" s="1680"/>
      <c r="G224" s="4281">
        <f t="shared" si="124"/>
        <v>0</v>
      </c>
      <c r="H224" s="3457">
        <f t="shared" si="125"/>
        <v>0</v>
      </c>
      <c r="I224" s="4282"/>
      <c r="J224" s="4282"/>
      <c r="K224" s="4282"/>
      <c r="L224" s="4282"/>
      <c r="M224" s="4282"/>
      <c r="N224" s="4282"/>
      <c r="O224" s="4282"/>
      <c r="P224" s="4282"/>
      <c r="Q224" s="4282"/>
      <c r="R224" s="4282"/>
      <c r="S224" s="4282"/>
      <c r="T224" s="4282"/>
      <c r="U224" s="4282"/>
      <c r="V224" s="4282"/>
      <c r="W224" s="4282"/>
      <c r="X224" s="4282"/>
      <c r="Y224" s="4282"/>
      <c r="Z224" s="4282"/>
      <c r="AA224" s="4282"/>
      <c r="AB224" s="4282"/>
      <c r="AC224" s="1188">
        <f t="shared" si="126"/>
        <v>0</v>
      </c>
      <c r="AD224" s="4278"/>
      <c r="AE224" s="4278"/>
      <c r="AF224" s="4278"/>
      <c r="AG224" s="4278"/>
      <c r="AH224" s="4278"/>
      <c r="AI224" s="4278"/>
      <c r="AJ224" s="4278"/>
      <c r="AK224" s="4278"/>
      <c r="AL224" s="4278"/>
      <c r="AM224" s="4278"/>
      <c r="AN224" s="4278"/>
      <c r="AO224" s="4278"/>
      <c r="AP224" s="4278"/>
      <c r="AQ224" s="4278"/>
      <c r="AR224" s="4278"/>
      <c r="AS224" s="4278"/>
      <c r="AT224" s="4279"/>
      <c r="AU224" s="4283"/>
      <c r="AV224" s="1188">
        <f t="shared" si="127"/>
        <v>0</v>
      </c>
      <c r="AW224" s="1188">
        <f t="shared" si="128"/>
        <v>0</v>
      </c>
      <c r="AX224" s="1188">
        <f t="shared" si="129"/>
        <v>0</v>
      </c>
      <c r="AY224" s="1452">
        <f t="shared" si="130"/>
        <v>0</v>
      </c>
      <c r="AZ224" s="4284">
        <f t="shared" si="131"/>
        <v>0</v>
      </c>
      <c r="BA224" s="4284">
        <f t="shared" si="132"/>
        <v>0</v>
      </c>
      <c r="BB224" s="4284">
        <f t="shared" si="133"/>
        <v>0</v>
      </c>
      <c r="BC224" s="4284">
        <f t="shared" si="134"/>
        <v>0</v>
      </c>
      <c r="BD224" s="4284">
        <f t="shared" si="135"/>
        <v>0</v>
      </c>
      <c r="BE224" s="4284">
        <f t="shared" si="136"/>
        <v>0</v>
      </c>
      <c r="BF224" s="4284">
        <f t="shared" si="137"/>
        <v>0</v>
      </c>
      <c r="BG224" s="4284">
        <f t="shared" si="138"/>
        <v>0</v>
      </c>
      <c r="BH224" s="4284">
        <f t="shared" si="139"/>
        <v>0</v>
      </c>
      <c r="BI224" s="4284">
        <f t="shared" si="140"/>
        <v>0</v>
      </c>
      <c r="BJ224" s="4284">
        <f t="shared" si="141"/>
        <v>0</v>
      </c>
      <c r="BK224" s="4284">
        <f t="shared" si="142"/>
        <v>0</v>
      </c>
      <c r="BL224" s="4284">
        <f t="shared" si="143"/>
        <v>0</v>
      </c>
      <c r="BM224" s="4284">
        <f t="shared" si="144"/>
        <v>0</v>
      </c>
      <c r="BN224" s="4284">
        <f t="shared" si="145"/>
        <v>0</v>
      </c>
      <c r="BO224" s="4284">
        <f t="shared" si="146"/>
        <v>0</v>
      </c>
      <c r="BP224" s="4284">
        <f t="shared" si="147"/>
        <v>0</v>
      </c>
      <c r="BQ224" s="4284">
        <f t="shared" si="148"/>
        <v>0</v>
      </c>
      <c r="BR224" s="4284">
        <f t="shared" si="149"/>
        <v>0</v>
      </c>
      <c r="BS224" s="4284">
        <f t="shared" si="150"/>
        <v>0</v>
      </c>
      <c r="BT224" s="4285">
        <f t="shared" si="151"/>
        <v>0</v>
      </c>
    </row>
    <row r="225" spans="1:72">
      <c r="A225" s="4278"/>
      <c r="B225" s="4279"/>
      <c r="C225" s="4279"/>
      <c r="D225" s="4280"/>
      <c r="E225" s="1188">
        <f t="shared" si="123"/>
        <v>0</v>
      </c>
      <c r="F225" s="1680"/>
      <c r="G225" s="4281">
        <f t="shared" si="124"/>
        <v>0</v>
      </c>
      <c r="H225" s="3457">
        <f t="shared" si="125"/>
        <v>0</v>
      </c>
      <c r="I225" s="4282"/>
      <c r="J225" s="4282"/>
      <c r="K225" s="4282"/>
      <c r="L225" s="4282"/>
      <c r="M225" s="4282"/>
      <c r="N225" s="4282"/>
      <c r="O225" s="4282"/>
      <c r="P225" s="4282"/>
      <c r="Q225" s="4282"/>
      <c r="R225" s="4282"/>
      <c r="S225" s="4282"/>
      <c r="T225" s="4282"/>
      <c r="U225" s="4282"/>
      <c r="V225" s="4282"/>
      <c r="W225" s="4282"/>
      <c r="X225" s="4282"/>
      <c r="Y225" s="4282"/>
      <c r="Z225" s="4282"/>
      <c r="AA225" s="4282"/>
      <c r="AB225" s="4282"/>
      <c r="AC225" s="1188">
        <f t="shared" si="126"/>
        <v>0</v>
      </c>
      <c r="AD225" s="4278"/>
      <c r="AE225" s="4278"/>
      <c r="AF225" s="4278"/>
      <c r="AG225" s="4278"/>
      <c r="AH225" s="4278"/>
      <c r="AI225" s="4278"/>
      <c r="AJ225" s="4278"/>
      <c r="AK225" s="4278"/>
      <c r="AL225" s="4278"/>
      <c r="AM225" s="4278"/>
      <c r="AN225" s="4278"/>
      <c r="AO225" s="4278"/>
      <c r="AP225" s="4278"/>
      <c r="AQ225" s="4278"/>
      <c r="AR225" s="4278"/>
      <c r="AS225" s="4278"/>
      <c r="AT225" s="4279"/>
      <c r="AU225" s="4283"/>
      <c r="AV225" s="1188">
        <f t="shared" si="127"/>
        <v>0</v>
      </c>
      <c r="AW225" s="1188">
        <f t="shared" si="128"/>
        <v>0</v>
      </c>
      <c r="AX225" s="1188">
        <f t="shared" si="129"/>
        <v>0</v>
      </c>
      <c r="AY225" s="1452">
        <f t="shared" si="130"/>
        <v>0</v>
      </c>
      <c r="AZ225" s="4284">
        <f t="shared" si="131"/>
        <v>0</v>
      </c>
      <c r="BA225" s="4284">
        <f t="shared" si="132"/>
        <v>0</v>
      </c>
      <c r="BB225" s="4284">
        <f t="shared" si="133"/>
        <v>0</v>
      </c>
      <c r="BC225" s="4284">
        <f t="shared" si="134"/>
        <v>0</v>
      </c>
      <c r="BD225" s="4284">
        <f t="shared" si="135"/>
        <v>0</v>
      </c>
      <c r="BE225" s="4284">
        <f t="shared" si="136"/>
        <v>0</v>
      </c>
      <c r="BF225" s="4284">
        <f t="shared" si="137"/>
        <v>0</v>
      </c>
      <c r="BG225" s="4284">
        <f t="shared" si="138"/>
        <v>0</v>
      </c>
      <c r="BH225" s="4284">
        <f t="shared" si="139"/>
        <v>0</v>
      </c>
      <c r="BI225" s="4284">
        <f t="shared" si="140"/>
        <v>0</v>
      </c>
      <c r="BJ225" s="4284">
        <f t="shared" si="141"/>
        <v>0</v>
      </c>
      <c r="BK225" s="4284">
        <f t="shared" si="142"/>
        <v>0</v>
      </c>
      <c r="BL225" s="4284">
        <f t="shared" si="143"/>
        <v>0</v>
      </c>
      <c r="BM225" s="4284">
        <f t="shared" si="144"/>
        <v>0</v>
      </c>
      <c r="BN225" s="4284">
        <f t="shared" si="145"/>
        <v>0</v>
      </c>
      <c r="BO225" s="4284">
        <f t="shared" si="146"/>
        <v>0</v>
      </c>
      <c r="BP225" s="4284">
        <f t="shared" si="147"/>
        <v>0</v>
      </c>
      <c r="BQ225" s="4284">
        <f t="shared" si="148"/>
        <v>0</v>
      </c>
      <c r="BR225" s="4284">
        <f t="shared" si="149"/>
        <v>0</v>
      </c>
      <c r="BS225" s="4284">
        <f t="shared" si="150"/>
        <v>0</v>
      </c>
      <c r="BT225" s="4285">
        <f t="shared" si="151"/>
        <v>0</v>
      </c>
    </row>
    <row r="226" spans="1:72">
      <c r="A226" s="4278"/>
      <c r="B226" s="4279"/>
      <c r="C226" s="4279"/>
      <c r="D226" s="4280"/>
      <c r="E226" s="1188">
        <f t="shared" si="123"/>
        <v>0</v>
      </c>
      <c r="F226" s="1680"/>
      <c r="G226" s="4281">
        <f t="shared" si="124"/>
        <v>0</v>
      </c>
      <c r="H226" s="3457">
        <f t="shared" si="125"/>
        <v>0</v>
      </c>
      <c r="I226" s="4282"/>
      <c r="J226" s="4282"/>
      <c r="K226" s="4282"/>
      <c r="L226" s="4282"/>
      <c r="M226" s="4282"/>
      <c r="N226" s="4282"/>
      <c r="O226" s="4282"/>
      <c r="P226" s="4282"/>
      <c r="Q226" s="4282"/>
      <c r="R226" s="4282"/>
      <c r="S226" s="4282"/>
      <c r="T226" s="4282"/>
      <c r="U226" s="4282"/>
      <c r="V226" s="4282"/>
      <c r="W226" s="4282"/>
      <c r="X226" s="4282"/>
      <c r="Y226" s="4282"/>
      <c r="Z226" s="4282"/>
      <c r="AA226" s="4282"/>
      <c r="AB226" s="4282"/>
      <c r="AC226" s="1188">
        <f t="shared" si="126"/>
        <v>0</v>
      </c>
      <c r="AD226" s="4278"/>
      <c r="AE226" s="4278"/>
      <c r="AF226" s="4278"/>
      <c r="AG226" s="4278"/>
      <c r="AH226" s="4278"/>
      <c r="AI226" s="4278"/>
      <c r="AJ226" s="4278"/>
      <c r="AK226" s="4278"/>
      <c r="AL226" s="4278"/>
      <c r="AM226" s="4278"/>
      <c r="AN226" s="4278"/>
      <c r="AO226" s="4278"/>
      <c r="AP226" s="4278"/>
      <c r="AQ226" s="4278"/>
      <c r="AR226" s="4278"/>
      <c r="AS226" s="4278"/>
      <c r="AT226" s="4279"/>
      <c r="AU226" s="4283"/>
      <c r="AV226" s="1188">
        <f t="shared" si="127"/>
        <v>0</v>
      </c>
      <c r="AW226" s="1188">
        <f t="shared" si="128"/>
        <v>0</v>
      </c>
      <c r="AX226" s="1188">
        <f t="shared" si="129"/>
        <v>0</v>
      </c>
      <c r="AY226" s="1452">
        <f t="shared" si="130"/>
        <v>0</v>
      </c>
      <c r="AZ226" s="4284">
        <f t="shared" si="131"/>
        <v>0</v>
      </c>
      <c r="BA226" s="4284">
        <f t="shared" si="132"/>
        <v>0</v>
      </c>
      <c r="BB226" s="4284">
        <f t="shared" si="133"/>
        <v>0</v>
      </c>
      <c r="BC226" s="4284">
        <f t="shared" si="134"/>
        <v>0</v>
      </c>
      <c r="BD226" s="4284">
        <f t="shared" si="135"/>
        <v>0</v>
      </c>
      <c r="BE226" s="4284">
        <f t="shared" si="136"/>
        <v>0</v>
      </c>
      <c r="BF226" s="4284">
        <f t="shared" si="137"/>
        <v>0</v>
      </c>
      <c r="BG226" s="4284">
        <f t="shared" si="138"/>
        <v>0</v>
      </c>
      <c r="BH226" s="4284">
        <f t="shared" si="139"/>
        <v>0</v>
      </c>
      <c r="BI226" s="4284">
        <f t="shared" si="140"/>
        <v>0</v>
      </c>
      <c r="BJ226" s="4284">
        <f t="shared" si="141"/>
        <v>0</v>
      </c>
      <c r="BK226" s="4284">
        <f t="shared" si="142"/>
        <v>0</v>
      </c>
      <c r="BL226" s="4284">
        <f t="shared" si="143"/>
        <v>0</v>
      </c>
      <c r="BM226" s="4284">
        <f t="shared" si="144"/>
        <v>0</v>
      </c>
      <c r="BN226" s="4284">
        <f t="shared" si="145"/>
        <v>0</v>
      </c>
      <c r="BO226" s="4284">
        <f t="shared" si="146"/>
        <v>0</v>
      </c>
      <c r="BP226" s="4284">
        <f t="shared" si="147"/>
        <v>0</v>
      </c>
      <c r="BQ226" s="4284">
        <f t="shared" si="148"/>
        <v>0</v>
      </c>
      <c r="BR226" s="4284">
        <f t="shared" si="149"/>
        <v>0</v>
      </c>
      <c r="BS226" s="4284">
        <f t="shared" si="150"/>
        <v>0</v>
      </c>
      <c r="BT226" s="4285">
        <f t="shared" si="151"/>
        <v>0</v>
      </c>
    </row>
    <row r="227" spans="1:72">
      <c r="A227" s="4278"/>
      <c r="B227" s="4279"/>
      <c r="C227" s="4279"/>
      <c r="D227" s="4280"/>
      <c r="E227" s="1188">
        <f t="shared" si="123"/>
        <v>0</v>
      </c>
      <c r="F227" s="1680"/>
      <c r="G227" s="4281">
        <f t="shared" si="124"/>
        <v>0</v>
      </c>
      <c r="H227" s="3457">
        <f t="shared" si="125"/>
        <v>0</v>
      </c>
      <c r="I227" s="4282"/>
      <c r="J227" s="4282"/>
      <c r="K227" s="4282"/>
      <c r="L227" s="4282"/>
      <c r="M227" s="4282"/>
      <c r="N227" s="4282"/>
      <c r="O227" s="4282"/>
      <c r="P227" s="4282"/>
      <c r="Q227" s="4282"/>
      <c r="R227" s="4282"/>
      <c r="S227" s="4282"/>
      <c r="T227" s="4282"/>
      <c r="U227" s="4282"/>
      <c r="V227" s="4282"/>
      <c r="W227" s="4282"/>
      <c r="X227" s="4282"/>
      <c r="Y227" s="4282"/>
      <c r="Z227" s="4282"/>
      <c r="AA227" s="4282"/>
      <c r="AB227" s="4282"/>
      <c r="AC227" s="1188">
        <f t="shared" si="126"/>
        <v>0</v>
      </c>
      <c r="AD227" s="4278"/>
      <c r="AE227" s="4278"/>
      <c r="AF227" s="4278"/>
      <c r="AG227" s="4278"/>
      <c r="AH227" s="4278"/>
      <c r="AI227" s="4278"/>
      <c r="AJ227" s="4278"/>
      <c r="AK227" s="4278"/>
      <c r="AL227" s="4278"/>
      <c r="AM227" s="4278"/>
      <c r="AN227" s="4278"/>
      <c r="AO227" s="4278"/>
      <c r="AP227" s="4278"/>
      <c r="AQ227" s="4278"/>
      <c r="AR227" s="4278"/>
      <c r="AS227" s="4278"/>
      <c r="AT227" s="4279"/>
      <c r="AU227" s="4283"/>
      <c r="AV227" s="1188">
        <f t="shared" si="127"/>
        <v>0</v>
      </c>
      <c r="AW227" s="1188">
        <f t="shared" si="128"/>
        <v>0</v>
      </c>
      <c r="AX227" s="1188">
        <f t="shared" si="129"/>
        <v>0</v>
      </c>
      <c r="AY227" s="1452">
        <f t="shared" si="130"/>
        <v>0</v>
      </c>
      <c r="AZ227" s="4284">
        <f t="shared" si="131"/>
        <v>0</v>
      </c>
      <c r="BA227" s="4284">
        <f t="shared" si="132"/>
        <v>0</v>
      </c>
      <c r="BB227" s="4284">
        <f t="shared" si="133"/>
        <v>0</v>
      </c>
      <c r="BC227" s="4284">
        <f t="shared" si="134"/>
        <v>0</v>
      </c>
      <c r="BD227" s="4284">
        <f t="shared" si="135"/>
        <v>0</v>
      </c>
      <c r="BE227" s="4284">
        <f t="shared" si="136"/>
        <v>0</v>
      </c>
      <c r="BF227" s="4284">
        <f t="shared" si="137"/>
        <v>0</v>
      </c>
      <c r="BG227" s="4284">
        <f t="shared" si="138"/>
        <v>0</v>
      </c>
      <c r="BH227" s="4284">
        <f t="shared" si="139"/>
        <v>0</v>
      </c>
      <c r="BI227" s="4284">
        <f t="shared" si="140"/>
        <v>0</v>
      </c>
      <c r="BJ227" s="4284">
        <f t="shared" si="141"/>
        <v>0</v>
      </c>
      <c r="BK227" s="4284">
        <f t="shared" si="142"/>
        <v>0</v>
      </c>
      <c r="BL227" s="4284">
        <f t="shared" si="143"/>
        <v>0</v>
      </c>
      <c r="BM227" s="4284">
        <f t="shared" si="144"/>
        <v>0</v>
      </c>
      <c r="BN227" s="4284">
        <f t="shared" si="145"/>
        <v>0</v>
      </c>
      <c r="BO227" s="4284">
        <f t="shared" si="146"/>
        <v>0</v>
      </c>
      <c r="BP227" s="4284">
        <f t="shared" si="147"/>
        <v>0</v>
      </c>
      <c r="BQ227" s="4284">
        <f t="shared" si="148"/>
        <v>0</v>
      </c>
      <c r="BR227" s="4284">
        <f t="shared" si="149"/>
        <v>0</v>
      </c>
      <c r="BS227" s="4284">
        <f t="shared" si="150"/>
        <v>0</v>
      </c>
      <c r="BT227" s="4285">
        <f t="shared" si="151"/>
        <v>0</v>
      </c>
    </row>
    <row r="228" spans="1:72">
      <c r="A228" s="4278"/>
      <c r="B228" s="4279"/>
      <c r="C228" s="4279"/>
      <c r="D228" s="4280"/>
      <c r="E228" s="1188">
        <f t="shared" si="123"/>
        <v>0</v>
      </c>
      <c r="F228" s="1680"/>
      <c r="G228" s="4281">
        <f t="shared" si="124"/>
        <v>0</v>
      </c>
      <c r="H228" s="3457">
        <f t="shared" si="125"/>
        <v>0</v>
      </c>
      <c r="I228" s="4282"/>
      <c r="J228" s="4282"/>
      <c r="K228" s="4282"/>
      <c r="L228" s="4282"/>
      <c r="M228" s="4282"/>
      <c r="N228" s="4282"/>
      <c r="O228" s="4282"/>
      <c r="P228" s="4282"/>
      <c r="Q228" s="4282"/>
      <c r="R228" s="4282"/>
      <c r="S228" s="4282"/>
      <c r="T228" s="4282"/>
      <c r="U228" s="4282"/>
      <c r="V228" s="4282"/>
      <c r="W228" s="4282"/>
      <c r="X228" s="4282"/>
      <c r="Y228" s="4282"/>
      <c r="Z228" s="4282"/>
      <c r="AA228" s="4282"/>
      <c r="AB228" s="4282"/>
      <c r="AC228" s="1188">
        <f t="shared" si="126"/>
        <v>0</v>
      </c>
      <c r="AD228" s="4278"/>
      <c r="AE228" s="4278"/>
      <c r="AF228" s="4278"/>
      <c r="AG228" s="4278"/>
      <c r="AH228" s="4278"/>
      <c r="AI228" s="4278"/>
      <c r="AJ228" s="4278"/>
      <c r="AK228" s="4278"/>
      <c r="AL228" s="4278"/>
      <c r="AM228" s="4278"/>
      <c r="AN228" s="4278"/>
      <c r="AO228" s="4278"/>
      <c r="AP228" s="4278"/>
      <c r="AQ228" s="4278"/>
      <c r="AR228" s="4278"/>
      <c r="AS228" s="4278"/>
      <c r="AT228" s="4279"/>
      <c r="AU228" s="4283"/>
      <c r="AV228" s="1188">
        <f t="shared" si="127"/>
        <v>0</v>
      </c>
      <c r="AW228" s="1188">
        <f t="shared" si="128"/>
        <v>0</v>
      </c>
      <c r="AX228" s="1188">
        <f t="shared" si="129"/>
        <v>0</v>
      </c>
      <c r="AY228" s="1452">
        <f t="shared" si="130"/>
        <v>0</v>
      </c>
      <c r="AZ228" s="4284">
        <f t="shared" si="131"/>
        <v>0</v>
      </c>
      <c r="BA228" s="4284">
        <f t="shared" si="132"/>
        <v>0</v>
      </c>
      <c r="BB228" s="4284">
        <f t="shared" si="133"/>
        <v>0</v>
      </c>
      <c r="BC228" s="4284">
        <f t="shared" si="134"/>
        <v>0</v>
      </c>
      <c r="BD228" s="4284">
        <f t="shared" si="135"/>
        <v>0</v>
      </c>
      <c r="BE228" s="4284">
        <f t="shared" si="136"/>
        <v>0</v>
      </c>
      <c r="BF228" s="4284">
        <f t="shared" si="137"/>
        <v>0</v>
      </c>
      <c r="BG228" s="4284">
        <f t="shared" si="138"/>
        <v>0</v>
      </c>
      <c r="BH228" s="4284">
        <f t="shared" si="139"/>
        <v>0</v>
      </c>
      <c r="BI228" s="4284">
        <f t="shared" si="140"/>
        <v>0</v>
      </c>
      <c r="BJ228" s="4284">
        <f t="shared" si="141"/>
        <v>0</v>
      </c>
      <c r="BK228" s="4284">
        <f t="shared" si="142"/>
        <v>0</v>
      </c>
      <c r="BL228" s="4284">
        <f t="shared" si="143"/>
        <v>0</v>
      </c>
      <c r="BM228" s="4284">
        <f t="shared" si="144"/>
        <v>0</v>
      </c>
      <c r="BN228" s="4284">
        <f t="shared" si="145"/>
        <v>0</v>
      </c>
      <c r="BO228" s="4284">
        <f t="shared" si="146"/>
        <v>0</v>
      </c>
      <c r="BP228" s="4284">
        <f t="shared" si="147"/>
        <v>0</v>
      </c>
      <c r="BQ228" s="4284">
        <f t="shared" si="148"/>
        <v>0</v>
      </c>
      <c r="BR228" s="4284">
        <f t="shared" si="149"/>
        <v>0</v>
      </c>
      <c r="BS228" s="4284">
        <f t="shared" si="150"/>
        <v>0</v>
      </c>
      <c r="BT228" s="4285">
        <f t="shared" si="151"/>
        <v>0</v>
      </c>
    </row>
    <row r="229" spans="1:72">
      <c r="A229" s="4278"/>
      <c r="B229" s="4279"/>
      <c r="C229" s="4279"/>
      <c r="D229" s="4280"/>
      <c r="E229" s="1188">
        <f t="shared" si="123"/>
        <v>0</v>
      </c>
      <c r="F229" s="1680"/>
      <c r="G229" s="4281">
        <f t="shared" si="124"/>
        <v>0</v>
      </c>
      <c r="H229" s="3457">
        <f t="shared" si="125"/>
        <v>0</v>
      </c>
      <c r="I229" s="4282"/>
      <c r="J229" s="4282"/>
      <c r="K229" s="4282"/>
      <c r="L229" s="4282"/>
      <c r="M229" s="4282"/>
      <c r="N229" s="4282"/>
      <c r="O229" s="4282"/>
      <c r="P229" s="4282"/>
      <c r="Q229" s="4282"/>
      <c r="R229" s="4282"/>
      <c r="S229" s="4282"/>
      <c r="T229" s="4282"/>
      <c r="U229" s="4282"/>
      <c r="V229" s="4282"/>
      <c r="W229" s="4282"/>
      <c r="X229" s="4282"/>
      <c r="Y229" s="4282"/>
      <c r="Z229" s="4282"/>
      <c r="AA229" s="4282"/>
      <c r="AB229" s="4282"/>
      <c r="AC229" s="1188">
        <f t="shared" si="126"/>
        <v>0</v>
      </c>
      <c r="AD229" s="4278"/>
      <c r="AE229" s="4278"/>
      <c r="AF229" s="4278"/>
      <c r="AG229" s="4278"/>
      <c r="AH229" s="4278"/>
      <c r="AI229" s="4278"/>
      <c r="AJ229" s="4278"/>
      <c r="AK229" s="4278"/>
      <c r="AL229" s="4278"/>
      <c r="AM229" s="4278"/>
      <c r="AN229" s="4278"/>
      <c r="AO229" s="4278"/>
      <c r="AP229" s="4278"/>
      <c r="AQ229" s="4278"/>
      <c r="AR229" s="4278"/>
      <c r="AS229" s="4278"/>
      <c r="AT229" s="4279"/>
      <c r="AU229" s="4283"/>
      <c r="AV229" s="1188">
        <f t="shared" si="127"/>
        <v>0</v>
      </c>
      <c r="AW229" s="1188">
        <f t="shared" si="128"/>
        <v>0</v>
      </c>
      <c r="AX229" s="1188">
        <f t="shared" si="129"/>
        <v>0</v>
      </c>
      <c r="AY229" s="1452">
        <f t="shared" si="130"/>
        <v>0</v>
      </c>
      <c r="AZ229" s="4284">
        <f t="shared" si="131"/>
        <v>0</v>
      </c>
      <c r="BA229" s="4284">
        <f t="shared" si="132"/>
        <v>0</v>
      </c>
      <c r="BB229" s="4284">
        <f t="shared" si="133"/>
        <v>0</v>
      </c>
      <c r="BC229" s="4284">
        <f t="shared" si="134"/>
        <v>0</v>
      </c>
      <c r="BD229" s="4284">
        <f t="shared" si="135"/>
        <v>0</v>
      </c>
      <c r="BE229" s="4284">
        <f t="shared" si="136"/>
        <v>0</v>
      </c>
      <c r="BF229" s="4284">
        <f t="shared" si="137"/>
        <v>0</v>
      </c>
      <c r="BG229" s="4284">
        <f t="shared" si="138"/>
        <v>0</v>
      </c>
      <c r="BH229" s="4284">
        <f t="shared" si="139"/>
        <v>0</v>
      </c>
      <c r="BI229" s="4284">
        <f t="shared" si="140"/>
        <v>0</v>
      </c>
      <c r="BJ229" s="4284">
        <f t="shared" si="141"/>
        <v>0</v>
      </c>
      <c r="BK229" s="4284">
        <f t="shared" si="142"/>
        <v>0</v>
      </c>
      <c r="BL229" s="4284">
        <f t="shared" si="143"/>
        <v>0</v>
      </c>
      <c r="BM229" s="4284">
        <f t="shared" si="144"/>
        <v>0</v>
      </c>
      <c r="BN229" s="4284">
        <f t="shared" si="145"/>
        <v>0</v>
      </c>
      <c r="BO229" s="4284">
        <f t="shared" si="146"/>
        <v>0</v>
      </c>
      <c r="BP229" s="4284">
        <f t="shared" si="147"/>
        <v>0</v>
      </c>
      <c r="BQ229" s="4284">
        <f t="shared" si="148"/>
        <v>0</v>
      </c>
      <c r="BR229" s="4284">
        <f t="shared" si="149"/>
        <v>0</v>
      </c>
      <c r="BS229" s="4284">
        <f t="shared" si="150"/>
        <v>0</v>
      </c>
      <c r="BT229" s="4285">
        <f t="shared" si="151"/>
        <v>0</v>
      </c>
    </row>
    <row r="230" spans="1:72">
      <c r="A230" s="4278"/>
      <c r="B230" s="4279"/>
      <c r="C230" s="4279"/>
      <c r="D230" s="4280"/>
      <c r="E230" s="1188">
        <f t="shared" si="123"/>
        <v>0</v>
      </c>
      <c r="F230" s="1680"/>
      <c r="G230" s="4281">
        <f t="shared" si="124"/>
        <v>0</v>
      </c>
      <c r="H230" s="3457">
        <f t="shared" si="125"/>
        <v>0</v>
      </c>
      <c r="I230" s="4282"/>
      <c r="J230" s="4282"/>
      <c r="K230" s="4282"/>
      <c r="L230" s="4282"/>
      <c r="M230" s="4282"/>
      <c r="N230" s="4282"/>
      <c r="O230" s="4282"/>
      <c r="P230" s="4282"/>
      <c r="Q230" s="4282"/>
      <c r="R230" s="4282"/>
      <c r="S230" s="4282"/>
      <c r="T230" s="4282"/>
      <c r="U230" s="4282"/>
      <c r="V230" s="4282"/>
      <c r="W230" s="4282"/>
      <c r="X230" s="4282"/>
      <c r="Y230" s="4282"/>
      <c r="Z230" s="4282"/>
      <c r="AA230" s="4282"/>
      <c r="AB230" s="4282"/>
      <c r="AC230" s="1188">
        <f t="shared" si="126"/>
        <v>0</v>
      </c>
      <c r="AD230" s="4278"/>
      <c r="AE230" s="4278"/>
      <c r="AF230" s="4278"/>
      <c r="AG230" s="4278"/>
      <c r="AH230" s="4278"/>
      <c r="AI230" s="4278"/>
      <c r="AJ230" s="4278"/>
      <c r="AK230" s="4278"/>
      <c r="AL230" s="4278"/>
      <c r="AM230" s="4278"/>
      <c r="AN230" s="4278"/>
      <c r="AO230" s="4278"/>
      <c r="AP230" s="4278"/>
      <c r="AQ230" s="4278"/>
      <c r="AR230" s="4278"/>
      <c r="AS230" s="4278"/>
      <c r="AT230" s="4279"/>
      <c r="AU230" s="4283"/>
      <c r="AV230" s="1188">
        <f t="shared" si="127"/>
        <v>0</v>
      </c>
      <c r="AW230" s="1188">
        <f t="shared" si="128"/>
        <v>0</v>
      </c>
      <c r="AX230" s="1188">
        <f t="shared" si="129"/>
        <v>0</v>
      </c>
      <c r="AY230" s="1452">
        <f t="shared" si="130"/>
        <v>0</v>
      </c>
      <c r="AZ230" s="4284">
        <f t="shared" si="131"/>
        <v>0</v>
      </c>
      <c r="BA230" s="4284">
        <f t="shared" si="132"/>
        <v>0</v>
      </c>
      <c r="BB230" s="4284">
        <f t="shared" si="133"/>
        <v>0</v>
      </c>
      <c r="BC230" s="4284">
        <f t="shared" si="134"/>
        <v>0</v>
      </c>
      <c r="BD230" s="4284">
        <f t="shared" si="135"/>
        <v>0</v>
      </c>
      <c r="BE230" s="4284">
        <f t="shared" si="136"/>
        <v>0</v>
      </c>
      <c r="BF230" s="4284">
        <f t="shared" si="137"/>
        <v>0</v>
      </c>
      <c r="BG230" s="4284">
        <f t="shared" si="138"/>
        <v>0</v>
      </c>
      <c r="BH230" s="4284">
        <f t="shared" si="139"/>
        <v>0</v>
      </c>
      <c r="BI230" s="4284">
        <f t="shared" si="140"/>
        <v>0</v>
      </c>
      <c r="BJ230" s="4284">
        <f t="shared" si="141"/>
        <v>0</v>
      </c>
      <c r="BK230" s="4284">
        <f t="shared" si="142"/>
        <v>0</v>
      </c>
      <c r="BL230" s="4284">
        <f t="shared" si="143"/>
        <v>0</v>
      </c>
      <c r="BM230" s="4284">
        <f t="shared" si="144"/>
        <v>0</v>
      </c>
      <c r="BN230" s="4284">
        <f t="shared" si="145"/>
        <v>0</v>
      </c>
      <c r="BO230" s="4284">
        <f t="shared" si="146"/>
        <v>0</v>
      </c>
      <c r="BP230" s="4284">
        <f t="shared" si="147"/>
        <v>0</v>
      </c>
      <c r="BQ230" s="4284">
        <f t="shared" si="148"/>
        <v>0</v>
      </c>
      <c r="BR230" s="4284">
        <f t="shared" si="149"/>
        <v>0</v>
      </c>
      <c r="BS230" s="4284">
        <f t="shared" si="150"/>
        <v>0</v>
      </c>
      <c r="BT230" s="4285">
        <f t="shared" si="151"/>
        <v>0</v>
      </c>
    </row>
    <row r="231" spans="1:72">
      <c r="A231" s="4278"/>
      <c r="B231" s="4279"/>
      <c r="C231" s="4279"/>
      <c r="D231" s="4280"/>
      <c r="E231" s="1188">
        <f t="shared" si="123"/>
        <v>0</v>
      </c>
      <c r="F231" s="1680"/>
      <c r="G231" s="4281">
        <f t="shared" si="124"/>
        <v>0</v>
      </c>
      <c r="H231" s="3457">
        <f t="shared" si="125"/>
        <v>0</v>
      </c>
      <c r="I231" s="4282"/>
      <c r="J231" s="4282"/>
      <c r="K231" s="4282"/>
      <c r="L231" s="4282"/>
      <c r="M231" s="4282"/>
      <c r="N231" s="4282"/>
      <c r="O231" s="4282"/>
      <c r="P231" s="4282"/>
      <c r="Q231" s="4282"/>
      <c r="R231" s="4282"/>
      <c r="S231" s="4282"/>
      <c r="T231" s="4282"/>
      <c r="U231" s="4282"/>
      <c r="V231" s="4282"/>
      <c r="W231" s="4282"/>
      <c r="X231" s="4282"/>
      <c r="Y231" s="4282"/>
      <c r="Z231" s="4282"/>
      <c r="AA231" s="4282"/>
      <c r="AB231" s="4282"/>
      <c r="AC231" s="1188">
        <f t="shared" si="126"/>
        <v>0</v>
      </c>
      <c r="AD231" s="4278"/>
      <c r="AE231" s="4278"/>
      <c r="AF231" s="4278"/>
      <c r="AG231" s="4278"/>
      <c r="AH231" s="4278"/>
      <c r="AI231" s="4278"/>
      <c r="AJ231" s="4278"/>
      <c r="AK231" s="4278"/>
      <c r="AL231" s="4278"/>
      <c r="AM231" s="4278"/>
      <c r="AN231" s="4278"/>
      <c r="AO231" s="4278"/>
      <c r="AP231" s="4278"/>
      <c r="AQ231" s="4278"/>
      <c r="AR231" s="4278"/>
      <c r="AS231" s="4278"/>
      <c r="AT231" s="4279"/>
      <c r="AU231" s="4283"/>
      <c r="AV231" s="1188">
        <f t="shared" si="127"/>
        <v>0</v>
      </c>
      <c r="AW231" s="1188">
        <f t="shared" si="128"/>
        <v>0</v>
      </c>
      <c r="AX231" s="1188">
        <f t="shared" si="129"/>
        <v>0</v>
      </c>
      <c r="AY231" s="1452">
        <f t="shared" si="130"/>
        <v>0</v>
      </c>
      <c r="AZ231" s="4284">
        <f t="shared" si="131"/>
        <v>0</v>
      </c>
      <c r="BA231" s="4284">
        <f t="shared" si="132"/>
        <v>0</v>
      </c>
      <c r="BB231" s="4284">
        <f t="shared" si="133"/>
        <v>0</v>
      </c>
      <c r="BC231" s="4284">
        <f t="shared" si="134"/>
        <v>0</v>
      </c>
      <c r="BD231" s="4284">
        <f t="shared" si="135"/>
        <v>0</v>
      </c>
      <c r="BE231" s="4284">
        <f t="shared" si="136"/>
        <v>0</v>
      </c>
      <c r="BF231" s="4284">
        <f t="shared" si="137"/>
        <v>0</v>
      </c>
      <c r="BG231" s="4284">
        <f t="shared" si="138"/>
        <v>0</v>
      </c>
      <c r="BH231" s="4284">
        <f t="shared" si="139"/>
        <v>0</v>
      </c>
      <c r="BI231" s="4284">
        <f t="shared" si="140"/>
        <v>0</v>
      </c>
      <c r="BJ231" s="4284">
        <f t="shared" si="141"/>
        <v>0</v>
      </c>
      <c r="BK231" s="4284">
        <f t="shared" si="142"/>
        <v>0</v>
      </c>
      <c r="BL231" s="4284">
        <f t="shared" si="143"/>
        <v>0</v>
      </c>
      <c r="BM231" s="4284">
        <f t="shared" si="144"/>
        <v>0</v>
      </c>
      <c r="BN231" s="4284">
        <f t="shared" si="145"/>
        <v>0</v>
      </c>
      <c r="BO231" s="4284">
        <f t="shared" si="146"/>
        <v>0</v>
      </c>
      <c r="BP231" s="4284">
        <f t="shared" si="147"/>
        <v>0</v>
      </c>
      <c r="BQ231" s="4284">
        <f t="shared" si="148"/>
        <v>0</v>
      </c>
      <c r="BR231" s="4284">
        <f t="shared" si="149"/>
        <v>0</v>
      </c>
      <c r="BS231" s="4284">
        <f t="shared" si="150"/>
        <v>0</v>
      </c>
      <c r="BT231" s="4285">
        <f t="shared" si="151"/>
        <v>0</v>
      </c>
    </row>
    <row r="232" spans="1:72">
      <c r="A232" s="4278"/>
      <c r="B232" s="4279"/>
      <c r="C232" s="4279"/>
      <c r="D232" s="4280"/>
      <c r="E232" s="1188">
        <f t="shared" si="123"/>
        <v>0</v>
      </c>
      <c r="F232" s="1680"/>
      <c r="G232" s="4281">
        <f t="shared" si="124"/>
        <v>0</v>
      </c>
      <c r="H232" s="3457">
        <f t="shared" si="125"/>
        <v>0</v>
      </c>
      <c r="I232" s="4282"/>
      <c r="J232" s="4282"/>
      <c r="K232" s="4282"/>
      <c r="L232" s="4282"/>
      <c r="M232" s="4282"/>
      <c r="N232" s="4282"/>
      <c r="O232" s="4282"/>
      <c r="P232" s="4282"/>
      <c r="Q232" s="4282"/>
      <c r="R232" s="4282"/>
      <c r="S232" s="4282"/>
      <c r="T232" s="4282"/>
      <c r="U232" s="4282"/>
      <c r="V232" s="4282"/>
      <c r="W232" s="4282"/>
      <c r="X232" s="4282"/>
      <c r="Y232" s="4282"/>
      <c r="Z232" s="4282"/>
      <c r="AA232" s="4282"/>
      <c r="AB232" s="4282"/>
      <c r="AC232" s="1188">
        <f t="shared" si="126"/>
        <v>0</v>
      </c>
      <c r="AD232" s="4278"/>
      <c r="AE232" s="4278"/>
      <c r="AF232" s="4278"/>
      <c r="AG232" s="4278"/>
      <c r="AH232" s="4278"/>
      <c r="AI232" s="4278"/>
      <c r="AJ232" s="4278"/>
      <c r="AK232" s="4278"/>
      <c r="AL232" s="4278"/>
      <c r="AM232" s="4278"/>
      <c r="AN232" s="4278"/>
      <c r="AO232" s="4278"/>
      <c r="AP232" s="4278"/>
      <c r="AQ232" s="4278"/>
      <c r="AR232" s="4278"/>
      <c r="AS232" s="4278"/>
      <c r="AT232" s="4279"/>
      <c r="AU232" s="4283"/>
      <c r="AV232" s="1188">
        <f t="shared" si="127"/>
        <v>0</v>
      </c>
      <c r="AW232" s="1188">
        <f t="shared" si="128"/>
        <v>0</v>
      </c>
      <c r="AX232" s="1188">
        <f t="shared" si="129"/>
        <v>0</v>
      </c>
      <c r="AY232" s="1452">
        <f t="shared" si="130"/>
        <v>0</v>
      </c>
      <c r="AZ232" s="4284">
        <f t="shared" si="131"/>
        <v>0</v>
      </c>
      <c r="BA232" s="4284">
        <f t="shared" si="132"/>
        <v>0</v>
      </c>
      <c r="BB232" s="4284">
        <f t="shared" si="133"/>
        <v>0</v>
      </c>
      <c r="BC232" s="4284">
        <f t="shared" si="134"/>
        <v>0</v>
      </c>
      <c r="BD232" s="4284">
        <f t="shared" si="135"/>
        <v>0</v>
      </c>
      <c r="BE232" s="4284">
        <f t="shared" si="136"/>
        <v>0</v>
      </c>
      <c r="BF232" s="4284">
        <f t="shared" si="137"/>
        <v>0</v>
      </c>
      <c r="BG232" s="4284">
        <f t="shared" si="138"/>
        <v>0</v>
      </c>
      <c r="BH232" s="4284">
        <f t="shared" si="139"/>
        <v>0</v>
      </c>
      <c r="BI232" s="4284">
        <f t="shared" si="140"/>
        <v>0</v>
      </c>
      <c r="BJ232" s="4284">
        <f t="shared" si="141"/>
        <v>0</v>
      </c>
      <c r="BK232" s="4284">
        <f t="shared" si="142"/>
        <v>0</v>
      </c>
      <c r="BL232" s="4284">
        <f t="shared" si="143"/>
        <v>0</v>
      </c>
      <c r="BM232" s="4284">
        <f t="shared" si="144"/>
        <v>0</v>
      </c>
      <c r="BN232" s="4284">
        <f t="shared" si="145"/>
        <v>0</v>
      </c>
      <c r="BO232" s="4284">
        <f t="shared" si="146"/>
        <v>0</v>
      </c>
      <c r="BP232" s="4284">
        <f t="shared" si="147"/>
        <v>0</v>
      </c>
      <c r="BQ232" s="4284">
        <f t="shared" si="148"/>
        <v>0</v>
      </c>
      <c r="BR232" s="4284">
        <f t="shared" si="149"/>
        <v>0</v>
      </c>
      <c r="BS232" s="4284">
        <f t="shared" si="150"/>
        <v>0</v>
      </c>
      <c r="BT232" s="4285">
        <f t="shared" si="151"/>
        <v>0</v>
      </c>
    </row>
    <row r="233" spans="1:72">
      <c r="A233" s="4278"/>
      <c r="B233" s="4279"/>
      <c r="C233" s="4279"/>
      <c r="D233" s="4280"/>
      <c r="E233" s="1188">
        <f t="shared" si="123"/>
        <v>0</v>
      </c>
      <c r="F233" s="1680"/>
      <c r="G233" s="4281">
        <f t="shared" si="124"/>
        <v>0</v>
      </c>
      <c r="H233" s="3457">
        <f t="shared" si="125"/>
        <v>0</v>
      </c>
      <c r="I233" s="4282"/>
      <c r="J233" s="4282"/>
      <c r="K233" s="4282"/>
      <c r="L233" s="4282"/>
      <c r="M233" s="4282"/>
      <c r="N233" s="4282"/>
      <c r="O233" s="4282"/>
      <c r="P233" s="4282"/>
      <c r="Q233" s="4282"/>
      <c r="R233" s="4282"/>
      <c r="S233" s="4282"/>
      <c r="T233" s="4282"/>
      <c r="U233" s="4282"/>
      <c r="V233" s="4282"/>
      <c r="W233" s="4282"/>
      <c r="X233" s="4282"/>
      <c r="Y233" s="4282"/>
      <c r="Z233" s="4282"/>
      <c r="AA233" s="4282"/>
      <c r="AB233" s="4282"/>
      <c r="AC233" s="1188">
        <f t="shared" si="126"/>
        <v>0</v>
      </c>
      <c r="AD233" s="4278"/>
      <c r="AE233" s="4278"/>
      <c r="AF233" s="4278"/>
      <c r="AG233" s="4278"/>
      <c r="AH233" s="4278"/>
      <c r="AI233" s="4278"/>
      <c r="AJ233" s="4278"/>
      <c r="AK233" s="4278"/>
      <c r="AL233" s="4278"/>
      <c r="AM233" s="4278"/>
      <c r="AN233" s="4278"/>
      <c r="AO233" s="4278"/>
      <c r="AP233" s="4278"/>
      <c r="AQ233" s="4278"/>
      <c r="AR233" s="4278"/>
      <c r="AS233" s="4278"/>
      <c r="AT233" s="4279"/>
      <c r="AU233" s="4283"/>
      <c r="AV233" s="1188">
        <f t="shared" si="127"/>
        <v>0</v>
      </c>
      <c r="AW233" s="1188">
        <f t="shared" si="128"/>
        <v>0</v>
      </c>
      <c r="AX233" s="1188">
        <f t="shared" si="129"/>
        <v>0</v>
      </c>
      <c r="AY233" s="1452">
        <f t="shared" si="130"/>
        <v>0</v>
      </c>
      <c r="AZ233" s="4284">
        <f t="shared" si="131"/>
        <v>0</v>
      </c>
      <c r="BA233" s="4284">
        <f t="shared" si="132"/>
        <v>0</v>
      </c>
      <c r="BB233" s="4284">
        <f t="shared" si="133"/>
        <v>0</v>
      </c>
      <c r="BC233" s="4284">
        <f t="shared" si="134"/>
        <v>0</v>
      </c>
      <c r="BD233" s="4284">
        <f t="shared" si="135"/>
        <v>0</v>
      </c>
      <c r="BE233" s="4284">
        <f t="shared" si="136"/>
        <v>0</v>
      </c>
      <c r="BF233" s="4284">
        <f t="shared" si="137"/>
        <v>0</v>
      </c>
      <c r="BG233" s="4284">
        <f t="shared" si="138"/>
        <v>0</v>
      </c>
      <c r="BH233" s="4284">
        <f t="shared" si="139"/>
        <v>0</v>
      </c>
      <c r="BI233" s="4284">
        <f t="shared" si="140"/>
        <v>0</v>
      </c>
      <c r="BJ233" s="4284">
        <f t="shared" si="141"/>
        <v>0</v>
      </c>
      <c r="BK233" s="4284">
        <f t="shared" si="142"/>
        <v>0</v>
      </c>
      <c r="BL233" s="4284">
        <f t="shared" si="143"/>
        <v>0</v>
      </c>
      <c r="BM233" s="4284">
        <f t="shared" si="144"/>
        <v>0</v>
      </c>
      <c r="BN233" s="4284">
        <f t="shared" si="145"/>
        <v>0</v>
      </c>
      <c r="BO233" s="4284">
        <f t="shared" si="146"/>
        <v>0</v>
      </c>
      <c r="BP233" s="4284">
        <f t="shared" si="147"/>
        <v>0</v>
      </c>
      <c r="BQ233" s="4284">
        <f t="shared" si="148"/>
        <v>0</v>
      </c>
      <c r="BR233" s="4284">
        <f t="shared" si="149"/>
        <v>0</v>
      </c>
      <c r="BS233" s="4284">
        <f t="shared" si="150"/>
        <v>0</v>
      </c>
      <c r="BT233" s="4285">
        <f t="shared" si="151"/>
        <v>0</v>
      </c>
    </row>
    <row r="234" spans="1:72">
      <c r="A234" s="4278"/>
      <c r="B234" s="4279"/>
      <c r="C234" s="4279"/>
      <c r="D234" s="4280"/>
      <c r="E234" s="1188">
        <f t="shared" si="123"/>
        <v>0</v>
      </c>
      <c r="F234" s="1680"/>
      <c r="G234" s="4281">
        <f t="shared" si="124"/>
        <v>0</v>
      </c>
      <c r="H234" s="3457">
        <f t="shared" si="125"/>
        <v>0</v>
      </c>
      <c r="I234" s="4282"/>
      <c r="J234" s="4282"/>
      <c r="K234" s="4282"/>
      <c r="L234" s="4282"/>
      <c r="M234" s="4282"/>
      <c r="N234" s="4282"/>
      <c r="O234" s="4282"/>
      <c r="P234" s="4282"/>
      <c r="Q234" s="4282"/>
      <c r="R234" s="4282"/>
      <c r="S234" s="4282"/>
      <c r="T234" s="4282"/>
      <c r="U234" s="4282"/>
      <c r="V234" s="4282"/>
      <c r="W234" s="4282"/>
      <c r="X234" s="4282"/>
      <c r="Y234" s="4282"/>
      <c r="Z234" s="4282"/>
      <c r="AA234" s="4282"/>
      <c r="AB234" s="4282"/>
      <c r="AC234" s="1188">
        <f t="shared" si="126"/>
        <v>0</v>
      </c>
      <c r="AD234" s="4278"/>
      <c r="AE234" s="4278"/>
      <c r="AF234" s="4278"/>
      <c r="AG234" s="4278"/>
      <c r="AH234" s="4278"/>
      <c r="AI234" s="4278"/>
      <c r="AJ234" s="4278"/>
      <c r="AK234" s="4278"/>
      <c r="AL234" s="4278"/>
      <c r="AM234" s="4278"/>
      <c r="AN234" s="4278"/>
      <c r="AO234" s="4278"/>
      <c r="AP234" s="4278"/>
      <c r="AQ234" s="4278"/>
      <c r="AR234" s="4278"/>
      <c r="AS234" s="4278"/>
      <c r="AT234" s="4279"/>
      <c r="AU234" s="4283"/>
      <c r="AV234" s="1188">
        <f t="shared" si="127"/>
        <v>0</v>
      </c>
      <c r="AW234" s="1188">
        <f t="shared" si="128"/>
        <v>0</v>
      </c>
      <c r="AX234" s="1188">
        <f t="shared" si="129"/>
        <v>0</v>
      </c>
      <c r="AY234" s="1452">
        <f t="shared" si="130"/>
        <v>0</v>
      </c>
      <c r="AZ234" s="4284">
        <f t="shared" si="131"/>
        <v>0</v>
      </c>
      <c r="BA234" s="4284">
        <f t="shared" si="132"/>
        <v>0</v>
      </c>
      <c r="BB234" s="4284">
        <f t="shared" si="133"/>
        <v>0</v>
      </c>
      <c r="BC234" s="4284">
        <f t="shared" si="134"/>
        <v>0</v>
      </c>
      <c r="BD234" s="4284">
        <f t="shared" si="135"/>
        <v>0</v>
      </c>
      <c r="BE234" s="4284">
        <f t="shared" si="136"/>
        <v>0</v>
      </c>
      <c r="BF234" s="4284">
        <f t="shared" si="137"/>
        <v>0</v>
      </c>
      <c r="BG234" s="4284">
        <f t="shared" si="138"/>
        <v>0</v>
      </c>
      <c r="BH234" s="4284">
        <f t="shared" si="139"/>
        <v>0</v>
      </c>
      <c r="BI234" s="4284">
        <f t="shared" si="140"/>
        <v>0</v>
      </c>
      <c r="BJ234" s="4284">
        <f t="shared" si="141"/>
        <v>0</v>
      </c>
      <c r="BK234" s="4284">
        <f t="shared" si="142"/>
        <v>0</v>
      </c>
      <c r="BL234" s="4284">
        <f t="shared" si="143"/>
        <v>0</v>
      </c>
      <c r="BM234" s="4284">
        <f t="shared" si="144"/>
        <v>0</v>
      </c>
      <c r="BN234" s="4284">
        <f t="shared" si="145"/>
        <v>0</v>
      </c>
      <c r="BO234" s="4284">
        <f t="shared" si="146"/>
        <v>0</v>
      </c>
      <c r="BP234" s="4284">
        <f t="shared" si="147"/>
        <v>0</v>
      </c>
      <c r="BQ234" s="4284">
        <f t="shared" si="148"/>
        <v>0</v>
      </c>
      <c r="BR234" s="4284">
        <f t="shared" si="149"/>
        <v>0</v>
      </c>
      <c r="BS234" s="4284">
        <f t="shared" si="150"/>
        <v>0</v>
      </c>
      <c r="BT234" s="4285">
        <f t="shared" si="151"/>
        <v>0</v>
      </c>
    </row>
    <row r="235" spans="1:72">
      <c r="A235" s="4278"/>
      <c r="B235" s="4279"/>
      <c r="C235" s="4279"/>
      <c r="D235" s="4280"/>
      <c r="E235" s="1188">
        <f t="shared" si="123"/>
        <v>0</v>
      </c>
      <c r="F235" s="1680"/>
      <c r="G235" s="4281">
        <f t="shared" si="124"/>
        <v>0</v>
      </c>
      <c r="H235" s="3457">
        <f t="shared" si="125"/>
        <v>0</v>
      </c>
      <c r="I235" s="4282"/>
      <c r="J235" s="4282"/>
      <c r="K235" s="4282"/>
      <c r="L235" s="4282"/>
      <c r="M235" s="4282"/>
      <c r="N235" s="4282"/>
      <c r="O235" s="4282"/>
      <c r="P235" s="4282"/>
      <c r="Q235" s="4282"/>
      <c r="R235" s="4282"/>
      <c r="S235" s="4282"/>
      <c r="T235" s="4282"/>
      <c r="U235" s="4282"/>
      <c r="V235" s="4282"/>
      <c r="W235" s="4282"/>
      <c r="X235" s="4282"/>
      <c r="Y235" s="4282"/>
      <c r="Z235" s="4282"/>
      <c r="AA235" s="4282"/>
      <c r="AB235" s="4282"/>
      <c r="AC235" s="1188">
        <f t="shared" si="126"/>
        <v>0</v>
      </c>
      <c r="AD235" s="4278"/>
      <c r="AE235" s="4278"/>
      <c r="AF235" s="4278"/>
      <c r="AG235" s="4278"/>
      <c r="AH235" s="4278"/>
      <c r="AI235" s="4278"/>
      <c r="AJ235" s="4278"/>
      <c r="AK235" s="4278"/>
      <c r="AL235" s="4278"/>
      <c r="AM235" s="4278"/>
      <c r="AN235" s="4278"/>
      <c r="AO235" s="4278"/>
      <c r="AP235" s="4278"/>
      <c r="AQ235" s="4278"/>
      <c r="AR235" s="4278"/>
      <c r="AS235" s="4278"/>
      <c r="AT235" s="4279"/>
      <c r="AU235" s="4283"/>
      <c r="AV235" s="1188">
        <f t="shared" si="127"/>
        <v>0</v>
      </c>
      <c r="AW235" s="1188">
        <f t="shared" si="128"/>
        <v>0</v>
      </c>
      <c r="AX235" s="1188">
        <f t="shared" si="129"/>
        <v>0</v>
      </c>
      <c r="AY235" s="1452">
        <f t="shared" si="130"/>
        <v>0</v>
      </c>
      <c r="AZ235" s="4284">
        <f t="shared" si="131"/>
        <v>0</v>
      </c>
      <c r="BA235" s="4284">
        <f t="shared" si="132"/>
        <v>0</v>
      </c>
      <c r="BB235" s="4284">
        <f t="shared" si="133"/>
        <v>0</v>
      </c>
      <c r="BC235" s="4284">
        <f t="shared" si="134"/>
        <v>0</v>
      </c>
      <c r="BD235" s="4284">
        <f t="shared" si="135"/>
        <v>0</v>
      </c>
      <c r="BE235" s="4284">
        <f t="shared" si="136"/>
        <v>0</v>
      </c>
      <c r="BF235" s="4284">
        <f t="shared" si="137"/>
        <v>0</v>
      </c>
      <c r="BG235" s="4284">
        <f t="shared" si="138"/>
        <v>0</v>
      </c>
      <c r="BH235" s="4284">
        <f t="shared" si="139"/>
        <v>0</v>
      </c>
      <c r="BI235" s="4284">
        <f t="shared" si="140"/>
        <v>0</v>
      </c>
      <c r="BJ235" s="4284">
        <f t="shared" si="141"/>
        <v>0</v>
      </c>
      <c r="BK235" s="4284">
        <f t="shared" si="142"/>
        <v>0</v>
      </c>
      <c r="BL235" s="4284">
        <f t="shared" si="143"/>
        <v>0</v>
      </c>
      <c r="BM235" s="4284">
        <f t="shared" si="144"/>
        <v>0</v>
      </c>
      <c r="BN235" s="4284">
        <f t="shared" si="145"/>
        <v>0</v>
      </c>
      <c r="BO235" s="4284">
        <f t="shared" si="146"/>
        <v>0</v>
      </c>
      <c r="BP235" s="4284">
        <f t="shared" si="147"/>
        <v>0</v>
      </c>
      <c r="BQ235" s="4284">
        <f t="shared" si="148"/>
        <v>0</v>
      </c>
      <c r="BR235" s="4284">
        <f t="shared" si="149"/>
        <v>0</v>
      </c>
      <c r="BS235" s="4284">
        <f t="shared" si="150"/>
        <v>0</v>
      </c>
      <c r="BT235" s="4285">
        <f t="shared" si="151"/>
        <v>0</v>
      </c>
    </row>
    <row r="236" spans="1:72">
      <c r="A236" s="4278"/>
      <c r="B236" s="4279"/>
      <c r="C236" s="4279"/>
      <c r="D236" s="4280"/>
      <c r="E236" s="1188">
        <f t="shared" si="123"/>
        <v>0</v>
      </c>
      <c r="F236" s="1680"/>
      <c r="G236" s="4281">
        <f t="shared" si="124"/>
        <v>0</v>
      </c>
      <c r="H236" s="3457">
        <f t="shared" si="125"/>
        <v>0</v>
      </c>
      <c r="I236" s="4282"/>
      <c r="J236" s="4282"/>
      <c r="K236" s="4282"/>
      <c r="L236" s="4282"/>
      <c r="M236" s="4282"/>
      <c r="N236" s="4282"/>
      <c r="O236" s="4282"/>
      <c r="P236" s="4282"/>
      <c r="Q236" s="4282"/>
      <c r="R236" s="4282"/>
      <c r="S236" s="4282"/>
      <c r="T236" s="4282"/>
      <c r="U236" s="4282"/>
      <c r="V236" s="4282"/>
      <c r="W236" s="4282"/>
      <c r="X236" s="4282"/>
      <c r="Y236" s="4282"/>
      <c r="Z236" s="4282"/>
      <c r="AA236" s="4282"/>
      <c r="AB236" s="4282"/>
      <c r="AC236" s="1188">
        <f t="shared" si="126"/>
        <v>0</v>
      </c>
      <c r="AD236" s="4278"/>
      <c r="AE236" s="4278"/>
      <c r="AF236" s="4278"/>
      <c r="AG236" s="4278"/>
      <c r="AH236" s="4278"/>
      <c r="AI236" s="4278"/>
      <c r="AJ236" s="4278"/>
      <c r="AK236" s="4278"/>
      <c r="AL236" s="4278"/>
      <c r="AM236" s="4278"/>
      <c r="AN236" s="4278"/>
      <c r="AO236" s="4278"/>
      <c r="AP236" s="4278"/>
      <c r="AQ236" s="4278"/>
      <c r="AR236" s="4278"/>
      <c r="AS236" s="4278"/>
      <c r="AT236" s="4279"/>
      <c r="AU236" s="4283"/>
      <c r="AV236" s="1188">
        <f t="shared" si="127"/>
        <v>0</v>
      </c>
      <c r="AW236" s="1188">
        <f t="shared" si="128"/>
        <v>0</v>
      </c>
      <c r="AX236" s="1188">
        <f t="shared" si="129"/>
        <v>0</v>
      </c>
      <c r="AY236" s="1452">
        <f t="shared" si="130"/>
        <v>0</v>
      </c>
      <c r="AZ236" s="4284">
        <f t="shared" si="131"/>
        <v>0</v>
      </c>
      <c r="BA236" s="4284">
        <f t="shared" si="132"/>
        <v>0</v>
      </c>
      <c r="BB236" s="4284">
        <f t="shared" si="133"/>
        <v>0</v>
      </c>
      <c r="BC236" s="4284">
        <f t="shared" si="134"/>
        <v>0</v>
      </c>
      <c r="BD236" s="4284">
        <f t="shared" si="135"/>
        <v>0</v>
      </c>
      <c r="BE236" s="4284">
        <f t="shared" si="136"/>
        <v>0</v>
      </c>
      <c r="BF236" s="4284">
        <f t="shared" si="137"/>
        <v>0</v>
      </c>
      <c r="BG236" s="4284">
        <f t="shared" si="138"/>
        <v>0</v>
      </c>
      <c r="BH236" s="4284">
        <f t="shared" si="139"/>
        <v>0</v>
      </c>
      <c r="BI236" s="4284">
        <f t="shared" si="140"/>
        <v>0</v>
      </c>
      <c r="BJ236" s="4284">
        <f t="shared" si="141"/>
        <v>0</v>
      </c>
      <c r="BK236" s="4284">
        <f t="shared" si="142"/>
        <v>0</v>
      </c>
      <c r="BL236" s="4284">
        <f t="shared" si="143"/>
        <v>0</v>
      </c>
      <c r="BM236" s="4284">
        <f t="shared" si="144"/>
        <v>0</v>
      </c>
      <c r="BN236" s="4284">
        <f t="shared" si="145"/>
        <v>0</v>
      </c>
      <c r="BO236" s="4284">
        <f t="shared" si="146"/>
        <v>0</v>
      </c>
      <c r="BP236" s="4284">
        <f t="shared" si="147"/>
        <v>0</v>
      </c>
      <c r="BQ236" s="4284">
        <f t="shared" si="148"/>
        <v>0</v>
      </c>
      <c r="BR236" s="4284">
        <f t="shared" si="149"/>
        <v>0</v>
      </c>
      <c r="BS236" s="4284">
        <f t="shared" si="150"/>
        <v>0</v>
      </c>
      <c r="BT236" s="4285">
        <f t="shared" si="151"/>
        <v>0</v>
      </c>
    </row>
    <row r="237" spans="1:72">
      <c r="A237" s="4278"/>
      <c r="B237" s="4279"/>
      <c r="C237" s="4279"/>
      <c r="D237" s="4280"/>
      <c r="E237" s="1188">
        <f t="shared" si="123"/>
        <v>0</v>
      </c>
      <c r="F237" s="1680"/>
      <c r="G237" s="4281">
        <f t="shared" si="124"/>
        <v>0</v>
      </c>
      <c r="H237" s="3457">
        <f t="shared" si="125"/>
        <v>0</v>
      </c>
      <c r="I237" s="4282"/>
      <c r="J237" s="4282"/>
      <c r="K237" s="4282"/>
      <c r="L237" s="4282"/>
      <c r="M237" s="4282"/>
      <c r="N237" s="4282"/>
      <c r="O237" s="4282"/>
      <c r="P237" s="4282"/>
      <c r="Q237" s="4282"/>
      <c r="R237" s="4282"/>
      <c r="S237" s="4282"/>
      <c r="T237" s="4282"/>
      <c r="U237" s="4282"/>
      <c r="V237" s="4282"/>
      <c r="W237" s="4282"/>
      <c r="X237" s="4282"/>
      <c r="Y237" s="4282"/>
      <c r="Z237" s="4282"/>
      <c r="AA237" s="4282"/>
      <c r="AB237" s="4282"/>
      <c r="AC237" s="1188">
        <f t="shared" si="126"/>
        <v>0</v>
      </c>
      <c r="AD237" s="4278"/>
      <c r="AE237" s="4278"/>
      <c r="AF237" s="4278"/>
      <c r="AG237" s="4278"/>
      <c r="AH237" s="4278"/>
      <c r="AI237" s="4278"/>
      <c r="AJ237" s="4278"/>
      <c r="AK237" s="4278"/>
      <c r="AL237" s="4278"/>
      <c r="AM237" s="4278"/>
      <c r="AN237" s="4278"/>
      <c r="AO237" s="4278"/>
      <c r="AP237" s="4278"/>
      <c r="AQ237" s="4278"/>
      <c r="AR237" s="4278"/>
      <c r="AS237" s="4278"/>
      <c r="AT237" s="4279"/>
      <c r="AU237" s="4283"/>
      <c r="AV237" s="1188">
        <f t="shared" si="127"/>
        <v>0</v>
      </c>
      <c r="AW237" s="1188">
        <f t="shared" si="128"/>
        <v>0</v>
      </c>
      <c r="AX237" s="1188">
        <f t="shared" si="129"/>
        <v>0</v>
      </c>
      <c r="AY237" s="1452">
        <f t="shared" si="130"/>
        <v>0</v>
      </c>
      <c r="AZ237" s="4284">
        <f t="shared" si="131"/>
        <v>0</v>
      </c>
      <c r="BA237" s="4284">
        <f t="shared" si="132"/>
        <v>0</v>
      </c>
      <c r="BB237" s="4284">
        <f t="shared" si="133"/>
        <v>0</v>
      </c>
      <c r="BC237" s="4284">
        <f t="shared" si="134"/>
        <v>0</v>
      </c>
      <c r="BD237" s="4284">
        <f t="shared" si="135"/>
        <v>0</v>
      </c>
      <c r="BE237" s="4284">
        <f t="shared" si="136"/>
        <v>0</v>
      </c>
      <c r="BF237" s="4284">
        <f t="shared" si="137"/>
        <v>0</v>
      </c>
      <c r="BG237" s="4284">
        <f t="shared" si="138"/>
        <v>0</v>
      </c>
      <c r="BH237" s="4284">
        <f t="shared" si="139"/>
        <v>0</v>
      </c>
      <c r="BI237" s="4284">
        <f t="shared" si="140"/>
        <v>0</v>
      </c>
      <c r="BJ237" s="4284">
        <f t="shared" si="141"/>
        <v>0</v>
      </c>
      <c r="BK237" s="4284">
        <f t="shared" si="142"/>
        <v>0</v>
      </c>
      <c r="BL237" s="4284">
        <f t="shared" si="143"/>
        <v>0</v>
      </c>
      <c r="BM237" s="4284">
        <f t="shared" si="144"/>
        <v>0</v>
      </c>
      <c r="BN237" s="4284">
        <f t="shared" si="145"/>
        <v>0</v>
      </c>
      <c r="BO237" s="4284">
        <f t="shared" si="146"/>
        <v>0</v>
      </c>
      <c r="BP237" s="4284">
        <f t="shared" si="147"/>
        <v>0</v>
      </c>
      <c r="BQ237" s="4284">
        <f t="shared" si="148"/>
        <v>0</v>
      </c>
      <c r="BR237" s="4284">
        <f t="shared" si="149"/>
        <v>0</v>
      </c>
      <c r="BS237" s="4284">
        <f t="shared" si="150"/>
        <v>0</v>
      </c>
      <c r="BT237" s="4285">
        <f t="shared" si="151"/>
        <v>0</v>
      </c>
    </row>
    <row r="238" spans="1:72">
      <c r="A238" s="4278"/>
      <c r="B238" s="4279"/>
      <c r="C238" s="4279"/>
      <c r="D238" s="4280"/>
      <c r="E238" s="1188">
        <f t="shared" si="123"/>
        <v>0</v>
      </c>
      <c r="F238" s="1680"/>
      <c r="G238" s="4281">
        <f t="shared" si="124"/>
        <v>0</v>
      </c>
      <c r="H238" s="3457">
        <f t="shared" si="125"/>
        <v>0</v>
      </c>
      <c r="I238" s="4282"/>
      <c r="J238" s="4282"/>
      <c r="K238" s="4282"/>
      <c r="L238" s="4282"/>
      <c r="M238" s="4282"/>
      <c r="N238" s="4282"/>
      <c r="O238" s="4282"/>
      <c r="P238" s="4282"/>
      <c r="Q238" s="4282"/>
      <c r="R238" s="4282"/>
      <c r="S238" s="4282"/>
      <c r="T238" s="4282"/>
      <c r="U238" s="4282"/>
      <c r="V238" s="4282"/>
      <c r="W238" s="4282"/>
      <c r="X238" s="4282"/>
      <c r="Y238" s="4282"/>
      <c r="Z238" s="4282"/>
      <c r="AA238" s="4282"/>
      <c r="AB238" s="4282"/>
      <c r="AC238" s="1188">
        <f t="shared" si="126"/>
        <v>0</v>
      </c>
      <c r="AD238" s="4278"/>
      <c r="AE238" s="4278"/>
      <c r="AF238" s="4278"/>
      <c r="AG238" s="4278"/>
      <c r="AH238" s="4278"/>
      <c r="AI238" s="4278"/>
      <c r="AJ238" s="4278"/>
      <c r="AK238" s="4278"/>
      <c r="AL238" s="4278"/>
      <c r="AM238" s="4278"/>
      <c r="AN238" s="4278"/>
      <c r="AO238" s="4278"/>
      <c r="AP238" s="4278"/>
      <c r="AQ238" s="4278"/>
      <c r="AR238" s="4278"/>
      <c r="AS238" s="4278"/>
      <c r="AT238" s="4279"/>
      <c r="AU238" s="4283"/>
      <c r="AV238" s="1188">
        <f t="shared" si="127"/>
        <v>0</v>
      </c>
      <c r="AW238" s="1188">
        <f t="shared" si="128"/>
        <v>0</v>
      </c>
      <c r="AX238" s="1188">
        <f t="shared" si="129"/>
        <v>0</v>
      </c>
      <c r="AY238" s="1452">
        <f t="shared" si="130"/>
        <v>0</v>
      </c>
      <c r="AZ238" s="4284">
        <f t="shared" si="131"/>
        <v>0</v>
      </c>
      <c r="BA238" s="4284">
        <f t="shared" si="132"/>
        <v>0</v>
      </c>
      <c r="BB238" s="4284">
        <f t="shared" si="133"/>
        <v>0</v>
      </c>
      <c r="BC238" s="4284">
        <f t="shared" si="134"/>
        <v>0</v>
      </c>
      <c r="BD238" s="4284">
        <f t="shared" si="135"/>
        <v>0</v>
      </c>
      <c r="BE238" s="4284">
        <f t="shared" si="136"/>
        <v>0</v>
      </c>
      <c r="BF238" s="4284">
        <f t="shared" si="137"/>
        <v>0</v>
      </c>
      <c r="BG238" s="4284">
        <f t="shared" si="138"/>
        <v>0</v>
      </c>
      <c r="BH238" s="4284">
        <f t="shared" si="139"/>
        <v>0</v>
      </c>
      <c r="BI238" s="4284">
        <f t="shared" si="140"/>
        <v>0</v>
      </c>
      <c r="BJ238" s="4284">
        <f t="shared" si="141"/>
        <v>0</v>
      </c>
      <c r="BK238" s="4284">
        <f t="shared" si="142"/>
        <v>0</v>
      </c>
      <c r="BL238" s="4284">
        <f t="shared" si="143"/>
        <v>0</v>
      </c>
      <c r="BM238" s="4284">
        <f t="shared" si="144"/>
        <v>0</v>
      </c>
      <c r="BN238" s="4284">
        <f t="shared" si="145"/>
        <v>0</v>
      </c>
      <c r="BO238" s="4284">
        <f t="shared" si="146"/>
        <v>0</v>
      </c>
      <c r="BP238" s="4284">
        <f t="shared" si="147"/>
        <v>0</v>
      </c>
      <c r="BQ238" s="4284">
        <f t="shared" si="148"/>
        <v>0</v>
      </c>
      <c r="BR238" s="4284">
        <f t="shared" si="149"/>
        <v>0</v>
      </c>
      <c r="BS238" s="4284">
        <f t="shared" si="150"/>
        <v>0</v>
      </c>
      <c r="BT238" s="4285">
        <f t="shared" si="151"/>
        <v>0</v>
      </c>
    </row>
    <row r="239" spans="1:72">
      <c r="A239" s="4278"/>
      <c r="B239" s="4279"/>
      <c r="C239" s="4279"/>
      <c r="D239" s="4280"/>
      <c r="E239" s="1188">
        <f t="shared" si="123"/>
        <v>0</v>
      </c>
      <c r="F239" s="1680"/>
      <c r="G239" s="4281">
        <f t="shared" si="124"/>
        <v>0</v>
      </c>
      <c r="H239" s="3457">
        <f t="shared" si="125"/>
        <v>0</v>
      </c>
      <c r="I239" s="4282"/>
      <c r="J239" s="4282"/>
      <c r="K239" s="4282"/>
      <c r="L239" s="4282"/>
      <c r="M239" s="4282"/>
      <c r="N239" s="4282"/>
      <c r="O239" s="4282"/>
      <c r="P239" s="4282"/>
      <c r="Q239" s="4282"/>
      <c r="R239" s="4282"/>
      <c r="S239" s="4282"/>
      <c r="T239" s="4282"/>
      <c r="U239" s="4282"/>
      <c r="V239" s="4282"/>
      <c r="W239" s="4282"/>
      <c r="X239" s="4282"/>
      <c r="Y239" s="4282"/>
      <c r="Z239" s="4282"/>
      <c r="AA239" s="4282"/>
      <c r="AB239" s="4282"/>
      <c r="AC239" s="1188">
        <f t="shared" si="126"/>
        <v>0</v>
      </c>
      <c r="AD239" s="4278"/>
      <c r="AE239" s="4278"/>
      <c r="AF239" s="4278"/>
      <c r="AG239" s="4278"/>
      <c r="AH239" s="4278"/>
      <c r="AI239" s="4278"/>
      <c r="AJ239" s="4278"/>
      <c r="AK239" s="4278"/>
      <c r="AL239" s="4278"/>
      <c r="AM239" s="4278"/>
      <c r="AN239" s="4278"/>
      <c r="AO239" s="4278"/>
      <c r="AP239" s="4278"/>
      <c r="AQ239" s="4278"/>
      <c r="AR239" s="4278"/>
      <c r="AS239" s="4278"/>
      <c r="AT239" s="4279"/>
      <c r="AU239" s="4283"/>
      <c r="AV239" s="1188">
        <f t="shared" si="127"/>
        <v>0</v>
      </c>
      <c r="AW239" s="1188">
        <f t="shared" si="128"/>
        <v>0</v>
      </c>
      <c r="AX239" s="1188">
        <f t="shared" si="129"/>
        <v>0</v>
      </c>
      <c r="AY239" s="1452">
        <f t="shared" si="130"/>
        <v>0</v>
      </c>
      <c r="AZ239" s="4284">
        <f t="shared" si="131"/>
        <v>0</v>
      </c>
      <c r="BA239" s="4284">
        <f t="shared" si="132"/>
        <v>0</v>
      </c>
      <c r="BB239" s="4284">
        <f t="shared" si="133"/>
        <v>0</v>
      </c>
      <c r="BC239" s="4284">
        <f t="shared" si="134"/>
        <v>0</v>
      </c>
      <c r="BD239" s="4284">
        <f t="shared" si="135"/>
        <v>0</v>
      </c>
      <c r="BE239" s="4284">
        <f t="shared" si="136"/>
        <v>0</v>
      </c>
      <c r="BF239" s="4284">
        <f t="shared" si="137"/>
        <v>0</v>
      </c>
      <c r="BG239" s="4284">
        <f t="shared" si="138"/>
        <v>0</v>
      </c>
      <c r="BH239" s="4284">
        <f t="shared" si="139"/>
        <v>0</v>
      </c>
      <c r="BI239" s="4284">
        <f t="shared" si="140"/>
        <v>0</v>
      </c>
      <c r="BJ239" s="4284">
        <f t="shared" si="141"/>
        <v>0</v>
      </c>
      <c r="BK239" s="4284">
        <f t="shared" si="142"/>
        <v>0</v>
      </c>
      <c r="BL239" s="4284">
        <f t="shared" si="143"/>
        <v>0</v>
      </c>
      <c r="BM239" s="4284">
        <f t="shared" si="144"/>
        <v>0</v>
      </c>
      <c r="BN239" s="4284">
        <f t="shared" si="145"/>
        <v>0</v>
      </c>
      <c r="BO239" s="4284">
        <f t="shared" si="146"/>
        <v>0</v>
      </c>
      <c r="BP239" s="4284">
        <f t="shared" si="147"/>
        <v>0</v>
      </c>
      <c r="BQ239" s="4284">
        <f t="shared" si="148"/>
        <v>0</v>
      </c>
      <c r="BR239" s="4284">
        <f t="shared" si="149"/>
        <v>0</v>
      </c>
      <c r="BS239" s="4284">
        <f t="shared" si="150"/>
        <v>0</v>
      </c>
      <c r="BT239" s="4285">
        <f t="shared" si="151"/>
        <v>0</v>
      </c>
    </row>
    <row r="240" spans="1:72">
      <c r="A240" s="4278"/>
      <c r="B240" s="4279"/>
      <c r="C240" s="4279"/>
      <c r="D240" s="4280"/>
      <c r="E240" s="1188">
        <f t="shared" si="123"/>
        <v>0</v>
      </c>
      <c r="F240" s="1680"/>
      <c r="G240" s="4281">
        <f t="shared" si="124"/>
        <v>0</v>
      </c>
      <c r="H240" s="3457">
        <f t="shared" si="125"/>
        <v>0</v>
      </c>
      <c r="I240" s="4282"/>
      <c r="J240" s="4282"/>
      <c r="K240" s="4282"/>
      <c r="L240" s="4282"/>
      <c r="M240" s="4282"/>
      <c r="N240" s="4282"/>
      <c r="O240" s="4282"/>
      <c r="P240" s="4282"/>
      <c r="Q240" s="4282"/>
      <c r="R240" s="4282"/>
      <c r="S240" s="4282"/>
      <c r="T240" s="4282"/>
      <c r="U240" s="4282"/>
      <c r="V240" s="4282"/>
      <c r="W240" s="4282"/>
      <c r="X240" s="4282"/>
      <c r="Y240" s="4282"/>
      <c r="Z240" s="4282"/>
      <c r="AA240" s="4282"/>
      <c r="AB240" s="4282"/>
      <c r="AC240" s="1188">
        <f t="shared" si="126"/>
        <v>0</v>
      </c>
      <c r="AD240" s="4278"/>
      <c r="AE240" s="4278"/>
      <c r="AF240" s="4278"/>
      <c r="AG240" s="4278"/>
      <c r="AH240" s="4278"/>
      <c r="AI240" s="4278"/>
      <c r="AJ240" s="4278"/>
      <c r="AK240" s="4278"/>
      <c r="AL240" s="4278"/>
      <c r="AM240" s="4278"/>
      <c r="AN240" s="4278"/>
      <c r="AO240" s="4278"/>
      <c r="AP240" s="4278"/>
      <c r="AQ240" s="4278"/>
      <c r="AR240" s="4278"/>
      <c r="AS240" s="4278"/>
      <c r="AT240" s="4279"/>
      <c r="AU240" s="4283"/>
      <c r="AV240" s="1188">
        <f t="shared" si="127"/>
        <v>0</v>
      </c>
      <c r="AW240" s="1188">
        <f t="shared" si="128"/>
        <v>0</v>
      </c>
      <c r="AX240" s="1188">
        <f t="shared" si="129"/>
        <v>0</v>
      </c>
      <c r="AY240" s="1452">
        <f t="shared" si="130"/>
        <v>0</v>
      </c>
      <c r="AZ240" s="4284">
        <f t="shared" si="131"/>
        <v>0</v>
      </c>
      <c r="BA240" s="4284">
        <f t="shared" si="132"/>
        <v>0</v>
      </c>
      <c r="BB240" s="4284">
        <f t="shared" si="133"/>
        <v>0</v>
      </c>
      <c r="BC240" s="4284">
        <f t="shared" si="134"/>
        <v>0</v>
      </c>
      <c r="BD240" s="4284">
        <f t="shared" si="135"/>
        <v>0</v>
      </c>
      <c r="BE240" s="4284">
        <f t="shared" si="136"/>
        <v>0</v>
      </c>
      <c r="BF240" s="4284">
        <f t="shared" si="137"/>
        <v>0</v>
      </c>
      <c r="BG240" s="4284">
        <f t="shared" si="138"/>
        <v>0</v>
      </c>
      <c r="BH240" s="4284">
        <f t="shared" si="139"/>
        <v>0</v>
      </c>
      <c r="BI240" s="4284">
        <f t="shared" si="140"/>
        <v>0</v>
      </c>
      <c r="BJ240" s="4284">
        <f t="shared" si="141"/>
        <v>0</v>
      </c>
      <c r="BK240" s="4284">
        <f t="shared" si="142"/>
        <v>0</v>
      </c>
      <c r="BL240" s="4284">
        <f t="shared" si="143"/>
        <v>0</v>
      </c>
      <c r="BM240" s="4284">
        <f t="shared" si="144"/>
        <v>0</v>
      </c>
      <c r="BN240" s="4284">
        <f t="shared" si="145"/>
        <v>0</v>
      </c>
      <c r="BO240" s="4284">
        <f t="shared" si="146"/>
        <v>0</v>
      </c>
      <c r="BP240" s="4284">
        <f t="shared" si="147"/>
        <v>0</v>
      </c>
      <c r="BQ240" s="4284">
        <f t="shared" si="148"/>
        <v>0</v>
      </c>
      <c r="BR240" s="4284">
        <f t="shared" si="149"/>
        <v>0</v>
      </c>
      <c r="BS240" s="4284">
        <f t="shared" si="150"/>
        <v>0</v>
      </c>
      <c r="BT240" s="4285">
        <f t="shared" si="151"/>
        <v>0</v>
      </c>
    </row>
    <row r="241" spans="1:72">
      <c r="A241" s="4278"/>
      <c r="B241" s="4279"/>
      <c r="C241" s="4279"/>
      <c r="D241" s="4280"/>
      <c r="E241" s="1188">
        <f t="shared" si="123"/>
        <v>0</v>
      </c>
      <c r="F241" s="1680"/>
      <c r="G241" s="4281">
        <f t="shared" si="124"/>
        <v>0</v>
      </c>
      <c r="H241" s="3457">
        <f t="shared" si="125"/>
        <v>0</v>
      </c>
      <c r="I241" s="4282"/>
      <c r="J241" s="4282"/>
      <c r="K241" s="4282"/>
      <c r="L241" s="4282"/>
      <c r="M241" s="4282"/>
      <c r="N241" s="4282"/>
      <c r="O241" s="4282"/>
      <c r="P241" s="4282"/>
      <c r="Q241" s="4282"/>
      <c r="R241" s="4282"/>
      <c r="S241" s="4282"/>
      <c r="T241" s="4282"/>
      <c r="U241" s="4282"/>
      <c r="V241" s="4282"/>
      <c r="W241" s="4282"/>
      <c r="X241" s="4282"/>
      <c r="Y241" s="4282"/>
      <c r="Z241" s="4282"/>
      <c r="AA241" s="4282"/>
      <c r="AB241" s="4282"/>
      <c r="AC241" s="1188">
        <f t="shared" si="126"/>
        <v>0</v>
      </c>
      <c r="AD241" s="4278"/>
      <c r="AE241" s="4278"/>
      <c r="AF241" s="4278"/>
      <c r="AG241" s="4278"/>
      <c r="AH241" s="4278"/>
      <c r="AI241" s="4278"/>
      <c r="AJ241" s="4278"/>
      <c r="AK241" s="4278"/>
      <c r="AL241" s="4278"/>
      <c r="AM241" s="4278"/>
      <c r="AN241" s="4278"/>
      <c r="AO241" s="4278"/>
      <c r="AP241" s="4278"/>
      <c r="AQ241" s="4278"/>
      <c r="AR241" s="4278"/>
      <c r="AS241" s="4278"/>
      <c r="AT241" s="4279"/>
      <c r="AU241" s="4283"/>
      <c r="AV241" s="1188">
        <f t="shared" si="127"/>
        <v>0</v>
      </c>
      <c r="AW241" s="1188">
        <f t="shared" si="128"/>
        <v>0</v>
      </c>
      <c r="AX241" s="1188">
        <f t="shared" si="129"/>
        <v>0</v>
      </c>
      <c r="AY241" s="1452">
        <f t="shared" si="130"/>
        <v>0</v>
      </c>
      <c r="AZ241" s="4284">
        <f t="shared" si="131"/>
        <v>0</v>
      </c>
      <c r="BA241" s="4284">
        <f t="shared" si="132"/>
        <v>0</v>
      </c>
      <c r="BB241" s="4284">
        <f t="shared" si="133"/>
        <v>0</v>
      </c>
      <c r="BC241" s="4284">
        <f t="shared" si="134"/>
        <v>0</v>
      </c>
      <c r="BD241" s="4284">
        <f t="shared" si="135"/>
        <v>0</v>
      </c>
      <c r="BE241" s="4284">
        <f t="shared" si="136"/>
        <v>0</v>
      </c>
      <c r="BF241" s="4284">
        <f t="shared" si="137"/>
        <v>0</v>
      </c>
      <c r="BG241" s="4284">
        <f t="shared" si="138"/>
        <v>0</v>
      </c>
      <c r="BH241" s="4284">
        <f t="shared" si="139"/>
        <v>0</v>
      </c>
      <c r="BI241" s="4284">
        <f t="shared" si="140"/>
        <v>0</v>
      </c>
      <c r="BJ241" s="4284">
        <f t="shared" si="141"/>
        <v>0</v>
      </c>
      <c r="BK241" s="4284">
        <f t="shared" si="142"/>
        <v>0</v>
      </c>
      <c r="BL241" s="4284">
        <f t="shared" si="143"/>
        <v>0</v>
      </c>
      <c r="BM241" s="4284">
        <f t="shared" si="144"/>
        <v>0</v>
      </c>
      <c r="BN241" s="4284">
        <f t="shared" si="145"/>
        <v>0</v>
      </c>
      <c r="BO241" s="4284">
        <f t="shared" si="146"/>
        <v>0</v>
      </c>
      <c r="BP241" s="4284">
        <f t="shared" si="147"/>
        <v>0</v>
      </c>
      <c r="BQ241" s="4284">
        <f t="shared" si="148"/>
        <v>0</v>
      </c>
      <c r="BR241" s="4284">
        <f t="shared" si="149"/>
        <v>0</v>
      </c>
      <c r="BS241" s="4284">
        <f t="shared" si="150"/>
        <v>0</v>
      </c>
      <c r="BT241" s="4285">
        <f t="shared" si="151"/>
        <v>0</v>
      </c>
    </row>
    <row r="242" spans="1:72">
      <c r="A242" s="4278"/>
      <c r="B242" s="4279"/>
      <c r="C242" s="4279"/>
      <c r="D242" s="4280"/>
      <c r="E242" s="1188">
        <f t="shared" si="123"/>
        <v>0</v>
      </c>
      <c r="F242" s="1680"/>
      <c r="G242" s="4281">
        <f t="shared" si="124"/>
        <v>0</v>
      </c>
      <c r="H242" s="3457">
        <f t="shared" si="125"/>
        <v>0</v>
      </c>
      <c r="I242" s="4282"/>
      <c r="J242" s="4282"/>
      <c r="K242" s="4282"/>
      <c r="L242" s="4282"/>
      <c r="M242" s="4282"/>
      <c r="N242" s="4282"/>
      <c r="O242" s="4282"/>
      <c r="P242" s="4282"/>
      <c r="Q242" s="4282"/>
      <c r="R242" s="4282"/>
      <c r="S242" s="4282"/>
      <c r="T242" s="4282"/>
      <c r="U242" s="4282"/>
      <c r="V242" s="4282"/>
      <c r="W242" s="4282"/>
      <c r="X242" s="4282"/>
      <c r="Y242" s="4282"/>
      <c r="Z242" s="4282"/>
      <c r="AA242" s="4282"/>
      <c r="AB242" s="4282"/>
      <c r="AC242" s="1188">
        <f t="shared" si="126"/>
        <v>0</v>
      </c>
      <c r="AD242" s="4278"/>
      <c r="AE242" s="4278"/>
      <c r="AF242" s="4278"/>
      <c r="AG242" s="4278"/>
      <c r="AH242" s="4278"/>
      <c r="AI242" s="4278"/>
      <c r="AJ242" s="4278"/>
      <c r="AK242" s="4278"/>
      <c r="AL242" s="4278"/>
      <c r="AM242" s="4278"/>
      <c r="AN242" s="4278"/>
      <c r="AO242" s="4278"/>
      <c r="AP242" s="4278"/>
      <c r="AQ242" s="4278"/>
      <c r="AR242" s="4278"/>
      <c r="AS242" s="4278"/>
      <c r="AT242" s="4279"/>
      <c r="AU242" s="4283"/>
      <c r="AV242" s="1188">
        <f t="shared" si="127"/>
        <v>0</v>
      </c>
      <c r="AW242" s="1188">
        <f t="shared" si="128"/>
        <v>0</v>
      </c>
      <c r="AX242" s="1188">
        <f t="shared" si="129"/>
        <v>0</v>
      </c>
      <c r="AY242" s="1452">
        <f t="shared" si="130"/>
        <v>0</v>
      </c>
      <c r="AZ242" s="4284">
        <f t="shared" si="131"/>
        <v>0</v>
      </c>
      <c r="BA242" s="4284">
        <f t="shared" si="132"/>
        <v>0</v>
      </c>
      <c r="BB242" s="4284">
        <f t="shared" si="133"/>
        <v>0</v>
      </c>
      <c r="BC242" s="4284">
        <f t="shared" si="134"/>
        <v>0</v>
      </c>
      <c r="BD242" s="4284">
        <f t="shared" si="135"/>
        <v>0</v>
      </c>
      <c r="BE242" s="4284">
        <f t="shared" si="136"/>
        <v>0</v>
      </c>
      <c r="BF242" s="4284">
        <f t="shared" si="137"/>
        <v>0</v>
      </c>
      <c r="BG242" s="4284">
        <f t="shared" si="138"/>
        <v>0</v>
      </c>
      <c r="BH242" s="4284">
        <f t="shared" si="139"/>
        <v>0</v>
      </c>
      <c r="BI242" s="4284">
        <f t="shared" si="140"/>
        <v>0</v>
      </c>
      <c r="BJ242" s="4284">
        <f t="shared" si="141"/>
        <v>0</v>
      </c>
      <c r="BK242" s="4284">
        <f t="shared" si="142"/>
        <v>0</v>
      </c>
      <c r="BL242" s="4284">
        <f t="shared" si="143"/>
        <v>0</v>
      </c>
      <c r="BM242" s="4284">
        <f t="shared" si="144"/>
        <v>0</v>
      </c>
      <c r="BN242" s="4284">
        <f t="shared" si="145"/>
        <v>0</v>
      </c>
      <c r="BO242" s="4284">
        <f t="shared" si="146"/>
        <v>0</v>
      </c>
      <c r="BP242" s="4284">
        <f t="shared" si="147"/>
        <v>0</v>
      </c>
      <c r="BQ242" s="4284">
        <f t="shared" si="148"/>
        <v>0</v>
      </c>
      <c r="BR242" s="4284">
        <f t="shared" si="149"/>
        <v>0</v>
      </c>
      <c r="BS242" s="4284">
        <f t="shared" si="150"/>
        <v>0</v>
      </c>
      <c r="BT242" s="4285">
        <f t="shared" si="151"/>
        <v>0</v>
      </c>
    </row>
    <row r="243" spans="1:72">
      <c r="A243" s="4278"/>
      <c r="B243" s="4279"/>
      <c r="C243" s="4279"/>
      <c r="D243" s="4280"/>
      <c r="E243" s="1188">
        <f t="shared" si="123"/>
        <v>0</v>
      </c>
      <c r="F243" s="1680"/>
      <c r="G243" s="4281">
        <f t="shared" si="124"/>
        <v>0</v>
      </c>
      <c r="H243" s="3457">
        <f t="shared" si="125"/>
        <v>0</v>
      </c>
      <c r="I243" s="4282"/>
      <c r="J243" s="4282"/>
      <c r="K243" s="4282"/>
      <c r="L243" s="4282"/>
      <c r="M243" s="4282"/>
      <c r="N243" s="4282"/>
      <c r="O243" s="4282"/>
      <c r="P243" s="4282"/>
      <c r="Q243" s="4282"/>
      <c r="R243" s="4282"/>
      <c r="S243" s="4282"/>
      <c r="T243" s="4282"/>
      <c r="U243" s="4282"/>
      <c r="V243" s="4282"/>
      <c r="W243" s="4282"/>
      <c r="X243" s="4282"/>
      <c r="Y243" s="4282"/>
      <c r="Z243" s="4282"/>
      <c r="AA243" s="4282"/>
      <c r="AB243" s="4282"/>
      <c r="AC243" s="1188">
        <f t="shared" si="126"/>
        <v>0</v>
      </c>
      <c r="AD243" s="4278"/>
      <c r="AE243" s="4278"/>
      <c r="AF243" s="4278"/>
      <c r="AG243" s="4278"/>
      <c r="AH243" s="4278"/>
      <c r="AI243" s="4278"/>
      <c r="AJ243" s="4278"/>
      <c r="AK243" s="4278"/>
      <c r="AL243" s="4278"/>
      <c r="AM243" s="4278"/>
      <c r="AN243" s="4278"/>
      <c r="AO243" s="4278"/>
      <c r="AP243" s="4278"/>
      <c r="AQ243" s="4278"/>
      <c r="AR243" s="4278"/>
      <c r="AS243" s="4278"/>
      <c r="AT243" s="4279"/>
      <c r="AU243" s="4283"/>
      <c r="AV243" s="1188">
        <f t="shared" si="127"/>
        <v>0</v>
      </c>
      <c r="AW243" s="1188">
        <f t="shared" si="128"/>
        <v>0</v>
      </c>
      <c r="AX243" s="1188">
        <f t="shared" si="129"/>
        <v>0</v>
      </c>
      <c r="AY243" s="1452">
        <f t="shared" si="130"/>
        <v>0</v>
      </c>
      <c r="AZ243" s="4284">
        <f t="shared" si="131"/>
        <v>0</v>
      </c>
      <c r="BA243" s="4284">
        <f t="shared" si="132"/>
        <v>0</v>
      </c>
      <c r="BB243" s="4284">
        <f t="shared" si="133"/>
        <v>0</v>
      </c>
      <c r="BC243" s="4284">
        <f t="shared" si="134"/>
        <v>0</v>
      </c>
      <c r="BD243" s="4284">
        <f t="shared" si="135"/>
        <v>0</v>
      </c>
      <c r="BE243" s="4284">
        <f t="shared" si="136"/>
        <v>0</v>
      </c>
      <c r="BF243" s="4284">
        <f t="shared" si="137"/>
        <v>0</v>
      </c>
      <c r="BG243" s="4284">
        <f t="shared" si="138"/>
        <v>0</v>
      </c>
      <c r="BH243" s="4284">
        <f t="shared" si="139"/>
        <v>0</v>
      </c>
      <c r="BI243" s="4284">
        <f t="shared" si="140"/>
        <v>0</v>
      </c>
      <c r="BJ243" s="4284">
        <f t="shared" si="141"/>
        <v>0</v>
      </c>
      <c r="BK243" s="4284">
        <f t="shared" si="142"/>
        <v>0</v>
      </c>
      <c r="BL243" s="4284">
        <f t="shared" si="143"/>
        <v>0</v>
      </c>
      <c r="BM243" s="4284">
        <f t="shared" si="144"/>
        <v>0</v>
      </c>
      <c r="BN243" s="4284">
        <f t="shared" si="145"/>
        <v>0</v>
      </c>
      <c r="BO243" s="4284">
        <f t="shared" si="146"/>
        <v>0</v>
      </c>
      <c r="BP243" s="4284">
        <f t="shared" si="147"/>
        <v>0</v>
      </c>
      <c r="BQ243" s="4284">
        <f t="shared" si="148"/>
        <v>0</v>
      </c>
      <c r="BR243" s="4284">
        <f t="shared" si="149"/>
        <v>0</v>
      </c>
      <c r="BS243" s="4284">
        <f t="shared" si="150"/>
        <v>0</v>
      </c>
      <c r="BT243" s="4285">
        <f t="shared" si="151"/>
        <v>0</v>
      </c>
    </row>
    <row r="244" spans="1:72">
      <c r="A244" s="4278"/>
      <c r="B244" s="4279"/>
      <c r="C244" s="4279"/>
      <c r="D244" s="4280"/>
      <c r="E244" s="1188">
        <f t="shared" si="123"/>
        <v>0</v>
      </c>
      <c r="F244" s="1680"/>
      <c r="G244" s="4281">
        <f t="shared" si="124"/>
        <v>0</v>
      </c>
      <c r="H244" s="3457">
        <f t="shared" si="125"/>
        <v>0</v>
      </c>
      <c r="I244" s="4282"/>
      <c r="J244" s="4282"/>
      <c r="K244" s="4282"/>
      <c r="L244" s="4282"/>
      <c r="M244" s="4282"/>
      <c r="N244" s="4282"/>
      <c r="O244" s="4282"/>
      <c r="P244" s="4282"/>
      <c r="Q244" s="4282"/>
      <c r="R244" s="4282"/>
      <c r="S244" s="4282"/>
      <c r="T244" s="4282"/>
      <c r="U244" s="4282"/>
      <c r="V244" s="4282"/>
      <c r="W244" s="4282"/>
      <c r="X244" s="4282"/>
      <c r="Y244" s="4282"/>
      <c r="Z244" s="4282"/>
      <c r="AA244" s="4282"/>
      <c r="AB244" s="4282"/>
      <c r="AC244" s="1188">
        <f t="shared" si="126"/>
        <v>0</v>
      </c>
      <c r="AD244" s="4278"/>
      <c r="AE244" s="4278"/>
      <c r="AF244" s="4278"/>
      <c r="AG244" s="4278"/>
      <c r="AH244" s="4278"/>
      <c r="AI244" s="4278"/>
      <c r="AJ244" s="4278"/>
      <c r="AK244" s="4278"/>
      <c r="AL244" s="4278"/>
      <c r="AM244" s="4278"/>
      <c r="AN244" s="4278"/>
      <c r="AO244" s="4278"/>
      <c r="AP244" s="4278"/>
      <c r="AQ244" s="4278"/>
      <c r="AR244" s="4278"/>
      <c r="AS244" s="4278"/>
      <c r="AT244" s="4279"/>
      <c r="AU244" s="4283"/>
      <c r="AV244" s="1188">
        <f t="shared" si="127"/>
        <v>0</v>
      </c>
      <c r="AW244" s="1188">
        <f t="shared" si="128"/>
        <v>0</v>
      </c>
      <c r="AX244" s="1188">
        <f t="shared" si="129"/>
        <v>0</v>
      </c>
      <c r="AY244" s="1452">
        <f t="shared" si="130"/>
        <v>0</v>
      </c>
      <c r="AZ244" s="4284">
        <f t="shared" si="131"/>
        <v>0</v>
      </c>
      <c r="BA244" s="4284">
        <f t="shared" si="132"/>
        <v>0</v>
      </c>
      <c r="BB244" s="4284">
        <f t="shared" si="133"/>
        <v>0</v>
      </c>
      <c r="BC244" s="4284">
        <f t="shared" si="134"/>
        <v>0</v>
      </c>
      <c r="BD244" s="4284">
        <f t="shared" si="135"/>
        <v>0</v>
      </c>
      <c r="BE244" s="4284">
        <f t="shared" si="136"/>
        <v>0</v>
      </c>
      <c r="BF244" s="4284">
        <f t="shared" si="137"/>
        <v>0</v>
      </c>
      <c r="BG244" s="4284">
        <f t="shared" si="138"/>
        <v>0</v>
      </c>
      <c r="BH244" s="4284">
        <f t="shared" si="139"/>
        <v>0</v>
      </c>
      <c r="BI244" s="4284">
        <f t="shared" si="140"/>
        <v>0</v>
      </c>
      <c r="BJ244" s="4284">
        <f t="shared" si="141"/>
        <v>0</v>
      </c>
      <c r="BK244" s="4284">
        <f t="shared" si="142"/>
        <v>0</v>
      </c>
      <c r="BL244" s="4284">
        <f t="shared" si="143"/>
        <v>0</v>
      </c>
      <c r="BM244" s="4284">
        <f t="shared" si="144"/>
        <v>0</v>
      </c>
      <c r="BN244" s="4284">
        <f t="shared" si="145"/>
        <v>0</v>
      </c>
      <c r="BO244" s="4284">
        <f t="shared" si="146"/>
        <v>0</v>
      </c>
      <c r="BP244" s="4284">
        <f t="shared" si="147"/>
        <v>0</v>
      </c>
      <c r="BQ244" s="4284">
        <f t="shared" si="148"/>
        <v>0</v>
      </c>
      <c r="BR244" s="4284">
        <f t="shared" si="149"/>
        <v>0</v>
      </c>
      <c r="BS244" s="4284">
        <f t="shared" si="150"/>
        <v>0</v>
      </c>
      <c r="BT244" s="4285">
        <f t="shared" si="151"/>
        <v>0</v>
      </c>
    </row>
    <row r="245" spans="1:72">
      <c r="A245" s="4278"/>
      <c r="B245" s="4279"/>
      <c r="C245" s="4279"/>
      <c r="D245" s="4280"/>
      <c r="E245" s="1188">
        <f t="shared" si="123"/>
        <v>0</v>
      </c>
      <c r="F245" s="1680"/>
      <c r="G245" s="4281">
        <f t="shared" si="124"/>
        <v>0</v>
      </c>
      <c r="H245" s="3457">
        <f t="shared" si="125"/>
        <v>0</v>
      </c>
      <c r="I245" s="4282"/>
      <c r="J245" s="4282"/>
      <c r="K245" s="4282"/>
      <c r="L245" s="4282"/>
      <c r="M245" s="4282"/>
      <c r="N245" s="4282"/>
      <c r="O245" s="4282"/>
      <c r="P245" s="4282"/>
      <c r="Q245" s="4282"/>
      <c r="R245" s="4282"/>
      <c r="S245" s="4282"/>
      <c r="T245" s="4282"/>
      <c r="U245" s="4282"/>
      <c r="V245" s="4282"/>
      <c r="W245" s="4282"/>
      <c r="X245" s="4282"/>
      <c r="Y245" s="4282"/>
      <c r="Z245" s="4282"/>
      <c r="AA245" s="4282"/>
      <c r="AB245" s="4282"/>
      <c r="AC245" s="1188">
        <f t="shared" si="126"/>
        <v>0</v>
      </c>
      <c r="AD245" s="4278"/>
      <c r="AE245" s="4278"/>
      <c r="AF245" s="4278"/>
      <c r="AG245" s="4278"/>
      <c r="AH245" s="4278"/>
      <c r="AI245" s="4278"/>
      <c r="AJ245" s="4278"/>
      <c r="AK245" s="4278"/>
      <c r="AL245" s="4278"/>
      <c r="AM245" s="4278"/>
      <c r="AN245" s="4278"/>
      <c r="AO245" s="4278"/>
      <c r="AP245" s="4278"/>
      <c r="AQ245" s="4278"/>
      <c r="AR245" s="4278"/>
      <c r="AS245" s="4278"/>
      <c r="AT245" s="4279"/>
      <c r="AU245" s="4283"/>
      <c r="AV245" s="1188">
        <f t="shared" si="127"/>
        <v>0</v>
      </c>
      <c r="AW245" s="1188">
        <f t="shared" si="128"/>
        <v>0</v>
      </c>
      <c r="AX245" s="1188">
        <f t="shared" si="129"/>
        <v>0</v>
      </c>
      <c r="AY245" s="1452">
        <f t="shared" si="130"/>
        <v>0</v>
      </c>
      <c r="AZ245" s="4284">
        <f t="shared" si="131"/>
        <v>0</v>
      </c>
      <c r="BA245" s="4284">
        <f t="shared" si="132"/>
        <v>0</v>
      </c>
      <c r="BB245" s="4284">
        <f t="shared" si="133"/>
        <v>0</v>
      </c>
      <c r="BC245" s="4284">
        <f t="shared" si="134"/>
        <v>0</v>
      </c>
      <c r="BD245" s="4284">
        <f t="shared" si="135"/>
        <v>0</v>
      </c>
      <c r="BE245" s="4284">
        <f t="shared" si="136"/>
        <v>0</v>
      </c>
      <c r="BF245" s="4284">
        <f t="shared" si="137"/>
        <v>0</v>
      </c>
      <c r="BG245" s="4284">
        <f t="shared" si="138"/>
        <v>0</v>
      </c>
      <c r="BH245" s="4284">
        <f t="shared" si="139"/>
        <v>0</v>
      </c>
      <c r="BI245" s="4284">
        <f t="shared" si="140"/>
        <v>0</v>
      </c>
      <c r="BJ245" s="4284">
        <f t="shared" si="141"/>
        <v>0</v>
      </c>
      <c r="BK245" s="4284">
        <f t="shared" si="142"/>
        <v>0</v>
      </c>
      <c r="BL245" s="4284">
        <f t="shared" si="143"/>
        <v>0</v>
      </c>
      <c r="BM245" s="4284">
        <f t="shared" si="144"/>
        <v>0</v>
      </c>
      <c r="BN245" s="4284">
        <f t="shared" si="145"/>
        <v>0</v>
      </c>
      <c r="BO245" s="4284">
        <f t="shared" si="146"/>
        <v>0</v>
      </c>
      <c r="BP245" s="4284">
        <f t="shared" si="147"/>
        <v>0</v>
      </c>
      <c r="BQ245" s="4284">
        <f t="shared" si="148"/>
        <v>0</v>
      </c>
      <c r="BR245" s="4284">
        <f t="shared" si="149"/>
        <v>0</v>
      </c>
      <c r="BS245" s="4284">
        <f t="shared" si="150"/>
        <v>0</v>
      </c>
      <c r="BT245" s="4285">
        <f t="shared" si="151"/>
        <v>0</v>
      </c>
    </row>
    <row r="246" spans="1:72">
      <c r="A246" s="4278"/>
      <c r="B246" s="4279"/>
      <c r="C246" s="4279"/>
      <c r="D246" s="4280"/>
      <c r="E246" s="1188">
        <f t="shared" si="123"/>
        <v>0</v>
      </c>
      <c r="F246" s="1680"/>
      <c r="G246" s="4281">
        <f t="shared" si="124"/>
        <v>0</v>
      </c>
      <c r="H246" s="3457">
        <f t="shared" si="125"/>
        <v>0</v>
      </c>
      <c r="I246" s="4282"/>
      <c r="J246" s="4282"/>
      <c r="K246" s="4282"/>
      <c r="L246" s="4282"/>
      <c r="M246" s="4282"/>
      <c r="N246" s="4282"/>
      <c r="O246" s="4282"/>
      <c r="P246" s="4282"/>
      <c r="Q246" s="4282"/>
      <c r="R246" s="4282"/>
      <c r="S246" s="4282"/>
      <c r="T246" s="4282"/>
      <c r="U246" s="4282"/>
      <c r="V246" s="4282"/>
      <c r="W246" s="4282"/>
      <c r="X246" s="4282"/>
      <c r="Y246" s="4282"/>
      <c r="Z246" s="4282"/>
      <c r="AA246" s="4282"/>
      <c r="AB246" s="4282"/>
      <c r="AC246" s="1188">
        <f t="shared" si="126"/>
        <v>0</v>
      </c>
      <c r="AD246" s="4278"/>
      <c r="AE246" s="4278"/>
      <c r="AF246" s="4278"/>
      <c r="AG246" s="4278"/>
      <c r="AH246" s="4278"/>
      <c r="AI246" s="4278"/>
      <c r="AJ246" s="4278"/>
      <c r="AK246" s="4278"/>
      <c r="AL246" s="4278"/>
      <c r="AM246" s="4278"/>
      <c r="AN246" s="4278"/>
      <c r="AO246" s="4278"/>
      <c r="AP246" s="4278"/>
      <c r="AQ246" s="4278"/>
      <c r="AR246" s="4278"/>
      <c r="AS246" s="4278"/>
      <c r="AT246" s="4279"/>
      <c r="AU246" s="4283"/>
      <c r="AV246" s="1188">
        <f t="shared" si="127"/>
        <v>0</v>
      </c>
      <c r="AW246" s="1188">
        <f t="shared" si="128"/>
        <v>0</v>
      </c>
      <c r="AX246" s="1188">
        <f t="shared" si="129"/>
        <v>0</v>
      </c>
      <c r="AY246" s="1452">
        <f t="shared" si="130"/>
        <v>0</v>
      </c>
      <c r="AZ246" s="4284">
        <f t="shared" si="131"/>
        <v>0</v>
      </c>
      <c r="BA246" s="4284">
        <f t="shared" si="132"/>
        <v>0</v>
      </c>
      <c r="BB246" s="4284">
        <f t="shared" si="133"/>
        <v>0</v>
      </c>
      <c r="BC246" s="4284">
        <f t="shared" si="134"/>
        <v>0</v>
      </c>
      <c r="BD246" s="4284">
        <f t="shared" si="135"/>
        <v>0</v>
      </c>
      <c r="BE246" s="4284">
        <f t="shared" si="136"/>
        <v>0</v>
      </c>
      <c r="BF246" s="4284">
        <f t="shared" si="137"/>
        <v>0</v>
      </c>
      <c r="BG246" s="4284">
        <f t="shared" si="138"/>
        <v>0</v>
      </c>
      <c r="BH246" s="4284">
        <f t="shared" si="139"/>
        <v>0</v>
      </c>
      <c r="BI246" s="4284">
        <f t="shared" si="140"/>
        <v>0</v>
      </c>
      <c r="BJ246" s="4284">
        <f t="shared" si="141"/>
        <v>0</v>
      </c>
      <c r="BK246" s="4284">
        <f t="shared" si="142"/>
        <v>0</v>
      </c>
      <c r="BL246" s="4284">
        <f t="shared" si="143"/>
        <v>0</v>
      </c>
      <c r="BM246" s="4284">
        <f t="shared" si="144"/>
        <v>0</v>
      </c>
      <c r="BN246" s="4284">
        <f t="shared" si="145"/>
        <v>0</v>
      </c>
      <c r="BO246" s="4284">
        <f t="shared" si="146"/>
        <v>0</v>
      </c>
      <c r="BP246" s="4284">
        <f t="shared" si="147"/>
        <v>0</v>
      </c>
      <c r="BQ246" s="4284">
        <f t="shared" si="148"/>
        <v>0</v>
      </c>
      <c r="BR246" s="4284">
        <f t="shared" si="149"/>
        <v>0</v>
      </c>
      <c r="BS246" s="4284">
        <f t="shared" si="150"/>
        <v>0</v>
      </c>
      <c r="BT246" s="4285">
        <f t="shared" si="151"/>
        <v>0</v>
      </c>
    </row>
    <row r="247" spans="1:72">
      <c r="A247" s="4278"/>
      <c r="B247" s="4279"/>
      <c r="C247" s="4279"/>
      <c r="D247" s="4280"/>
      <c r="E247" s="1188">
        <f t="shared" si="123"/>
        <v>0</v>
      </c>
      <c r="F247" s="1680"/>
      <c r="G247" s="4281">
        <f t="shared" si="124"/>
        <v>0</v>
      </c>
      <c r="H247" s="3457">
        <f t="shared" si="125"/>
        <v>0</v>
      </c>
      <c r="I247" s="4282"/>
      <c r="J247" s="4282"/>
      <c r="K247" s="4282"/>
      <c r="L247" s="4282"/>
      <c r="M247" s="4282"/>
      <c r="N247" s="4282"/>
      <c r="O247" s="4282"/>
      <c r="P247" s="4282"/>
      <c r="Q247" s="4282"/>
      <c r="R247" s="4282"/>
      <c r="S247" s="4282"/>
      <c r="T247" s="4282"/>
      <c r="U247" s="4282"/>
      <c r="V247" s="4282"/>
      <c r="W247" s="4282"/>
      <c r="X247" s="4282"/>
      <c r="Y247" s="4282"/>
      <c r="Z247" s="4282"/>
      <c r="AA247" s="4282"/>
      <c r="AB247" s="4282"/>
      <c r="AC247" s="1188">
        <f t="shared" si="126"/>
        <v>0</v>
      </c>
      <c r="AD247" s="4278"/>
      <c r="AE247" s="4278"/>
      <c r="AF247" s="4278"/>
      <c r="AG247" s="4278"/>
      <c r="AH247" s="4278"/>
      <c r="AI247" s="4278"/>
      <c r="AJ247" s="4278"/>
      <c r="AK247" s="4278"/>
      <c r="AL247" s="4278"/>
      <c r="AM247" s="4278"/>
      <c r="AN247" s="4278"/>
      <c r="AO247" s="4278"/>
      <c r="AP247" s="4278"/>
      <c r="AQ247" s="4278"/>
      <c r="AR247" s="4278"/>
      <c r="AS247" s="4278"/>
      <c r="AT247" s="4279"/>
      <c r="AU247" s="4283"/>
      <c r="AV247" s="1188">
        <f t="shared" si="127"/>
        <v>0</v>
      </c>
      <c r="AW247" s="1188">
        <f t="shared" si="128"/>
        <v>0</v>
      </c>
      <c r="AX247" s="1188">
        <f t="shared" si="129"/>
        <v>0</v>
      </c>
      <c r="AY247" s="1452">
        <f t="shared" si="130"/>
        <v>0</v>
      </c>
      <c r="AZ247" s="4284">
        <f t="shared" si="131"/>
        <v>0</v>
      </c>
      <c r="BA247" s="4284">
        <f t="shared" si="132"/>
        <v>0</v>
      </c>
      <c r="BB247" s="4284">
        <f t="shared" si="133"/>
        <v>0</v>
      </c>
      <c r="BC247" s="4284">
        <f t="shared" si="134"/>
        <v>0</v>
      </c>
      <c r="BD247" s="4284">
        <f t="shared" si="135"/>
        <v>0</v>
      </c>
      <c r="BE247" s="4284">
        <f t="shared" si="136"/>
        <v>0</v>
      </c>
      <c r="BF247" s="4284">
        <f t="shared" si="137"/>
        <v>0</v>
      </c>
      <c r="BG247" s="4284">
        <f t="shared" si="138"/>
        <v>0</v>
      </c>
      <c r="BH247" s="4284">
        <f t="shared" si="139"/>
        <v>0</v>
      </c>
      <c r="BI247" s="4284">
        <f t="shared" si="140"/>
        <v>0</v>
      </c>
      <c r="BJ247" s="4284">
        <f t="shared" si="141"/>
        <v>0</v>
      </c>
      <c r="BK247" s="4284">
        <f t="shared" si="142"/>
        <v>0</v>
      </c>
      <c r="BL247" s="4284">
        <f t="shared" si="143"/>
        <v>0</v>
      </c>
      <c r="BM247" s="4284">
        <f t="shared" si="144"/>
        <v>0</v>
      </c>
      <c r="BN247" s="4284">
        <f t="shared" si="145"/>
        <v>0</v>
      </c>
      <c r="BO247" s="4284">
        <f t="shared" si="146"/>
        <v>0</v>
      </c>
      <c r="BP247" s="4284">
        <f t="shared" si="147"/>
        <v>0</v>
      </c>
      <c r="BQ247" s="4284">
        <f t="shared" si="148"/>
        <v>0</v>
      </c>
      <c r="BR247" s="4284">
        <f t="shared" si="149"/>
        <v>0</v>
      </c>
      <c r="BS247" s="4284">
        <f t="shared" si="150"/>
        <v>0</v>
      </c>
      <c r="BT247" s="4285">
        <f t="shared" si="151"/>
        <v>0</v>
      </c>
    </row>
    <row r="248" spans="1:72">
      <c r="A248" s="4278"/>
      <c r="B248" s="4279"/>
      <c r="C248" s="4279"/>
      <c r="D248" s="4280"/>
      <c r="E248" s="1188">
        <f t="shared" si="123"/>
        <v>0</v>
      </c>
      <c r="F248" s="1680"/>
      <c r="G248" s="4281">
        <f t="shared" si="124"/>
        <v>0</v>
      </c>
      <c r="H248" s="3457">
        <f t="shared" si="125"/>
        <v>0</v>
      </c>
      <c r="I248" s="4282"/>
      <c r="J248" s="4282"/>
      <c r="K248" s="4282"/>
      <c r="L248" s="4282"/>
      <c r="M248" s="4282"/>
      <c r="N248" s="4282"/>
      <c r="O248" s="4282"/>
      <c r="P248" s="4282"/>
      <c r="Q248" s="4282"/>
      <c r="R248" s="4282"/>
      <c r="S248" s="4282"/>
      <c r="T248" s="4282"/>
      <c r="U248" s="4282"/>
      <c r="V248" s="4282"/>
      <c r="W248" s="4282"/>
      <c r="X248" s="4282"/>
      <c r="Y248" s="4282"/>
      <c r="Z248" s="4282"/>
      <c r="AA248" s="4282"/>
      <c r="AB248" s="4282"/>
      <c r="AC248" s="1188">
        <f t="shared" si="126"/>
        <v>0</v>
      </c>
      <c r="AD248" s="4278"/>
      <c r="AE248" s="4278"/>
      <c r="AF248" s="4278"/>
      <c r="AG248" s="4278"/>
      <c r="AH248" s="4278"/>
      <c r="AI248" s="4278"/>
      <c r="AJ248" s="4278"/>
      <c r="AK248" s="4278"/>
      <c r="AL248" s="4278"/>
      <c r="AM248" s="4278"/>
      <c r="AN248" s="4278"/>
      <c r="AO248" s="4278"/>
      <c r="AP248" s="4278"/>
      <c r="AQ248" s="4278"/>
      <c r="AR248" s="4278"/>
      <c r="AS248" s="4278"/>
      <c r="AT248" s="4279"/>
      <c r="AU248" s="4283"/>
      <c r="AV248" s="1188">
        <f t="shared" si="127"/>
        <v>0</v>
      </c>
      <c r="AW248" s="1188">
        <f t="shared" si="128"/>
        <v>0</v>
      </c>
      <c r="AX248" s="1188">
        <f t="shared" si="129"/>
        <v>0</v>
      </c>
      <c r="AY248" s="1452">
        <f t="shared" si="130"/>
        <v>0</v>
      </c>
      <c r="AZ248" s="4284">
        <f t="shared" si="131"/>
        <v>0</v>
      </c>
      <c r="BA248" s="4284">
        <f t="shared" si="132"/>
        <v>0</v>
      </c>
      <c r="BB248" s="4284">
        <f t="shared" si="133"/>
        <v>0</v>
      </c>
      <c r="BC248" s="4284">
        <f t="shared" si="134"/>
        <v>0</v>
      </c>
      <c r="BD248" s="4284">
        <f t="shared" si="135"/>
        <v>0</v>
      </c>
      <c r="BE248" s="4284">
        <f t="shared" si="136"/>
        <v>0</v>
      </c>
      <c r="BF248" s="4284">
        <f t="shared" si="137"/>
        <v>0</v>
      </c>
      <c r="BG248" s="4284">
        <f t="shared" si="138"/>
        <v>0</v>
      </c>
      <c r="BH248" s="4284">
        <f t="shared" si="139"/>
        <v>0</v>
      </c>
      <c r="BI248" s="4284">
        <f t="shared" si="140"/>
        <v>0</v>
      </c>
      <c r="BJ248" s="4284">
        <f t="shared" si="141"/>
        <v>0</v>
      </c>
      <c r="BK248" s="4284">
        <f t="shared" si="142"/>
        <v>0</v>
      </c>
      <c r="BL248" s="4284">
        <f t="shared" si="143"/>
        <v>0</v>
      </c>
      <c r="BM248" s="4284">
        <f t="shared" si="144"/>
        <v>0</v>
      </c>
      <c r="BN248" s="4284">
        <f t="shared" si="145"/>
        <v>0</v>
      </c>
      <c r="BO248" s="4284">
        <f t="shared" si="146"/>
        <v>0</v>
      </c>
      <c r="BP248" s="4284">
        <f t="shared" si="147"/>
        <v>0</v>
      </c>
      <c r="BQ248" s="4284">
        <f t="shared" si="148"/>
        <v>0</v>
      </c>
      <c r="BR248" s="4284">
        <f t="shared" si="149"/>
        <v>0</v>
      </c>
      <c r="BS248" s="4284">
        <f t="shared" si="150"/>
        <v>0</v>
      </c>
      <c r="BT248" s="4285">
        <f t="shared" si="151"/>
        <v>0</v>
      </c>
    </row>
    <row r="249" spans="1:72">
      <c r="A249" s="4278"/>
      <c r="B249" s="4279"/>
      <c r="C249" s="4279"/>
      <c r="D249" s="4280"/>
      <c r="E249" s="1188">
        <f t="shared" si="123"/>
        <v>0</v>
      </c>
      <c r="F249" s="1680"/>
      <c r="G249" s="4281">
        <f t="shared" si="124"/>
        <v>0</v>
      </c>
      <c r="H249" s="3457">
        <f t="shared" si="125"/>
        <v>0</v>
      </c>
      <c r="I249" s="4282"/>
      <c r="J249" s="4282"/>
      <c r="K249" s="4282"/>
      <c r="L249" s="4282"/>
      <c r="M249" s="4282"/>
      <c r="N249" s="4282"/>
      <c r="O249" s="4282"/>
      <c r="P249" s="4282"/>
      <c r="Q249" s="4282"/>
      <c r="R249" s="4282"/>
      <c r="S249" s="4282"/>
      <c r="T249" s="4282"/>
      <c r="U249" s="4282"/>
      <c r="V249" s="4282"/>
      <c r="W249" s="4282"/>
      <c r="X249" s="4282"/>
      <c r="Y249" s="4282"/>
      <c r="Z249" s="4282"/>
      <c r="AA249" s="4282"/>
      <c r="AB249" s="4282"/>
      <c r="AC249" s="1188">
        <f t="shared" si="126"/>
        <v>0</v>
      </c>
      <c r="AD249" s="4278"/>
      <c r="AE249" s="4278"/>
      <c r="AF249" s="4278"/>
      <c r="AG249" s="4278"/>
      <c r="AH249" s="4278"/>
      <c r="AI249" s="4278"/>
      <c r="AJ249" s="4278"/>
      <c r="AK249" s="4278"/>
      <c r="AL249" s="4278"/>
      <c r="AM249" s="4278"/>
      <c r="AN249" s="4278"/>
      <c r="AO249" s="4278"/>
      <c r="AP249" s="4278"/>
      <c r="AQ249" s="4278"/>
      <c r="AR249" s="4278"/>
      <c r="AS249" s="4278"/>
      <c r="AT249" s="4279"/>
      <c r="AU249" s="4283"/>
      <c r="AV249" s="1188">
        <f t="shared" si="127"/>
        <v>0</v>
      </c>
      <c r="AW249" s="1188">
        <f t="shared" si="128"/>
        <v>0</v>
      </c>
      <c r="AX249" s="1188">
        <f t="shared" si="129"/>
        <v>0</v>
      </c>
      <c r="AY249" s="1452">
        <f t="shared" si="130"/>
        <v>0</v>
      </c>
      <c r="AZ249" s="4284">
        <f t="shared" si="131"/>
        <v>0</v>
      </c>
      <c r="BA249" s="4284">
        <f t="shared" si="132"/>
        <v>0</v>
      </c>
      <c r="BB249" s="4284">
        <f t="shared" si="133"/>
        <v>0</v>
      </c>
      <c r="BC249" s="4284">
        <f t="shared" si="134"/>
        <v>0</v>
      </c>
      <c r="BD249" s="4284">
        <f t="shared" si="135"/>
        <v>0</v>
      </c>
      <c r="BE249" s="4284">
        <f t="shared" si="136"/>
        <v>0</v>
      </c>
      <c r="BF249" s="4284">
        <f t="shared" si="137"/>
        <v>0</v>
      </c>
      <c r="BG249" s="4284">
        <f t="shared" si="138"/>
        <v>0</v>
      </c>
      <c r="BH249" s="4284">
        <f t="shared" si="139"/>
        <v>0</v>
      </c>
      <c r="BI249" s="4284">
        <f t="shared" si="140"/>
        <v>0</v>
      </c>
      <c r="BJ249" s="4284">
        <f t="shared" si="141"/>
        <v>0</v>
      </c>
      <c r="BK249" s="4284">
        <f t="shared" si="142"/>
        <v>0</v>
      </c>
      <c r="BL249" s="4284">
        <f t="shared" si="143"/>
        <v>0</v>
      </c>
      <c r="BM249" s="4284">
        <f t="shared" si="144"/>
        <v>0</v>
      </c>
      <c r="BN249" s="4284">
        <f t="shared" si="145"/>
        <v>0</v>
      </c>
      <c r="BO249" s="4284">
        <f t="shared" si="146"/>
        <v>0</v>
      </c>
      <c r="BP249" s="4284">
        <f t="shared" si="147"/>
        <v>0</v>
      </c>
      <c r="BQ249" s="4284">
        <f t="shared" si="148"/>
        <v>0</v>
      </c>
      <c r="BR249" s="4284">
        <f t="shared" si="149"/>
        <v>0</v>
      </c>
      <c r="BS249" s="4284">
        <f t="shared" si="150"/>
        <v>0</v>
      </c>
      <c r="BT249" s="4285">
        <f t="shared" si="151"/>
        <v>0</v>
      </c>
    </row>
    <row r="250" spans="1:72">
      <c r="A250" s="4278"/>
      <c r="B250" s="4279"/>
      <c r="C250" s="4279"/>
      <c r="D250" s="4280"/>
      <c r="E250" s="1188">
        <f t="shared" si="123"/>
        <v>0</v>
      </c>
      <c r="F250" s="1680"/>
      <c r="G250" s="4281">
        <f t="shared" si="124"/>
        <v>0</v>
      </c>
      <c r="H250" s="3457">
        <f t="shared" si="125"/>
        <v>0</v>
      </c>
      <c r="I250" s="4282"/>
      <c r="J250" s="4282"/>
      <c r="K250" s="4282"/>
      <c r="L250" s="4282"/>
      <c r="M250" s="4282"/>
      <c r="N250" s="4282"/>
      <c r="O250" s="4282"/>
      <c r="P250" s="4282"/>
      <c r="Q250" s="4282"/>
      <c r="R250" s="4282"/>
      <c r="S250" s="4282"/>
      <c r="T250" s="4282"/>
      <c r="U250" s="4282"/>
      <c r="V250" s="4282"/>
      <c r="W250" s="4282"/>
      <c r="X250" s="4282"/>
      <c r="Y250" s="4282"/>
      <c r="Z250" s="4282"/>
      <c r="AA250" s="4282"/>
      <c r="AB250" s="4282"/>
      <c r="AC250" s="1188">
        <f t="shared" si="126"/>
        <v>0</v>
      </c>
      <c r="AD250" s="4278"/>
      <c r="AE250" s="4278"/>
      <c r="AF250" s="4278"/>
      <c r="AG250" s="4278"/>
      <c r="AH250" s="4278"/>
      <c r="AI250" s="4278"/>
      <c r="AJ250" s="4278"/>
      <c r="AK250" s="4278"/>
      <c r="AL250" s="4278"/>
      <c r="AM250" s="4278"/>
      <c r="AN250" s="4278"/>
      <c r="AO250" s="4278"/>
      <c r="AP250" s="4278"/>
      <c r="AQ250" s="4278"/>
      <c r="AR250" s="4278"/>
      <c r="AS250" s="4278"/>
      <c r="AT250" s="4279"/>
      <c r="AU250" s="4283"/>
      <c r="AV250" s="1188">
        <f t="shared" si="127"/>
        <v>0</v>
      </c>
      <c r="AW250" s="1188">
        <f t="shared" si="128"/>
        <v>0</v>
      </c>
      <c r="AX250" s="1188">
        <f t="shared" si="129"/>
        <v>0</v>
      </c>
      <c r="AY250" s="1452">
        <f t="shared" si="130"/>
        <v>0</v>
      </c>
      <c r="AZ250" s="4284">
        <f t="shared" si="131"/>
        <v>0</v>
      </c>
      <c r="BA250" s="4284">
        <f t="shared" si="132"/>
        <v>0</v>
      </c>
      <c r="BB250" s="4284">
        <f t="shared" si="133"/>
        <v>0</v>
      </c>
      <c r="BC250" s="4284">
        <f t="shared" si="134"/>
        <v>0</v>
      </c>
      <c r="BD250" s="4284">
        <f t="shared" si="135"/>
        <v>0</v>
      </c>
      <c r="BE250" s="4284">
        <f t="shared" si="136"/>
        <v>0</v>
      </c>
      <c r="BF250" s="4284">
        <f t="shared" si="137"/>
        <v>0</v>
      </c>
      <c r="BG250" s="4284">
        <f t="shared" si="138"/>
        <v>0</v>
      </c>
      <c r="BH250" s="4284">
        <f t="shared" si="139"/>
        <v>0</v>
      </c>
      <c r="BI250" s="4284">
        <f t="shared" si="140"/>
        <v>0</v>
      </c>
      <c r="BJ250" s="4284">
        <f t="shared" si="141"/>
        <v>0</v>
      </c>
      <c r="BK250" s="4284">
        <f t="shared" si="142"/>
        <v>0</v>
      </c>
      <c r="BL250" s="4284">
        <f t="shared" si="143"/>
        <v>0</v>
      </c>
      <c r="BM250" s="4284">
        <f t="shared" si="144"/>
        <v>0</v>
      </c>
      <c r="BN250" s="4284">
        <f t="shared" si="145"/>
        <v>0</v>
      </c>
      <c r="BO250" s="4284">
        <f t="shared" si="146"/>
        <v>0</v>
      </c>
      <c r="BP250" s="4284">
        <f t="shared" si="147"/>
        <v>0</v>
      </c>
      <c r="BQ250" s="4284">
        <f t="shared" si="148"/>
        <v>0</v>
      </c>
      <c r="BR250" s="4284">
        <f t="shared" si="149"/>
        <v>0</v>
      </c>
      <c r="BS250" s="4284">
        <f t="shared" si="150"/>
        <v>0</v>
      </c>
      <c r="BT250" s="4285">
        <f t="shared" si="151"/>
        <v>0</v>
      </c>
    </row>
    <row r="251" spans="1:72">
      <c r="A251" s="4278"/>
      <c r="B251" s="4279"/>
      <c r="C251" s="4279"/>
      <c r="D251" s="4280"/>
      <c r="E251" s="1188">
        <f t="shared" si="123"/>
        <v>0</v>
      </c>
      <c r="F251" s="1680"/>
      <c r="G251" s="4281">
        <f t="shared" si="124"/>
        <v>0</v>
      </c>
      <c r="H251" s="3457">
        <f t="shared" si="125"/>
        <v>0</v>
      </c>
      <c r="I251" s="4282"/>
      <c r="J251" s="4282"/>
      <c r="K251" s="4282"/>
      <c r="L251" s="4282"/>
      <c r="M251" s="4282"/>
      <c r="N251" s="4282"/>
      <c r="O251" s="4282"/>
      <c r="P251" s="4282"/>
      <c r="Q251" s="4282"/>
      <c r="R251" s="4282"/>
      <c r="S251" s="4282"/>
      <c r="T251" s="4282"/>
      <c r="U251" s="4282"/>
      <c r="V251" s="4282"/>
      <c r="W251" s="4282"/>
      <c r="X251" s="4282"/>
      <c r="Y251" s="4282"/>
      <c r="Z251" s="4282"/>
      <c r="AA251" s="4282"/>
      <c r="AB251" s="4282"/>
      <c r="AC251" s="1188">
        <f t="shared" si="126"/>
        <v>0</v>
      </c>
      <c r="AD251" s="4278"/>
      <c r="AE251" s="4278"/>
      <c r="AF251" s="4278"/>
      <c r="AG251" s="4278"/>
      <c r="AH251" s="4278"/>
      <c r="AI251" s="4278"/>
      <c r="AJ251" s="4278"/>
      <c r="AK251" s="4278"/>
      <c r="AL251" s="4278"/>
      <c r="AM251" s="4278"/>
      <c r="AN251" s="4278"/>
      <c r="AO251" s="4278"/>
      <c r="AP251" s="4278"/>
      <c r="AQ251" s="4278"/>
      <c r="AR251" s="4278"/>
      <c r="AS251" s="4278"/>
      <c r="AT251" s="4279"/>
      <c r="AU251" s="4283"/>
      <c r="AV251" s="1188">
        <f t="shared" si="127"/>
        <v>0</v>
      </c>
      <c r="AW251" s="1188">
        <f t="shared" si="128"/>
        <v>0</v>
      </c>
      <c r="AX251" s="1188">
        <f t="shared" si="129"/>
        <v>0</v>
      </c>
      <c r="AY251" s="1452">
        <f t="shared" si="130"/>
        <v>0</v>
      </c>
      <c r="AZ251" s="4284">
        <f t="shared" si="131"/>
        <v>0</v>
      </c>
      <c r="BA251" s="4284">
        <f t="shared" si="132"/>
        <v>0</v>
      </c>
      <c r="BB251" s="4284">
        <f t="shared" si="133"/>
        <v>0</v>
      </c>
      <c r="BC251" s="4284">
        <f t="shared" si="134"/>
        <v>0</v>
      </c>
      <c r="BD251" s="4284">
        <f t="shared" si="135"/>
        <v>0</v>
      </c>
      <c r="BE251" s="4284">
        <f t="shared" si="136"/>
        <v>0</v>
      </c>
      <c r="BF251" s="4284">
        <f t="shared" si="137"/>
        <v>0</v>
      </c>
      <c r="BG251" s="4284">
        <f t="shared" si="138"/>
        <v>0</v>
      </c>
      <c r="BH251" s="4284">
        <f t="shared" si="139"/>
        <v>0</v>
      </c>
      <c r="BI251" s="4284">
        <f t="shared" si="140"/>
        <v>0</v>
      </c>
      <c r="BJ251" s="4284">
        <f t="shared" si="141"/>
        <v>0</v>
      </c>
      <c r="BK251" s="4284">
        <f t="shared" si="142"/>
        <v>0</v>
      </c>
      <c r="BL251" s="4284">
        <f t="shared" si="143"/>
        <v>0</v>
      </c>
      <c r="BM251" s="4284">
        <f t="shared" si="144"/>
        <v>0</v>
      </c>
      <c r="BN251" s="4284">
        <f t="shared" si="145"/>
        <v>0</v>
      </c>
      <c r="BO251" s="4284">
        <f t="shared" si="146"/>
        <v>0</v>
      </c>
      <c r="BP251" s="4284">
        <f t="shared" si="147"/>
        <v>0</v>
      </c>
      <c r="BQ251" s="4284">
        <f t="shared" si="148"/>
        <v>0</v>
      </c>
      <c r="BR251" s="4284">
        <f t="shared" si="149"/>
        <v>0</v>
      </c>
      <c r="BS251" s="4284">
        <f t="shared" si="150"/>
        <v>0</v>
      </c>
      <c r="BT251" s="4285">
        <f t="shared" si="151"/>
        <v>0</v>
      </c>
    </row>
    <row r="252" spans="1:72">
      <c r="A252" s="4278"/>
      <c r="B252" s="4279"/>
      <c r="C252" s="4279"/>
      <c r="D252" s="4280"/>
      <c r="E252" s="1188">
        <f t="shared" si="123"/>
        <v>0</v>
      </c>
      <c r="F252" s="1680"/>
      <c r="G252" s="4281">
        <f t="shared" si="124"/>
        <v>0</v>
      </c>
      <c r="H252" s="3457">
        <f t="shared" si="125"/>
        <v>0</v>
      </c>
      <c r="I252" s="4282"/>
      <c r="J252" s="4282"/>
      <c r="K252" s="4282"/>
      <c r="L252" s="4282"/>
      <c r="M252" s="4282"/>
      <c r="N252" s="4282"/>
      <c r="O252" s="4282"/>
      <c r="P252" s="4282"/>
      <c r="Q252" s="4282"/>
      <c r="R252" s="4282"/>
      <c r="S252" s="4282"/>
      <c r="T252" s="4282"/>
      <c r="U252" s="4282"/>
      <c r="V252" s="4282"/>
      <c r="W252" s="4282"/>
      <c r="X252" s="4282"/>
      <c r="Y252" s="4282"/>
      <c r="Z252" s="4282"/>
      <c r="AA252" s="4282"/>
      <c r="AB252" s="4282"/>
      <c r="AC252" s="1188">
        <f t="shared" si="126"/>
        <v>0</v>
      </c>
      <c r="AD252" s="4278"/>
      <c r="AE252" s="4278"/>
      <c r="AF252" s="4278"/>
      <c r="AG252" s="4278"/>
      <c r="AH252" s="4278"/>
      <c r="AI252" s="4278"/>
      <c r="AJ252" s="4278"/>
      <c r="AK252" s="4278"/>
      <c r="AL252" s="4278"/>
      <c r="AM252" s="4278"/>
      <c r="AN252" s="4278"/>
      <c r="AO252" s="4278"/>
      <c r="AP252" s="4278"/>
      <c r="AQ252" s="4278"/>
      <c r="AR252" s="4278"/>
      <c r="AS252" s="4278"/>
      <c r="AT252" s="4279"/>
      <c r="AU252" s="4283"/>
      <c r="AV252" s="1188">
        <f t="shared" si="127"/>
        <v>0</v>
      </c>
      <c r="AW252" s="1188">
        <f t="shared" si="128"/>
        <v>0</v>
      </c>
      <c r="AX252" s="1188">
        <f t="shared" si="129"/>
        <v>0</v>
      </c>
      <c r="AY252" s="1452">
        <f t="shared" si="130"/>
        <v>0</v>
      </c>
      <c r="AZ252" s="4284">
        <f t="shared" si="131"/>
        <v>0</v>
      </c>
      <c r="BA252" s="4284">
        <f t="shared" si="132"/>
        <v>0</v>
      </c>
      <c r="BB252" s="4284">
        <f t="shared" si="133"/>
        <v>0</v>
      </c>
      <c r="BC252" s="4284">
        <f t="shared" si="134"/>
        <v>0</v>
      </c>
      <c r="BD252" s="4284">
        <f t="shared" si="135"/>
        <v>0</v>
      </c>
      <c r="BE252" s="4284">
        <f t="shared" si="136"/>
        <v>0</v>
      </c>
      <c r="BF252" s="4284">
        <f t="shared" si="137"/>
        <v>0</v>
      </c>
      <c r="BG252" s="4284">
        <f t="shared" si="138"/>
        <v>0</v>
      </c>
      <c r="BH252" s="4284">
        <f t="shared" si="139"/>
        <v>0</v>
      </c>
      <c r="BI252" s="4284">
        <f t="shared" si="140"/>
        <v>0</v>
      </c>
      <c r="BJ252" s="4284">
        <f t="shared" si="141"/>
        <v>0</v>
      </c>
      <c r="BK252" s="4284">
        <f t="shared" si="142"/>
        <v>0</v>
      </c>
      <c r="BL252" s="4284">
        <f t="shared" si="143"/>
        <v>0</v>
      </c>
      <c r="BM252" s="4284">
        <f t="shared" si="144"/>
        <v>0</v>
      </c>
      <c r="BN252" s="4284">
        <f t="shared" si="145"/>
        <v>0</v>
      </c>
      <c r="BO252" s="4284">
        <f t="shared" si="146"/>
        <v>0</v>
      </c>
      <c r="BP252" s="4284">
        <f t="shared" si="147"/>
        <v>0</v>
      </c>
      <c r="BQ252" s="4284">
        <f t="shared" si="148"/>
        <v>0</v>
      </c>
      <c r="BR252" s="4284">
        <f t="shared" si="149"/>
        <v>0</v>
      </c>
      <c r="BS252" s="4284">
        <f t="shared" si="150"/>
        <v>0</v>
      </c>
      <c r="BT252" s="4285">
        <f t="shared" si="151"/>
        <v>0</v>
      </c>
    </row>
    <row r="253" spans="1:72">
      <c r="A253" s="4278"/>
      <c r="B253" s="4279"/>
      <c r="C253" s="4279"/>
      <c r="D253" s="4280"/>
      <c r="E253" s="1188">
        <f t="shared" si="123"/>
        <v>0</v>
      </c>
      <c r="F253" s="1680"/>
      <c r="G253" s="4281">
        <f t="shared" si="124"/>
        <v>0</v>
      </c>
      <c r="H253" s="3457">
        <f t="shared" si="125"/>
        <v>0</v>
      </c>
      <c r="I253" s="4282"/>
      <c r="J253" s="4282"/>
      <c r="K253" s="4282"/>
      <c r="L253" s="4282"/>
      <c r="M253" s="4282"/>
      <c r="N253" s="4282"/>
      <c r="O253" s="4282"/>
      <c r="P253" s="4282"/>
      <c r="Q253" s="4282"/>
      <c r="R253" s="4282"/>
      <c r="S253" s="4282"/>
      <c r="T253" s="4282"/>
      <c r="U253" s="4282"/>
      <c r="V253" s="4282"/>
      <c r="W253" s="4282"/>
      <c r="X253" s="4282"/>
      <c r="Y253" s="4282"/>
      <c r="Z253" s="4282"/>
      <c r="AA253" s="4282"/>
      <c r="AB253" s="4282"/>
      <c r="AC253" s="1188">
        <f t="shared" si="126"/>
        <v>0</v>
      </c>
      <c r="AD253" s="4278"/>
      <c r="AE253" s="4278"/>
      <c r="AF253" s="4278"/>
      <c r="AG253" s="4278"/>
      <c r="AH253" s="4278"/>
      <c r="AI253" s="4278"/>
      <c r="AJ253" s="4278"/>
      <c r="AK253" s="4278"/>
      <c r="AL253" s="4278"/>
      <c r="AM253" s="4278"/>
      <c r="AN253" s="4278"/>
      <c r="AO253" s="4278"/>
      <c r="AP253" s="4278"/>
      <c r="AQ253" s="4278"/>
      <c r="AR253" s="4278"/>
      <c r="AS253" s="4278"/>
      <c r="AT253" s="4279"/>
      <c r="AU253" s="4283"/>
      <c r="AV253" s="1188">
        <f t="shared" si="127"/>
        <v>0</v>
      </c>
      <c r="AW253" s="1188">
        <f t="shared" si="128"/>
        <v>0</v>
      </c>
      <c r="AX253" s="1188">
        <f t="shared" si="129"/>
        <v>0</v>
      </c>
      <c r="AY253" s="1452">
        <f t="shared" si="130"/>
        <v>0</v>
      </c>
      <c r="AZ253" s="4284">
        <f t="shared" si="131"/>
        <v>0</v>
      </c>
      <c r="BA253" s="4284">
        <f t="shared" si="132"/>
        <v>0</v>
      </c>
      <c r="BB253" s="4284">
        <f t="shared" si="133"/>
        <v>0</v>
      </c>
      <c r="BC253" s="4284">
        <f t="shared" si="134"/>
        <v>0</v>
      </c>
      <c r="BD253" s="4284">
        <f t="shared" si="135"/>
        <v>0</v>
      </c>
      <c r="BE253" s="4284">
        <f t="shared" si="136"/>
        <v>0</v>
      </c>
      <c r="BF253" s="4284">
        <f t="shared" si="137"/>
        <v>0</v>
      </c>
      <c r="BG253" s="4284">
        <f t="shared" si="138"/>
        <v>0</v>
      </c>
      <c r="BH253" s="4284">
        <f t="shared" si="139"/>
        <v>0</v>
      </c>
      <c r="BI253" s="4284">
        <f t="shared" si="140"/>
        <v>0</v>
      </c>
      <c r="BJ253" s="4284">
        <f t="shared" si="141"/>
        <v>0</v>
      </c>
      <c r="BK253" s="4284">
        <f t="shared" si="142"/>
        <v>0</v>
      </c>
      <c r="BL253" s="4284">
        <f t="shared" si="143"/>
        <v>0</v>
      </c>
      <c r="BM253" s="4284">
        <f t="shared" si="144"/>
        <v>0</v>
      </c>
      <c r="BN253" s="4284">
        <f t="shared" si="145"/>
        <v>0</v>
      </c>
      <c r="BO253" s="4284">
        <f t="shared" si="146"/>
        <v>0</v>
      </c>
      <c r="BP253" s="4284">
        <f t="shared" si="147"/>
        <v>0</v>
      </c>
      <c r="BQ253" s="4284">
        <f t="shared" si="148"/>
        <v>0</v>
      </c>
      <c r="BR253" s="4284">
        <f t="shared" si="149"/>
        <v>0</v>
      </c>
      <c r="BS253" s="4284">
        <f t="shared" si="150"/>
        <v>0</v>
      </c>
      <c r="BT253" s="4285">
        <f t="shared" si="151"/>
        <v>0</v>
      </c>
    </row>
    <row r="254" spans="1:72">
      <c r="A254" s="4278"/>
      <c r="B254" s="4279"/>
      <c r="C254" s="4279"/>
      <c r="D254" s="4280"/>
      <c r="E254" s="1188">
        <f t="shared" si="123"/>
        <v>0</v>
      </c>
      <c r="F254" s="1680"/>
      <c r="G254" s="4281">
        <f t="shared" si="124"/>
        <v>0</v>
      </c>
      <c r="H254" s="3457">
        <f t="shared" si="125"/>
        <v>0</v>
      </c>
      <c r="I254" s="4282"/>
      <c r="J254" s="4282"/>
      <c r="K254" s="4282"/>
      <c r="L254" s="4282"/>
      <c r="M254" s="4282"/>
      <c r="N254" s="4282"/>
      <c r="O254" s="4282"/>
      <c r="P254" s="4282"/>
      <c r="Q254" s="4282"/>
      <c r="R254" s="4282"/>
      <c r="S254" s="4282"/>
      <c r="T254" s="4282"/>
      <c r="U254" s="4282"/>
      <c r="V254" s="4282"/>
      <c r="W254" s="4282"/>
      <c r="X254" s="4282"/>
      <c r="Y254" s="4282"/>
      <c r="Z254" s="4282"/>
      <c r="AA254" s="4282"/>
      <c r="AB254" s="4282"/>
      <c r="AC254" s="1188">
        <f t="shared" si="126"/>
        <v>0</v>
      </c>
      <c r="AD254" s="4278"/>
      <c r="AE254" s="4278"/>
      <c r="AF254" s="4278"/>
      <c r="AG254" s="4278"/>
      <c r="AH254" s="4278"/>
      <c r="AI254" s="4278"/>
      <c r="AJ254" s="4278"/>
      <c r="AK254" s="4278"/>
      <c r="AL254" s="4278"/>
      <c r="AM254" s="4278"/>
      <c r="AN254" s="4278"/>
      <c r="AO254" s="4278"/>
      <c r="AP254" s="4278"/>
      <c r="AQ254" s="4278"/>
      <c r="AR254" s="4278"/>
      <c r="AS254" s="4278"/>
      <c r="AT254" s="4279"/>
      <c r="AU254" s="4283"/>
      <c r="AV254" s="1188">
        <f t="shared" si="127"/>
        <v>0</v>
      </c>
      <c r="AW254" s="1188">
        <f t="shared" si="128"/>
        <v>0</v>
      </c>
      <c r="AX254" s="1188">
        <f t="shared" si="129"/>
        <v>0</v>
      </c>
      <c r="AY254" s="1452">
        <f t="shared" si="130"/>
        <v>0</v>
      </c>
      <c r="AZ254" s="4284">
        <f t="shared" si="131"/>
        <v>0</v>
      </c>
      <c r="BA254" s="4284">
        <f t="shared" si="132"/>
        <v>0</v>
      </c>
      <c r="BB254" s="4284">
        <f t="shared" si="133"/>
        <v>0</v>
      </c>
      <c r="BC254" s="4284">
        <f t="shared" si="134"/>
        <v>0</v>
      </c>
      <c r="BD254" s="4284">
        <f t="shared" si="135"/>
        <v>0</v>
      </c>
      <c r="BE254" s="4284">
        <f t="shared" si="136"/>
        <v>0</v>
      </c>
      <c r="BF254" s="4284">
        <f t="shared" si="137"/>
        <v>0</v>
      </c>
      <c r="BG254" s="4284">
        <f t="shared" si="138"/>
        <v>0</v>
      </c>
      <c r="BH254" s="4284">
        <f t="shared" si="139"/>
        <v>0</v>
      </c>
      <c r="BI254" s="4284">
        <f t="shared" si="140"/>
        <v>0</v>
      </c>
      <c r="BJ254" s="4284">
        <f t="shared" si="141"/>
        <v>0</v>
      </c>
      <c r="BK254" s="4284">
        <f t="shared" si="142"/>
        <v>0</v>
      </c>
      <c r="BL254" s="4284">
        <f t="shared" si="143"/>
        <v>0</v>
      </c>
      <c r="BM254" s="4284">
        <f t="shared" si="144"/>
        <v>0</v>
      </c>
      <c r="BN254" s="4284">
        <f t="shared" si="145"/>
        <v>0</v>
      </c>
      <c r="BO254" s="4284">
        <f t="shared" si="146"/>
        <v>0</v>
      </c>
      <c r="BP254" s="4284">
        <f t="shared" si="147"/>
        <v>0</v>
      </c>
      <c r="BQ254" s="4284">
        <f t="shared" si="148"/>
        <v>0</v>
      </c>
      <c r="BR254" s="4284">
        <f t="shared" si="149"/>
        <v>0</v>
      </c>
      <c r="BS254" s="4284">
        <f t="shared" si="150"/>
        <v>0</v>
      </c>
      <c r="BT254" s="4285">
        <f t="shared" si="151"/>
        <v>0</v>
      </c>
    </row>
    <row r="255" spans="1:72">
      <c r="A255" s="4278"/>
      <c r="B255" s="4279"/>
      <c r="C255" s="4279"/>
      <c r="D255" s="4280"/>
      <c r="E255" s="1188">
        <f t="shared" si="123"/>
        <v>0</v>
      </c>
      <c r="F255" s="1680"/>
      <c r="G255" s="4281">
        <f t="shared" si="124"/>
        <v>0</v>
      </c>
      <c r="H255" s="3457">
        <f t="shared" si="125"/>
        <v>0</v>
      </c>
      <c r="I255" s="4282"/>
      <c r="J255" s="4282"/>
      <c r="K255" s="4282"/>
      <c r="L255" s="4282"/>
      <c r="M255" s="4282"/>
      <c r="N255" s="4282"/>
      <c r="O255" s="4282"/>
      <c r="P255" s="4282"/>
      <c r="Q255" s="4282"/>
      <c r="R255" s="4282"/>
      <c r="S255" s="4282"/>
      <c r="T255" s="4282"/>
      <c r="U255" s="4282"/>
      <c r="V255" s="4282"/>
      <c r="W255" s="4282"/>
      <c r="X255" s="4282"/>
      <c r="Y255" s="4282"/>
      <c r="Z255" s="4282"/>
      <c r="AA255" s="4282"/>
      <c r="AB255" s="4282"/>
      <c r="AC255" s="1188">
        <f t="shared" si="126"/>
        <v>0</v>
      </c>
      <c r="AD255" s="4278"/>
      <c r="AE255" s="4278"/>
      <c r="AF255" s="4278"/>
      <c r="AG255" s="4278"/>
      <c r="AH255" s="4278"/>
      <c r="AI255" s="4278"/>
      <c r="AJ255" s="4278"/>
      <c r="AK255" s="4278"/>
      <c r="AL255" s="4278"/>
      <c r="AM255" s="4278"/>
      <c r="AN255" s="4278"/>
      <c r="AO255" s="4278"/>
      <c r="AP255" s="4278"/>
      <c r="AQ255" s="4278"/>
      <c r="AR255" s="4278"/>
      <c r="AS255" s="4278"/>
      <c r="AT255" s="4279"/>
      <c r="AU255" s="4283"/>
      <c r="AV255" s="1188">
        <f t="shared" si="127"/>
        <v>0</v>
      </c>
      <c r="AW255" s="1188">
        <f t="shared" si="128"/>
        <v>0</v>
      </c>
      <c r="AX255" s="1188">
        <f t="shared" si="129"/>
        <v>0</v>
      </c>
      <c r="AY255" s="1452">
        <f t="shared" si="130"/>
        <v>0</v>
      </c>
      <c r="AZ255" s="4284">
        <f t="shared" si="131"/>
        <v>0</v>
      </c>
      <c r="BA255" s="4284">
        <f t="shared" si="132"/>
        <v>0</v>
      </c>
      <c r="BB255" s="4284">
        <f t="shared" si="133"/>
        <v>0</v>
      </c>
      <c r="BC255" s="4284">
        <f t="shared" si="134"/>
        <v>0</v>
      </c>
      <c r="BD255" s="4284">
        <f t="shared" si="135"/>
        <v>0</v>
      </c>
      <c r="BE255" s="4284">
        <f t="shared" si="136"/>
        <v>0</v>
      </c>
      <c r="BF255" s="4284">
        <f t="shared" si="137"/>
        <v>0</v>
      </c>
      <c r="BG255" s="4284">
        <f t="shared" si="138"/>
        <v>0</v>
      </c>
      <c r="BH255" s="4284">
        <f t="shared" si="139"/>
        <v>0</v>
      </c>
      <c r="BI255" s="4284">
        <f t="shared" si="140"/>
        <v>0</v>
      </c>
      <c r="BJ255" s="4284">
        <f t="shared" si="141"/>
        <v>0</v>
      </c>
      <c r="BK255" s="4284">
        <f t="shared" si="142"/>
        <v>0</v>
      </c>
      <c r="BL255" s="4284">
        <f t="shared" si="143"/>
        <v>0</v>
      </c>
      <c r="BM255" s="4284">
        <f t="shared" si="144"/>
        <v>0</v>
      </c>
      <c r="BN255" s="4284">
        <f t="shared" si="145"/>
        <v>0</v>
      </c>
      <c r="BO255" s="4284">
        <f t="shared" si="146"/>
        <v>0</v>
      </c>
      <c r="BP255" s="4284">
        <f t="shared" si="147"/>
        <v>0</v>
      </c>
      <c r="BQ255" s="4284">
        <f t="shared" si="148"/>
        <v>0</v>
      </c>
      <c r="BR255" s="4284">
        <f t="shared" si="149"/>
        <v>0</v>
      </c>
      <c r="BS255" s="4284">
        <f t="shared" si="150"/>
        <v>0</v>
      </c>
      <c r="BT255" s="4285">
        <f t="shared" si="151"/>
        <v>0</v>
      </c>
    </row>
    <row r="256" spans="1:72">
      <c r="A256" s="4278"/>
      <c r="B256" s="4279"/>
      <c r="C256" s="4279"/>
      <c r="D256" s="4280"/>
      <c r="E256" s="1188">
        <f t="shared" si="123"/>
        <v>0</v>
      </c>
      <c r="F256" s="1680"/>
      <c r="G256" s="4281">
        <f t="shared" si="124"/>
        <v>0</v>
      </c>
      <c r="H256" s="3457">
        <f t="shared" si="125"/>
        <v>0</v>
      </c>
      <c r="I256" s="4282"/>
      <c r="J256" s="4282"/>
      <c r="K256" s="4282"/>
      <c r="L256" s="4282"/>
      <c r="M256" s="4282"/>
      <c r="N256" s="4282"/>
      <c r="O256" s="4282"/>
      <c r="P256" s="4282"/>
      <c r="Q256" s="4282"/>
      <c r="R256" s="4282"/>
      <c r="S256" s="4282"/>
      <c r="T256" s="4282"/>
      <c r="U256" s="4282"/>
      <c r="V256" s="4282"/>
      <c r="W256" s="4282"/>
      <c r="X256" s="4282"/>
      <c r="Y256" s="4282"/>
      <c r="Z256" s="4282"/>
      <c r="AA256" s="4282"/>
      <c r="AB256" s="4282"/>
      <c r="AC256" s="1188">
        <f t="shared" si="126"/>
        <v>0</v>
      </c>
      <c r="AD256" s="4278"/>
      <c r="AE256" s="4278"/>
      <c r="AF256" s="4278"/>
      <c r="AG256" s="4278"/>
      <c r="AH256" s="4278"/>
      <c r="AI256" s="4278"/>
      <c r="AJ256" s="4278"/>
      <c r="AK256" s="4278"/>
      <c r="AL256" s="4278"/>
      <c r="AM256" s="4278"/>
      <c r="AN256" s="4278"/>
      <c r="AO256" s="4278"/>
      <c r="AP256" s="4278"/>
      <c r="AQ256" s="4278"/>
      <c r="AR256" s="4278"/>
      <c r="AS256" s="4278"/>
      <c r="AT256" s="4279"/>
      <c r="AU256" s="4283"/>
      <c r="AV256" s="1188">
        <f t="shared" si="127"/>
        <v>0</v>
      </c>
      <c r="AW256" s="1188">
        <f t="shared" si="128"/>
        <v>0</v>
      </c>
      <c r="AX256" s="1188">
        <f t="shared" si="129"/>
        <v>0</v>
      </c>
      <c r="AY256" s="1452">
        <f t="shared" si="130"/>
        <v>0</v>
      </c>
      <c r="AZ256" s="4284">
        <f t="shared" si="131"/>
        <v>0</v>
      </c>
      <c r="BA256" s="4284">
        <f t="shared" si="132"/>
        <v>0</v>
      </c>
      <c r="BB256" s="4284">
        <f t="shared" si="133"/>
        <v>0</v>
      </c>
      <c r="BC256" s="4284">
        <f t="shared" si="134"/>
        <v>0</v>
      </c>
      <c r="BD256" s="4284">
        <f t="shared" si="135"/>
        <v>0</v>
      </c>
      <c r="BE256" s="4284">
        <f t="shared" si="136"/>
        <v>0</v>
      </c>
      <c r="BF256" s="4284">
        <f t="shared" si="137"/>
        <v>0</v>
      </c>
      <c r="BG256" s="4284">
        <f t="shared" si="138"/>
        <v>0</v>
      </c>
      <c r="BH256" s="4284">
        <f t="shared" si="139"/>
        <v>0</v>
      </c>
      <c r="BI256" s="4284">
        <f t="shared" si="140"/>
        <v>0</v>
      </c>
      <c r="BJ256" s="4284">
        <f t="shared" si="141"/>
        <v>0</v>
      </c>
      <c r="BK256" s="4284">
        <f t="shared" si="142"/>
        <v>0</v>
      </c>
      <c r="BL256" s="4284">
        <f t="shared" si="143"/>
        <v>0</v>
      </c>
      <c r="BM256" s="4284">
        <f t="shared" si="144"/>
        <v>0</v>
      </c>
      <c r="BN256" s="4284">
        <f t="shared" si="145"/>
        <v>0</v>
      </c>
      <c r="BO256" s="4284">
        <f t="shared" si="146"/>
        <v>0</v>
      </c>
      <c r="BP256" s="4284">
        <f t="shared" si="147"/>
        <v>0</v>
      </c>
      <c r="BQ256" s="4284">
        <f t="shared" si="148"/>
        <v>0</v>
      </c>
      <c r="BR256" s="4284">
        <f t="shared" si="149"/>
        <v>0</v>
      </c>
      <c r="BS256" s="4284">
        <f t="shared" si="150"/>
        <v>0</v>
      </c>
      <c r="BT256" s="4285">
        <f t="shared" si="151"/>
        <v>0</v>
      </c>
    </row>
    <row r="257" spans="1:72">
      <c r="A257" s="4278"/>
      <c r="B257" s="4279"/>
      <c r="C257" s="4279"/>
      <c r="D257" s="4280"/>
      <c r="E257" s="1188">
        <f t="shared" si="123"/>
        <v>0</v>
      </c>
      <c r="F257" s="1680"/>
      <c r="G257" s="4281">
        <f t="shared" si="124"/>
        <v>0</v>
      </c>
      <c r="H257" s="3457">
        <f t="shared" si="125"/>
        <v>0</v>
      </c>
      <c r="I257" s="4282"/>
      <c r="J257" s="4282"/>
      <c r="K257" s="4282"/>
      <c r="L257" s="4282"/>
      <c r="M257" s="4282"/>
      <c r="N257" s="4282"/>
      <c r="O257" s="4282"/>
      <c r="P257" s="4282"/>
      <c r="Q257" s="4282"/>
      <c r="R257" s="4282"/>
      <c r="S257" s="4282"/>
      <c r="T257" s="4282"/>
      <c r="U257" s="4282"/>
      <c r="V257" s="4282"/>
      <c r="W257" s="4282"/>
      <c r="X257" s="4282"/>
      <c r="Y257" s="4282"/>
      <c r="Z257" s="4282"/>
      <c r="AA257" s="4282"/>
      <c r="AB257" s="4282"/>
      <c r="AC257" s="1188">
        <f t="shared" si="126"/>
        <v>0</v>
      </c>
      <c r="AD257" s="4278"/>
      <c r="AE257" s="4278"/>
      <c r="AF257" s="4278"/>
      <c r="AG257" s="4278"/>
      <c r="AH257" s="4278"/>
      <c r="AI257" s="4278"/>
      <c r="AJ257" s="4278"/>
      <c r="AK257" s="4278"/>
      <c r="AL257" s="4278"/>
      <c r="AM257" s="4278"/>
      <c r="AN257" s="4278"/>
      <c r="AO257" s="4278"/>
      <c r="AP257" s="4278"/>
      <c r="AQ257" s="4278"/>
      <c r="AR257" s="4278"/>
      <c r="AS257" s="4278"/>
      <c r="AT257" s="4279"/>
      <c r="AU257" s="4283"/>
      <c r="AV257" s="1188">
        <f t="shared" si="127"/>
        <v>0</v>
      </c>
      <c r="AW257" s="1188">
        <f t="shared" si="128"/>
        <v>0</v>
      </c>
      <c r="AX257" s="1188">
        <f t="shared" si="129"/>
        <v>0</v>
      </c>
      <c r="AY257" s="1452">
        <f t="shared" si="130"/>
        <v>0</v>
      </c>
      <c r="AZ257" s="4284">
        <f t="shared" si="131"/>
        <v>0</v>
      </c>
      <c r="BA257" s="4284">
        <f t="shared" si="132"/>
        <v>0</v>
      </c>
      <c r="BB257" s="4284">
        <f t="shared" si="133"/>
        <v>0</v>
      </c>
      <c r="BC257" s="4284">
        <f t="shared" si="134"/>
        <v>0</v>
      </c>
      <c r="BD257" s="4284">
        <f t="shared" si="135"/>
        <v>0</v>
      </c>
      <c r="BE257" s="4284">
        <f t="shared" si="136"/>
        <v>0</v>
      </c>
      <c r="BF257" s="4284">
        <f t="shared" si="137"/>
        <v>0</v>
      </c>
      <c r="BG257" s="4284">
        <f t="shared" si="138"/>
        <v>0</v>
      </c>
      <c r="BH257" s="4284">
        <f t="shared" si="139"/>
        <v>0</v>
      </c>
      <c r="BI257" s="4284">
        <f t="shared" si="140"/>
        <v>0</v>
      </c>
      <c r="BJ257" s="4284">
        <f t="shared" si="141"/>
        <v>0</v>
      </c>
      <c r="BK257" s="4284">
        <f t="shared" si="142"/>
        <v>0</v>
      </c>
      <c r="BL257" s="4284">
        <f t="shared" si="143"/>
        <v>0</v>
      </c>
      <c r="BM257" s="4284">
        <f t="shared" si="144"/>
        <v>0</v>
      </c>
      <c r="BN257" s="4284">
        <f t="shared" si="145"/>
        <v>0</v>
      </c>
      <c r="BO257" s="4284">
        <f t="shared" si="146"/>
        <v>0</v>
      </c>
      <c r="BP257" s="4284">
        <f t="shared" si="147"/>
        <v>0</v>
      </c>
      <c r="BQ257" s="4284">
        <f t="shared" si="148"/>
        <v>0</v>
      </c>
      <c r="BR257" s="4284">
        <f t="shared" si="149"/>
        <v>0</v>
      </c>
      <c r="BS257" s="4284">
        <f t="shared" si="150"/>
        <v>0</v>
      </c>
      <c r="BT257" s="4285">
        <f t="shared" si="151"/>
        <v>0</v>
      </c>
    </row>
    <row r="258" spans="1:72">
      <c r="A258" s="4278"/>
      <c r="B258" s="4279"/>
      <c r="C258" s="4279"/>
      <c r="D258" s="4280"/>
      <c r="E258" s="1188">
        <f t="shared" si="123"/>
        <v>0</v>
      </c>
      <c r="F258" s="1680"/>
      <c r="G258" s="4281">
        <f t="shared" si="124"/>
        <v>0</v>
      </c>
      <c r="H258" s="3457">
        <f t="shared" si="125"/>
        <v>0</v>
      </c>
      <c r="I258" s="4282"/>
      <c r="J258" s="4282"/>
      <c r="K258" s="4282"/>
      <c r="L258" s="4282"/>
      <c r="M258" s="4282"/>
      <c r="N258" s="4282"/>
      <c r="O258" s="4282"/>
      <c r="P258" s="4282"/>
      <c r="Q258" s="4282"/>
      <c r="R258" s="4282"/>
      <c r="S258" s="4282"/>
      <c r="T258" s="4282"/>
      <c r="U258" s="4282"/>
      <c r="V258" s="4282"/>
      <c r="W258" s="4282"/>
      <c r="X258" s="4282"/>
      <c r="Y258" s="4282"/>
      <c r="Z258" s="4282"/>
      <c r="AA258" s="4282"/>
      <c r="AB258" s="4282"/>
      <c r="AC258" s="1188">
        <f t="shared" si="126"/>
        <v>0</v>
      </c>
      <c r="AD258" s="4278"/>
      <c r="AE258" s="4278"/>
      <c r="AF258" s="4278"/>
      <c r="AG258" s="4278"/>
      <c r="AH258" s="4278"/>
      <c r="AI258" s="4278"/>
      <c r="AJ258" s="4278"/>
      <c r="AK258" s="4278"/>
      <c r="AL258" s="4278"/>
      <c r="AM258" s="4278"/>
      <c r="AN258" s="4278"/>
      <c r="AO258" s="4278"/>
      <c r="AP258" s="4278"/>
      <c r="AQ258" s="4278"/>
      <c r="AR258" s="4278"/>
      <c r="AS258" s="4278"/>
      <c r="AT258" s="4279"/>
      <c r="AU258" s="4283"/>
      <c r="AV258" s="1188">
        <f t="shared" si="127"/>
        <v>0</v>
      </c>
      <c r="AW258" s="1188">
        <f t="shared" si="128"/>
        <v>0</v>
      </c>
      <c r="AX258" s="1188">
        <f t="shared" si="129"/>
        <v>0</v>
      </c>
      <c r="AY258" s="1452">
        <f t="shared" si="130"/>
        <v>0</v>
      </c>
      <c r="AZ258" s="4284">
        <f t="shared" si="131"/>
        <v>0</v>
      </c>
      <c r="BA258" s="4284">
        <f t="shared" si="132"/>
        <v>0</v>
      </c>
      <c r="BB258" s="4284">
        <f t="shared" si="133"/>
        <v>0</v>
      </c>
      <c r="BC258" s="4284">
        <f t="shared" si="134"/>
        <v>0</v>
      </c>
      <c r="BD258" s="4284">
        <f t="shared" si="135"/>
        <v>0</v>
      </c>
      <c r="BE258" s="4284">
        <f t="shared" si="136"/>
        <v>0</v>
      </c>
      <c r="BF258" s="4284">
        <f t="shared" si="137"/>
        <v>0</v>
      </c>
      <c r="BG258" s="4284">
        <f t="shared" si="138"/>
        <v>0</v>
      </c>
      <c r="BH258" s="4284">
        <f t="shared" si="139"/>
        <v>0</v>
      </c>
      <c r="BI258" s="4284">
        <f t="shared" si="140"/>
        <v>0</v>
      </c>
      <c r="BJ258" s="4284">
        <f t="shared" si="141"/>
        <v>0</v>
      </c>
      <c r="BK258" s="4284">
        <f t="shared" si="142"/>
        <v>0</v>
      </c>
      <c r="BL258" s="4284">
        <f t="shared" si="143"/>
        <v>0</v>
      </c>
      <c r="BM258" s="4284">
        <f t="shared" si="144"/>
        <v>0</v>
      </c>
      <c r="BN258" s="4284">
        <f t="shared" si="145"/>
        <v>0</v>
      </c>
      <c r="BO258" s="4284">
        <f t="shared" si="146"/>
        <v>0</v>
      </c>
      <c r="BP258" s="4284">
        <f t="shared" si="147"/>
        <v>0</v>
      </c>
      <c r="BQ258" s="4284">
        <f t="shared" si="148"/>
        <v>0</v>
      </c>
      <c r="BR258" s="4284">
        <f t="shared" si="149"/>
        <v>0</v>
      </c>
      <c r="BS258" s="4284">
        <f t="shared" si="150"/>
        <v>0</v>
      </c>
      <c r="BT258" s="4285">
        <f t="shared" si="151"/>
        <v>0</v>
      </c>
    </row>
    <row r="259" spans="1:72">
      <c r="A259" s="4278"/>
      <c r="B259" s="4279"/>
      <c r="C259" s="4279"/>
      <c r="D259" s="4280"/>
      <c r="E259" s="1188">
        <f t="shared" si="123"/>
        <v>0</v>
      </c>
      <c r="F259" s="1680"/>
      <c r="G259" s="4281">
        <f t="shared" si="124"/>
        <v>0</v>
      </c>
      <c r="H259" s="3457">
        <f t="shared" si="125"/>
        <v>0</v>
      </c>
      <c r="I259" s="4282"/>
      <c r="J259" s="4282"/>
      <c r="K259" s="4282"/>
      <c r="L259" s="4282"/>
      <c r="M259" s="4282"/>
      <c r="N259" s="4282"/>
      <c r="O259" s="4282"/>
      <c r="P259" s="4282"/>
      <c r="Q259" s="4282"/>
      <c r="R259" s="4282"/>
      <c r="S259" s="4282"/>
      <c r="T259" s="4282"/>
      <c r="U259" s="4282"/>
      <c r="V259" s="4282"/>
      <c r="W259" s="4282"/>
      <c r="X259" s="4282"/>
      <c r="Y259" s="4282"/>
      <c r="Z259" s="4282"/>
      <c r="AA259" s="4282"/>
      <c r="AB259" s="4282"/>
      <c r="AC259" s="1188">
        <f t="shared" si="126"/>
        <v>0</v>
      </c>
      <c r="AD259" s="4278"/>
      <c r="AE259" s="4278"/>
      <c r="AF259" s="4278"/>
      <c r="AG259" s="4278"/>
      <c r="AH259" s="4278"/>
      <c r="AI259" s="4278"/>
      <c r="AJ259" s="4278"/>
      <c r="AK259" s="4278"/>
      <c r="AL259" s="4278"/>
      <c r="AM259" s="4278"/>
      <c r="AN259" s="4278"/>
      <c r="AO259" s="4278"/>
      <c r="AP259" s="4278"/>
      <c r="AQ259" s="4278"/>
      <c r="AR259" s="4278"/>
      <c r="AS259" s="4278"/>
      <c r="AT259" s="4279"/>
      <c r="AU259" s="4283"/>
      <c r="AV259" s="1188">
        <f t="shared" si="127"/>
        <v>0</v>
      </c>
      <c r="AW259" s="1188">
        <f t="shared" si="128"/>
        <v>0</v>
      </c>
      <c r="AX259" s="1188">
        <f t="shared" si="129"/>
        <v>0</v>
      </c>
      <c r="AY259" s="1452">
        <f t="shared" si="130"/>
        <v>0</v>
      </c>
      <c r="AZ259" s="4284">
        <f t="shared" si="131"/>
        <v>0</v>
      </c>
      <c r="BA259" s="4284">
        <f t="shared" si="132"/>
        <v>0</v>
      </c>
      <c r="BB259" s="4284">
        <f t="shared" si="133"/>
        <v>0</v>
      </c>
      <c r="BC259" s="4284">
        <f t="shared" si="134"/>
        <v>0</v>
      </c>
      <c r="BD259" s="4284">
        <f t="shared" si="135"/>
        <v>0</v>
      </c>
      <c r="BE259" s="4284">
        <f t="shared" si="136"/>
        <v>0</v>
      </c>
      <c r="BF259" s="4284">
        <f t="shared" si="137"/>
        <v>0</v>
      </c>
      <c r="BG259" s="4284">
        <f t="shared" si="138"/>
        <v>0</v>
      </c>
      <c r="BH259" s="4284">
        <f t="shared" si="139"/>
        <v>0</v>
      </c>
      <c r="BI259" s="4284">
        <f t="shared" si="140"/>
        <v>0</v>
      </c>
      <c r="BJ259" s="4284">
        <f t="shared" si="141"/>
        <v>0</v>
      </c>
      <c r="BK259" s="4284">
        <f t="shared" si="142"/>
        <v>0</v>
      </c>
      <c r="BL259" s="4284">
        <f t="shared" si="143"/>
        <v>0</v>
      </c>
      <c r="BM259" s="4284">
        <f t="shared" si="144"/>
        <v>0</v>
      </c>
      <c r="BN259" s="4284">
        <f t="shared" si="145"/>
        <v>0</v>
      </c>
      <c r="BO259" s="4284">
        <f t="shared" si="146"/>
        <v>0</v>
      </c>
      <c r="BP259" s="4284">
        <f t="shared" si="147"/>
        <v>0</v>
      </c>
      <c r="BQ259" s="4284">
        <f t="shared" si="148"/>
        <v>0</v>
      </c>
      <c r="BR259" s="4284">
        <f t="shared" si="149"/>
        <v>0</v>
      </c>
      <c r="BS259" s="4284">
        <f t="shared" si="150"/>
        <v>0</v>
      </c>
      <c r="BT259" s="4285">
        <f t="shared" si="151"/>
        <v>0</v>
      </c>
    </row>
    <row r="260" spans="1:72">
      <c r="A260" s="4278"/>
      <c r="B260" s="4279"/>
      <c r="C260" s="4279"/>
      <c r="D260" s="4280"/>
      <c r="E260" s="1188">
        <f t="shared" si="123"/>
        <v>0</v>
      </c>
      <c r="F260" s="1680"/>
      <c r="G260" s="4281">
        <f t="shared" si="124"/>
        <v>0</v>
      </c>
      <c r="H260" s="3457">
        <f t="shared" si="125"/>
        <v>0</v>
      </c>
      <c r="I260" s="4282"/>
      <c r="J260" s="4282"/>
      <c r="K260" s="4282"/>
      <c r="L260" s="4282"/>
      <c r="M260" s="4282"/>
      <c r="N260" s="4282"/>
      <c r="O260" s="4282"/>
      <c r="P260" s="4282"/>
      <c r="Q260" s="4282"/>
      <c r="R260" s="4282"/>
      <c r="S260" s="4282"/>
      <c r="T260" s="4282"/>
      <c r="U260" s="4282"/>
      <c r="V260" s="4282"/>
      <c r="W260" s="4282"/>
      <c r="X260" s="4282"/>
      <c r="Y260" s="4282"/>
      <c r="Z260" s="4282"/>
      <c r="AA260" s="4282"/>
      <c r="AB260" s="4282"/>
      <c r="AC260" s="1188">
        <f t="shared" si="126"/>
        <v>0</v>
      </c>
      <c r="AD260" s="4278"/>
      <c r="AE260" s="4278"/>
      <c r="AF260" s="4278"/>
      <c r="AG260" s="4278"/>
      <c r="AH260" s="4278"/>
      <c r="AI260" s="4278"/>
      <c r="AJ260" s="4278"/>
      <c r="AK260" s="4278"/>
      <c r="AL260" s="4278"/>
      <c r="AM260" s="4278"/>
      <c r="AN260" s="4278"/>
      <c r="AO260" s="4278"/>
      <c r="AP260" s="4278"/>
      <c r="AQ260" s="4278"/>
      <c r="AR260" s="4278"/>
      <c r="AS260" s="4278"/>
      <c r="AT260" s="4279"/>
      <c r="AU260" s="4283"/>
      <c r="AV260" s="1188">
        <f t="shared" si="127"/>
        <v>0</v>
      </c>
      <c r="AW260" s="1188">
        <f t="shared" si="128"/>
        <v>0</v>
      </c>
      <c r="AX260" s="1188">
        <f t="shared" si="129"/>
        <v>0</v>
      </c>
      <c r="AY260" s="1452">
        <f t="shared" si="130"/>
        <v>0</v>
      </c>
      <c r="AZ260" s="4284">
        <f t="shared" si="131"/>
        <v>0</v>
      </c>
      <c r="BA260" s="4284">
        <f t="shared" si="132"/>
        <v>0</v>
      </c>
      <c r="BB260" s="4284">
        <f t="shared" si="133"/>
        <v>0</v>
      </c>
      <c r="BC260" s="4284">
        <f t="shared" si="134"/>
        <v>0</v>
      </c>
      <c r="BD260" s="4284">
        <f t="shared" si="135"/>
        <v>0</v>
      </c>
      <c r="BE260" s="4284">
        <f t="shared" si="136"/>
        <v>0</v>
      </c>
      <c r="BF260" s="4284">
        <f t="shared" si="137"/>
        <v>0</v>
      </c>
      <c r="BG260" s="4284">
        <f t="shared" si="138"/>
        <v>0</v>
      </c>
      <c r="BH260" s="4284">
        <f t="shared" si="139"/>
        <v>0</v>
      </c>
      <c r="BI260" s="4284">
        <f t="shared" si="140"/>
        <v>0</v>
      </c>
      <c r="BJ260" s="4284">
        <f t="shared" si="141"/>
        <v>0</v>
      </c>
      <c r="BK260" s="4284">
        <f t="shared" si="142"/>
        <v>0</v>
      </c>
      <c r="BL260" s="4284">
        <f t="shared" si="143"/>
        <v>0</v>
      </c>
      <c r="BM260" s="4284">
        <f t="shared" si="144"/>
        <v>0</v>
      </c>
      <c r="BN260" s="4284">
        <f t="shared" si="145"/>
        <v>0</v>
      </c>
      <c r="BO260" s="4284">
        <f t="shared" si="146"/>
        <v>0</v>
      </c>
      <c r="BP260" s="4284">
        <f t="shared" si="147"/>
        <v>0</v>
      </c>
      <c r="BQ260" s="4284">
        <f t="shared" si="148"/>
        <v>0</v>
      </c>
      <c r="BR260" s="4284">
        <f t="shared" si="149"/>
        <v>0</v>
      </c>
      <c r="BS260" s="4284">
        <f t="shared" si="150"/>
        <v>0</v>
      </c>
      <c r="BT260" s="4285">
        <f t="shared" si="151"/>
        <v>0</v>
      </c>
    </row>
    <row r="261" spans="1:72">
      <c r="A261" s="4278"/>
      <c r="B261" s="4279"/>
      <c r="C261" s="4279"/>
      <c r="D261" s="4280"/>
      <c r="E261" s="1188">
        <f t="shared" si="123"/>
        <v>0</v>
      </c>
      <c r="F261" s="1680"/>
      <c r="G261" s="4281">
        <f t="shared" si="124"/>
        <v>0</v>
      </c>
      <c r="H261" s="3457">
        <f t="shared" si="125"/>
        <v>0</v>
      </c>
      <c r="I261" s="4282"/>
      <c r="J261" s="4282"/>
      <c r="K261" s="4282"/>
      <c r="L261" s="4282"/>
      <c r="M261" s="4282"/>
      <c r="N261" s="4282"/>
      <c r="O261" s="4282"/>
      <c r="P261" s="4282"/>
      <c r="Q261" s="4282"/>
      <c r="R261" s="4282"/>
      <c r="S261" s="4282"/>
      <c r="T261" s="4282"/>
      <c r="U261" s="4282"/>
      <c r="V261" s="4282"/>
      <c r="W261" s="4282"/>
      <c r="X261" s="4282"/>
      <c r="Y261" s="4282"/>
      <c r="Z261" s="4282"/>
      <c r="AA261" s="4282"/>
      <c r="AB261" s="4282"/>
      <c r="AC261" s="1188">
        <f t="shared" si="126"/>
        <v>0</v>
      </c>
      <c r="AD261" s="4278"/>
      <c r="AE261" s="4278"/>
      <c r="AF261" s="4278"/>
      <c r="AG261" s="4278"/>
      <c r="AH261" s="4278"/>
      <c r="AI261" s="4278"/>
      <c r="AJ261" s="4278"/>
      <c r="AK261" s="4278"/>
      <c r="AL261" s="4278"/>
      <c r="AM261" s="4278"/>
      <c r="AN261" s="4278"/>
      <c r="AO261" s="4278"/>
      <c r="AP261" s="4278"/>
      <c r="AQ261" s="4278"/>
      <c r="AR261" s="4278"/>
      <c r="AS261" s="4278"/>
      <c r="AT261" s="4279"/>
      <c r="AU261" s="4283"/>
      <c r="AV261" s="1188">
        <f t="shared" si="127"/>
        <v>0</v>
      </c>
      <c r="AW261" s="1188">
        <f t="shared" si="128"/>
        <v>0</v>
      </c>
      <c r="AX261" s="1188">
        <f t="shared" si="129"/>
        <v>0</v>
      </c>
      <c r="AY261" s="1452">
        <f t="shared" si="130"/>
        <v>0</v>
      </c>
      <c r="AZ261" s="4284">
        <f t="shared" si="131"/>
        <v>0</v>
      </c>
      <c r="BA261" s="4284">
        <f t="shared" si="132"/>
        <v>0</v>
      </c>
      <c r="BB261" s="4284">
        <f t="shared" si="133"/>
        <v>0</v>
      </c>
      <c r="BC261" s="4284">
        <f t="shared" si="134"/>
        <v>0</v>
      </c>
      <c r="BD261" s="4284">
        <f t="shared" si="135"/>
        <v>0</v>
      </c>
      <c r="BE261" s="4284">
        <f t="shared" si="136"/>
        <v>0</v>
      </c>
      <c r="BF261" s="4284">
        <f t="shared" si="137"/>
        <v>0</v>
      </c>
      <c r="BG261" s="4284">
        <f t="shared" si="138"/>
        <v>0</v>
      </c>
      <c r="BH261" s="4284">
        <f t="shared" si="139"/>
        <v>0</v>
      </c>
      <c r="BI261" s="4284">
        <f t="shared" si="140"/>
        <v>0</v>
      </c>
      <c r="BJ261" s="4284">
        <f t="shared" si="141"/>
        <v>0</v>
      </c>
      <c r="BK261" s="4284">
        <f t="shared" si="142"/>
        <v>0</v>
      </c>
      <c r="BL261" s="4284">
        <f t="shared" si="143"/>
        <v>0</v>
      </c>
      <c r="BM261" s="4284">
        <f t="shared" si="144"/>
        <v>0</v>
      </c>
      <c r="BN261" s="4284">
        <f t="shared" si="145"/>
        <v>0</v>
      </c>
      <c r="BO261" s="4284">
        <f t="shared" si="146"/>
        <v>0</v>
      </c>
      <c r="BP261" s="4284">
        <f t="shared" si="147"/>
        <v>0</v>
      </c>
      <c r="BQ261" s="4284">
        <f t="shared" si="148"/>
        <v>0</v>
      </c>
      <c r="BR261" s="4284">
        <f t="shared" si="149"/>
        <v>0</v>
      </c>
      <c r="BS261" s="4284">
        <f t="shared" si="150"/>
        <v>0</v>
      </c>
      <c r="BT261" s="4285">
        <f t="shared" si="151"/>
        <v>0</v>
      </c>
    </row>
    <row r="262" spans="1:72">
      <c r="A262" s="4278"/>
      <c r="B262" s="4279"/>
      <c r="C262" s="4279"/>
      <c r="D262" s="4280"/>
      <c r="E262" s="1188">
        <f t="shared" si="123"/>
        <v>0</v>
      </c>
      <c r="F262" s="1680"/>
      <c r="G262" s="4281">
        <f t="shared" si="124"/>
        <v>0</v>
      </c>
      <c r="H262" s="3457">
        <f t="shared" si="125"/>
        <v>0</v>
      </c>
      <c r="I262" s="4282"/>
      <c r="J262" s="4282"/>
      <c r="K262" s="4282"/>
      <c r="L262" s="4282"/>
      <c r="M262" s="4282"/>
      <c r="N262" s="4282"/>
      <c r="O262" s="4282"/>
      <c r="P262" s="4282"/>
      <c r="Q262" s="4282"/>
      <c r="R262" s="4282"/>
      <c r="S262" s="4282"/>
      <c r="T262" s="4282"/>
      <c r="U262" s="4282"/>
      <c r="V262" s="4282"/>
      <c r="W262" s="4282"/>
      <c r="X262" s="4282"/>
      <c r="Y262" s="4282"/>
      <c r="Z262" s="4282"/>
      <c r="AA262" s="4282"/>
      <c r="AB262" s="4282"/>
      <c r="AC262" s="1188">
        <f t="shared" si="126"/>
        <v>0</v>
      </c>
      <c r="AD262" s="4278"/>
      <c r="AE262" s="4278"/>
      <c r="AF262" s="4278"/>
      <c r="AG262" s="4278"/>
      <c r="AH262" s="4278"/>
      <c r="AI262" s="4278"/>
      <c r="AJ262" s="4278"/>
      <c r="AK262" s="4278"/>
      <c r="AL262" s="4278"/>
      <c r="AM262" s="4278"/>
      <c r="AN262" s="4278"/>
      <c r="AO262" s="4278"/>
      <c r="AP262" s="4278"/>
      <c r="AQ262" s="4278"/>
      <c r="AR262" s="4278"/>
      <c r="AS262" s="4278"/>
      <c r="AT262" s="4279"/>
      <c r="AU262" s="4283"/>
      <c r="AV262" s="1188">
        <f t="shared" si="127"/>
        <v>0</v>
      </c>
      <c r="AW262" s="1188">
        <f t="shared" si="128"/>
        <v>0</v>
      </c>
      <c r="AX262" s="1188">
        <f t="shared" si="129"/>
        <v>0</v>
      </c>
      <c r="AY262" s="1452">
        <f t="shared" si="130"/>
        <v>0</v>
      </c>
      <c r="AZ262" s="4284">
        <f t="shared" si="131"/>
        <v>0</v>
      </c>
      <c r="BA262" s="4284">
        <f t="shared" si="132"/>
        <v>0</v>
      </c>
      <c r="BB262" s="4284">
        <f t="shared" si="133"/>
        <v>0</v>
      </c>
      <c r="BC262" s="4284">
        <f t="shared" si="134"/>
        <v>0</v>
      </c>
      <c r="BD262" s="4284">
        <f t="shared" si="135"/>
        <v>0</v>
      </c>
      <c r="BE262" s="4284">
        <f t="shared" si="136"/>
        <v>0</v>
      </c>
      <c r="BF262" s="4284">
        <f t="shared" si="137"/>
        <v>0</v>
      </c>
      <c r="BG262" s="4284">
        <f t="shared" si="138"/>
        <v>0</v>
      </c>
      <c r="BH262" s="4284">
        <f t="shared" si="139"/>
        <v>0</v>
      </c>
      <c r="BI262" s="4284">
        <f t="shared" si="140"/>
        <v>0</v>
      </c>
      <c r="BJ262" s="4284">
        <f t="shared" si="141"/>
        <v>0</v>
      </c>
      <c r="BK262" s="4284">
        <f t="shared" si="142"/>
        <v>0</v>
      </c>
      <c r="BL262" s="4284">
        <f t="shared" si="143"/>
        <v>0</v>
      </c>
      <c r="BM262" s="4284">
        <f t="shared" si="144"/>
        <v>0</v>
      </c>
      <c r="BN262" s="4284">
        <f t="shared" si="145"/>
        <v>0</v>
      </c>
      <c r="BO262" s="4284">
        <f t="shared" si="146"/>
        <v>0</v>
      </c>
      <c r="BP262" s="4284">
        <f t="shared" si="147"/>
        <v>0</v>
      </c>
      <c r="BQ262" s="4284">
        <f t="shared" si="148"/>
        <v>0</v>
      </c>
      <c r="BR262" s="4284">
        <f t="shared" si="149"/>
        <v>0</v>
      </c>
      <c r="BS262" s="4284">
        <f t="shared" si="150"/>
        <v>0</v>
      </c>
      <c r="BT262" s="4285">
        <f t="shared" si="151"/>
        <v>0</v>
      </c>
    </row>
    <row r="263" spans="1:72">
      <c r="A263" s="4278"/>
      <c r="B263" s="4279"/>
      <c r="C263" s="4279"/>
      <c r="D263" s="4280"/>
      <c r="E263" s="1188">
        <f t="shared" si="123"/>
        <v>0</v>
      </c>
      <c r="F263" s="1680"/>
      <c r="G263" s="4281">
        <f t="shared" si="124"/>
        <v>0</v>
      </c>
      <c r="H263" s="3457">
        <f t="shared" si="125"/>
        <v>0</v>
      </c>
      <c r="I263" s="4282"/>
      <c r="J263" s="4282"/>
      <c r="K263" s="4282"/>
      <c r="L263" s="4282"/>
      <c r="M263" s="4282"/>
      <c r="N263" s="4282"/>
      <c r="O263" s="4282"/>
      <c r="P263" s="4282"/>
      <c r="Q263" s="4282"/>
      <c r="R263" s="4282"/>
      <c r="S263" s="4282"/>
      <c r="T263" s="4282"/>
      <c r="U263" s="4282"/>
      <c r="V263" s="4282"/>
      <c r="W263" s="4282"/>
      <c r="X263" s="4282"/>
      <c r="Y263" s="4282"/>
      <c r="Z263" s="4282"/>
      <c r="AA263" s="4282"/>
      <c r="AB263" s="4282"/>
      <c r="AC263" s="1188">
        <f t="shared" si="126"/>
        <v>0</v>
      </c>
      <c r="AD263" s="4278"/>
      <c r="AE263" s="4278"/>
      <c r="AF263" s="4278"/>
      <c r="AG263" s="4278"/>
      <c r="AH263" s="4278"/>
      <c r="AI263" s="4278"/>
      <c r="AJ263" s="4278"/>
      <c r="AK263" s="4278"/>
      <c r="AL263" s="4278"/>
      <c r="AM263" s="4278"/>
      <c r="AN263" s="4278"/>
      <c r="AO263" s="4278"/>
      <c r="AP263" s="4278"/>
      <c r="AQ263" s="4278"/>
      <c r="AR263" s="4278"/>
      <c r="AS263" s="4278"/>
      <c r="AT263" s="4279"/>
      <c r="AU263" s="4283"/>
      <c r="AV263" s="1188">
        <f t="shared" si="127"/>
        <v>0</v>
      </c>
      <c r="AW263" s="1188">
        <f t="shared" si="128"/>
        <v>0</v>
      </c>
      <c r="AX263" s="1188">
        <f t="shared" si="129"/>
        <v>0</v>
      </c>
      <c r="AY263" s="1452">
        <f t="shared" si="130"/>
        <v>0</v>
      </c>
      <c r="AZ263" s="4284">
        <f t="shared" si="131"/>
        <v>0</v>
      </c>
      <c r="BA263" s="4284">
        <f t="shared" si="132"/>
        <v>0</v>
      </c>
      <c r="BB263" s="4284">
        <f t="shared" si="133"/>
        <v>0</v>
      </c>
      <c r="BC263" s="4284">
        <f t="shared" si="134"/>
        <v>0</v>
      </c>
      <c r="BD263" s="4284">
        <f t="shared" si="135"/>
        <v>0</v>
      </c>
      <c r="BE263" s="4284">
        <f t="shared" si="136"/>
        <v>0</v>
      </c>
      <c r="BF263" s="4284">
        <f t="shared" si="137"/>
        <v>0</v>
      </c>
      <c r="BG263" s="4284">
        <f t="shared" si="138"/>
        <v>0</v>
      </c>
      <c r="BH263" s="4284">
        <f t="shared" si="139"/>
        <v>0</v>
      </c>
      <c r="BI263" s="4284">
        <f t="shared" si="140"/>
        <v>0</v>
      </c>
      <c r="BJ263" s="4284">
        <f t="shared" si="141"/>
        <v>0</v>
      </c>
      <c r="BK263" s="4284">
        <f t="shared" si="142"/>
        <v>0</v>
      </c>
      <c r="BL263" s="4284">
        <f t="shared" si="143"/>
        <v>0</v>
      </c>
      <c r="BM263" s="4284">
        <f t="shared" si="144"/>
        <v>0</v>
      </c>
      <c r="BN263" s="4284">
        <f t="shared" si="145"/>
        <v>0</v>
      </c>
      <c r="BO263" s="4284">
        <f t="shared" si="146"/>
        <v>0</v>
      </c>
      <c r="BP263" s="4284">
        <f t="shared" si="147"/>
        <v>0</v>
      </c>
      <c r="BQ263" s="4284">
        <f t="shared" si="148"/>
        <v>0</v>
      </c>
      <c r="BR263" s="4284">
        <f t="shared" si="149"/>
        <v>0</v>
      </c>
      <c r="BS263" s="4284">
        <f t="shared" si="150"/>
        <v>0</v>
      </c>
      <c r="BT263" s="4285">
        <f t="shared" si="151"/>
        <v>0</v>
      </c>
    </row>
    <row r="264" spans="1:72">
      <c r="A264" s="4278"/>
      <c r="B264" s="4279"/>
      <c r="C264" s="4279"/>
      <c r="D264" s="4280"/>
      <c r="E264" s="1188">
        <f t="shared" si="123"/>
        <v>0</v>
      </c>
      <c r="F264" s="1680"/>
      <c r="G264" s="4281">
        <f t="shared" si="124"/>
        <v>0</v>
      </c>
      <c r="H264" s="3457">
        <f t="shared" si="125"/>
        <v>0</v>
      </c>
      <c r="I264" s="4282"/>
      <c r="J264" s="4282"/>
      <c r="K264" s="4282"/>
      <c r="L264" s="4282"/>
      <c r="M264" s="4282"/>
      <c r="N264" s="4282"/>
      <c r="O264" s="4282"/>
      <c r="P264" s="4282"/>
      <c r="Q264" s="4282"/>
      <c r="R264" s="4282"/>
      <c r="S264" s="4282"/>
      <c r="T264" s="4282"/>
      <c r="U264" s="4282"/>
      <c r="V264" s="4282"/>
      <c r="W264" s="4282"/>
      <c r="X264" s="4282"/>
      <c r="Y264" s="4282"/>
      <c r="Z264" s="4282"/>
      <c r="AA264" s="4282"/>
      <c r="AB264" s="4282"/>
      <c r="AC264" s="1188">
        <f t="shared" si="126"/>
        <v>0</v>
      </c>
      <c r="AD264" s="4278"/>
      <c r="AE264" s="4278"/>
      <c r="AF264" s="4278"/>
      <c r="AG264" s="4278"/>
      <c r="AH264" s="4278"/>
      <c r="AI264" s="4278"/>
      <c r="AJ264" s="4278"/>
      <c r="AK264" s="4278"/>
      <c r="AL264" s="4278"/>
      <c r="AM264" s="4278"/>
      <c r="AN264" s="4278"/>
      <c r="AO264" s="4278"/>
      <c r="AP264" s="4278"/>
      <c r="AQ264" s="4278"/>
      <c r="AR264" s="4278"/>
      <c r="AS264" s="4278"/>
      <c r="AT264" s="4279"/>
      <c r="AU264" s="4283"/>
      <c r="AV264" s="1188">
        <f t="shared" si="127"/>
        <v>0</v>
      </c>
      <c r="AW264" s="1188">
        <f t="shared" si="128"/>
        <v>0</v>
      </c>
      <c r="AX264" s="1188">
        <f t="shared" si="129"/>
        <v>0</v>
      </c>
      <c r="AY264" s="1452">
        <f t="shared" si="130"/>
        <v>0</v>
      </c>
      <c r="AZ264" s="4284">
        <f t="shared" si="131"/>
        <v>0</v>
      </c>
      <c r="BA264" s="4284">
        <f t="shared" si="132"/>
        <v>0</v>
      </c>
      <c r="BB264" s="4284">
        <f t="shared" si="133"/>
        <v>0</v>
      </c>
      <c r="BC264" s="4284">
        <f t="shared" si="134"/>
        <v>0</v>
      </c>
      <c r="BD264" s="4284">
        <f t="shared" si="135"/>
        <v>0</v>
      </c>
      <c r="BE264" s="4284">
        <f t="shared" si="136"/>
        <v>0</v>
      </c>
      <c r="BF264" s="4284">
        <f t="shared" si="137"/>
        <v>0</v>
      </c>
      <c r="BG264" s="4284">
        <f t="shared" si="138"/>
        <v>0</v>
      </c>
      <c r="BH264" s="4284">
        <f t="shared" si="139"/>
        <v>0</v>
      </c>
      <c r="BI264" s="4284">
        <f t="shared" si="140"/>
        <v>0</v>
      </c>
      <c r="BJ264" s="4284">
        <f t="shared" si="141"/>
        <v>0</v>
      </c>
      <c r="BK264" s="4284">
        <f t="shared" si="142"/>
        <v>0</v>
      </c>
      <c r="BL264" s="4284">
        <f t="shared" si="143"/>
        <v>0</v>
      </c>
      <c r="BM264" s="4284">
        <f t="shared" si="144"/>
        <v>0</v>
      </c>
      <c r="BN264" s="4284">
        <f t="shared" si="145"/>
        <v>0</v>
      </c>
      <c r="BO264" s="4284">
        <f t="shared" si="146"/>
        <v>0</v>
      </c>
      <c r="BP264" s="4284">
        <f t="shared" si="147"/>
        <v>0</v>
      </c>
      <c r="BQ264" s="4284">
        <f t="shared" si="148"/>
        <v>0</v>
      </c>
      <c r="BR264" s="4284">
        <f t="shared" si="149"/>
        <v>0</v>
      </c>
      <c r="BS264" s="4284">
        <f t="shared" si="150"/>
        <v>0</v>
      </c>
      <c r="BT264" s="4285">
        <f t="shared" si="151"/>
        <v>0</v>
      </c>
    </row>
    <row r="265" spans="1:72">
      <c r="A265" s="4278"/>
      <c r="B265" s="4279"/>
      <c r="C265" s="4279"/>
      <c r="D265" s="4280"/>
      <c r="E265" s="1188">
        <f t="shared" si="123"/>
        <v>0</v>
      </c>
      <c r="F265" s="1680"/>
      <c r="G265" s="4281">
        <f t="shared" si="124"/>
        <v>0</v>
      </c>
      <c r="H265" s="3457">
        <f t="shared" si="125"/>
        <v>0</v>
      </c>
      <c r="I265" s="4282"/>
      <c r="J265" s="4282"/>
      <c r="K265" s="4282"/>
      <c r="L265" s="4282"/>
      <c r="M265" s="4282"/>
      <c r="N265" s="4282"/>
      <c r="O265" s="4282"/>
      <c r="P265" s="4282"/>
      <c r="Q265" s="4282"/>
      <c r="R265" s="4282"/>
      <c r="S265" s="4282"/>
      <c r="T265" s="4282"/>
      <c r="U265" s="4282"/>
      <c r="V265" s="4282"/>
      <c r="W265" s="4282"/>
      <c r="X265" s="4282"/>
      <c r="Y265" s="4282"/>
      <c r="Z265" s="4282"/>
      <c r="AA265" s="4282"/>
      <c r="AB265" s="4282"/>
      <c r="AC265" s="1188">
        <f t="shared" si="126"/>
        <v>0</v>
      </c>
      <c r="AD265" s="4278"/>
      <c r="AE265" s="4278"/>
      <c r="AF265" s="4278"/>
      <c r="AG265" s="4278"/>
      <c r="AH265" s="4278"/>
      <c r="AI265" s="4278"/>
      <c r="AJ265" s="4278"/>
      <c r="AK265" s="4278"/>
      <c r="AL265" s="4278"/>
      <c r="AM265" s="4278"/>
      <c r="AN265" s="4278"/>
      <c r="AO265" s="4278"/>
      <c r="AP265" s="4278"/>
      <c r="AQ265" s="4278"/>
      <c r="AR265" s="4278"/>
      <c r="AS265" s="4278"/>
      <c r="AT265" s="4279"/>
      <c r="AU265" s="4283"/>
      <c r="AV265" s="1188">
        <f t="shared" si="127"/>
        <v>0</v>
      </c>
      <c r="AW265" s="1188">
        <f t="shared" si="128"/>
        <v>0</v>
      </c>
      <c r="AX265" s="1188">
        <f t="shared" si="129"/>
        <v>0</v>
      </c>
      <c r="AY265" s="1452">
        <f t="shared" si="130"/>
        <v>0</v>
      </c>
      <c r="AZ265" s="4284">
        <f t="shared" si="131"/>
        <v>0</v>
      </c>
      <c r="BA265" s="4284">
        <f t="shared" si="132"/>
        <v>0</v>
      </c>
      <c r="BB265" s="4284">
        <f t="shared" si="133"/>
        <v>0</v>
      </c>
      <c r="BC265" s="4284">
        <f t="shared" si="134"/>
        <v>0</v>
      </c>
      <c r="BD265" s="4284">
        <f t="shared" si="135"/>
        <v>0</v>
      </c>
      <c r="BE265" s="4284">
        <f t="shared" si="136"/>
        <v>0</v>
      </c>
      <c r="BF265" s="4284">
        <f t="shared" si="137"/>
        <v>0</v>
      </c>
      <c r="BG265" s="4284">
        <f t="shared" si="138"/>
        <v>0</v>
      </c>
      <c r="BH265" s="4284">
        <f t="shared" si="139"/>
        <v>0</v>
      </c>
      <c r="BI265" s="4284">
        <f t="shared" si="140"/>
        <v>0</v>
      </c>
      <c r="BJ265" s="4284">
        <f t="shared" si="141"/>
        <v>0</v>
      </c>
      <c r="BK265" s="4284">
        <f t="shared" si="142"/>
        <v>0</v>
      </c>
      <c r="BL265" s="4284">
        <f t="shared" si="143"/>
        <v>0</v>
      </c>
      <c r="BM265" s="4284">
        <f t="shared" si="144"/>
        <v>0</v>
      </c>
      <c r="BN265" s="4284">
        <f t="shared" si="145"/>
        <v>0</v>
      </c>
      <c r="BO265" s="4284">
        <f t="shared" si="146"/>
        <v>0</v>
      </c>
      <c r="BP265" s="4284">
        <f t="shared" si="147"/>
        <v>0</v>
      </c>
      <c r="BQ265" s="4284">
        <f t="shared" si="148"/>
        <v>0</v>
      </c>
      <c r="BR265" s="4284">
        <f t="shared" si="149"/>
        <v>0</v>
      </c>
      <c r="BS265" s="4284">
        <f t="shared" si="150"/>
        <v>0</v>
      </c>
      <c r="BT265" s="4285">
        <f t="shared" si="151"/>
        <v>0</v>
      </c>
    </row>
    <row r="266" spans="1:72">
      <c r="A266" s="4278"/>
      <c r="B266" s="4279"/>
      <c r="C266" s="4279"/>
      <c r="D266" s="4280"/>
      <c r="E266" s="1188">
        <f t="shared" si="123"/>
        <v>0</v>
      </c>
      <c r="F266" s="1680"/>
      <c r="G266" s="4281">
        <f t="shared" si="124"/>
        <v>0</v>
      </c>
      <c r="H266" s="3457">
        <f t="shared" si="125"/>
        <v>0</v>
      </c>
      <c r="I266" s="4282"/>
      <c r="J266" s="4282"/>
      <c r="K266" s="4282"/>
      <c r="L266" s="4282"/>
      <c r="M266" s="4282"/>
      <c r="N266" s="4282"/>
      <c r="O266" s="4282"/>
      <c r="P266" s="4282"/>
      <c r="Q266" s="4282"/>
      <c r="R266" s="4282"/>
      <c r="S266" s="4282"/>
      <c r="T266" s="4282"/>
      <c r="U266" s="4282"/>
      <c r="V266" s="4282"/>
      <c r="W266" s="4282"/>
      <c r="X266" s="4282"/>
      <c r="Y266" s="4282"/>
      <c r="Z266" s="4282"/>
      <c r="AA266" s="4282"/>
      <c r="AB266" s="4282"/>
      <c r="AC266" s="1188">
        <f t="shared" si="126"/>
        <v>0</v>
      </c>
      <c r="AD266" s="4278"/>
      <c r="AE266" s="4278"/>
      <c r="AF266" s="4278"/>
      <c r="AG266" s="4278"/>
      <c r="AH266" s="4278"/>
      <c r="AI266" s="4278"/>
      <c r="AJ266" s="4278"/>
      <c r="AK266" s="4278"/>
      <c r="AL266" s="4278"/>
      <c r="AM266" s="4278"/>
      <c r="AN266" s="4278"/>
      <c r="AO266" s="4278"/>
      <c r="AP266" s="4278"/>
      <c r="AQ266" s="4278"/>
      <c r="AR266" s="4278"/>
      <c r="AS266" s="4278"/>
      <c r="AT266" s="4279"/>
      <c r="AU266" s="4283"/>
      <c r="AV266" s="1188">
        <f t="shared" si="127"/>
        <v>0</v>
      </c>
      <c r="AW266" s="1188">
        <f t="shared" si="128"/>
        <v>0</v>
      </c>
      <c r="AX266" s="1188">
        <f t="shared" si="129"/>
        <v>0</v>
      </c>
      <c r="AY266" s="1452">
        <f t="shared" si="130"/>
        <v>0</v>
      </c>
      <c r="AZ266" s="4284">
        <f t="shared" si="131"/>
        <v>0</v>
      </c>
      <c r="BA266" s="4284">
        <f t="shared" si="132"/>
        <v>0</v>
      </c>
      <c r="BB266" s="4284">
        <f t="shared" si="133"/>
        <v>0</v>
      </c>
      <c r="BC266" s="4284">
        <f t="shared" si="134"/>
        <v>0</v>
      </c>
      <c r="BD266" s="4284">
        <f t="shared" si="135"/>
        <v>0</v>
      </c>
      <c r="BE266" s="4284">
        <f t="shared" si="136"/>
        <v>0</v>
      </c>
      <c r="BF266" s="4284">
        <f t="shared" si="137"/>
        <v>0</v>
      </c>
      <c r="BG266" s="4284">
        <f t="shared" si="138"/>
        <v>0</v>
      </c>
      <c r="BH266" s="4284">
        <f t="shared" si="139"/>
        <v>0</v>
      </c>
      <c r="BI266" s="4284">
        <f t="shared" si="140"/>
        <v>0</v>
      </c>
      <c r="BJ266" s="4284">
        <f t="shared" si="141"/>
        <v>0</v>
      </c>
      <c r="BK266" s="4284">
        <f t="shared" si="142"/>
        <v>0</v>
      </c>
      <c r="BL266" s="4284">
        <f t="shared" si="143"/>
        <v>0</v>
      </c>
      <c r="BM266" s="4284">
        <f t="shared" si="144"/>
        <v>0</v>
      </c>
      <c r="BN266" s="4284">
        <f t="shared" si="145"/>
        <v>0</v>
      </c>
      <c r="BO266" s="4284">
        <f t="shared" si="146"/>
        <v>0</v>
      </c>
      <c r="BP266" s="4284">
        <f t="shared" si="147"/>
        <v>0</v>
      </c>
      <c r="BQ266" s="4284">
        <f t="shared" si="148"/>
        <v>0</v>
      </c>
      <c r="BR266" s="4284">
        <f t="shared" si="149"/>
        <v>0</v>
      </c>
      <c r="BS266" s="4284">
        <f t="shared" si="150"/>
        <v>0</v>
      </c>
      <c r="BT266" s="4285">
        <f t="shared" si="151"/>
        <v>0</v>
      </c>
    </row>
    <row r="267" spans="1:72">
      <c r="A267" s="4278"/>
      <c r="B267" s="4279"/>
      <c r="C267" s="4279"/>
      <c r="D267" s="4280"/>
      <c r="E267" s="1188">
        <f t="shared" si="123"/>
        <v>0</v>
      </c>
      <c r="F267" s="1680"/>
      <c r="G267" s="4281">
        <f t="shared" si="124"/>
        <v>0</v>
      </c>
      <c r="H267" s="3457">
        <f t="shared" si="125"/>
        <v>0</v>
      </c>
      <c r="I267" s="4282"/>
      <c r="J267" s="4282"/>
      <c r="K267" s="4282"/>
      <c r="L267" s="4282"/>
      <c r="M267" s="4282"/>
      <c r="N267" s="4282"/>
      <c r="O267" s="4282"/>
      <c r="P267" s="4282"/>
      <c r="Q267" s="4282"/>
      <c r="R267" s="4282"/>
      <c r="S267" s="4282"/>
      <c r="T267" s="4282"/>
      <c r="U267" s="4282"/>
      <c r="V267" s="4282"/>
      <c r="W267" s="4282"/>
      <c r="X267" s="4282"/>
      <c r="Y267" s="4282"/>
      <c r="Z267" s="4282"/>
      <c r="AA267" s="4282"/>
      <c r="AB267" s="4282"/>
      <c r="AC267" s="1188">
        <f t="shared" si="126"/>
        <v>0</v>
      </c>
      <c r="AD267" s="4278"/>
      <c r="AE267" s="4278"/>
      <c r="AF267" s="4278"/>
      <c r="AG267" s="4278"/>
      <c r="AH267" s="4278"/>
      <c r="AI267" s="4278"/>
      <c r="AJ267" s="4278"/>
      <c r="AK267" s="4278"/>
      <c r="AL267" s="4278"/>
      <c r="AM267" s="4278"/>
      <c r="AN267" s="4278"/>
      <c r="AO267" s="4278"/>
      <c r="AP267" s="4278"/>
      <c r="AQ267" s="4278"/>
      <c r="AR267" s="4278"/>
      <c r="AS267" s="4278"/>
      <c r="AT267" s="4279"/>
      <c r="AU267" s="4283"/>
      <c r="AV267" s="1188">
        <f t="shared" si="127"/>
        <v>0</v>
      </c>
      <c r="AW267" s="1188">
        <f t="shared" si="128"/>
        <v>0</v>
      </c>
      <c r="AX267" s="1188">
        <f t="shared" si="129"/>
        <v>0</v>
      </c>
      <c r="AY267" s="1452">
        <f t="shared" si="130"/>
        <v>0</v>
      </c>
      <c r="AZ267" s="4284">
        <f t="shared" si="131"/>
        <v>0</v>
      </c>
      <c r="BA267" s="4284">
        <f t="shared" si="132"/>
        <v>0</v>
      </c>
      <c r="BB267" s="4284">
        <f t="shared" si="133"/>
        <v>0</v>
      </c>
      <c r="BC267" s="4284">
        <f t="shared" si="134"/>
        <v>0</v>
      </c>
      <c r="BD267" s="4284">
        <f t="shared" si="135"/>
        <v>0</v>
      </c>
      <c r="BE267" s="4284">
        <f t="shared" si="136"/>
        <v>0</v>
      </c>
      <c r="BF267" s="4284">
        <f t="shared" si="137"/>
        <v>0</v>
      </c>
      <c r="BG267" s="4284">
        <f t="shared" si="138"/>
        <v>0</v>
      </c>
      <c r="BH267" s="4284">
        <f t="shared" si="139"/>
        <v>0</v>
      </c>
      <c r="BI267" s="4284">
        <f t="shared" si="140"/>
        <v>0</v>
      </c>
      <c r="BJ267" s="4284">
        <f t="shared" si="141"/>
        <v>0</v>
      </c>
      <c r="BK267" s="4284">
        <f t="shared" si="142"/>
        <v>0</v>
      </c>
      <c r="BL267" s="4284">
        <f t="shared" si="143"/>
        <v>0</v>
      </c>
      <c r="BM267" s="4284">
        <f t="shared" si="144"/>
        <v>0</v>
      </c>
      <c r="BN267" s="4284">
        <f t="shared" si="145"/>
        <v>0</v>
      </c>
      <c r="BO267" s="4284">
        <f t="shared" si="146"/>
        <v>0</v>
      </c>
      <c r="BP267" s="4284">
        <f t="shared" si="147"/>
        <v>0</v>
      </c>
      <c r="BQ267" s="4284">
        <f t="shared" si="148"/>
        <v>0</v>
      </c>
      <c r="BR267" s="4284">
        <f t="shared" si="149"/>
        <v>0</v>
      </c>
      <c r="BS267" s="4284">
        <f t="shared" si="150"/>
        <v>0</v>
      </c>
      <c r="BT267" s="4285">
        <f t="shared" si="151"/>
        <v>0</v>
      </c>
    </row>
    <row r="268" spans="1:72">
      <c r="A268" s="4278"/>
      <c r="B268" s="4279"/>
      <c r="C268" s="4279"/>
      <c r="D268" s="4280"/>
      <c r="E268" s="1188">
        <f t="shared" si="123"/>
        <v>0</v>
      </c>
      <c r="F268" s="1680"/>
      <c r="G268" s="4281">
        <f t="shared" si="124"/>
        <v>0</v>
      </c>
      <c r="H268" s="3457">
        <f t="shared" si="125"/>
        <v>0</v>
      </c>
      <c r="I268" s="4282"/>
      <c r="J268" s="4282"/>
      <c r="K268" s="4282"/>
      <c r="L268" s="4282"/>
      <c r="M268" s="4282"/>
      <c r="N268" s="4282"/>
      <c r="O268" s="4282"/>
      <c r="P268" s="4282"/>
      <c r="Q268" s="4282"/>
      <c r="R268" s="4282"/>
      <c r="S268" s="4282"/>
      <c r="T268" s="4282"/>
      <c r="U268" s="4282"/>
      <c r="V268" s="4282"/>
      <c r="W268" s="4282"/>
      <c r="X268" s="4282"/>
      <c r="Y268" s="4282"/>
      <c r="Z268" s="4282"/>
      <c r="AA268" s="4282"/>
      <c r="AB268" s="4282"/>
      <c r="AC268" s="1188">
        <f t="shared" si="126"/>
        <v>0</v>
      </c>
      <c r="AD268" s="4278"/>
      <c r="AE268" s="4278"/>
      <c r="AF268" s="4278"/>
      <c r="AG268" s="4278"/>
      <c r="AH268" s="4278"/>
      <c r="AI268" s="4278"/>
      <c r="AJ268" s="4278"/>
      <c r="AK268" s="4278"/>
      <c r="AL268" s="4278"/>
      <c r="AM268" s="4278"/>
      <c r="AN268" s="4278"/>
      <c r="AO268" s="4278"/>
      <c r="AP268" s="4278"/>
      <c r="AQ268" s="4278"/>
      <c r="AR268" s="4278"/>
      <c r="AS268" s="4278"/>
      <c r="AT268" s="4279"/>
      <c r="AU268" s="4283"/>
      <c r="AV268" s="1188">
        <f t="shared" si="127"/>
        <v>0</v>
      </c>
      <c r="AW268" s="1188">
        <f t="shared" si="128"/>
        <v>0</v>
      </c>
      <c r="AX268" s="1188">
        <f t="shared" si="129"/>
        <v>0</v>
      </c>
      <c r="AY268" s="1452">
        <f t="shared" si="130"/>
        <v>0</v>
      </c>
      <c r="AZ268" s="4284">
        <f t="shared" si="131"/>
        <v>0</v>
      </c>
      <c r="BA268" s="4284">
        <f t="shared" si="132"/>
        <v>0</v>
      </c>
      <c r="BB268" s="4284">
        <f t="shared" si="133"/>
        <v>0</v>
      </c>
      <c r="BC268" s="4284">
        <f t="shared" si="134"/>
        <v>0</v>
      </c>
      <c r="BD268" s="4284">
        <f t="shared" si="135"/>
        <v>0</v>
      </c>
      <c r="BE268" s="4284">
        <f t="shared" si="136"/>
        <v>0</v>
      </c>
      <c r="BF268" s="4284">
        <f t="shared" si="137"/>
        <v>0</v>
      </c>
      <c r="BG268" s="4284">
        <f t="shared" si="138"/>
        <v>0</v>
      </c>
      <c r="BH268" s="4284">
        <f t="shared" si="139"/>
        <v>0</v>
      </c>
      <c r="BI268" s="4284">
        <f t="shared" si="140"/>
        <v>0</v>
      </c>
      <c r="BJ268" s="4284">
        <f t="shared" si="141"/>
        <v>0</v>
      </c>
      <c r="BK268" s="4284">
        <f t="shared" si="142"/>
        <v>0</v>
      </c>
      <c r="BL268" s="4284">
        <f t="shared" si="143"/>
        <v>0</v>
      </c>
      <c r="BM268" s="4284">
        <f t="shared" si="144"/>
        <v>0</v>
      </c>
      <c r="BN268" s="4284">
        <f t="shared" si="145"/>
        <v>0</v>
      </c>
      <c r="BO268" s="4284">
        <f t="shared" si="146"/>
        <v>0</v>
      </c>
      <c r="BP268" s="4284">
        <f t="shared" si="147"/>
        <v>0</v>
      </c>
      <c r="BQ268" s="4284">
        <f t="shared" si="148"/>
        <v>0</v>
      </c>
      <c r="BR268" s="4284">
        <f t="shared" si="149"/>
        <v>0</v>
      </c>
      <c r="BS268" s="4284">
        <f t="shared" si="150"/>
        <v>0</v>
      </c>
      <c r="BT268" s="4285">
        <f t="shared" si="151"/>
        <v>0</v>
      </c>
    </row>
    <row r="269" spans="1:72">
      <c r="A269" s="4278"/>
      <c r="B269" s="4279"/>
      <c r="C269" s="4279"/>
      <c r="D269" s="4280"/>
      <c r="E269" s="1188">
        <f t="shared" si="123"/>
        <v>0</v>
      </c>
      <c r="F269" s="1680"/>
      <c r="G269" s="4281">
        <f t="shared" si="124"/>
        <v>0</v>
      </c>
      <c r="H269" s="3457">
        <f t="shared" si="125"/>
        <v>0</v>
      </c>
      <c r="I269" s="4282"/>
      <c r="J269" s="4282"/>
      <c r="K269" s="4282"/>
      <c r="L269" s="4282"/>
      <c r="M269" s="4282"/>
      <c r="N269" s="4282"/>
      <c r="O269" s="4282"/>
      <c r="P269" s="4282"/>
      <c r="Q269" s="4282"/>
      <c r="R269" s="4282"/>
      <c r="S269" s="4282"/>
      <c r="T269" s="4282"/>
      <c r="U269" s="4282"/>
      <c r="V269" s="4282"/>
      <c r="W269" s="4282"/>
      <c r="X269" s="4282"/>
      <c r="Y269" s="4282"/>
      <c r="Z269" s="4282"/>
      <c r="AA269" s="4282"/>
      <c r="AB269" s="4282"/>
      <c r="AC269" s="1188">
        <f t="shared" si="126"/>
        <v>0</v>
      </c>
      <c r="AD269" s="4278"/>
      <c r="AE269" s="4278"/>
      <c r="AF269" s="4278"/>
      <c r="AG269" s="4278"/>
      <c r="AH269" s="4278"/>
      <c r="AI269" s="4278"/>
      <c r="AJ269" s="4278"/>
      <c r="AK269" s="4278"/>
      <c r="AL269" s="4278"/>
      <c r="AM269" s="4278"/>
      <c r="AN269" s="4278"/>
      <c r="AO269" s="4278"/>
      <c r="AP269" s="4278"/>
      <c r="AQ269" s="4278"/>
      <c r="AR269" s="4278"/>
      <c r="AS269" s="4278"/>
      <c r="AT269" s="4279"/>
      <c r="AU269" s="4283"/>
      <c r="AV269" s="1188">
        <f t="shared" si="127"/>
        <v>0</v>
      </c>
      <c r="AW269" s="1188">
        <f t="shared" si="128"/>
        <v>0</v>
      </c>
      <c r="AX269" s="1188">
        <f t="shared" si="129"/>
        <v>0</v>
      </c>
      <c r="AY269" s="1452">
        <f t="shared" si="130"/>
        <v>0</v>
      </c>
      <c r="AZ269" s="4284">
        <f t="shared" si="131"/>
        <v>0</v>
      </c>
      <c r="BA269" s="4284">
        <f t="shared" si="132"/>
        <v>0</v>
      </c>
      <c r="BB269" s="4284">
        <f t="shared" si="133"/>
        <v>0</v>
      </c>
      <c r="BC269" s="4284">
        <f t="shared" si="134"/>
        <v>0</v>
      </c>
      <c r="BD269" s="4284">
        <f t="shared" si="135"/>
        <v>0</v>
      </c>
      <c r="BE269" s="4284">
        <f t="shared" si="136"/>
        <v>0</v>
      </c>
      <c r="BF269" s="4284">
        <f t="shared" si="137"/>
        <v>0</v>
      </c>
      <c r="BG269" s="4284">
        <f t="shared" si="138"/>
        <v>0</v>
      </c>
      <c r="BH269" s="4284">
        <f t="shared" si="139"/>
        <v>0</v>
      </c>
      <c r="BI269" s="4284">
        <f t="shared" si="140"/>
        <v>0</v>
      </c>
      <c r="BJ269" s="4284">
        <f t="shared" si="141"/>
        <v>0</v>
      </c>
      <c r="BK269" s="4284">
        <f t="shared" si="142"/>
        <v>0</v>
      </c>
      <c r="BL269" s="4284">
        <f t="shared" si="143"/>
        <v>0</v>
      </c>
      <c r="BM269" s="4284">
        <f t="shared" si="144"/>
        <v>0</v>
      </c>
      <c r="BN269" s="4284">
        <f t="shared" si="145"/>
        <v>0</v>
      </c>
      <c r="BO269" s="4284">
        <f t="shared" si="146"/>
        <v>0</v>
      </c>
      <c r="BP269" s="4284">
        <f t="shared" si="147"/>
        <v>0</v>
      </c>
      <c r="BQ269" s="4284">
        <f t="shared" si="148"/>
        <v>0</v>
      </c>
      <c r="BR269" s="4284">
        <f t="shared" si="149"/>
        <v>0</v>
      </c>
      <c r="BS269" s="4284">
        <f t="shared" si="150"/>
        <v>0</v>
      </c>
      <c r="BT269" s="4285">
        <f t="shared" si="151"/>
        <v>0</v>
      </c>
    </row>
    <row r="270" spans="1:72">
      <c r="A270" s="4278"/>
      <c r="B270" s="4279"/>
      <c r="C270" s="4279"/>
      <c r="D270" s="4280"/>
      <c r="E270" s="1188">
        <f t="shared" si="123"/>
        <v>0</v>
      </c>
      <c r="F270" s="1680"/>
      <c r="G270" s="4281">
        <f t="shared" si="124"/>
        <v>0</v>
      </c>
      <c r="H270" s="3457">
        <f t="shared" si="125"/>
        <v>0</v>
      </c>
      <c r="I270" s="4282"/>
      <c r="J270" s="4282"/>
      <c r="K270" s="4282"/>
      <c r="L270" s="4282"/>
      <c r="M270" s="4282"/>
      <c r="N270" s="4282"/>
      <c r="O270" s="4282"/>
      <c r="P270" s="4282"/>
      <c r="Q270" s="4282"/>
      <c r="R270" s="4282"/>
      <c r="S270" s="4282"/>
      <c r="T270" s="4282"/>
      <c r="U270" s="4282"/>
      <c r="V270" s="4282"/>
      <c r="W270" s="4282"/>
      <c r="X270" s="4282"/>
      <c r="Y270" s="4282"/>
      <c r="Z270" s="4282"/>
      <c r="AA270" s="4282"/>
      <c r="AB270" s="4282"/>
      <c r="AC270" s="1188">
        <f t="shared" si="126"/>
        <v>0</v>
      </c>
      <c r="AD270" s="4278"/>
      <c r="AE270" s="4278"/>
      <c r="AF270" s="4278"/>
      <c r="AG270" s="4278"/>
      <c r="AH270" s="4278"/>
      <c r="AI270" s="4278"/>
      <c r="AJ270" s="4278"/>
      <c r="AK270" s="4278"/>
      <c r="AL270" s="4278"/>
      <c r="AM270" s="4278"/>
      <c r="AN270" s="4278"/>
      <c r="AO270" s="4278"/>
      <c r="AP270" s="4278"/>
      <c r="AQ270" s="4278"/>
      <c r="AR270" s="4278"/>
      <c r="AS270" s="4278"/>
      <c r="AT270" s="4279"/>
      <c r="AU270" s="4283"/>
      <c r="AV270" s="1188">
        <f t="shared" si="127"/>
        <v>0</v>
      </c>
      <c r="AW270" s="1188">
        <f t="shared" si="128"/>
        <v>0</v>
      </c>
      <c r="AX270" s="1188">
        <f t="shared" si="129"/>
        <v>0</v>
      </c>
      <c r="AY270" s="1452">
        <f t="shared" si="130"/>
        <v>0</v>
      </c>
      <c r="AZ270" s="4284">
        <f t="shared" si="131"/>
        <v>0</v>
      </c>
      <c r="BA270" s="4284">
        <f t="shared" si="132"/>
        <v>0</v>
      </c>
      <c r="BB270" s="4284">
        <f t="shared" si="133"/>
        <v>0</v>
      </c>
      <c r="BC270" s="4284">
        <f t="shared" si="134"/>
        <v>0</v>
      </c>
      <c r="BD270" s="4284">
        <f t="shared" si="135"/>
        <v>0</v>
      </c>
      <c r="BE270" s="4284">
        <f t="shared" si="136"/>
        <v>0</v>
      </c>
      <c r="BF270" s="4284">
        <f t="shared" si="137"/>
        <v>0</v>
      </c>
      <c r="BG270" s="4284">
        <f t="shared" si="138"/>
        <v>0</v>
      </c>
      <c r="BH270" s="4284">
        <f t="shared" si="139"/>
        <v>0</v>
      </c>
      <c r="BI270" s="4284">
        <f t="shared" si="140"/>
        <v>0</v>
      </c>
      <c r="BJ270" s="4284">
        <f t="shared" si="141"/>
        <v>0</v>
      </c>
      <c r="BK270" s="4284">
        <f t="shared" si="142"/>
        <v>0</v>
      </c>
      <c r="BL270" s="4284">
        <f t="shared" si="143"/>
        <v>0</v>
      </c>
      <c r="BM270" s="4284">
        <f t="shared" si="144"/>
        <v>0</v>
      </c>
      <c r="BN270" s="4284">
        <f t="shared" si="145"/>
        <v>0</v>
      </c>
      <c r="BO270" s="4284">
        <f t="shared" si="146"/>
        <v>0</v>
      </c>
      <c r="BP270" s="4284">
        <f t="shared" si="147"/>
        <v>0</v>
      </c>
      <c r="BQ270" s="4284">
        <f t="shared" si="148"/>
        <v>0</v>
      </c>
      <c r="BR270" s="4284">
        <f t="shared" si="149"/>
        <v>0</v>
      </c>
      <c r="BS270" s="4284">
        <f t="shared" si="150"/>
        <v>0</v>
      </c>
      <c r="BT270" s="4285">
        <f t="shared" si="151"/>
        <v>0</v>
      </c>
    </row>
    <row r="271" spans="1:72">
      <c r="A271" s="4278"/>
      <c r="B271" s="4279"/>
      <c r="C271" s="4279"/>
      <c r="D271" s="4280"/>
      <c r="E271" s="1188">
        <f t="shared" si="123"/>
        <v>0</v>
      </c>
      <c r="F271" s="1680"/>
      <c r="G271" s="4281">
        <f t="shared" si="124"/>
        <v>0</v>
      </c>
      <c r="H271" s="3457">
        <f t="shared" si="125"/>
        <v>0</v>
      </c>
      <c r="I271" s="4282"/>
      <c r="J271" s="4282"/>
      <c r="K271" s="4282"/>
      <c r="L271" s="4282"/>
      <c r="M271" s="4282"/>
      <c r="N271" s="4282"/>
      <c r="O271" s="4282"/>
      <c r="P271" s="4282"/>
      <c r="Q271" s="4282"/>
      <c r="R271" s="4282"/>
      <c r="S271" s="4282"/>
      <c r="T271" s="4282"/>
      <c r="U271" s="4282"/>
      <c r="V271" s="4282"/>
      <c r="W271" s="4282"/>
      <c r="X271" s="4282"/>
      <c r="Y271" s="4282"/>
      <c r="Z271" s="4282"/>
      <c r="AA271" s="4282"/>
      <c r="AB271" s="4282"/>
      <c r="AC271" s="1188">
        <f t="shared" si="126"/>
        <v>0</v>
      </c>
      <c r="AD271" s="4278"/>
      <c r="AE271" s="4278"/>
      <c r="AF271" s="4278"/>
      <c r="AG271" s="4278"/>
      <c r="AH271" s="4278"/>
      <c r="AI271" s="4278"/>
      <c r="AJ271" s="4278"/>
      <c r="AK271" s="4278"/>
      <c r="AL271" s="4278"/>
      <c r="AM271" s="4278"/>
      <c r="AN271" s="4278"/>
      <c r="AO271" s="4278"/>
      <c r="AP271" s="4278"/>
      <c r="AQ271" s="4278"/>
      <c r="AR271" s="4278"/>
      <c r="AS271" s="4278"/>
      <c r="AT271" s="4279"/>
      <c r="AU271" s="4283"/>
      <c r="AV271" s="1188">
        <f t="shared" si="127"/>
        <v>0</v>
      </c>
      <c r="AW271" s="1188">
        <f t="shared" si="128"/>
        <v>0</v>
      </c>
      <c r="AX271" s="1188">
        <f t="shared" si="129"/>
        <v>0</v>
      </c>
      <c r="AY271" s="1452">
        <f t="shared" si="130"/>
        <v>0</v>
      </c>
      <c r="AZ271" s="4284">
        <f t="shared" si="131"/>
        <v>0</v>
      </c>
      <c r="BA271" s="4284">
        <f t="shared" si="132"/>
        <v>0</v>
      </c>
      <c r="BB271" s="4284">
        <f t="shared" si="133"/>
        <v>0</v>
      </c>
      <c r="BC271" s="4284">
        <f t="shared" si="134"/>
        <v>0</v>
      </c>
      <c r="BD271" s="4284">
        <f t="shared" si="135"/>
        <v>0</v>
      </c>
      <c r="BE271" s="4284">
        <f t="shared" si="136"/>
        <v>0</v>
      </c>
      <c r="BF271" s="4284">
        <f t="shared" si="137"/>
        <v>0</v>
      </c>
      <c r="BG271" s="4284">
        <f t="shared" si="138"/>
        <v>0</v>
      </c>
      <c r="BH271" s="4284">
        <f t="shared" si="139"/>
        <v>0</v>
      </c>
      <c r="BI271" s="4284">
        <f t="shared" si="140"/>
        <v>0</v>
      </c>
      <c r="BJ271" s="4284">
        <f t="shared" si="141"/>
        <v>0</v>
      </c>
      <c r="BK271" s="4284">
        <f t="shared" si="142"/>
        <v>0</v>
      </c>
      <c r="BL271" s="4284">
        <f t="shared" si="143"/>
        <v>0</v>
      </c>
      <c r="BM271" s="4284">
        <f t="shared" si="144"/>
        <v>0</v>
      </c>
      <c r="BN271" s="4284">
        <f t="shared" si="145"/>
        <v>0</v>
      </c>
      <c r="BO271" s="4284">
        <f t="shared" si="146"/>
        <v>0</v>
      </c>
      <c r="BP271" s="4284">
        <f t="shared" si="147"/>
        <v>0</v>
      </c>
      <c r="BQ271" s="4284">
        <f t="shared" si="148"/>
        <v>0</v>
      </c>
      <c r="BR271" s="4284">
        <f t="shared" si="149"/>
        <v>0</v>
      </c>
      <c r="BS271" s="4284">
        <f t="shared" si="150"/>
        <v>0</v>
      </c>
      <c r="BT271" s="4285">
        <f t="shared" si="151"/>
        <v>0</v>
      </c>
    </row>
    <row r="272" spans="1:72">
      <c r="A272" s="4278"/>
      <c r="B272" s="4279"/>
      <c r="C272" s="4279"/>
      <c r="D272" s="4280"/>
      <c r="E272" s="1188">
        <f t="shared" si="123"/>
        <v>0</v>
      </c>
      <c r="F272" s="1680"/>
      <c r="G272" s="4281">
        <f t="shared" si="124"/>
        <v>0</v>
      </c>
      <c r="H272" s="3457">
        <f t="shared" si="125"/>
        <v>0</v>
      </c>
      <c r="I272" s="4282"/>
      <c r="J272" s="4282"/>
      <c r="K272" s="4282"/>
      <c r="L272" s="4282"/>
      <c r="M272" s="4282"/>
      <c r="N272" s="4282"/>
      <c r="O272" s="4282"/>
      <c r="P272" s="4282"/>
      <c r="Q272" s="4282"/>
      <c r="R272" s="4282"/>
      <c r="S272" s="4282"/>
      <c r="T272" s="4282"/>
      <c r="U272" s="4282"/>
      <c r="V272" s="4282"/>
      <c r="W272" s="4282"/>
      <c r="X272" s="4282"/>
      <c r="Y272" s="4282"/>
      <c r="Z272" s="4282"/>
      <c r="AA272" s="4282"/>
      <c r="AB272" s="4282"/>
      <c r="AC272" s="1188">
        <f t="shared" si="126"/>
        <v>0</v>
      </c>
      <c r="AD272" s="4278"/>
      <c r="AE272" s="4278"/>
      <c r="AF272" s="4278"/>
      <c r="AG272" s="4278"/>
      <c r="AH272" s="4278"/>
      <c r="AI272" s="4278"/>
      <c r="AJ272" s="4278"/>
      <c r="AK272" s="4278"/>
      <c r="AL272" s="4278"/>
      <c r="AM272" s="4278"/>
      <c r="AN272" s="4278"/>
      <c r="AO272" s="4278"/>
      <c r="AP272" s="4278"/>
      <c r="AQ272" s="4278"/>
      <c r="AR272" s="4278"/>
      <c r="AS272" s="4278"/>
      <c r="AT272" s="4279"/>
      <c r="AU272" s="4283"/>
      <c r="AV272" s="1188">
        <f t="shared" si="127"/>
        <v>0</v>
      </c>
      <c r="AW272" s="1188">
        <f t="shared" si="128"/>
        <v>0</v>
      </c>
      <c r="AX272" s="1188">
        <f t="shared" si="129"/>
        <v>0</v>
      </c>
      <c r="AY272" s="1452">
        <f t="shared" si="130"/>
        <v>0</v>
      </c>
      <c r="AZ272" s="4284">
        <f t="shared" si="131"/>
        <v>0</v>
      </c>
      <c r="BA272" s="4284">
        <f t="shared" si="132"/>
        <v>0</v>
      </c>
      <c r="BB272" s="4284">
        <f t="shared" si="133"/>
        <v>0</v>
      </c>
      <c r="BC272" s="4284">
        <f t="shared" si="134"/>
        <v>0</v>
      </c>
      <c r="BD272" s="4284">
        <f t="shared" si="135"/>
        <v>0</v>
      </c>
      <c r="BE272" s="4284">
        <f t="shared" si="136"/>
        <v>0</v>
      </c>
      <c r="BF272" s="4284">
        <f t="shared" si="137"/>
        <v>0</v>
      </c>
      <c r="BG272" s="4284">
        <f t="shared" si="138"/>
        <v>0</v>
      </c>
      <c r="BH272" s="4284">
        <f t="shared" si="139"/>
        <v>0</v>
      </c>
      <c r="BI272" s="4284">
        <f t="shared" si="140"/>
        <v>0</v>
      </c>
      <c r="BJ272" s="4284">
        <f t="shared" si="141"/>
        <v>0</v>
      </c>
      <c r="BK272" s="4284">
        <f t="shared" si="142"/>
        <v>0</v>
      </c>
      <c r="BL272" s="4284">
        <f t="shared" si="143"/>
        <v>0</v>
      </c>
      <c r="BM272" s="4284">
        <f t="shared" si="144"/>
        <v>0</v>
      </c>
      <c r="BN272" s="4284">
        <f t="shared" si="145"/>
        <v>0</v>
      </c>
      <c r="BO272" s="4284">
        <f t="shared" si="146"/>
        <v>0</v>
      </c>
      <c r="BP272" s="4284">
        <f t="shared" si="147"/>
        <v>0</v>
      </c>
      <c r="BQ272" s="4284">
        <f t="shared" si="148"/>
        <v>0</v>
      </c>
      <c r="BR272" s="4284">
        <f t="shared" si="149"/>
        <v>0</v>
      </c>
      <c r="BS272" s="4284">
        <f t="shared" si="150"/>
        <v>0</v>
      </c>
      <c r="BT272" s="4285">
        <f t="shared" si="151"/>
        <v>0</v>
      </c>
    </row>
    <row r="273" spans="1:72">
      <c r="A273" s="4278"/>
      <c r="B273" s="4279"/>
      <c r="C273" s="4279"/>
      <c r="D273" s="4280"/>
      <c r="E273" s="1188">
        <f t="shared" si="123"/>
        <v>0</v>
      </c>
      <c r="F273" s="1680"/>
      <c r="G273" s="4281">
        <f t="shared" si="124"/>
        <v>0</v>
      </c>
      <c r="H273" s="3457">
        <f t="shared" si="125"/>
        <v>0</v>
      </c>
      <c r="I273" s="4282"/>
      <c r="J273" s="4282"/>
      <c r="K273" s="4282"/>
      <c r="L273" s="4282"/>
      <c r="M273" s="4282"/>
      <c r="N273" s="4282"/>
      <c r="O273" s="4282"/>
      <c r="P273" s="4282"/>
      <c r="Q273" s="4282"/>
      <c r="R273" s="4282"/>
      <c r="S273" s="4282"/>
      <c r="T273" s="4282"/>
      <c r="U273" s="4282"/>
      <c r="V273" s="4282"/>
      <c r="W273" s="4282"/>
      <c r="X273" s="4282"/>
      <c r="Y273" s="4282"/>
      <c r="Z273" s="4282"/>
      <c r="AA273" s="4282"/>
      <c r="AB273" s="4282"/>
      <c r="AC273" s="1188">
        <f t="shared" si="126"/>
        <v>0</v>
      </c>
      <c r="AD273" s="4278"/>
      <c r="AE273" s="4278"/>
      <c r="AF273" s="4278"/>
      <c r="AG273" s="4278"/>
      <c r="AH273" s="4278"/>
      <c r="AI273" s="4278"/>
      <c r="AJ273" s="4278"/>
      <c r="AK273" s="4278"/>
      <c r="AL273" s="4278"/>
      <c r="AM273" s="4278"/>
      <c r="AN273" s="4278"/>
      <c r="AO273" s="4278"/>
      <c r="AP273" s="4278"/>
      <c r="AQ273" s="4278"/>
      <c r="AR273" s="4278"/>
      <c r="AS273" s="4278"/>
      <c r="AT273" s="4279"/>
      <c r="AU273" s="4283"/>
      <c r="AV273" s="1188">
        <f t="shared" si="127"/>
        <v>0</v>
      </c>
      <c r="AW273" s="1188">
        <f t="shared" si="128"/>
        <v>0</v>
      </c>
      <c r="AX273" s="1188">
        <f t="shared" si="129"/>
        <v>0</v>
      </c>
      <c r="AY273" s="1452">
        <f t="shared" si="130"/>
        <v>0</v>
      </c>
      <c r="AZ273" s="4284">
        <f t="shared" si="131"/>
        <v>0</v>
      </c>
      <c r="BA273" s="4284">
        <f t="shared" si="132"/>
        <v>0</v>
      </c>
      <c r="BB273" s="4284">
        <f t="shared" si="133"/>
        <v>0</v>
      </c>
      <c r="BC273" s="4284">
        <f t="shared" si="134"/>
        <v>0</v>
      </c>
      <c r="BD273" s="4284">
        <f t="shared" si="135"/>
        <v>0</v>
      </c>
      <c r="BE273" s="4284">
        <f t="shared" si="136"/>
        <v>0</v>
      </c>
      <c r="BF273" s="4284">
        <f t="shared" si="137"/>
        <v>0</v>
      </c>
      <c r="BG273" s="4284">
        <f t="shared" si="138"/>
        <v>0</v>
      </c>
      <c r="BH273" s="4284">
        <f t="shared" si="139"/>
        <v>0</v>
      </c>
      <c r="BI273" s="4284">
        <f t="shared" si="140"/>
        <v>0</v>
      </c>
      <c r="BJ273" s="4284">
        <f t="shared" si="141"/>
        <v>0</v>
      </c>
      <c r="BK273" s="4284">
        <f t="shared" si="142"/>
        <v>0</v>
      </c>
      <c r="BL273" s="4284">
        <f t="shared" si="143"/>
        <v>0</v>
      </c>
      <c r="BM273" s="4284">
        <f t="shared" si="144"/>
        <v>0</v>
      </c>
      <c r="BN273" s="4284">
        <f t="shared" si="145"/>
        <v>0</v>
      </c>
      <c r="BO273" s="4284">
        <f t="shared" si="146"/>
        <v>0</v>
      </c>
      <c r="BP273" s="4284">
        <f t="shared" si="147"/>
        <v>0</v>
      </c>
      <c r="BQ273" s="4284">
        <f t="shared" si="148"/>
        <v>0</v>
      </c>
      <c r="BR273" s="4284">
        <f t="shared" si="149"/>
        <v>0</v>
      </c>
      <c r="BS273" s="4284">
        <f t="shared" si="150"/>
        <v>0</v>
      </c>
      <c r="BT273" s="4285">
        <f t="shared" si="151"/>
        <v>0</v>
      </c>
    </row>
    <row r="274" spans="1:72">
      <c r="A274" s="4278"/>
      <c r="B274" s="4279"/>
      <c r="C274" s="4279"/>
      <c r="D274" s="4280"/>
      <c r="E274" s="1188">
        <f t="shared" si="123"/>
        <v>0</v>
      </c>
      <c r="F274" s="1680"/>
      <c r="G274" s="4281">
        <f t="shared" si="124"/>
        <v>0</v>
      </c>
      <c r="H274" s="3457">
        <f t="shared" si="125"/>
        <v>0</v>
      </c>
      <c r="I274" s="4282"/>
      <c r="J274" s="4282"/>
      <c r="K274" s="4282"/>
      <c r="L274" s="4282"/>
      <c r="M274" s="4282"/>
      <c r="N274" s="4282"/>
      <c r="O274" s="4282"/>
      <c r="P274" s="4282"/>
      <c r="Q274" s="4282"/>
      <c r="R274" s="4282"/>
      <c r="S274" s="4282"/>
      <c r="T274" s="4282"/>
      <c r="U274" s="4282"/>
      <c r="V274" s="4282"/>
      <c r="W274" s="4282"/>
      <c r="X274" s="4282"/>
      <c r="Y274" s="4282"/>
      <c r="Z274" s="4282"/>
      <c r="AA274" s="4282"/>
      <c r="AB274" s="4282"/>
      <c r="AC274" s="1188">
        <f t="shared" si="126"/>
        <v>0</v>
      </c>
      <c r="AD274" s="4278"/>
      <c r="AE274" s="4278"/>
      <c r="AF274" s="4278"/>
      <c r="AG274" s="4278"/>
      <c r="AH274" s="4278"/>
      <c r="AI274" s="4278"/>
      <c r="AJ274" s="4278"/>
      <c r="AK274" s="4278"/>
      <c r="AL274" s="4278"/>
      <c r="AM274" s="4278"/>
      <c r="AN274" s="4278"/>
      <c r="AO274" s="4278"/>
      <c r="AP274" s="4278"/>
      <c r="AQ274" s="4278"/>
      <c r="AR274" s="4278"/>
      <c r="AS274" s="4278"/>
      <c r="AT274" s="4279"/>
      <c r="AU274" s="4283"/>
      <c r="AV274" s="1188">
        <f t="shared" si="127"/>
        <v>0</v>
      </c>
      <c r="AW274" s="1188">
        <f t="shared" si="128"/>
        <v>0</v>
      </c>
      <c r="AX274" s="1188">
        <f t="shared" si="129"/>
        <v>0</v>
      </c>
      <c r="AY274" s="1452">
        <f t="shared" si="130"/>
        <v>0</v>
      </c>
      <c r="AZ274" s="4284">
        <f t="shared" si="131"/>
        <v>0</v>
      </c>
      <c r="BA274" s="4284">
        <f t="shared" si="132"/>
        <v>0</v>
      </c>
      <c r="BB274" s="4284">
        <f t="shared" si="133"/>
        <v>0</v>
      </c>
      <c r="BC274" s="4284">
        <f t="shared" si="134"/>
        <v>0</v>
      </c>
      <c r="BD274" s="4284">
        <f t="shared" si="135"/>
        <v>0</v>
      </c>
      <c r="BE274" s="4284">
        <f t="shared" si="136"/>
        <v>0</v>
      </c>
      <c r="BF274" s="4284">
        <f t="shared" si="137"/>
        <v>0</v>
      </c>
      <c r="BG274" s="4284">
        <f t="shared" si="138"/>
        <v>0</v>
      </c>
      <c r="BH274" s="4284">
        <f t="shared" si="139"/>
        <v>0</v>
      </c>
      <c r="BI274" s="4284">
        <f t="shared" si="140"/>
        <v>0</v>
      </c>
      <c r="BJ274" s="4284">
        <f t="shared" si="141"/>
        <v>0</v>
      </c>
      <c r="BK274" s="4284">
        <f t="shared" si="142"/>
        <v>0</v>
      </c>
      <c r="BL274" s="4284">
        <f t="shared" si="143"/>
        <v>0</v>
      </c>
      <c r="BM274" s="4284">
        <f t="shared" si="144"/>
        <v>0</v>
      </c>
      <c r="BN274" s="4284">
        <f t="shared" si="145"/>
        <v>0</v>
      </c>
      <c r="BO274" s="4284">
        <f t="shared" si="146"/>
        <v>0</v>
      </c>
      <c r="BP274" s="4284">
        <f t="shared" si="147"/>
        <v>0</v>
      </c>
      <c r="BQ274" s="4284">
        <f t="shared" si="148"/>
        <v>0</v>
      </c>
      <c r="BR274" s="4284">
        <f t="shared" si="149"/>
        <v>0</v>
      </c>
      <c r="BS274" s="4284">
        <f t="shared" si="150"/>
        <v>0</v>
      </c>
      <c r="BT274" s="4285">
        <f t="shared" si="151"/>
        <v>0</v>
      </c>
    </row>
    <row r="275" spans="1:72">
      <c r="A275" s="4278"/>
      <c r="B275" s="4279"/>
      <c r="C275" s="4279"/>
      <c r="D275" s="4280"/>
      <c r="E275" s="1188">
        <f t="shared" si="123"/>
        <v>0</v>
      </c>
      <c r="F275" s="1680"/>
      <c r="G275" s="4281">
        <f t="shared" si="124"/>
        <v>0</v>
      </c>
      <c r="H275" s="3457">
        <f t="shared" si="125"/>
        <v>0</v>
      </c>
      <c r="I275" s="4282"/>
      <c r="J275" s="4282"/>
      <c r="K275" s="4282"/>
      <c r="L275" s="4282"/>
      <c r="M275" s="4282"/>
      <c r="N275" s="4282"/>
      <c r="O275" s="4282"/>
      <c r="P275" s="4282"/>
      <c r="Q275" s="4282"/>
      <c r="R275" s="4282"/>
      <c r="S275" s="4282"/>
      <c r="T275" s="4282"/>
      <c r="U275" s="4282"/>
      <c r="V275" s="4282"/>
      <c r="W275" s="4282"/>
      <c r="X275" s="4282"/>
      <c r="Y275" s="4282"/>
      <c r="Z275" s="4282"/>
      <c r="AA275" s="4282"/>
      <c r="AB275" s="4282"/>
      <c r="AC275" s="1188">
        <f t="shared" si="126"/>
        <v>0</v>
      </c>
      <c r="AD275" s="4278"/>
      <c r="AE275" s="4278"/>
      <c r="AF275" s="4278"/>
      <c r="AG275" s="4278"/>
      <c r="AH275" s="4278"/>
      <c r="AI275" s="4278"/>
      <c r="AJ275" s="4278"/>
      <c r="AK275" s="4278"/>
      <c r="AL275" s="4278"/>
      <c r="AM275" s="4278"/>
      <c r="AN275" s="4278"/>
      <c r="AO275" s="4278"/>
      <c r="AP275" s="4278"/>
      <c r="AQ275" s="4278"/>
      <c r="AR275" s="4278"/>
      <c r="AS275" s="4278"/>
      <c r="AT275" s="4279"/>
      <c r="AU275" s="4283"/>
      <c r="AV275" s="1188">
        <f t="shared" si="127"/>
        <v>0</v>
      </c>
      <c r="AW275" s="1188">
        <f t="shared" si="128"/>
        <v>0</v>
      </c>
      <c r="AX275" s="1188">
        <f t="shared" si="129"/>
        <v>0</v>
      </c>
      <c r="AY275" s="1452">
        <f t="shared" si="130"/>
        <v>0</v>
      </c>
      <c r="AZ275" s="4284">
        <f t="shared" si="131"/>
        <v>0</v>
      </c>
      <c r="BA275" s="4284">
        <f t="shared" si="132"/>
        <v>0</v>
      </c>
      <c r="BB275" s="4284">
        <f t="shared" si="133"/>
        <v>0</v>
      </c>
      <c r="BC275" s="4284">
        <f t="shared" si="134"/>
        <v>0</v>
      </c>
      <c r="BD275" s="4284">
        <f t="shared" si="135"/>
        <v>0</v>
      </c>
      <c r="BE275" s="4284">
        <f t="shared" si="136"/>
        <v>0</v>
      </c>
      <c r="BF275" s="4284">
        <f t="shared" si="137"/>
        <v>0</v>
      </c>
      <c r="BG275" s="4284">
        <f t="shared" si="138"/>
        <v>0</v>
      </c>
      <c r="BH275" s="4284">
        <f t="shared" si="139"/>
        <v>0</v>
      </c>
      <c r="BI275" s="4284">
        <f t="shared" si="140"/>
        <v>0</v>
      </c>
      <c r="BJ275" s="4284">
        <f t="shared" si="141"/>
        <v>0</v>
      </c>
      <c r="BK275" s="4284">
        <f t="shared" si="142"/>
        <v>0</v>
      </c>
      <c r="BL275" s="4284">
        <f t="shared" si="143"/>
        <v>0</v>
      </c>
      <c r="BM275" s="4284">
        <f t="shared" si="144"/>
        <v>0</v>
      </c>
      <c r="BN275" s="4284">
        <f t="shared" si="145"/>
        <v>0</v>
      </c>
      <c r="BO275" s="4284">
        <f t="shared" si="146"/>
        <v>0</v>
      </c>
      <c r="BP275" s="4284">
        <f t="shared" si="147"/>
        <v>0</v>
      </c>
      <c r="BQ275" s="4284">
        <f t="shared" si="148"/>
        <v>0</v>
      </c>
      <c r="BR275" s="4284">
        <f t="shared" si="149"/>
        <v>0</v>
      </c>
      <c r="BS275" s="4284">
        <f t="shared" si="150"/>
        <v>0</v>
      </c>
      <c r="BT275" s="4285">
        <f t="shared" si="151"/>
        <v>0</v>
      </c>
    </row>
    <row r="276" spans="1:72">
      <c r="A276" s="4278"/>
      <c r="B276" s="4279"/>
      <c r="C276" s="4279"/>
      <c r="D276" s="4280"/>
      <c r="E276" s="1188">
        <f t="shared" si="123"/>
        <v>0</v>
      </c>
      <c r="F276" s="1680"/>
      <c r="G276" s="4281">
        <f t="shared" si="124"/>
        <v>0</v>
      </c>
      <c r="H276" s="3457">
        <f t="shared" si="125"/>
        <v>0</v>
      </c>
      <c r="I276" s="4282"/>
      <c r="J276" s="4282"/>
      <c r="K276" s="4282"/>
      <c r="L276" s="4282"/>
      <c r="M276" s="4282"/>
      <c r="N276" s="4282"/>
      <c r="O276" s="4282"/>
      <c r="P276" s="4282"/>
      <c r="Q276" s="4282"/>
      <c r="R276" s="4282"/>
      <c r="S276" s="4282"/>
      <c r="T276" s="4282"/>
      <c r="U276" s="4282"/>
      <c r="V276" s="4282"/>
      <c r="W276" s="4282"/>
      <c r="X276" s="4282"/>
      <c r="Y276" s="4282"/>
      <c r="Z276" s="4282"/>
      <c r="AA276" s="4282"/>
      <c r="AB276" s="4282"/>
      <c r="AC276" s="1188">
        <f t="shared" si="126"/>
        <v>0</v>
      </c>
      <c r="AD276" s="4278"/>
      <c r="AE276" s="4278"/>
      <c r="AF276" s="4278"/>
      <c r="AG276" s="4278"/>
      <c r="AH276" s="4278"/>
      <c r="AI276" s="4278"/>
      <c r="AJ276" s="4278"/>
      <c r="AK276" s="4278"/>
      <c r="AL276" s="4278"/>
      <c r="AM276" s="4278"/>
      <c r="AN276" s="4278"/>
      <c r="AO276" s="4278"/>
      <c r="AP276" s="4278"/>
      <c r="AQ276" s="4278"/>
      <c r="AR276" s="4278"/>
      <c r="AS276" s="4278"/>
      <c r="AT276" s="4279"/>
      <c r="AU276" s="4283"/>
      <c r="AV276" s="1188">
        <f t="shared" si="127"/>
        <v>0</v>
      </c>
      <c r="AW276" s="1188">
        <f t="shared" si="128"/>
        <v>0</v>
      </c>
      <c r="AX276" s="1188">
        <f t="shared" si="129"/>
        <v>0</v>
      </c>
      <c r="AY276" s="1452">
        <f t="shared" si="130"/>
        <v>0</v>
      </c>
      <c r="AZ276" s="4284">
        <f t="shared" si="131"/>
        <v>0</v>
      </c>
      <c r="BA276" s="4284">
        <f t="shared" si="132"/>
        <v>0</v>
      </c>
      <c r="BB276" s="4284">
        <f t="shared" si="133"/>
        <v>0</v>
      </c>
      <c r="BC276" s="4284">
        <f t="shared" si="134"/>
        <v>0</v>
      </c>
      <c r="BD276" s="4284">
        <f t="shared" si="135"/>
        <v>0</v>
      </c>
      <c r="BE276" s="4284">
        <f t="shared" si="136"/>
        <v>0</v>
      </c>
      <c r="BF276" s="4284">
        <f t="shared" si="137"/>
        <v>0</v>
      </c>
      <c r="BG276" s="4284">
        <f t="shared" si="138"/>
        <v>0</v>
      </c>
      <c r="BH276" s="4284">
        <f t="shared" si="139"/>
        <v>0</v>
      </c>
      <c r="BI276" s="4284">
        <f t="shared" si="140"/>
        <v>0</v>
      </c>
      <c r="BJ276" s="4284">
        <f t="shared" si="141"/>
        <v>0</v>
      </c>
      <c r="BK276" s="4284">
        <f t="shared" si="142"/>
        <v>0</v>
      </c>
      <c r="BL276" s="4284">
        <f t="shared" si="143"/>
        <v>0</v>
      </c>
      <c r="BM276" s="4284">
        <f t="shared" si="144"/>
        <v>0</v>
      </c>
      <c r="BN276" s="4284">
        <f t="shared" si="145"/>
        <v>0</v>
      </c>
      <c r="BO276" s="4284">
        <f t="shared" si="146"/>
        <v>0</v>
      </c>
      <c r="BP276" s="4284">
        <f t="shared" si="147"/>
        <v>0</v>
      </c>
      <c r="BQ276" s="4284">
        <f t="shared" si="148"/>
        <v>0</v>
      </c>
      <c r="BR276" s="4284">
        <f t="shared" si="149"/>
        <v>0</v>
      </c>
      <c r="BS276" s="4284">
        <f t="shared" si="150"/>
        <v>0</v>
      </c>
      <c r="BT276" s="4285">
        <f t="shared" si="151"/>
        <v>0</v>
      </c>
    </row>
    <row r="277" spans="1:72">
      <c r="A277" s="4278"/>
      <c r="B277" s="4279"/>
      <c r="C277" s="4279"/>
      <c r="D277" s="4280"/>
      <c r="E277" s="1188">
        <f t="shared" si="123"/>
        <v>0</v>
      </c>
      <c r="F277" s="1680"/>
      <c r="G277" s="4281">
        <f t="shared" si="124"/>
        <v>0</v>
      </c>
      <c r="H277" s="3457">
        <f t="shared" si="125"/>
        <v>0</v>
      </c>
      <c r="I277" s="4282"/>
      <c r="J277" s="4282"/>
      <c r="K277" s="4282"/>
      <c r="L277" s="4282"/>
      <c r="M277" s="4282"/>
      <c r="N277" s="4282"/>
      <c r="O277" s="4282"/>
      <c r="P277" s="4282"/>
      <c r="Q277" s="4282"/>
      <c r="R277" s="4282"/>
      <c r="S277" s="4282"/>
      <c r="T277" s="4282"/>
      <c r="U277" s="4282"/>
      <c r="V277" s="4282"/>
      <c r="W277" s="4282"/>
      <c r="X277" s="4282"/>
      <c r="Y277" s="4282"/>
      <c r="Z277" s="4282"/>
      <c r="AA277" s="4282"/>
      <c r="AB277" s="4282"/>
      <c r="AC277" s="1188">
        <f t="shared" si="126"/>
        <v>0</v>
      </c>
      <c r="AD277" s="4278"/>
      <c r="AE277" s="4278"/>
      <c r="AF277" s="4278"/>
      <c r="AG277" s="4278"/>
      <c r="AH277" s="4278"/>
      <c r="AI277" s="4278"/>
      <c r="AJ277" s="4278"/>
      <c r="AK277" s="4278"/>
      <c r="AL277" s="4278"/>
      <c r="AM277" s="4278"/>
      <c r="AN277" s="4278"/>
      <c r="AO277" s="4278"/>
      <c r="AP277" s="4278"/>
      <c r="AQ277" s="4278"/>
      <c r="AR277" s="4278"/>
      <c r="AS277" s="4278"/>
      <c r="AT277" s="4279"/>
      <c r="AU277" s="4283"/>
      <c r="AV277" s="1188">
        <f t="shared" si="127"/>
        <v>0</v>
      </c>
      <c r="AW277" s="1188">
        <f t="shared" si="128"/>
        <v>0</v>
      </c>
      <c r="AX277" s="1188">
        <f t="shared" si="129"/>
        <v>0</v>
      </c>
      <c r="AY277" s="1452">
        <f t="shared" si="130"/>
        <v>0</v>
      </c>
      <c r="AZ277" s="4284">
        <f t="shared" si="131"/>
        <v>0</v>
      </c>
      <c r="BA277" s="4284">
        <f t="shared" si="132"/>
        <v>0</v>
      </c>
      <c r="BB277" s="4284">
        <f t="shared" si="133"/>
        <v>0</v>
      </c>
      <c r="BC277" s="4284">
        <f t="shared" si="134"/>
        <v>0</v>
      </c>
      <c r="BD277" s="4284">
        <f t="shared" si="135"/>
        <v>0</v>
      </c>
      <c r="BE277" s="4284">
        <f t="shared" si="136"/>
        <v>0</v>
      </c>
      <c r="BF277" s="4284">
        <f t="shared" si="137"/>
        <v>0</v>
      </c>
      <c r="BG277" s="4284">
        <f t="shared" si="138"/>
        <v>0</v>
      </c>
      <c r="BH277" s="4284">
        <f t="shared" si="139"/>
        <v>0</v>
      </c>
      <c r="BI277" s="4284">
        <f t="shared" si="140"/>
        <v>0</v>
      </c>
      <c r="BJ277" s="4284">
        <f t="shared" si="141"/>
        <v>0</v>
      </c>
      <c r="BK277" s="4284">
        <f t="shared" si="142"/>
        <v>0</v>
      </c>
      <c r="BL277" s="4284">
        <f t="shared" si="143"/>
        <v>0</v>
      </c>
      <c r="BM277" s="4284">
        <f t="shared" si="144"/>
        <v>0</v>
      </c>
      <c r="BN277" s="4284">
        <f t="shared" si="145"/>
        <v>0</v>
      </c>
      <c r="BO277" s="4284">
        <f t="shared" si="146"/>
        <v>0</v>
      </c>
      <c r="BP277" s="4284">
        <f t="shared" si="147"/>
        <v>0</v>
      </c>
      <c r="BQ277" s="4284">
        <f t="shared" si="148"/>
        <v>0</v>
      </c>
      <c r="BR277" s="4284">
        <f t="shared" si="149"/>
        <v>0</v>
      </c>
      <c r="BS277" s="4284">
        <f t="shared" si="150"/>
        <v>0</v>
      </c>
      <c r="BT277" s="4285">
        <f t="shared" si="151"/>
        <v>0</v>
      </c>
    </row>
    <row r="278" spans="1:72">
      <c r="A278" s="4278"/>
      <c r="B278" s="4279"/>
      <c r="C278" s="4279"/>
      <c r="D278" s="4280"/>
      <c r="E278" s="1188">
        <f t="shared" si="123"/>
        <v>0</v>
      </c>
      <c r="F278" s="1680"/>
      <c r="G278" s="4281">
        <f t="shared" si="124"/>
        <v>0</v>
      </c>
      <c r="H278" s="3457">
        <f t="shared" si="125"/>
        <v>0</v>
      </c>
      <c r="I278" s="4282"/>
      <c r="J278" s="4282"/>
      <c r="K278" s="4282"/>
      <c r="L278" s="4282"/>
      <c r="M278" s="4282"/>
      <c r="N278" s="4282"/>
      <c r="O278" s="4282"/>
      <c r="P278" s="4282"/>
      <c r="Q278" s="4282"/>
      <c r="R278" s="4282"/>
      <c r="S278" s="4282"/>
      <c r="T278" s="4282"/>
      <c r="U278" s="4282"/>
      <c r="V278" s="4282"/>
      <c r="W278" s="4282"/>
      <c r="X278" s="4282"/>
      <c r="Y278" s="4282"/>
      <c r="Z278" s="4282"/>
      <c r="AA278" s="4282"/>
      <c r="AB278" s="4282"/>
      <c r="AC278" s="1188">
        <f t="shared" si="126"/>
        <v>0</v>
      </c>
      <c r="AD278" s="4278"/>
      <c r="AE278" s="4278"/>
      <c r="AF278" s="4278"/>
      <c r="AG278" s="4278"/>
      <c r="AH278" s="4278"/>
      <c r="AI278" s="4278"/>
      <c r="AJ278" s="4278"/>
      <c r="AK278" s="4278"/>
      <c r="AL278" s="4278"/>
      <c r="AM278" s="4278"/>
      <c r="AN278" s="4278"/>
      <c r="AO278" s="4278"/>
      <c r="AP278" s="4278"/>
      <c r="AQ278" s="4278"/>
      <c r="AR278" s="4278"/>
      <c r="AS278" s="4278"/>
      <c r="AT278" s="4279"/>
      <c r="AU278" s="4283"/>
      <c r="AV278" s="1188">
        <f t="shared" si="127"/>
        <v>0</v>
      </c>
      <c r="AW278" s="1188">
        <f t="shared" si="128"/>
        <v>0</v>
      </c>
      <c r="AX278" s="1188">
        <f t="shared" si="129"/>
        <v>0</v>
      </c>
      <c r="AY278" s="1452">
        <f t="shared" si="130"/>
        <v>0</v>
      </c>
      <c r="AZ278" s="4284">
        <f t="shared" si="131"/>
        <v>0</v>
      </c>
      <c r="BA278" s="4284">
        <f t="shared" si="132"/>
        <v>0</v>
      </c>
      <c r="BB278" s="4284">
        <f t="shared" si="133"/>
        <v>0</v>
      </c>
      <c r="BC278" s="4284">
        <f t="shared" si="134"/>
        <v>0</v>
      </c>
      <c r="BD278" s="4284">
        <f t="shared" si="135"/>
        <v>0</v>
      </c>
      <c r="BE278" s="4284">
        <f t="shared" si="136"/>
        <v>0</v>
      </c>
      <c r="BF278" s="4284">
        <f t="shared" si="137"/>
        <v>0</v>
      </c>
      <c r="BG278" s="4284">
        <f t="shared" si="138"/>
        <v>0</v>
      </c>
      <c r="BH278" s="4284">
        <f t="shared" si="139"/>
        <v>0</v>
      </c>
      <c r="BI278" s="4284">
        <f t="shared" si="140"/>
        <v>0</v>
      </c>
      <c r="BJ278" s="4284">
        <f t="shared" si="141"/>
        <v>0</v>
      </c>
      <c r="BK278" s="4284">
        <f t="shared" si="142"/>
        <v>0</v>
      </c>
      <c r="BL278" s="4284">
        <f t="shared" si="143"/>
        <v>0</v>
      </c>
      <c r="BM278" s="4284">
        <f t="shared" si="144"/>
        <v>0</v>
      </c>
      <c r="BN278" s="4284">
        <f t="shared" si="145"/>
        <v>0</v>
      </c>
      <c r="BO278" s="4284">
        <f t="shared" si="146"/>
        <v>0</v>
      </c>
      <c r="BP278" s="4284">
        <f t="shared" si="147"/>
        <v>0</v>
      </c>
      <c r="BQ278" s="4284">
        <f t="shared" si="148"/>
        <v>0</v>
      </c>
      <c r="BR278" s="4284">
        <f t="shared" si="149"/>
        <v>0</v>
      </c>
      <c r="BS278" s="4284">
        <f t="shared" si="150"/>
        <v>0</v>
      </c>
      <c r="BT278" s="4285">
        <f t="shared" si="151"/>
        <v>0</v>
      </c>
    </row>
    <row r="279" spans="1:72">
      <c r="A279" s="4278"/>
      <c r="B279" s="4279"/>
      <c r="C279" s="4279"/>
      <c r="D279" s="4280"/>
      <c r="E279" s="1188">
        <f t="shared" si="123"/>
        <v>0</v>
      </c>
      <c r="F279" s="1680"/>
      <c r="G279" s="4281">
        <f t="shared" si="124"/>
        <v>0</v>
      </c>
      <c r="H279" s="3457">
        <f t="shared" si="125"/>
        <v>0</v>
      </c>
      <c r="I279" s="4282"/>
      <c r="J279" s="4282"/>
      <c r="K279" s="4282"/>
      <c r="L279" s="4282"/>
      <c r="M279" s="4282"/>
      <c r="N279" s="4282"/>
      <c r="O279" s="4282"/>
      <c r="P279" s="4282"/>
      <c r="Q279" s="4282"/>
      <c r="R279" s="4282"/>
      <c r="S279" s="4282"/>
      <c r="T279" s="4282"/>
      <c r="U279" s="4282"/>
      <c r="V279" s="4282"/>
      <c r="W279" s="4282"/>
      <c r="X279" s="4282"/>
      <c r="Y279" s="4282"/>
      <c r="Z279" s="4282"/>
      <c r="AA279" s="4282"/>
      <c r="AB279" s="4282"/>
      <c r="AC279" s="1188">
        <f t="shared" si="126"/>
        <v>0</v>
      </c>
      <c r="AD279" s="4278"/>
      <c r="AE279" s="4278"/>
      <c r="AF279" s="4278"/>
      <c r="AG279" s="4278"/>
      <c r="AH279" s="4278"/>
      <c r="AI279" s="4278"/>
      <c r="AJ279" s="4278"/>
      <c r="AK279" s="4278"/>
      <c r="AL279" s="4278"/>
      <c r="AM279" s="4278"/>
      <c r="AN279" s="4278"/>
      <c r="AO279" s="4278"/>
      <c r="AP279" s="4278"/>
      <c r="AQ279" s="4278"/>
      <c r="AR279" s="4278"/>
      <c r="AS279" s="4278"/>
      <c r="AT279" s="4279"/>
      <c r="AU279" s="4283"/>
      <c r="AV279" s="1188">
        <f t="shared" si="127"/>
        <v>0</v>
      </c>
      <c r="AW279" s="1188">
        <f t="shared" si="128"/>
        <v>0</v>
      </c>
      <c r="AX279" s="1188">
        <f t="shared" si="129"/>
        <v>0</v>
      </c>
      <c r="AY279" s="1452">
        <f t="shared" si="130"/>
        <v>0</v>
      </c>
      <c r="AZ279" s="4284">
        <f t="shared" si="131"/>
        <v>0</v>
      </c>
      <c r="BA279" s="4284">
        <f t="shared" si="132"/>
        <v>0</v>
      </c>
      <c r="BB279" s="4284">
        <f t="shared" si="133"/>
        <v>0</v>
      </c>
      <c r="BC279" s="4284">
        <f t="shared" si="134"/>
        <v>0</v>
      </c>
      <c r="BD279" s="4284">
        <f t="shared" si="135"/>
        <v>0</v>
      </c>
      <c r="BE279" s="4284">
        <f t="shared" si="136"/>
        <v>0</v>
      </c>
      <c r="BF279" s="4284">
        <f t="shared" si="137"/>
        <v>0</v>
      </c>
      <c r="BG279" s="4284">
        <f t="shared" si="138"/>
        <v>0</v>
      </c>
      <c r="BH279" s="4284">
        <f t="shared" si="139"/>
        <v>0</v>
      </c>
      <c r="BI279" s="4284">
        <f t="shared" si="140"/>
        <v>0</v>
      </c>
      <c r="BJ279" s="4284">
        <f t="shared" si="141"/>
        <v>0</v>
      </c>
      <c r="BK279" s="4284">
        <f t="shared" si="142"/>
        <v>0</v>
      </c>
      <c r="BL279" s="4284">
        <f t="shared" si="143"/>
        <v>0</v>
      </c>
      <c r="BM279" s="4284">
        <f t="shared" si="144"/>
        <v>0</v>
      </c>
      <c r="BN279" s="4284">
        <f t="shared" si="145"/>
        <v>0</v>
      </c>
      <c r="BO279" s="4284">
        <f t="shared" si="146"/>
        <v>0</v>
      </c>
      <c r="BP279" s="4284">
        <f t="shared" si="147"/>
        <v>0</v>
      </c>
      <c r="BQ279" s="4284">
        <f t="shared" si="148"/>
        <v>0</v>
      </c>
      <c r="BR279" s="4284">
        <f t="shared" si="149"/>
        <v>0</v>
      </c>
      <c r="BS279" s="4284">
        <f t="shared" si="150"/>
        <v>0</v>
      </c>
      <c r="BT279" s="4285">
        <f t="shared" si="151"/>
        <v>0</v>
      </c>
    </row>
    <row r="280" spans="1:72">
      <c r="A280" s="4278"/>
      <c r="B280" s="4279"/>
      <c r="C280" s="4279"/>
      <c r="D280" s="4280"/>
      <c r="E280" s="1188">
        <f t="shared" si="123"/>
        <v>0</v>
      </c>
      <c r="F280" s="1680"/>
      <c r="G280" s="4281">
        <f t="shared" si="124"/>
        <v>0</v>
      </c>
      <c r="H280" s="3457">
        <f t="shared" si="125"/>
        <v>0</v>
      </c>
      <c r="I280" s="4282"/>
      <c r="J280" s="4282"/>
      <c r="K280" s="4282"/>
      <c r="L280" s="4282"/>
      <c r="M280" s="4282"/>
      <c r="N280" s="4282"/>
      <c r="O280" s="4282"/>
      <c r="P280" s="4282"/>
      <c r="Q280" s="4282"/>
      <c r="R280" s="4282"/>
      <c r="S280" s="4282"/>
      <c r="T280" s="4282"/>
      <c r="U280" s="4282"/>
      <c r="V280" s="4282"/>
      <c r="W280" s="4282"/>
      <c r="X280" s="4282"/>
      <c r="Y280" s="4282"/>
      <c r="Z280" s="4282"/>
      <c r="AA280" s="4282"/>
      <c r="AB280" s="4282"/>
      <c r="AC280" s="1188">
        <f t="shared" si="126"/>
        <v>0</v>
      </c>
      <c r="AD280" s="4278"/>
      <c r="AE280" s="4278"/>
      <c r="AF280" s="4278"/>
      <c r="AG280" s="4278"/>
      <c r="AH280" s="4278"/>
      <c r="AI280" s="4278"/>
      <c r="AJ280" s="4278"/>
      <c r="AK280" s="4278"/>
      <c r="AL280" s="4278"/>
      <c r="AM280" s="4278"/>
      <c r="AN280" s="4278"/>
      <c r="AO280" s="4278"/>
      <c r="AP280" s="4278"/>
      <c r="AQ280" s="4278"/>
      <c r="AR280" s="4278"/>
      <c r="AS280" s="4278"/>
      <c r="AT280" s="4279"/>
      <c r="AU280" s="4283"/>
      <c r="AV280" s="1188">
        <f t="shared" si="127"/>
        <v>0</v>
      </c>
      <c r="AW280" s="1188">
        <f t="shared" si="128"/>
        <v>0</v>
      </c>
      <c r="AX280" s="1188">
        <f t="shared" si="129"/>
        <v>0</v>
      </c>
      <c r="AY280" s="1452">
        <f t="shared" si="130"/>
        <v>0</v>
      </c>
      <c r="AZ280" s="4284">
        <f t="shared" si="131"/>
        <v>0</v>
      </c>
      <c r="BA280" s="4284">
        <f t="shared" si="132"/>
        <v>0</v>
      </c>
      <c r="BB280" s="4284">
        <f t="shared" si="133"/>
        <v>0</v>
      </c>
      <c r="BC280" s="4284">
        <f t="shared" si="134"/>
        <v>0</v>
      </c>
      <c r="BD280" s="4284">
        <f t="shared" si="135"/>
        <v>0</v>
      </c>
      <c r="BE280" s="4284">
        <f t="shared" si="136"/>
        <v>0</v>
      </c>
      <c r="BF280" s="4284">
        <f t="shared" si="137"/>
        <v>0</v>
      </c>
      <c r="BG280" s="4284">
        <f t="shared" si="138"/>
        <v>0</v>
      </c>
      <c r="BH280" s="4284">
        <f t="shared" si="139"/>
        <v>0</v>
      </c>
      <c r="BI280" s="4284">
        <f t="shared" si="140"/>
        <v>0</v>
      </c>
      <c r="BJ280" s="4284">
        <f t="shared" si="141"/>
        <v>0</v>
      </c>
      <c r="BK280" s="4284">
        <f t="shared" si="142"/>
        <v>0</v>
      </c>
      <c r="BL280" s="4284">
        <f t="shared" si="143"/>
        <v>0</v>
      </c>
      <c r="BM280" s="4284">
        <f t="shared" si="144"/>
        <v>0</v>
      </c>
      <c r="BN280" s="4284">
        <f t="shared" si="145"/>
        <v>0</v>
      </c>
      <c r="BO280" s="4284">
        <f t="shared" si="146"/>
        <v>0</v>
      </c>
      <c r="BP280" s="4284">
        <f t="shared" si="147"/>
        <v>0</v>
      </c>
      <c r="BQ280" s="4284">
        <f t="shared" si="148"/>
        <v>0</v>
      </c>
      <c r="BR280" s="4284">
        <f t="shared" si="149"/>
        <v>0</v>
      </c>
      <c r="BS280" s="4284">
        <f t="shared" si="150"/>
        <v>0</v>
      </c>
      <c r="BT280" s="4285">
        <f t="shared" si="151"/>
        <v>0</v>
      </c>
    </row>
    <row r="281" spans="1:72">
      <c r="A281" s="4278"/>
      <c r="B281" s="4279"/>
      <c r="C281" s="4279"/>
      <c r="D281" s="4280"/>
      <c r="E281" s="1188">
        <f t="shared" si="123"/>
        <v>0</v>
      </c>
      <c r="F281" s="1680"/>
      <c r="G281" s="4281">
        <f t="shared" si="124"/>
        <v>0</v>
      </c>
      <c r="H281" s="3457">
        <f t="shared" si="125"/>
        <v>0</v>
      </c>
      <c r="I281" s="4282"/>
      <c r="J281" s="4282"/>
      <c r="K281" s="4282"/>
      <c r="L281" s="4282"/>
      <c r="M281" s="4282"/>
      <c r="N281" s="4282"/>
      <c r="O281" s="4282"/>
      <c r="P281" s="4282"/>
      <c r="Q281" s="4282"/>
      <c r="R281" s="4282"/>
      <c r="S281" s="4282"/>
      <c r="T281" s="4282"/>
      <c r="U281" s="4282"/>
      <c r="V281" s="4282"/>
      <c r="W281" s="4282"/>
      <c r="X281" s="4282"/>
      <c r="Y281" s="4282"/>
      <c r="Z281" s="4282"/>
      <c r="AA281" s="4282"/>
      <c r="AB281" s="4282"/>
      <c r="AC281" s="1188">
        <f t="shared" si="126"/>
        <v>0</v>
      </c>
      <c r="AD281" s="4278"/>
      <c r="AE281" s="4278"/>
      <c r="AF281" s="4278"/>
      <c r="AG281" s="4278"/>
      <c r="AH281" s="4278"/>
      <c r="AI281" s="4278"/>
      <c r="AJ281" s="4278"/>
      <c r="AK281" s="4278"/>
      <c r="AL281" s="4278"/>
      <c r="AM281" s="4278"/>
      <c r="AN281" s="4278"/>
      <c r="AO281" s="4278"/>
      <c r="AP281" s="4278"/>
      <c r="AQ281" s="4278"/>
      <c r="AR281" s="4278"/>
      <c r="AS281" s="4278"/>
      <c r="AT281" s="4279"/>
      <c r="AU281" s="4283"/>
      <c r="AV281" s="1188">
        <f t="shared" si="127"/>
        <v>0</v>
      </c>
      <c r="AW281" s="1188">
        <f t="shared" si="128"/>
        <v>0</v>
      </c>
      <c r="AX281" s="1188">
        <f t="shared" si="129"/>
        <v>0</v>
      </c>
      <c r="AY281" s="1452">
        <f t="shared" si="130"/>
        <v>0</v>
      </c>
      <c r="AZ281" s="4284">
        <f t="shared" si="131"/>
        <v>0</v>
      </c>
      <c r="BA281" s="4284">
        <f t="shared" si="132"/>
        <v>0</v>
      </c>
      <c r="BB281" s="4284">
        <f t="shared" si="133"/>
        <v>0</v>
      </c>
      <c r="BC281" s="4284">
        <f t="shared" si="134"/>
        <v>0</v>
      </c>
      <c r="BD281" s="4284">
        <f t="shared" si="135"/>
        <v>0</v>
      </c>
      <c r="BE281" s="4284">
        <f t="shared" si="136"/>
        <v>0</v>
      </c>
      <c r="BF281" s="4284">
        <f t="shared" si="137"/>
        <v>0</v>
      </c>
      <c r="BG281" s="4284">
        <f t="shared" si="138"/>
        <v>0</v>
      </c>
      <c r="BH281" s="4284">
        <f t="shared" si="139"/>
        <v>0</v>
      </c>
      <c r="BI281" s="4284">
        <f t="shared" si="140"/>
        <v>0</v>
      </c>
      <c r="BJ281" s="4284">
        <f t="shared" si="141"/>
        <v>0</v>
      </c>
      <c r="BK281" s="4284">
        <f t="shared" si="142"/>
        <v>0</v>
      </c>
      <c r="BL281" s="4284">
        <f t="shared" si="143"/>
        <v>0</v>
      </c>
      <c r="BM281" s="4284">
        <f t="shared" si="144"/>
        <v>0</v>
      </c>
      <c r="BN281" s="4284">
        <f t="shared" si="145"/>
        <v>0</v>
      </c>
      <c r="BO281" s="4284">
        <f t="shared" si="146"/>
        <v>0</v>
      </c>
      <c r="BP281" s="4284">
        <f t="shared" si="147"/>
        <v>0</v>
      </c>
      <c r="BQ281" s="4284">
        <f t="shared" si="148"/>
        <v>0</v>
      </c>
      <c r="BR281" s="4284">
        <f t="shared" si="149"/>
        <v>0</v>
      </c>
      <c r="BS281" s="4284">
        <f t="shared" si="150"/>
        <v>0</v>
      </c>
      <c r="BT281" s="4285">
        <f t="shared" si="151"/>
        <v>0</v>
      </c>
    </row>
    <row r="282" spans="1:72">
      <c r="A282" s="4278"/>
      <c r="B282" s="4279"/>
      <c r="C282" s="4279"/>
      <c r="D282" s="4280"/>
      <c r="E282" s="1188">
        <f t="shared" si="123"/>
        <v>0</v>
      </c>
      <c r="F282" s="1680"/>
      <c r="G282" s="4281">
        <f t="shared" si="124"/>
        <v>0</v>
      </c>
      <c r="H282" s="3457">
        <f t="shared" si="125"/>
        <v>0</v>
      </c>
      <c r="I282" s="4282"/>
      <c r="J282" s="4282"/>
      <c r="K282" s="4282"/>
      <c r="L282" s="4282"/>
      <c r="M282" s="4282"/>
      <c r="N282" s="4282"/>
      <c r="O282" s="4282"/>
      <c r="P282" s="4282"/>
      <c r="Q282" s="4282"/>
      <c r="R282" s="4282"/>
      <c r="S282" s="4282"/>
      <c r="T282" s="4282"/>
      <c r="U282" s="4282"/>
      <c r="V282" s="4282"/>
      <c r="W282" s="4282"/>
      <c r="X282" s="4282"/>
      <c r="Y282" s="4282"/>
      <c r="Z282" s="4282"/>
      <c r="AA282" s="4282"/>
      <c r="AB282" s="4282"/>
      <c r="AC282" s="1188">
        <f t="shared" si="126"/>
        <v>0</v>
      </c>
      <c r="AD282" s="4278"/>
      <c r="AE282" s="4278"/>
      <c r="AF282" s="4278"/>
      <c r="AG282" s="4278"/>
      <c r="AH282" s="4278"/>
      <c r="AI282" s="4278"/>
      <c r="AJ282" s="4278"/>
      <c r="AK282" s="4278"/>
      <c r="AL282" s="4278"/>
      <c r="AM282" s="4278"/>
      <c r="AN282" s="4278"/>
      <c r="AO282" s="4278"/>
      <c r="AP282" s="4278"/>
      <c r="AQ282" s="4278"/>
      <c r="AR282" s="4278"/>
      <c r="AS282" s="4278"/>
      <c r="AT282" s="4279"/>
      <c r="AU282" s="4283"/>
      <c r="AV282" s="1188">
        <f t="shared" si="127"/>
        <v>0</v>
      </c>
      <c r="AW282" s="1188">
        <f t="shared" si="128"/>
        <v>0</v>
      </c>
      <c r="AX282" s="1188">
        <f t="shared" si="129"/>
        <v>0</v>
      </c>
      <c r="AY282" s="1452">
        <f t="shared" si="130"/>
        <v>0</v>
      </c>
      <c r="AZ282" s="4284">
        <f t="shared" si="131"/>
        <v>0</v>
      </c>
      <c r="BA282" s="4284">
        <f t="shared" si="132"/>
        <v>0</v>
      </c>
      <c r="BB282" s="4284">
        <f t="shared" si="133"/>
        <v>0</v>
      </c>
      <c r="BC282" s="4284">
        <f t="shared" si="134"/>
        <v>0</v>
      </c>
      <c r="BD282" s="4284">
        <f t="shared" si="135"/>
        <v>0</v>
      </c>
      <c r="BE282" s="4284">
        <f t="shared" si="136"/>
        <v>0</v>
      </c>
      <c r="BF282" s="4284">
        <f t="shared" si="137"/>
        <v>0</v>
      </c>
      <c r="BG282" s="4284">
        <f t="shared" si="138"/>
        <v>0</v>
      </c>
      <c r="BH282" s="4284">
        <f t="shared" si="139"/>
        <v>0</v>
      </c>
      <c r="BI282" s="4284">
        <f t="shared" si="140"/>
        <v>0</v>
      </c>
      <c r="BJ282" s="4284">
        <f t="shared" si="141"/>
        <v>0</v>
      </c>
      <c r="BK282" s="4284">
        <f t="shared" si="142"/>
        <v>0</v>
      </c>
      <c r="BL282" s="4284">
        <f t="shared" si="143"/>
        <v>0</v>
      </c>
      <c r="BM282" s="4284">
        <f t="shared" si="144"/>
        <v>0</v>
      </c>
      <c r="BN282" s="4284">
        <f t="shared" si="145"/>
        <v>0</v>
      </c>
      <c r="BO282" s="4284">
        <f t="shared" si="146"/>
        <v>0</v>
      </c>
      <c r="BP282" s="4284">
        <f t="shared" si="147"/>
        <v>0</v>
      </c>
      <c r="BQ282" s="4284">
        <f t="shared" si="148"/>
        <v>0</v>
      </c>
      <c r="BR282" s="4284">
        <f t="shared" si="149"/>
        <v>0</v>
      </c>
      <c r="BS282" s="4284">
        <f t="shared" si="150"/>
        <v>0</v>
      </c>
      <c r="BT282" s="4285">
        <f t="shared" si="151"/>
        <v>0</v>
      </c>
    </row>
    <row r="283" spans="1:72">
      <c r="A283" s="4278"/>
      <c r="B283" s="4279"/>
      <c r="C283" s="4279"/>
      <c r="D283" s="4280"/>
      <c r="E283" s="1188">
        <f t="shared" si="123"/>
        <v>0</v>
      </c>
      <c r="F283" s="1680"/>
      <c r="G283" s="4281">
        <f t="shared" si="124"/>
        <v>0</v>
      </c>
      <c r="H283" s="3457">
        <f t="shared" si="125"/>
        <v>0</v>
      </c>
      <c r="I283" s="4282"/>
      <c r="J283" s="4282"/>
      <c r="K283" s="4282"/>
      <c r="L283" s="4282"/>
      <c r="M283" s="4282"/>
      <c r="N283" s="4282"/>
      <c r="O283" s="4282"/>
      <c r="P283" s="4282"/>
      <c r="Q283" s="4282"/>
      <c r="R283" s="4282"/>
      <c r="S283" s="4282"/>
      <c r="T283" s="4282"/>
      <c r="U283" s="4282"/>
      <c r="V283" s="4282"/>
      <c r="W283" s="4282"/>
      <c r="X283" s="4282"/>
      <c r="Y283" s="4282"/>
      <c r="Z283" s="4282"/>
      <c r="AA283" s="4282"/>
      <c r="AB283" s="4282"/>
      <c r="AC283" s="1188">
        <f t="shared" si="126"/>
        <v>0</v>
      </c>
      <c r="AD283" s="4278"/>
      <c r="AE283" s="4278"/>
      <c r="AF283" s="4278"/>
      <c r="AG283" s="4278"/>
      <c r="AH283" s="4278"/>
      <c r="AI283" s="4278"/>
      <c r="AJ283" s="4278"/>
      <c r="AK283" s="4278"/>
      <c r="AL283" s="4278"/>
      <c r="AM283" s="4278"/>
      <c r="AN283" s="4278"/>
      <c r="AO283" s="4278"/>
      <c r="AP283" s="4278"/>
      <c r="AQ283" s="4278"/>
      <c r="AR283" s="4278"/>
      <c r="AS283" s="4278"/>
      <c r="AT283" s="4279"/>
      <c r="AU283" s="4283"/>
      <c r="AV283" s="1188">
        <f t="shared" si="127"/>
        <v>0</v>
      </c>
      <c r="AW283" s="1188">
        <f t="shared" si="128"/>
        <v>0</v>
      </c>
      <c r="AX283" s="1188">
        <f t="shared" si="129"/>
        <v>0</v>
      </c>
      <c r="AY283" s="1452">
        <f t="shared" si="130"/>
        <v>0</v>
      </c>
      <c r="AZ283" s="4284">
        <f t="shared" si="131"/>
        <v>0</v>
      </c>
      <c r="BA283" s="4284">
        <f t="shared" si="132"/>
        <v>0</v>
      </c>
      <c r="BB283" s="4284">
        <f t="shared" si="133"/>
        <v>0</v>
      </c>
      <c r="BC283" s="4284">
        <f t="shared" si="134"/>
        <v>0</v>
      </c>
      <c r="BD283" s="4284">
        <f t="shared" si="135"/>
        <v>0</v>
      </c>
      <c r="BE283" s="4284">
        <f t="shared" si="136"/>
        <v>0</v>
      </c>
      <c r="BF283" s="4284">
        <f t="shared" si="137"/>
        <v>0</v>
      </c>
      <c r="BG283" s="4284">
        <f t="shared" si="138"/>
        <v>0</v>
      </c>
      <c r="BH283" s="4284">
        <f t="shared" si="139"/>
        <v>0</v>
      </c>
      <c r="BI283" s="4284">
        <f t="shared" si="140"/>
        <v>0</v>
      </c>
      <c r="BJ283" s="4284">
        <f t="shared" si="141"/>
        <v>0</v>
      </c>
      <c r="BK283" s="4284">
        <f t="shared" si="142"/>
        <v>0</v>
      </c>
      <c r="BL283" s="4284">
        <f t="shared" si="143"/>
        <v>0</v>
      </c>
      <c r="BM283" s="4284">
        <f t="shared" si="144"/>
        <v>0</v>
      </c>
      <c r="BN283" s="4284">
        <f t="shared" si="145"/>
        <v>0</v>
      </c>
      <c r="BO283" s="4284">
        <f t="shared" si="146"/>
        <v>0</v>
      </c>
      <c r="BP283" s="4284">
        <f t="shared" si="147"/>
        <v>0</v>
      </c>
      <c r="BQ283" s="4284">
        <f t="shared" si="148"/>
        <v>0</v>
      </c>
      <c r="BR283" s="4284">
        <f t="shared" si="149"/>
        <v>0</v>
      </c>
      <c r="BS283" s="4284">
        <f t="shared" si="150"/>
        <v>0</v>
      </c>
      <c r="BT283" s="4285">
        <f t="shared" si="151"/>
        <v>0</v>
      </c>
    </row>
    <row r="284" spans="1:72">
      <c r="A284" s="4278"/>
      <c r="B284" s="4279"/>
      <c r="C284" s="4279"/>
      <c r="D284" s="4280"/>
      <c r="E284" s="1188">
        <f t="shared" si="123"/>
        <v>0</v>
      </c>
      <c r="F284" s="1680"/>
      <c r="G284" s="4281">
        <f t="shared" si="124"/>
        <v>0</v>
      </c>
      <c r="H284" s="3457">
        <f t="shared" si="125"/>
        <v>0</v>
      </c>
      <c r="I284" s="4282"/>
      <c r="J284" s="4282"/>
      <c r="K284" s="4282"/>
      <c r="L284" s="4282"/>
      <c r="M284" s="4282"/>
      <c r="N284" s="4282"/>
      <c r="O284" s="4282"/>
      <c r="P284" s="4282"/>
      <c r="Q284" s="4282"/>
      <c r="R284" s="4282"/>
      <c r="S284" s="4282"/>
      <c r="T284" s="4282"/>
      <c r="U284" s="4282"/>
      <c r="V284" s="4282"/>
      <c r="W284" s="4282"/>
      <c r="X284" s="4282"/>
      <c r="Y284" s="4282"/>
      <c r="Z284" s="4282"/>
      <c r="AA284" s="4282"/>
      <c r="AB284" s="4282"/>
      <c r="AC284" s="1188">
        <f t="shared" si="126"/>
        <v>0</v>
      </c>
      <c r="AD284" s="4278"/>
      <c r="AE284" s="4278"/>
      <c r="AF284" s="4278"/>
      <c r="AG284" s="4278"/>
      <c r="AH284" s="4278"/>
      <c r="AI284" s="4278"/>
      <c r="AJ284" s="4278"/>
      <c r="AK284" s="4278"/>
      <c r="AL284" s="4278"/>
      <c r="AM284" s="4278"/>
      <c r="AN284" s="4278"/>
      <c r="AO284" s="4278"/>
      <c r="AP284" s="4278"/>
      <c r="AQ284" s="4278"/>
      <c r="AR284" s="4278"/>
      <c r="AS284" s="4278"/>
      <c r="AT284" s="4279"/>
      <c r="AU284" s="4283"/>
      <c r="AV284" s="1188">
        <f t="shared" si="127"/>
        <v>0</v>
      </c>
      <c r="AW284" s="1188">
        <f t="shared" si="128"/>
        <v>0</v>
      </c>
      <c r="AX284" s="1188">
        <f t="shared" si="129"/>
        <v>0</v>
      </c>
      <c r="AY284" s="1452">
        <f t="shared" si="130"/>
        <v>0</v>
      </c>
      <c r="AZ284" s="4284">
        <f t="shared" si="131"/>
        <v>0</v>
      </c>
      <c r="BA284" s="4284">
        <f t="shared" si="132"/>
        <v>0</v>
      </c>
      <c r="BB284" s="4284">
        <f t="shared" si="133"/>
        <v>0</v>
      </c>
      <c r="BC284" s="4284">
        <f t="shared" si="134"/>
        <v>0</v>
      </c>
      <c r="BD284" s="4284">
        <f t="shared" si="135"/>
        <v>0</v>
      </c>
      <c r="BE284" s="4284">
        <f t="shared" si="136"/>
        <v>0</v>
      </c>
      <c r="BF284" s="4284">
        <f t="shared" si="137"/>
        <v>0</v>
      </c>
      <c r="BG284" s="4284">
        <f t="shared" si="138"/>
        <v>0</v>
      </c>
      <c r="BH284" s="4284">
        <f t="shared" si="139"/>
        <v>0</v>
      </c>
      <c r="BI284" s="4284">
        <f t="shared" si="140"/>
        <v>0</v>
      </c>
      <c r="BJ284" s="4284">
        <f t="shared" si="141"/>
        <v>0</v>
      </c>
      <c r="BK284" s="4284">
        <f t="shared" si="142"/>
        <v>0</v>
      </c>
      <c r="BL284" s="4284">
        <f t="shared" si="143"/>
        <v>0</v>
      </c>
      <c r="BM284" s="4284">
        <f t="shared" si="144"/>
        <v>0</v>
      </c>
      <c r="BN284" s="4284">
        <f t="shared" si="145"/>
        <v>0</v>
      </c>
      <c r="BO284" s="4284">
        <f t="shared" si="146"/>
        <v>0</v>
      </c>
      <c r="BP284" s="4284">
        <f t="shared" si="147"/>
        <v>0</v>
      </c>
      <c r="BQ284" s="4284">
        <f t="shared" si="148"/>
        <v>0</v>
      </c>
      <c r="BR284" s="4284">
        <f t="shared" si="149"/>
        <v>0</v>
      </c>
      <c r="BS284" s="4284">
        <f t="shared" si="150"/>
        <v>0</v>
      </c>
      <c r="BT284" s="4285">
        <f t="shared" si="151"/>
        <v>0</v>
      </c>
    </row>
    <row r="285" spans="1:72">
      <c r="A285" s="4278"/>
      <c r="B285" s="4279"/>
      <c r="C285" s="4279"/>
      <c r="D285" s="4280"/>
      <c r="E285" s="1188">
        <f t="shared" si="123"/>
        <v>0</v>
      </c>
      <c r="F285" s="1680"/>
      <c r="G285" s="4281">
        <f t="shared" si="124"/>
        <v>0</v>
      </c>
      <c r="H285" s="3457">
        <f t="shared" si="125"/>
        <v>0</v>
      </c>
      <c r="I285" s="4282"/>
      <c r="J285" s="4282"/>
      <c r="K285" s="4282"/>
      <c r="L285" s="4282"/>
      <c r="M285" s="4282"/>
      <c r="N285" s="4282"/>
      <c r="O285" s="4282"/>
      <c r="P285" s="4282"/>
      <c r="Q285" s="4282"/>
      <c r="R285" s="4282"/>
      <c r="S285" s="4282"/>
      <c r="T285" s="4282"/>
      <c r="U285" s="4282"/>
      <c r="V285" s="4282"/>
      <c r="W285" s="4282"/>
      <c r="X285" s="4282"/>
      <c r="Y285" s="4282"/>
      <c r="Z285" s="4282"/>
      <c r="AA285" s="4282"/>
      <c r="AB285" s="4282"/>
      <c r="AC285" s="1188">
        <f t="shared" si="126"/>
        <v>0</v>
      </c>
      <c r="AD285" s="4278"/>
      <c r="AE285" s="4278"/>
      <c r="AF285" s="4278"/>
      <c r="AG285" s="4278"/>
      <c r="AH285" s="4278"/>
      <c r="AI285" s="4278"/>
      <c r="AJ285" s="4278"/>
      <c r="AK285" s="4278"/>
      <c r="AL285" s="4278"/>
      <c r="AM285" s="4278"/>
      <c r="AN285" s="4278"/>
      <c r="AO285" s="4278"/>
      <c r="AP285" s="4278"/>
      <c r="AQ285" s="4278"/>
      <c r="AR285" s="4278"/>
      <c r="AS285" s="4278"/>
      <c r="AT285" s="4279"/>
      <c r="AU285" s="4283"/>
      <c r="AV285" s="1188">
        <f t="shared" si="127"/>
        <v>0</v>
      </c>
      <c r="AW285" s="1188">
        <f t="shared" si="128"/>
        <v>0</v>
      </c>
      <c r="AX285" s="1188">
        <f t="shared" si="129"/>
        <v>0</v>
      </c>
      <c r="AY285" s="1452">
        <f t="shared" si="130"/>
        <v>0</v>
      </c>
      <c r="AZ285" s="4284">
        <f t="shared" si="131"/>
        <v>0</v>
      </c>
      <c r="BA285" s="4284">
        <f t="shared" si="132"/>
        <v>0</v>
      </c>
      <c r="BB285" s="4284">
        <f t="shared" si="133"/>
        <v>0</v>
      </c>
      <c r="BC285" s="4284">
        <f t="shared" si="134"/>
        <v>0</v>
      </c>
      <c r="BD285" s="4284">
        <f t="shared" si="135"/>
        <v>0</v>
      </c>
      <c r="BE285" s="4284">
        <f t="shared" si="136"/>
        <v>0</v>
      </c>
      <c r="BF285" s="4284">
        <f t="shared" si="137"/>
        <v>0</v>
      </c>
      <c r="BG285" s="4284">
        <f t="shared" si="138"/>
        <v>0</v>
      </c>
      <c r="BH285" s="4284">
        <f t="shared" si="139"/>
        <v>0</v>
      </c>
      <c r="BI285" s="4284">
        <f t="shared" si="140"/>
        <v>0</v>
      </c>
      <c r="BJ285" s="4284">
        <f t="shared" si="141"/>
        <v>0</v>
      </c>
      <c r="BK285" s="4284">
        <f t="shared" si="142"/>
        <v>0</v>
      </c>
      <c r="BL285" s="4284">
        <f t="shared" si="143"/>
        <v>0</v>
      </c>
      <c r="BM285" s="4284">
        <f t="shared" si="144"/>
        <v>0</v>
      </c>
      <c r="BN285" s="4284">
        <f t="shared" si="145"/>
        <v>0</v>
      </c>
      <c r="BO285" s="4284">
        <f t="shared" si="146"/>
        <v>0</v>
      </c>
      <c r="BP285" s="4284">
        <f t="shared" si="147"/>
        <v>0</v>
      </c>
      <c r="BQ285" s="4284">
        <f t="shared" si="148"/>
        <v>0</v>
      </c>
      <c r="BR285" s="4284">
        <f t="shared" si="149"/>
        <v>0</v>
      </c>
      <c r="BS285" s="4284">
        <f t="shared" si="150"/>
        <v>0</v>
      </c>
      <c r="BT285" s="4285">
        <f t="shared" si="151"/>
        <v>0</v>
      </c>
    </row>
    <row r="286" spans="1:72">
      <c r="A286" s="4278"/>
      <c r="B286" s="4279"/>
      <c r="C286" s="4279"/>
      <c r="D286" s="4280"/>
      <c r="E286" s="1188">
        <f t="shared" si="123"/>
        <v>0</v>
      </c>
      <c r="F286" s="1680"/>
      <c r="G286" s="4281">
        <f t="shared" si="124"/>
        <v>0</v>
      </c>
      <c r="H286" s="3457">
        <f t="shared" si="125"/>
        <v>0</v>
      </c>
      <c r="I286" s="4282"/>
      <c r="J286" s="4282"/>
      <c r="K286" s="4282"/>
      <c r="L286" s="4282"/>
      <c r="M286" s="4282"/>
      <c r="N286" s="4282"/>
      <c r="O286" s="4282"/>
      <c r="P286" s="4282"/>
      <c r="Q286" s="4282"/>
      <c r="R286" s="4282"/>
      <c r="S286" s="4282"/>
      <c r="T286" s="4282"/>
      <c r="U286" s="4282"/>
      <c r="V286" s="4282"/>
      <c r="W286" s="4282"/>
      <c r="X286" s="4282"/>
      <c r="Y286" s="4282"/>
      <c r="Z286" s="4282"/>
      <c r="AA286" s="4282"/>
      <c r="AB286" s="4282"/>
      <c r="AC286" s="1188">
        <f t="shared" si="126"/>
        <v>0</v>
      </c>
      <c r="AD286" s="4278"/>
      <c r="AE286" s="4278"/>
      <c r="AF286" s="4278"/>
      <c r="AG286" s="4278"/>
      <c r="AH286" s="4278"/>
      <c r="AI286" s="4278"/>
      <c r="AJ286" s="4278"/>
      <c r="AK286" s="4278"/>
      <c r="AL286" s="4278"/>
      <c r="AM286" s="4278"/>
      <c r="AN286" s="4278"/>
      <c r="AO286" s="4278"/>
      <c r="AP286" s="4278"/>
      <c r="AQ286" s="4278"/>
      <c r="AR286" s="4278"/>
      <c r="AS286" s="4278"/>
      <c r="AT286" s="4279"/>
      <c r="AU286" s="4283"/>
      <c r="AV286" s="1188">
        <f t="shared" si="127"/>
        <v>0</v>
      </c>
      <c r="AW286" s="1188">
        <f t="shared" si="128"/>
        <v>0</v>
      </c>
      <c r="AX286" s="1188">
        <f t="shared" si="129"/>
        <v>0</v>
      </c>
      <c r="AY286" s="1452">
        <f t="shared" si="130"/>
        <v>0</v>
      </c>
      <c r="AZ286" s="4284">
        <f t="shared" si="131"/>
        <v>0</v>
      </c>
      <c r="BA286" s="4284">
        <f t="shared" si="132"/>
        <v>0</v>
      </c>
      <c r="BB286" s="4284">
        <f t="shared" si="133"/>
        <v>0</v>
      </c>
      <c r="BC286" s="4284">
        <f t="shared" si="134"/>
        <v>0</v>
      </c>
      <c r="BD286" s="4284">
        <f t="shared" si="135"/>
        <v>0</v>
      </c>
      <c r="BE286" s="4284">
        <f t="shared" si="136"/>
        <v>0</v>
      </c>
      <c r="BF286" s="4284">
        <f t="shared" si="137"/>
        <v>0</v>
      </c>
      <c r="BG286" s="4284">
        <f t="shared" si="138"/>
        <v>0</v>
      </c>
      <c r="BH286" s="4284">
        <f t="shared" si="139"/>
        <v>0</v>
      </c>
      <c r="BI286" s="4284">
        <f t="shared" si="140"/>
        <v>0</v>
      </c>
      <c r="BJ286" s="4284">
        <f t="shared" si="141"/>
        <v>0</v>
      </c>
      <c r="BK286" s="4284">
        <f t="shared" si="142"/>
        <v>0</v>
      </c>
      <c r="BL286" s="4284">
        <f t="shared" si="143"/>
        <v>0</v>
      </c>
      <c r="BM286" s="4284">
        <f t="shared" si="144"/>
        <v>0</v>
      </c>
      <c r="BN286" s="4284">
        <f t="shared" si="145"/>
        <v>0</v>
      </c>
      <c r="BO286" s="4284">
        <f t="shared" si="146"/>
        <v>0</v>
      </c>
      <c r="BP286" s="4284">
        <f t="shared" si="147"/>
        <v>0</v>
      </c>
      <c r="BQ286" s="4284">
        <f t="shared" si="148"/>
        <v>0</v>
      </c>
      <c r="BR286" s="4284">
        <f t="shared" si="149"/>
        <v>0</v>
      </c>
      <c r="BS286" s="4284">
        <f t="shared" si="150"/>
        <v>0</v>
      </c>
      <c r="BT286" s="4285">
        <f t="shared" si="151"/>
        <v>0</v>
      </c>
    </row>
    <row r="287" spans="1:72">
      <c r="A287" s="4278"/>
      <c r="B287" s="4279"/>
      <c r="C287" s="4279"/>
      <c r="D287" s="4280"/>
      <c r="E287" s="1188">
        <f t="shared" si="123"/>
        <v>0</v>
      </c>
      <c r="F287" s="1680"/>
      <c r="G287" s="4281">
        <f t="shared" si="124"/>
        <v>0</v>
      </c>
      <c r="H287" s="3457">
        <f t="shared" si="125"/>
        <v>0</v>
      </c>
      <c r="I287" s="4282"/>
      <c r="J287" s="4282"/>
      <c r="K287" s="4282"/>
      <c r="L287" s="4282"/>
      <c r="M287" s="4282"/>
      <c r="N287" s="4282"/>
      <c r="O287" s="4282"/>
      <c r="P287" s="4282"/>
      <c r="Q287" s="4282"/>
      <c r="R287" s="4282"/>
      <c r="S287" s="4282"/>
      <c r="T287" s="4282"/>
      <c r="U287" s="4282"/>
      <c r="V287" s="4282"/>
      <c r="W287" s="4282"/>
      <c r="X287" s="4282"/>
      <c r="Y287" s="4282"/>
      <c r="Z287" s="4282"/>
      <c r="AA287" s="4282"/>
      <c r="AB287" s="4282"/>
      <c r="AC287" s="1188">
        <f t="shared" si="126"/>
        <v>0</v>
      </c>
      <c r="AD287" s="4278"/>
      <c r="AE287" s="4278"/>
      <c r="AF287" s="4278"/>
      <c r="AG287" s="4278"/>
      <c r="AH287" s="4278"/>
      <c r="AI287" s="4278"/>
      <c r="AJ287" s="4278"/>
      <c r="AK287" s="4278"/>
      <c r="AL287" s="4278"/>
      <c r="AM287" s="4278"/>
      <c r="AN287" s="4278"/>
      <c r="AO287" s="4278"/>
      <c r="AP287" s="4278"/>
      <c r="AQ287" s="4278"/>
      <c r="AR287" s="4278"/>
      <c r="AS287" s="4278"/>
      <c r="AT287" s="4279"/>
      <c r="AU287" s="4283"/>
      <c r="AV287" s="1188">
        <f t="shared" si="127"/>
        <v>0</v>
      </c>
      <c r="AW287" s="1188">
        <f t="shared" si="128"/>
        <v>0</v>
      </c>
      <c r="AX287" s="1188">
        <f t="shared" si="129"/>
        <v>0</v>
      </c>
      <c r="AY287" s="1452">
        <f t="shared" si="130"/>
        <v>0</v>
      </c>
      <c r="AZ287" s="4284">
        <f t="shared" si="131"/>
        <v>0</v>
      </c>
      <c r="BA287" s="4284">
        <f t="shared" si="132"/>
        <v>0</v>
      </c>
      <c r="BB287" s="4284">
        <f t="shared" si="133"/>
        <v>0</v>
      </c>
      <c r="BC287" s="4284">
        <f t="shared" si="134"/>
        <v>0</v>
      </c>
      <c r="BD287" s="4284">
        <f t="shared" si="135"/>
        <v>0</v>
      </c>
      <c r="BE287" s="4284">
        <f t="shared" si="136"/>
        <v>0</v>
      </c>
      <c r="BF287" s="4284">
        <f t="shared" si="137"/>
        <v>0</v>
      </c>
      <c r="BG287" s="4284">
        <f t="shared" si="138"/>
        <v>0</v>
      </c>
      <c r="BH287" s="4284">
        <f t="shared" si="139"/>
        <v>0</v>
      </c>
      <c r="BI287" s="4284">
        <f t="shared" si="140"/>
        <v>0</v>
      </c>
      <c r="BJ287" s="4284">
        <f t="shared" si="141"/>
        <v>0</v>
      </c>
      <c r="BK287" s="4284">
        <f t="shared" si="142"/>
        <v>0</v>
      </c>
      <c r="BL287" s="4284">
        <f t="shared" si="143"/>
        <v>0</v>
      </c>
      <c r="BM287" s="4284">
        <f t="shared" si="144"/>
        <v>0</v>
      </c>
      <c r="BN287" s="4284">
        <f t="shared" si="145"/>
        <v>0</v>
      </c>
      <c r="BO287" s="4284">
        <f t="shared" si="146"/>
        <v>0</v>
      </c>
      <c r="BP287" s="4284">
        <f t="shared" si="147"/>
        <v>0</v>
      </c>
      <c r="BQ287" s="4284">
        <f t="shared" si="148"/>
        <v>0</v>
      </c>
      <c r="BR287" s="4284">
        <f t="shared" si="149"/>
        <v>0</v>
      </c>
      <c r="BS287" s="4284">
        <f t="shared" si="150"/>
        <v>0</v>
      </c>
      <c r="BT287" s="4285">
        <f t="shared" si="151"/>
        <v>0</v>
      </c>
    </row>
    <row r="288" spans="1:72">
      <c r="A288" s="4278"/>
      <c r="B288" s="4279"/>
      <c r="C288" s="4279"/>
      <c r="D288" s="4280"/>
      <c r="E288" s="1188">
        <f t="shared" si="123"/>
        <v>0</v>
      </c>
      <c r="F288" s="1680"/>
      <c r="G288" s="4281">
        <f t="shared" si="124"/>
        <v>0</v>
      </c>
      <c r="H288" s="3457">
        <f t="shared" si="125"/>
        <v>0</v>
      </c>
      <c r="I288" s="4282"/>
      <c r="J288" s="4282"/>
      <c r="K288" s="4282"/>
      <c r="L288" s="4282"/>
      <c r="M288" s="4282"/>
      <c r="N288" s="4282"/>
      <c r="O288" s="4282"/>
      <c r="P288" s="4282"/>
      <c r="Q288" s="4282"/>
      <c r="R288" s="4282"/>
      <c r="S288" s="4282"/>
      <c r="T288" s="4282"/>
      <c r="U288" s="4282"/>
      <c r="V288" s="4282"/>
      <c r="W288" s="4282"/>
      <c r="X288" s="4282"/>
      <c r="Y288" s="4282"/>
      <c r="Z288" s="4282"/>
      <c r="AA288" s="4282"/>
      <c r="AB288" s="4282"/>
      <c r="AC288" s="1188">
        <f t="shared" si="126"/>
        <v>0</v>
      </c>
      <c r="AD288" s="4278"/>
      <c r="AE288" s="4278"/>
      <c r="AF288" s="4278"/>
      <c r="AG288" s="4278"/>
      <c r="AH288" s="4278"/>
      <c r="AI288" s="4278"/>
      <c r="AJ288" s="4278"/>
      <c r="AK288" s="4278"/>
      <c r="AL288" s="4278"/>
      <c r="AM288" s="4278"/>
      <c r="AN288" s="4278"/>
      <c r="AO288" s="4278"/>
      <c r="AP288" s="4278"/>
      <c r="AQ288" s="4278"/>
      <c r="AR288" s="4278"/>
      <c r="AS288" s="4278"/>
      <c r="AT288" s="4279"/>
      <c r="AU288" s="4283"/>
      <c r="AV288" s="1188">
        <f t="shared" si="127"/>
        <v>0</v>
      </c>
      <c r="AW288" s="1188">
        <f t="shared" si="128"/>
        <v>0</v>
      </c>
      <c r="AX288" s="1188">
        <f t="shared" si="129"/>
        <v>0</v>
      </c>
      <c r="AY288" s="1452">
        <f t="shared" si="130"/>
        <v>0</v>
      </c>
      <c r="AZ288" s="4284">
        <f t="shared" si="131"/>
        <v>0</v>
      </c>
      <c r="BA288" s="4284">
        <f t="shared" si="132"/>
        <v>0</v>
      </c>
      <c r="BB288" s="4284">
        <f t="shared" si="133"/>
        <v>0</v>
      </c>
      <c r="BC288" s="4284">
        <f t="shared" si="134"/>
        <v>0</v>
      </c>
      <c r="BD288" s="4284">
        <f t="shared" si="135"/>
        <v>0</v>
      </c>
      <c r="BE288" s="4284">
        <f t="shared" si="136"/>
        <v>0</v>
      </c>
      <c r="BF288" s="4284">
        <f t="shared" si="137"/>
        <v>0</v>
      </c>
      <c r="BG288" s="4284">
        <f t="shared" si="138"/>
        <v>0</v>
      </c>
      <c r="BH288" s="4284">
        <f t="shared" si="139"/>
        <v>0</v>
      </c>
      <c r="BI288" s="4284">
        <f t="shared" si="140"/>
        <v>0</v>
      </c>
      <c r="BJ288" s="4284">
        <f t="shared" si="141"/>
        <v>0</v>
      </c>
      <c r="BK288" s="4284">
        <f t="shared" si="142"/>
        <v>0</v>
      </c>
      <c r="BL288" s="4284">
        <f t="shared" si="143"/>
        <v>0</v>
      </c>
      <c r="BM288" s="4284">
        <f t="shared" si="144"/>
        <v>0</v>
      </c>
      <c r="BN288" s="4284">
        <f t="shared" si="145"/>
        <v>0</v>
      </c>
      <c r="BO288" s="4284">
        <f t="shared" si="146"/>
        <v>0</v>
      </c>
      <c r="BP288" s="4284">
        <f t="shared" si="147"/>
        <v>0</v>
      </c>
      <c r="BQ288" s="4284">
        <f t="shared" si="148"/>
        <v>0</v>
      </c>
      <c r="BR288" s="4284">
        <f t="shared" si="149"/>
        <v>0</v>
      </c>
      <c r="BS288" s="4284">
        <f t="shared" si="150"/>
        <v>0</v>
      </c>
      <c r="BT288" s="4285">
        <f t="shared" si="151"/>
        <v>0</v>
      </c>
    </row>
    <row r="289" spans="1:72">
      <c r="A289" s="4278"/>
      <c r="B289" s="4279"/>
      <c r="C289" s="4279"/>
      <c r="D289" s="4280"/>
      <c r="E289" s="1188">
        <f t="shared" si="123"/>
        <v>0</v>
      </c>
      <c r="F289" s="1680"/>
      <c r="G289" s="4281">
        <f t="shared" si="124"/>
        <v>0</v>
      </c>
      <c r="H289" s="3457">
        <f t="shared" si="125"/>
        <v>0</v>
      </c>
      <c r="I289" s="4282"/>
      <c r="J289" s="4282"/>
      <c r="K289" s="4282"/>
      <c r="L289" s="4282"/>
      <c r="M289" s="4282"/>
      <c r="N289" s="4282"/>
      <c r="O289" s="4282"/>
      <c r="P289" s="4282"/>
      <c r="Q289" s="4282"/>
      <c r="R289" s="4282"/>
      <c r="S289" s="4282"/>
      <c r="T289" s="4282"/>
      <c r="U289" s="4282"/>
      <c r="V289" s="4282"/>
      <c r="W289" s="4282"/>
      <c r="X289" s="4282"/>
      <c r="Y289" s="4282"/>
      <c r="Z289" s="4282"/>
      <c r="AA289" s="4282"/>
      <c r="AB289" s="4282"/>
      <c r="AC289" s="1188">
        <f t="shared" si="126"/>
        <v>0</v>
      </c>
      <c r="AD289" s="4278"/>
      <c r="AE289" s="4278"/>
      <c r="AF289" s="4278"/>
      <c r="AG289" s="4278"/>
      <c r="AH289" s="4278"/>
      <c r="AI289" s="4278"/>
      <c r="AJ289" s="4278"/>
      <c r="AK289" s="4278"/>
      <c r="AL289" s="4278"/>
      <c r="AM289" s="4278"/>
      <c r="AN289" s="4278"/>
      <c r="AO289" s="4278"/>
      <c r="AP289" s="4278"/>
      <c r="AQ289" s="4278"/>
      <c r="AR289" s="4278"/>
      <c r="AS289" s="4278"/>
      <c r="AT289" s="4279"/>
      <c r="AU289" s="4283"/>
      <c r="AV289" s="1188">
        <f t="shared" si="127"/>
        <v>0</v>
      </c>
      <c r="AW289" s="1188">
        <f t="shared" si="128"/>
        <v>0</v>
      </c>
      <c r="AX289" s="1188">
        <f t="shared" si="129"/>
        <v>0</v>
      </c>
      <c r="AY289" s="1452">
        <f t="shared" si="130"/>
        <v>0</v>
      </c>
      <c r="AZ289" s="4284">
        <f t="shared" si="131"/>
        <v>0</v>
      </c>
      <c r="BA289" s="4284">
        <f t="shared" si="132"/>
        <v>0</v>
      </c>
      <c r="BB289" s="4284">
        <f t="shared" si="133"/>
        <v>0</v>
      </c>
      <c r="BC289" s="4284">
        <f t="shared" si="134"/>
        <v>0</v>
      </c>
      <c r="BD289" s="4284">
        <f t="shared" si="135"/>
        <v>0</v>
      </c>
      <c r="BE289" s="4284">
        <f t="shared" si="136"/>
        <v>0</v>
      </c>
      <c r="BF289" s="4284">
        <f t="shared" si="137"/>
        <v>0</v>
      </c>
      <c r="BG289" s="4284">
        <f t="shared" si="138"/>
        <v>0</v>
      </c>
      <c r="BH289" s="4284">
        <f t="shared" si="139"/>
        <v>0</v>
      </c>
      <c r="BI289" s="4284">
        <f t="shared" si="140"/>
        <v>0</v>
      </c>
      <c r="BJ289" s="4284">
        <f t="shared" si="141"/>
        <v>0</v>
      </c>
      <c r="BK289" s="4284">
        <f t="shared" si="142"/>
        <v>0</v>
      </c>
      <c r="BL289" s="4284">
        <f t="shared" si="143"/>
        <v>0</v>
      </c>
      <c r="BM289" s="4284">
        <f t="shared" si="144"/>
        <v>0</v>
      </c>
      <c r="BN289" s="4284">
        <f t="shared" si="145"/>
        <v>0</v>
      </c>
      <c r="BO289" s="4284">
        <f t="shared" si="146"/>
        <v>0</v>
      </c>
      <c r="BP289" s="4284">
        <f t="shared" si="147"/>
        <v>0</v>
      </c>
      <c r="BQ289" s="4284">
        <f t="shared" si="148"/>
        <v>0</v>
      </c>
      <c r="BR289" s="4284">
        <f t="shared" si="149"/>
        <v>0</v>
      </c>
      <c r="BS289" s="4284">
        <f t="shared" si="150"/>
        <v>0</v>
      </c>
      <c r="BT289" s="4285">
        <f t="shared" si="151"/>
        <v>0</v>
      </c>
    </row>
    <row r="290" spans="1:72">
      <c r="A290" s="4278"/>
      <c r="B290" s="4279"/>
      <c r="C290" s="4279"/>
      <c r="D290" s="4280"/>
      <c r="E290" s="1188">
        <f t="shared" si="123"/>
        <v>0</v>
      </c>
      <c r="F290" s="1680"/>
      <c r="G290" s="4281">
        <f t="shared" si="124"/>
        <v>0</v>
      </c>
      <c r="H290" s="3457">
        <f t="shared" si="125"/>
        <v>0</v>
      </c>
      <c r="I290" s="4282"/>
      <c r="J290" s="4282"/>
      <c r="K290" s="4282"/>
      <c r="L290" s="4282"/>
      <c r="M290" s="4282"/>
      <c r="N290" s="4282"/>
      <c r="O290" s="4282"/>
      <c r="P290" s="4282"/>
      <c r="Q290" s="4282"/>
      <c r="R290" s="4282"/>
      <c r="S290" s="4282"/>
      <c r="T290" s="4282"/>
      <c r="U290" s="4282"/>
      <c r="V290" s="4282"/>
      <c r="W290" s="4282"/>
      <c r="X290" s="4282"/>
      <c r="Y290" s="4282"/>
      <c r="Z290" s="4282"/>
      <c r="AA290" s="4282"/>
      <c r="AB290" s="4282"/>
      <c r="AC290" s="1188">
        <f t="shared" si="126"/>
        <v>0</v>
      </c>
      <c r="AD290" s="4278"/>
      <c r="AE290" s="4278"/>
      <c r="AF290" s="4278"/>
      <c r="AG290" s="4278"/>
      <c r="AH290" s="4278"/>
      <c r="AI290" s="4278"/>
      <c r="AJ290" s="4278"/>
      <c r="AK290" s="4278"/>
      <c r="AL290" s="4278"/>
      <c r="AM290" s="4278"/>
      <c r="AN290" s="4278"/>
      <c r="AO290" s="4278"/>
      <c r="AP290" s="4278"/>
      <c r="AQ290" s="4278"/>
      <c r="AR290" s="4278"/>
      <c r="AS290" s="4278"/>
      <c r="AT290" s="4279"/>
      <c r="AU290" s="4283"/>
      <c r="AV290" s="1188">
        <f t="shared" si="127"/>
        <v>0</v>
      </c>
      <c r="AW290" s="1188">
        <f t="shared" si="128"/>
        <v>0</v>
      </c>
      <c r="AX290" s="1188">
        <f t="shared" si="129"/>
        <v>0</v>
      </c>
      <c r="AY290" s="1452">
        <f t="shared" si="130"/>
        <v>0</v>
      </c>
      <c r="AZ290" s="4284">
        <f t="shared" si="131"/>
        <v>0</v>
      </c>
      <c r="BA290" s="4284">
        <f t="shared" si="132"/>
        <v>0</v>
      </c>
      <c r="BB290" s="4284">
        <f t="shared" si="133"/>
        <v>0</v>
      </c>
      <c r="BC290" s="4284">
        <f t="shared" si="134"/>
        <v>0</v>
      </c>
      <c r="BD290" s="4284">
        <f t="shared" si="135"/>
        <v>0</v>
      </c>
      <c r="BE290" s="4284">
        <f t="shared" si="136"/>
        <v>0</v>
      </c>
      <c r="BF290" s="4284">
        <f t="shared" si="137"/>
        <v>0</v>
      </c>
      <c r="BG290" s="4284">
        <f t="shared" si="138"/>
        <v>0</v>
      </c>
      <c r="BH290" s="4284">
        <f t="shared" si="139"/>
        <v>0</v>
      </c>
      <c r="BI290" s="4284">
        <f t="shared" si="140"/>
        <v>0</v>
      </c>
      <c r="BJ290" s="4284">
        <f t="shared" si="141"/>
        <v>0</v>
      </c>
      <c r="BK290" s="4284">
        <f t="shared" si="142"/>
        <v>0</v>
      </c>
      <c r="BL290" s="4284">
        <f t="shared" si="143"/>
        <v>0</v>
      </c>
      <c r="BM290" s="4284">
        <f t="shared" si="144"/>
        <v>0</v>
      </c>
      <c r="BN290" s="4284">
        <f t="shared" si="145"/>
        <v>0</v>
      </c>
      <c r="BO290" s="4284">
        <f t="shared" si="146"/>
        <v>0</v>
      </c>
      <c r="BP290" s="4284">
        <f t="shared" si="147"/>
        <v>0</v>
      </c>
      <c r="BQ290" s="4284">
        <f t="shared" si="148"/>
        <v>0</v>
      </c>
      <c r="BR290" s="4284">
        <f t="shared" si="149"/>
        <v>0</v>
      </c>
      <c r="BS290" s="4284">
        <f t="shared" si="150"/>
        <v>0</v>
      </c>
      <c r="BT290" s="4285">
        <f t="shared" si="151"/>
        <v>0</v>
      </c>
    </row>
    <row r="291" spans="1:72">
      <c r="A291" s="4278"/>
      <c r="B291" s="4279"/>
      <c r="C291" s="4279"/>
      <c r="D291" s="4280"/>
      <c r="E291" s="1188">
        <f t="shared" si="123"/>
        <v>0</v>
      </c>
      <c r="F291" s="1680"/>
      <c r="G291" s="4281">
        <f t="shared" si="124"/>
        <v>0</v>
      </c>
      <c r="H291" s="3457">
        <f t="shared" si="125"/>
        <v>0</v>
      </c>
      <c r="I291" s="4282"/>
      <c r="J291" s="4282"/>
      <c r="K291" s="4282"/>
      <c r="L291" s="4282"/>
      <c r="M291" s="4282"/>
      <c r="N291" s="4282"/>
      <c r="O291" s="4282"/>
      <c r="P291" s="4282"/>
      <c r="Q291" s="4282"/>
      <c r="R291" s="4282"/>
      <c r="S291" s="4282"/>
      <c r="T291" s="4282"/>
      <c r="U291" s="4282"/>
      <c r="V291" s="4282"/>
      <c r="W291" s="4282"/>
      <c r="X291" s="4282"/>
      <c r="Y291" s="4282"/>
      <c r="Z291" s="4282"/>
      <c r="AA291" s="4282"/>
      <c r="AB291" s="4282"/>
      <c r="AC291" s="1188">
        <f t="shared" si="126"/>
        <v>0</v>
      </c>
      <c r="AD291" s="4278"/>
      <c r="AE291" s="4278"/>
      <c r="AF291" s="4278"/>
      <c r="AG291" s="4278"/>
      <c r="AH291" s="4278"/>
      <c r="AI291" s="4278"/>
      <c r="AJ291" s="4278"/>
      <c r="AK291" s="4278"/>
      <c r="AL291" s="4278"/>
      <c r="AM291" s="4278"/>
      <c r="AN291" s="4278"/>
      <c r="AO291" s="4278"/>
      <c r="AP291" s="4278"/>
      <c r="AQ291" s="4278"/>
      <c r="AR291" s="4278"/>
      <c r="AS291" s="4278"/>
      <c r="AT291" s="4279"/>
      <c r="AU291" s="4283"/>
      <c r="AV291" s="1188">
        <f t="shared" si="127"/>
        <v>0</v>
      </c>
      <c r="AW291" s="1188">
        <f t="shared" si="128"/>
        <v>0</v>
      </c>
      <c r="AX291" s="1188">
        <f t="shared" si="129"/>
        <v>0</v>
      </c>
      <c r="AY291" s="1452">
        <f t="shared" si="130"/>
        <v>0</v>
      </c>
      <c r="AZ291" s="4284">
        <f t="shared" si="131"/>
        <v>0</v>
      </c>
      <c r="BA291" s="4284">
        <f t="shared" si="132"/>
        <v>0</v>
      </c>
      <c r="BB291" s="4284">
        <f t="shared" si="133"/>
        <v>0</v>
      </c>
      <c r="BC291" s="4284">
        <f t="shared" si="134"/>
        <v>0</v>
      </c>
      <c r="BD291" s="4284">
        <f t="shared" si="135"/>
        <v>0</v>
      </c>
      <c r="BE291" s="4284">
        <f t="shared" si="136"/>
        <v>0</v>
      </c>
      <c r="BF291" s="4284">
        <f t="shared" si="137"/>
        <v>0</v>
      </c>
      <c r="BG291" s="4284">
        <f t="shared" si="138"/>
        <v>0</v>
      </c>
      <c r="BH291" s="4284">
        <f t="shared" si="139"/>
        <v>0</v>
      </c>
      <c r="BI291" s="4284">
        <f t="shared" si="140"/>
        <v>0</v>
      </c>
      <c r="BJ291" s="4284">
        <f t="shared" si="141"/>
        <v>0</v>
      </c>
      <c r="BK291" s="4284">
        <f t="shared" si="142"/>
        <v>0</v>
      </c>
      <c r="BL291" s="4284">
        <f t="shared" si="143"/>
        <v>0</v>
      </c>
      <c r="BM291" s="4284">
        <f t="shared" si="144"/>
        <v>0</v>
      </c>
      <c r="BN291" s="4284">
        <f t="shared" si="145"/>
        <v>0</v>
      </c>
      <c r="BO291" s="4284">
        <f t="shared" si="146"/>
        <v>0</v>
      </c>
      <c r="BP291" s="4284">
        <f t="shared" si="147"/>
        <v>0</v>
      </c>
      <c r="BQ291" s="4284">
        <f t="shared" si="148"/>
        <v>0</v>
      </c>
      <c r="BR291" s="4284">
        <f t="shared" si="149"/>
        <v>0</v>
      </c>
      <c r="BS291" s="4284">
        <f t="shared" si="150"/>
        <v>0</v>
      </c>
      <c r="BT291" s="4285">
        <f t="shared" si="151"/>
        <v>0</v>
      </c>
    </row>
    <row r="292" spans="1:72">
      <c r="A292" s="4278"/>
      <c r="B292" s="4279"/>
      <c r="C292" s="4279"/>
      <c r="D292" s="4280"/>
      <c r="E292" s="1188">
        <f t="shared" si="123"/>
        <v>0</v>
      </c>
      <c r="F292" s="1680"/>
      <c r="G292" s="4281">
        <f t="shared" si="124"/>
        <v>0</v>
      </c>
      <c r="H292" s="3457">
        <f t="shared" si="125"/>
        <v>0</v>
      </c>
      <c r="I292" s="4282"/>
      <c r="J292" s="4282"/>
      <c r="K292" s="4282"/>
      <c r="L292" s="4282"/>
      <c r="M292" s="4282"/>
      <c r="N292" s="4282"/>
      <c r="O292" s="4282"/>
      <c r="P292" s="4282"/>
      <c r="Q292" s="4282"/>
      <c r="R292" s="4282"/>
      <c r="S292" s="4282"/>
      <c r="T292" s="4282"/>
      <c r="U292" s="4282"/>
      <c r="V292" s="4282"/>
      <c r="W292" s="4282"/>
      <c r="X292" s="4282"/>
      <c r="Y292" s="4282"/>
      <c r="Z292" s="4282"/>
      <c r="AA292" s="4282"/>
      <c r="AB292" s="4282"/>
      <c r="AC292" s="1188">
        <f t="shared" si="126"/>
        <v>0</v>
      </c>
      <c r="AD292" s="4278"/>
      <c r="AE292" s="4278"/>
      <c r="AF292" s="4278"/>
      <c r="AG292" s="4278"/>
      <c r="AH292" s="4278"/>
      <c r="AI292" s="4278"/>
      <c r="AJ292" s="4278"/>
      <c r="AK292" s="4278"/>
      <c r="AL292" s="4278"/>
      <c r="AM292" s="4278"/>
      <c r="AN292" s="4278"/>
      <c r="AO292" s="4278"/>
      <c r="AP292" s="4278"/>
      <c r="AQ292" s="4278"/>
      <c r="AR292" s="4278"/>
      <c r="AS292" s="4278"/>
      <c r="AT292" s="4279"/>
      <c r="AU292" s="4283"/>
      <c r="AV292" s="1188">
        <f t="shared" si="127"/>
        <v>0</v>
      </c>
      <c r="AW292" s="1188">
        <f t="shared" si="128"/>
        <v>0</v>
      </c>
      <c r="AX292" s="1188">
        <f t="shared" si="129"/>
        <v>0</v>
      </c>
      <c r="AY292" s="1452">
        <f t="shared" si="130"/>
        <v>0</v>
      </c>
      <c r="AZ292" s="4284">
        <f t="shared" si="131"/>
        <v>0</v>
      </c>
      <c r="BA292" s="4284">
        <f t="shared" si="132"/>
        <v>0</v>
      </c>
      <c r="BB292" s="4284">
        <f t="shared" si="133"/>
        <v>0</v>
      </c>
      <c r="BC292" s="4284">
        <f t="shared" si="134"/>
        <v>0</v>
      </c>
      <c r="BD292" s="4284">
        <f t="shared" si="135"/>
        <v>0</v>
      </c>
      <c r="BE292" s="4284">
        <f t="shared" si="136"/>
        <v>0</v>
      </c>
      <c r="BF292" s="4284">
        <f t="shared" si="137"/>
        <v>0</v>
      </c>
      <c r="BG292" s="4284">
        <f t="shared" si="138"/>
        <v>0</v>
      </c>
      <c r="BH292" s="4284">
        <f t="shared" si="139"/>
        <v>0</v>
      </c>
      <c r="BI292" s="4284">
        <f t="shared" si="140"/>
        <v>0</v>
      </c>
      <c r="BJ292" s="4284">
        <f t="shared" si="141"/>
        <v>0</v>
      </c>
      <c r="BK292" s="4284">
        <f t="shared" si="142"/>
        <v>0</v>
      </c>
      <c r="BL292" s="4284">
        <f t="shared" si="143"/>
        <v>0</v>
      </c>
      <c r="BM292" s="4284">
        <f t="shared" si="144"/>
        <v>0</v>
      </c>
      <c r="BN292" s="4284">
        <f t="shared" si="145"/>
        <v>0</v>
      </c>
      <c r="BO292" s="4284">
        <f t="shared" si="146"/>
        <v>0</v>
      </c>
      <c r="BP292" s="4284">
        <f t="shared" si="147"/>
        <v>0</v>
      </c>
      <c r="BQ292" s="4284">
        <f t="shared" si="148"/>
        <v>0</v>
      </c>
      <c r="BR292" s="4284">
        <f t="shared" si="149"/>
        <v>0</v>
      </c>
      <c r="BS292" s="4284">
        <f t="shared" si="150"/>
        <v>0</v>
      </c>
      <c r="BT292" s="4285">
        <f t="shared" si="151"/>
        <v>0</v>
      </c>
    </row>
    <row r="293" spans="1:72">
      <c r="A293" s="4278"/>
      <c r="B293" s="4279"/>
      <c r="C293" s="4279"/>
      <c r="D293" s="4280"/>
      <c r="E293" s="1188">
        <f t="shared" si="123"/>
        <v>0</v>
      </c>
      <c r="F293" s="1680"/>
      <c r="G293" s="4281">
        <f t="shared" si="124"/>
        <v>0</v>
      </c>
      <c r="H293" s="3457">
        <f t="shared" si="125"/>
        <v>0</v>
      </c>
      <c r="I293" s="4282"/>
      <c r="J293" s="4282"/>
      <c r="K293" s="4282"/>
      <c r="L293" s="4282"/>
      <c r="M293" s="4282"/>
      <c r="N293" s="4282"/>
      <c r="O293" s="4282"/>
      <c r="P293" s="4282"/>
      <c r="Q293" s="4282"/>
      <c r="R293" s="4282"/>
      <c r="S293" s="4282"/>
      <c r="T293" s="4282"/>
      <c r="U293" s="4282"/>
      <c r="V293" s="4282"/>
      <c r="W293" s="4282"/>
      <c r="X293" s="4282"/>
      <c r="Y293" s="4282"/>
      <c r="Z293" s="4282"/>
      <c r="AA293" s="4282"/>
      <c r="AB293" s="4282"/>
      <c r="AC293" s="1188">
        <f t="shared" si="126"/>
        <v>0</v>
      </c>
      <c r="AD293" s="4278"/>
      <c r="AE293" s="4278"/>
      <c r="AF293" s="4278"/>
      <c r="AG293" s="4278"/>
      <c r="AH293" s="4278"/>
      <c r="AI293" s="4278"/>
      <c r="AJ293" s="4278"/>
      <c r="AK293" s="4278"/>
      <c r="AL293" s="4278"/>
      <c r="AM293" s="4278"/>
      <c r="AN293" s="4278"/>
      <c r="AO293" s="4278"/>
      <c r="AP293" s="4278"/>
      <c r="AQ293" s="4278"/>
      <c r="AR293" s="4278"/>
      <c r="AS293" s="4278"/>
      <c r="AT293" s="4279"/>
      <c r="AU293" s="4283"/>
      <c r="AV293" s="1188">
        <f t="shared" si="127"/>
        <v>0</v>
      </c>
      <c r="AW293" s="1188">
        <f t="shared" si="128"/>
        <v>0</v>
      </c>
      <c r="AX293" s="1188">
        <f t="shared" si="129"/>
        <v>0</v>
      </c>
      <c r="AY293" s="1452">
        <f t="shared" si="130"/>
        <v>0</v>
      </c>
      <c r="AZ293" s="4284">
        <f t="shared" si="131"/>
        <v>0</v>
      </c>
      <c r="BA293" s="4284">
        <f t="shared" si="132"/>
        <v>0</v>
      </c>
      <c r="BB293" s="4284">
        <f t="shared" si="133"/>
        <v>0</v>
      </c>
      <c r="BC293" s="4284">
        <f t="shared" si="134"/>
        <v>0</v>
      </c>
      <c r="BD293" s="4284">
        <f t="shared" si="135"/>
        <v>0</v>
      </c>
      <c r="BE293" s="4284">
        <f t="shared" si="136"/>
        <v>0</v>
      </c>
      <c r="BF293" s="4284">
        <f t="shared" si="137"/>
        <v>0</v>
      </c>
      <c r="BG293" s="4284">
        <f t="shared" si="138"/>
        <v>0</v>
      </c>
      <c r="BH293" s="4284">
        <f t="shared" si="139"/>
        <v>0</v>
      </c>
      <c r="BI293" s="4284">
        <f t="shared" si="140"/>
        <v>0</v>
      </c>
      <c r="BJ293" s="4284">
        <f t="shared" si="141"/>
        <v>0</v>
      </c>
      <c r="BK293" s="4284">
        <f t="shared" si="142"/>
        <v>0</v>
      </c>
      <c r="BL293" s="4284">
        <f t="shared" si="143"/>
        <v>0</v>
      </c>
      <c r="BM293" s="4284">
        <f t="shared" si="144"/>
        <v>0</v>
      </c>
      <c r="BN293" s="4284">
        <f t="shared" si="145"/>
        <v>0</v>
      </c>
      <c r="BO293" s="4284">
        <f t="shared" si="146"/>
        <v>0</v>
      </c>
      <c r="BP293" s="4284">
        <f t="shared" si="147"/>
        <v>0</v>
      </c>
      <c r="BQ293" s="4284">
        <f t="shared" si="148"/>
        <v>0</v>
      </c>
      <c r="BR293" s="4284">
        <f t="shared" si="149"/>
        <v>0</v>
      </c>
      <c r="BS293" s="4284">
        <f t="shared" si="150"/>
        <v>0</v>
      </c>
      <c r="BT293" s="4285">
        <f t="shared" si="151"/>
        <v>0</v>
      </c>
    </row>
    <row r="294" spans="1:72">
      <c r="A294" s="4278"/>
      <c r="B294" s="4279"/>
      <c r="C294" s="4279"/>
      <c r="D294" s="4280"/>
      <c r="E294" s="1188">
        <f t="shared" si="123"/>
        <v>0</v>
      </c>
      <c r="F294" s="1680"/>
      <c r="G294" s="4281">
        <f t="shared" si="124"/>
        <v>0</v>
      </c>
      <c r="H294" s="3457">
        <f t="shared" si="125"/>
        <v>0</v>
      </c>
      <c r="I294" s="4282"/>
      <c r="J294" s="4282"/>
      <c r="K294" s="4282"/>
      <c r="L294" s="4282"/>
      <c r="M294" s="4282"/>
      <c r="N294" s="4282"/>
      <c r="O294" s="4282"/>
      <c r="P294" s="4282"/>
      <c r="Q294" s="4282"/>
      <c r="R294" s="4282"/>
      <c r="S294" s="4282"/>
      <c r="T294" s="4282"/>
      <c r="U294" s="4282"/>
      <c r="V294" s="4282"/>
      <c r="W294" s="4282"/>
      <c r="X294" s="4282"/>
      <c r="Y294" s="4282"/>
      <c r="Z294" s="4282"/>
      <c r="AA294" s="4282"/>
      <c r="AB294" s="4282"/>
      <c r="AC294" s="1188">
        <f t="shared" si="126"/>
        <v>0</v>
      </c>
      <c r="AD294" s="4278"/>
      <c r="AE294" s="4278"/>
      <c r="AF294" s="4278"/>
      <c r="AG294" s="4278"/>
      <c r="AH294" s="4278"/>
      <c r="AI294" s="4278"/>
      <c r="AJ294" s="4278"/>
      <c r="AK294" s="4278"/>
      <c r="AL294" s="4278"/>
      <c r="AM294" s="4278"/>
      <c r="AN294" s="4278"/>
      <c r="AO294" s="4278"/>
      <c r="AP294" s="4278"/>
      <c r="AQ294" s="4278"/>
      <c r="AR294" s="4278"/>
      <c r="AS294" s="4278"/>
      <c r="AT294" s="4279"/>
      <c r="AU294" s="4283"/>
      <c r="AV294" s="1188">
        <f t="shared" si="127"/>
        <v>0</v>
      </c>
      <c r="AW294" s="1188">
        <f t="shared" si="128"/>
        <v>0</v>
      </c>
      <c r="AX294" s="1188">
        <f t="shared" si="129"/>
        <v>0</v>
      </c>
      <c r="AY294" s="1452">
        <f t="shared" si="130"/>
        <v>0</v>
      </c>
      <c r="AZ294" s="4284">
        <f t="shared" si="131"/>
        <v>0</v>
      </c>
      <c r="BA294" s="4284">
        <f t="shared" si="132"/>
        <v>0</v>
      </c>
      <c r="BB294" s="4284">
        <f t="shared" si="133"/>
        <v>0</v>
      </c>
      <c r="BC294" s="4284">
        <f t="shared" si="134"/>
        <v>0</v>
      </c>
      <c r="BD294" s="4284">
        <f t="shared" si="135"/>
        <v>0</v>
      </c>
      <c r="BE294" s="4284">
        <f t="shared" si="136"/>
        <v>0</v>
      </c>
      <c r="BF294" s="4284">
        <f t="shared" si="137"/>
        <v>0</v>
      </c>
      <c r="BG294" s="4284">
        <f t="shared" si="138"/>
        <v>0</v>
      </c>
      <c r="BH294" s="4284">
        <f t="shared" si="139"/>
        <v>0</v>
      </c>
      <c r="BI294" s="4284">
        <f t="shared" si="140"/>
        <v>0</v>
      </c>
      <c r="BJ294" s="4284">
        <f t="shared" si="141"/>
        <v>0</v>
      </c>
      <c r="BK294" s="4284">
        <f t="shared" si="142"/>
        <v>0</v>
      </c>
      <c r="BL294" s="4284">
        <f t="shared" si="143"/>
        <v>0</v>
      </c>
      <c r="BM294" s="4284">
        <f t="shared" si="144"/>
        <v>0</v>
      </c>
      <c r="BN294" s="4284">
        <f t="shared" si="145"/>
        <v>0</v>
      </c>
      <c r="BO294" s="4284">
        <f t="shared" si="146"/>
        <v>0</v>
      </c>
      <c r="BP294" s="4284">
        <f t="shared" si="147"/>
        <v>0</v>
      </c>
      <c r="BQ294" s="4284">
        <f t="shared" si="148"/>
        <v>0</v>
      </c>
      <c r="BR294" s="4284">
        <f t="shared" si="149"/>
        <v>0</v>
      </c>
      <c r="BS294" s="4284">
        <f t="shared" si="150"/>
        <v>0</v>
      </c>
      <c r="BT294" s="4285">
        <f t="shared" si="151"/>
        <v>0</v>
      </c>
    </row>
    <row r="295" spans="1:72">
      <c r="A295" s="4278"/>
      <c r="B295" s="4279"/>
      <c r="C295" s="4279"/>
      <c r="D295" s="4280"/>
      <c r="E295" s="1188">
        <f t="shared" si="123"/>
        <v>0</v>
      </c>
      <c r="F295" s="1680"/>
      <c r="G295" s="4281">
        <f t="shared" si="124"/>
        <v>0</v>
      </c>
      <c r="H295" s="3457">
        <f t="shared" si="125"/>
        <v>0</v>
      </c>
      <c r="I295" s="4282"/>
      <c r="J295" s="4282"/>
      <c r="K295" s="4282"/>
      <c r="L295" s="4282"/>
      <c r="M295" s="4282"/>
      <c r="N295" s="4282"/>
      <c r="O295" s="4282"/>
      <c r="P295" s="4282"/>
      <c r="Q295" s="4282"/>
      <c r="R295" s="4282"/>
      <c r="S295" s="4282"/>
      <c r="T295" s="4282"/>
      <c r="U295" s="4282"/>
      <c r="V295" s="4282"/>
      <c r="W295" s="4282"/>
      <c r="X295" s="4282"/>
      <c r="Y295" s="4282"/>
      <c r="Z295" s="4282"/>
      <c r="AA295" s="4282"/>
      <c r="AB295" s="4282"/>
      <c r="AC295" s="1188">
        <f t="shared" si="126"/>
        <v>0</v>
      </c>
      <c r="AD295" s="4278"/>
      <c r="AE295" s="4278"/>
      <c r="AF295" s="4278"/>
      <c r="AG295" s="4278"/>
      <c r="AH295" s="4278"/>
      <c r="AI295" s="4278"/>
      <c r="AJ295" s="4278"/>
      <c r="AK295" s="4278"/>
      <c r="AL295" s="4278"/>
      <c r="AM295" s="4278"/>
      <c r="AN295" s="4278"/>
      <c r="AO295" s="4278"/>
      <c r="AP295" s="4278"/>
      <c r="AQ295" s="4278"/>
      <c r="AR295" s="4278"/>
      <c r="AS295" s="4278"/>
      <c r="AT295" s="4279"/>
      <c r="AU295" s="4283"/>
      <c r="AV295" s="1188">
        <f t="shared" si="127"/>
        <v>0</v>
      </c>
      <c r="AW295" s="1188">
        <f t="shared" si="128"/>
        <v>0</v>
      </c>
      <c r="AX295" s="1188">
        <f t="shared" si="129"/>
        <v>0</v>
      </c>
      <c r="AY295" s="1452">
        <f t="shared" si="130"/>
        <v>0</v>
      </c>
      <c r="AZ295" s="4284">
        <f t="shared" si="131"/>
        <v>0</v>
      </c>
      <c r="BA295" s="4284">
        <f t="shared" si="132"/>
        <v>0</v>
      </c>
      <c r="BB295" s="4284">
        <f t="shared" si="133"/>
        <v>0</v>
      </c>
      <c r="BC295" s="4284">
        <f t="shared" si="134"/>
        <v>0</v>
      </c>
      <c r="BD295" s="4284">
        <f t="shared" si="135"/>
        <v>0</v>
      </c>
      <c r="BE295" s="4284">
        <f t="shared" si="136"/>
        <v>0</v>
      </c>
      <c r="BF295" s="4284">
        <f t="shared" si="137"/>
        <v>0</v>
      </c>
      <c r="BG295" s="4284">
        <f t="shared" si="138"/>
        <v>0</v>
      </c>
      <c r="BH295" s="4284">
        <f t="shared" si="139"/>
        <v>0</v>
      </c>
      <c r="BI295" s="4284">
        <f t="shared" si="140"/>
        <v>0</v>
      </c>
      <c r="BJ295" s="4284">
        <f t="shared" si="141"/>
        <v>0</v>
      </c>
      <c r="BK295" s="4284">
        <f t="shared" si="142"/>
        <v>0</v>
      </c>
      <c r="BL295" s="4284">
        <f t="shared" si="143"/>
        <v>0</v>
      </c>
      <c r="BM295" s="4284">
        <f t="shared" si="144"/>
        <v>0</v>
      </c>
      <c r="BN295" s="4284">
        <f t="shared" si="145"/>
        <v>0</v>
      </c>
      <c r="BO295" s="4284">
        <f t="shared" si="146"/>
        <v>0</v>
      </c>
      <c r="BP295" s="4284">
        <f t="shared" si="147"/>
        <v>0</v>
      </c>
      <c r="BQ295" s="4284">
        <f t="shared" si="148"/>
        <v>0</v>
      </c>
      <c r="BR295" s="4284">
        <f t="shared" si="149"/>
        <v>0</v>
      </c>
      <c r="BS295" s="4284">
        <f t="shared" si="150"/>
        <v>0</v>
      </c>
      <c r="BT295" s="4285">
        <f t="shared" si="151"/>
        <v>0</v>
      </c>
    </row>
    <row r="296" spans="1:72">
      <c r="A296" s="4278"/>
      <c r="B296" s="4279"/>
      <c r="C296" s="4279"/>
      <c r="D296" s="4280"/>
      <c r="E296" s="1188">
        <f t="shared" si="123"/>
        <v>0</v>
      </c>
      <c r="F296" s="1680"/>
      <c r="G296" s="4281">
        <f t="shared" si="124"/>
        <v>0</v>
      </c>
      <c r="H296" s="3457">
        <f t="shared" si="125"/>
        <v>0</v>
      </c>
      <c r="I296" s="4282"/>
      <c r="J296" s="4282"/>
      <c r="K296" s="4282"/>
      <c r="L296" s="4282"/>
      <c r="M296" s="4282"/>
      <c r="N296" s="4282"/>
      <c r="O296" s="4282"/>
      <c r="P296" s="4282"/>
      <c r="Q296" s="4282"/>
      <c r="R296" s="4282"/>
      <c r="S296" s="4282"/>
      <c r="T296" s="4282"/>
      <c r="U296" s="4282"/>
      <c r="V296" s="4282"/>
      <c r="W296" s="4282"/>
      <c r="X296" s="4282"/>
      <c r="Y296" s="4282"/>
      <c r="Z296" s="4282"/>
      <c r="AA296" s="4282"/>
      <c r="AB296" s="4282"/>
      <c r="AC296" s="1188">
        <f t="shared" si="126"/>
        <v>0</v>
      </c>
      <c r="AD296" s="4278"/>
      <c r="AE296" s="4278"/>
      <c r="AF296" s="4278"/>
      <c r="AG296" s="4278"/>
      <c r="AH296" s="4278"/>
      <c r="AI296" s="4278"/>
      <c r="AJ296" s="4278"/>
      <c r="AK296" s="4278"/>
      <c r="AL296" s="4278"/>
      <c r="AM296" s="4278"/>
      <c r="AN296" s="4278"/>
      <c r="AO296" s="4278"/>
      <c r="AP296" s="4278"/>
      <c r="AQ296" s="4278"/>
      <c r="AR296" s="4278"/>
      <c r="AS296" s="4278"/>
      <c r="AT296" s="4279"/>
      <c r="AU296" s="4283"/>
      <c r="AV296" s="1188">
        <f t="shared" si="127"/>
        <v>0</v>
      </c>
      <c r="AW296" s="1188">
        <f t="shared" si="128"/>
        <v>0</v>
      </c>
      <c r="AX296" s="1188">
        <f t="shared" si="129"/>
        <v>0</v>
      </c>
      <c r="AY296" s="1452">
        <f t="shared" si="130"/>
        <v>0</v>
      </c>
      <c r="AZ296" s="4284">
        <f t="shared" si="131"/>
        <v>0</v>
      </c>
      <c r="BA296" s="4284">
        <f t="shared" si="132"/>
        <v>0</v>
      </c>
      <c r="BB296" s="4284">
        <f t="shared" si="133"/>
        <v>0</v>
      </c>
      <c r="BC296" s="4284">
        <f t="shared" si="134"/>
        <v>0</v>
      </c>
      <c r="BD296" s="4284">
        <f t="shared" si="135"/>
        <v>0</v>
      </c>
      <c r="BE296" s="4284">
        <f t="shared" si="136"/>
        <v>0</v>
      </c>
      <c r="BF296" s="4284">
        <f t="shared" si="137"/>
        <v>0</v>
      </c>
      <c r="BG296" s="4284">
        <f t="shared" si="138"/>
        <v>0</v>
      </c>
      <c r="BH296" s="4284">
        <f t="shared" si="139"/>
        <v>0</v>
      </c>
      <c r="BI296" s="4284">
        <f t="shared" si="140"/>
        <v>0</v>
      </c>
      <c r="BJ296" s="4284">
        <f t="shared" si="141"/>
        <v>0</v>
      </c>
      <c r="BK296" s="4284">
        <f t="shared" si="142"/>
        <v>0</v>
      </c>
      <c r="BL296" s="4284">
        <f t="shared" si="143"/>
        <v>0</v>
      </c>
      <c r="BM296" s="4284">
        <f t="shared" si="144"/>
        <v>0</v>
      </c>
      <c r="BN296" s="4284">
        <f t="shared" si="145"/>
        <v>0</v>
      </c>
      <c r="BO296" s="4284">
        <f t="shared" si="146"/>
        <v>0</v>
      </c>
      <c r="BP296" s="4284">
        <f t="shared" si="147"/>
        <v>0</v>
      </c>
      <c r="BQ296" s="4284">
        <f t="shared" si="148"/>
        <v>0</v>
      </c>
      <c r="BR296" s="4284">
        <f t="shared" si="149"/>
        <v>0</v>
      </c>
      <c r="BS296" s="4284">
        <f t="shared" si="150"/>
        <v>0</v>
      </c>
      <c r="BT296" s="4285">
        <f t="shared" si="151"/>
        <v>0</v>
      </c>
    </row>
    <row r="297" spans="1:72">
      <c r="A297" s="4278"/>
      <c r="B297" s="4279"/>
      <c r="C297" s="4279"/>
      <c r="D297" s="4280"/>
      <c r="E297" s="1188">
        <f t="shared" si="123"/>
        <v>0</v>
      </c>
      <c r="F297" s="1680"/>
      <c r="G297" s="4281">
        <f t="shared" si="124"/>
        <v>0</v>
      </c>
      <c r="H297" s="3457">
        <f t="shared" si="125"/>
        <v>0</v>
      </c>
      <c r="I297" s="4282"/>
      <c r="J297" s="4282"/>
      <c r="K297" s="4282"/>
      <c r="L297" s="4282"/>
      <c r="M297" s="4282"/>
      <c r="N297" s="4282"/>
      <c r="O297" s="4282"/>
      <c r="P297" s="4282"/>
      <c r="Q297" s="4282"/>
      <c r="R297" s="4282"/>
      <c r="S297" s="4282"/>
      <c r="T297" s="4282"/>
      <c r="U297" s="4282"/>
      <c r="V297" s="4282"/>
      <c r="W297" s="4282"/>
      <c r="X297" s="4282"/>
      <c r="Y297" s="4282"/>
      <c r="Z297" s="4282"/>
      <c r="AA297" s="4282"/>
      <c r="AB297" s="4282"/>
      <c r="AC297" s="1188">
        <f t="shared" si="126"/>
        <v>0</v>
      </c>
      <c r="AD297" s="4278"/>
      <c r="AE297" s="4278"/>
      <c r="AF297" s="4278"/>
      <c r="AG297" s="4278"/>
      <c r="AH297" s="4278"/>
      <c r="AI297" s="4278"/>
      <c r="AJ297" s="4278"/>
      <c r="AK297" s="4278"/>
      <c r="AL297" s="4278"/>
      <c r="AM297" s="4278"/>
      <c r="AN297" s="4278"/>
      <c r="AO297" s="4278"/>
      <c r="AP297" s="4278"/>
      <c r="AQ297" s="4278"/>
      <c r="AR297" s="4278"/>
      <c r="AS297" s="4278"/>
      <c r="AT297" s="4279"/>
      <c r="AU297" s="4283"/>
      <c r="AV297" s="1188">
        <f t="shared" si="127"/>
        <v>0</v>
      </c>
      <c r="AW297" s="1188">
        <f t="shared" si="128"/>
        <v>0</v>
      </c>
      <c r="AX297" s="1188">
        <f t="shared" si="129"/>
        <v>0</v>
      </c>
      <c r="AY297" s="1452">
        <f t="shared" si="130"/>
        <v>0</v>
      </c>
      <c r="AZ297" s="4284">
        <f t="shared" si="131"/>
        <v>0</v>
      </c>
      <c r="BA297" s="4284">
        <f t="shared" si="132"/>
        <v>0</v>
      </c>
      <c r="BB297" s="4284">
        <f t="shared" si="133"/>
        <v>0</v>
      </c>
      <c r="BC297" s="4284">
        <f t="shared" si="134"/>
        <v>0</v>
      </c>
      <c r="BD297" s="4284">
        <f t="shared" si="135"/>
        <v>0</v>
      </c>
      <c r="BE297" s="4284">
        <f t="shared" si="136"/>
        <v>0</v>
      </c>
      <c r="BF297" s="4284">
        <f t="shared" si="137"/>
        <v>0</v>
      </c>
      <c r="BG297" s="4284">
        <f t="shared" si="138"/>
        <v>0</v>
      </c>
      <c r="BH297" s="4284">
        <f t="shared" si="139"/>
        <v>0</v>
      </c>
      <c r="BI297" s="4284">
        <f t="shared" si="140"/>
        <v>0</v>
      </c>
      <c r="BJ297" s="4284">
        <f t="shared" si="141"/>
        <v>0</v>
      </c>
      <c r="BK297" s="4284">
        <f t="shared" si="142"/>
        <v>0</v>
      </c>
      <c r="BL297" s="4284">
        <f t="shared" si="143"/>
        <v>0</v>
      </c>
      <c r="BM297" s="4284">
        <f t="shared" si="144"/>
        <v>0</v>
      </c>
      <c r="BN297" s="4284">
        <f t="shared" si="145"/>
        <v>0</v>
      </c>
      <c r="BO297" s="4284">
        <f t="shared" si="146"/>
        <v>0</v>
      </c>
      <c r="BP297" s="4284">
        <f t="shared" si="147"/>
        <v>0</v>
      </c>
      <c r="BQ297" s="4284">
        <f t="shared" si="148"/>
        <v>0</v>
      </c>
      <c r="BR297" s="4284">
        <f t="shared" si="149"/>
        <v>0</v>
      </c>
      <c r="BS297" s="4284">
        <f t="shared" si="150"/>
        <v>0</v>
      </c>
      <c r="BT297" s="4285">
        <f t="shared" si="151"/>
        <v>0</v>
      </c>
    </row>
    <row r="298" spans="1:72">
      <c r="A298" s="4278"/>
      <c r="B298" s="4279"/>
      <c r="C298" s="4279"/>
      <c r="D298" s="4280"/>
      <c r="E298" s="1188">
        <f t="shared" si="123"/>
        <v>0</v>
      </c>
      <c r="F298" s="1680"/>
      <c r="G298" s="4281">
        <f t="shared" si="124"/>
        <v>0</v>
      </c>
      <c r="H298" s="3457">
        <f t="shared" si="125"/>
        <v>0</v>
      </c>
      <c r="I298" s="4282"/>
      <c r="J298" s="4282"/>
      <c r="K298" s="4282"/>
      <c r="L298" s="4282"/>
      <c r="M298" s="4282"/>
      <c r="N298" s="4282"/>
      <c r="O298" s="4282"/>
      <c r="P298" s="4282"/>
      <c r="Q298" s="4282"/>
      <c r="R298" s="4282"/>
      <c r="S298" s="4282"/>
      <c r="T298" s="4282"/>
      <c r="U298" s="4282"/>
      <c r="V298" s="4282"/>
      <c r="W298" s="4282"/>
      <c r="X298" s="4282"/>
      <c r="Y298" s="4282"/>
      <c r="Z298" s="4282"/>
      <c r="AA298" s="4282"/>
      <c r="AB298" s="4282"/>
      <c r="AC298" s="1188">
        <f t="shared" si="126"/>
        <v>0</v>
      </c>
      <c r="AD298" s="4278"/>
      <c r="AE298" s="4278"/>
      <c r="AF298" s="4278"/>
      <c r="AG298" s="4278"/>
      <c r="AH298" s="4278"/>
      <c r="AI298" s="4278"/>
      <c r="AJ298" s="4278"/>
      <c r="AK298" s="4278"/>
      <c r="AL298" s="4278"/>
      <c r="AM298" s="4278"/>
      <c r="AN298" s="4278"/>
      <c r="AO298" s="4278"/>
      <c r="AP298" s="4278"/>
      <c r="AQ298" s="4278"/>
      <c r="AR298" s="4278"/>
      <c r="AS298" s="4278"/>
      <c r="AT298" s="4279"/>
      <c r="AU298" s="4283"/>
      <c r="AV298" s="1188">
        <f t="shared" si="127"/>
        <v>0</v>
      </c>
      <c r="AW298" s="1188">
        <f t="shared" si="128"/>
        <v>0</v>
      </c>
      <c r="AX298" s="1188">
        <f t="shared" si="129"/>
        <v>0</v>
      </c>
      <c r="AY298" s="1452">
        <f t="shared" si="130"/>
        <v>0</v>
      </c>
      <c r="AZ298" s="4284">
        <f t="shared" si="131"/>
        <v>0</v>
      </c>
      <c r="BA298" s="4284">
        <f t="shared" si="132"/>
        <v>0</v>
      </c>
      <c r="BB298" s="4284">
        <f t="shared" si="133"/>
        <v>0</v>
      </c>
      <c r="BC298" s="4284">
        <f t="shared" si="134"/>
        <v>0</v>
      </c>
      <c r="BD298" s="4284">
        <f t="shared" si="135"/>
        <v>0</v>
      </c>
      <c r="BE298" s="4284">
        <f t="shared" si="136"/>
        <v>0</v>
      </c>
      <c r="BF298" s="4284">
        <f t="shared" si="137"/>
        <v>0</v>
      </c>
      <c r="BG298" s="4284">
        <f t="shared" si="138"/>
        <v>0</v>
      </c>
      <c r="BH298" s="4284">
        <f t="shared" si="139"/>
        <v>0</v>
      </c>
      <c r="BI298" s="4284">
        <f t="shared" si="140"/>
        <v>0</v>
      </c>
      <c r="BJ298" s="4284">
        <f t="shared" si="141"/>
        <v>0</v>
      </c>
      <c r="BK298" s="4284">
        <f t="shared" si="142"/>
        <v>0</v>
      </c>
      <c r="BL298" s="4284">
        <f t="shared" si="143"/>
        <v>0</v>
      </c>
      <c r="BM298" s="4284">
        <f t="shared" si="144"/>
        <v>0</v>
      </c>
      <c r="BN298" s="4284">
        <f t="shared" si="145"/>
        <v>0</v>
      </c>
      <c r="BO298" s="4284">
        <f t="shared" si="146"/>
        <v>0</v>
      </c>
      <c r="BP298" s="4284">
        <f t="shared" si="147"/>
        <v>0</v>
      </c>
      <c r="BQ298" s="4284">
        <f t="shared" si="148"/>
        <v>0</v>
      </c>
      <c r="BR298" s="4284">
        <f t="shared" si="149"/>
        <v>0</v>
      </c>
      <c r="BS298" s="4284">
        <f t="shared" si="150"/>
        <v>0</v>
      </c>
      <c r="BT298" s="4285">
        <f t="shared" si="151"/>
        <v>0</v>
      </c>
    </row>
    <row r="299" spans="1:72">
      <c r="A299" s="4278"/>
      <c r="B299" s="4279"/>
      <c r="C299" s="4279"/>
      <c r="D299" s="4280"/>
      <c r="E299" s="1188">
        <f t="shared" si="123"/>
        <v>0</v>
      </c>
      <c r="F299" s="1680"/>
      <c r="G299" s="4281">
        <f t="shared" si="124"/>
        <v>0</v>
      </c>
      <c r="H299" s="3457">
        <f t="shared" si="125"/>
        <v>0</v>
      </c>
      <c r="I299" s="4282"/>
      <c r="J299" s="4282"/>
      <c r="K299" s="4282"/>
      <c r="L299" s="4282"/>
      <c r="M299" s="4282"/>
      <c r="N299" s="4282"/>
      <c r="O299" s="4282"/>
      <c r="P299" s="4282"/>
      <c r="Q299" s="4282"/>
      <c r="R299" s="4282"/>
      <c r="S299" s="4282"/>
      <c r="T299" s="4282"/>
      <c r="U299" s="4282"/>
      <c r="V299" s="4282"/>
      <c r="W299" s="4282"/>
      <c r="X299" s="4282"/>
      <c r="Y299" s="4282"/>
      <c r="Z299" s="4282"/>
      <c r="AA299" s="4282"/>
      <c r="AB299" s="4282"/>
      <c r="AC299" s="1188">
        <f t="shared" si="126"/>
        <v>0</v>
      </c>
      <c r="AD299" s="4278"/>
      <c r="AE299" s="4278"/>
      <c r="AF299" s="4278"/>
      <c r="AG299" s="4278"/>
      <c r="AH299" s="4278"/>
      <c r="AI299" s="4278"/>
      <c r="AJ299" s="4278"/>
      <c r="AK299" s="4278"/>
      <c r="AL299" s="4278"/>
      <c r="AM299" s="4278"/>
      <c r="AN299" s="4278"/>
      <c r="AO299" s="4278"/>
      <c r="AP299" s="4278"/>
      <c r="AQ299" s="4278"/>
      <c r="AR299" s="4278"/>
      <c r="AS299" s="4278"/>
      <c r="AT299" s="4279"/>
      <c r="AU299" s="4283"/>
      <c r="AV299" s="1188">
        <f t="shared" si="127"/>
        <v>0</v>
      </c>
      <c r="AW299" s="1188">
        <f t="shared" si="128"/>
        <v>0</v>
      </c>
      <c r="AX299" s="1188">
        <f t="shared" si="129"/>
        <v>0</v>
      </c>
      <c r="AY299" s="1452">
        <f t="shared" si="130"/>
        <v>0</v>
      </c>
      <c r="AZ299" s="4284">
        <f t="shared" si="131"/>
        <v>0</v>
      </c>
      <c r="BA299" s="4284">
        <f t="shared" si="132"/>
        <v>0</v>
      </c>
      <c r="BB299" s="4284">
        <f t="shared" si="133"/>
        <v>0</v>
      </c>
      <c r="BC299" s="4284">
        <f t="shared" si="134"/>
        <v>0</v>
      </c>
      <c r="BD299" s="4284">
        <f t="shared" si="135"/>
        <v>0</v>
      </c>
      <c r="BE299" s="4284">
        <f t="shared" si="136"/>
        <v>0</v>
      </c>
      <c r="BF299" s="4284">
        <f t="shared" si="137"/>
        <v>0</v>
      </c>
      <c r="BG299" s="4284">
        <f t="shared" si="138"/>
        <v>0</v>
      </c>
      <c r="BH299" s="4284">
        <f t="shared" si="139"/>
        <v>0</v>
      </c>
      <c r="BI299" s="4284">
        <f t="shared" si="140"/>
        <v>0</v>
      </c>
      <c r="BJ299" s="4284">
        <f t="shared" si="141"/>
        <v>0</v>
      </c>
      <c r="BK299" s="4284">
        <f t="shared" si="142"/>
        <v>0</v>
      </c>
      <c r="BL299" s="4284">
        <f t="shared" si="143"/>
        <v>0</v>
      </c>
      <c r="BM299" s="4284">
        <f t="shared" si="144"/>
        <v>0</v>
      </c>
      <c r="BN299" s="4284">
        <f t="shared" si="145"/>
        <v>0</v>
      </c>
      <c r="BO299" s="4284">
        <f t="shared" si="146"/>
        <v>0</v>
      </c>
      <c r="BP299" s="4284">
        <f t="shared" si="147"/>
        <v>0</v>
      </c>
      <c r="BQ299" s="4284">
        <f t="shared" si="148"/>
        <v>0</v>
      </c>
      <c r="BR299" s="4284">
        <f t="shared" si="149"/>
        <v>0</v>
      </c>
      <c r="BS299" s="4284">
        <f t="shared" si="150"/>
        <v>0</v>
      </c>
      <c r="BT299" s="4285">
        <f t="shared" si="151"/>
        <v>0</v>
      </c>
    </row>
    <row r="300" spans="1:72">
      <c r="A300" s="4278"/>
      <c r="B300" s="4278"/>
      <c r="C300" s="4278"/>
      <c r="D300" s="4280"/>
      <c r="E300" s="1188">
        <f t="shared" si="123"/>
        <v>0</v>
      </c>
      <c r="F300" s="1667"/>
      <c r="G300" s="4281">
        <f t="shared" ref="G300:G331" si="152">H300+AC300+AT300</f>
        <v>0</v>
      </c>
      <c r="H300" s="3457">
        <f t="shared" ref="H300:H331" si="153">SUMIF(I$12:AB$12,"总值",I300:AB300)</f>
        <v>0</v>
      </c>
      <c r="I300" s="4282"/>
      <c r="J300" s="4282"/>
      <c r="K300" s="4282"/>
      <c r="L300" s="4282"/>
      <c r="M300" s="4282"/>
      <c r="N300" s="4282"/>
      <c r="O300" s="4282"/>
      <c r="P300" s="4282"/>
      <c r="Q300" s="4282"/>
      <c r="R300" s="4282"/>
      <c r="S300" s="4282"/>
      <c r="T300" s="4282"/>
      <c r="U300" s="4282"/>
      <c r="V300" s="4282"/>
      <c r="W300" s="4282"/>
      <c r="X300" s="4282"/>
      <c r="Y300" s="4282"/>
      <c r="Z300" s="4282"/>
      <c r="AA300" s="4282"/>
      <c r="AB300" s="4282"/>
      <c r="AC300" s="1188">
        <f t="shared" ref="AC300:AC331" si="154">SUMIF(AD$12:AS$12,"总值",AD300:AS300)</f>
        <v>0</v>
      </c>
      <c r="AD300" s="4278"/>
      <c r="AE300" s="4278"/>
      <c r="AF300" s="4278"/>
      <c r="AG300" s="4278"/>
      <c r="AH300" s="4278"/>
      <c r="AI300" s="4278"/>
      <c r="AJ300" s="4278"/>
      <c r="AK300" s="4278"/>
      <c r="AL300" s="4278"/>
      <c r="AM300" s="4278"/>
      <c r="AN300" s="4278"/>
      <c r="AO300" s="4278"/>
      <c r="AP300" s="4278"/>
      <c r="AQ300" s="4278"/>
      <c r="AR300" s="4278"/>
      <c r="AS300" s="4278"/>
      <c r="AT300" s="4278"/>
      <c r="AU300" s="4286"/>
      <c r="AV300" s="1188">
        <f t="shared" si="127"/>
        <v>0</v>
      </c>
      <c r="AW300" s="1188">
        <f t="shared" si="128"/>
        <v>0</v>
      </c>
      <c r="AX300" s="1188">
        <f t="shared" si="129"/>
        <v>0</v>
      </c>
      <c r="AY300" s="1452">
        <f t="shared" ref="AY300:AY331" si="155">ROUND($AY$6*AZ300/$AZ$5,2)</f>
        <v>0</v>
      </c>
      <c r="AZ300" s="4284">
        <f t="shared" ref="AZ300:AZ331" si="156">BA300+BL300</f>
        <v>0</v>
      </c>
      <c r="BA300" s="4284">
        <f t="shared" ref="BA300:BA331" si="157">SUM(BB300:BK300)</f>
        <v>0</v>
      </c>
      <c r="BB300" s="4284">
        <f t="shared" ref="BB300:BB331" si="158">IF($D300="是",I300-J300,0)</f>
        <v>0</v>
      </c>
      <c r="BC300" s="4284">
        <f t="shared" ref="BC300:BC331" si="159">IF($D300="是",K300-L300,0)</f>
        <v>0</v>
      </c>
      <c r="BD300" s="4284">
        <f t="shared" ref="BD300:BD331" si="160">IF($D300="是",M300-N300,0)</f>
        <v>0</v>
      </c>
      <c r="BE300" s="4284">
        <f t="shared" ref="BE300:BE331" si="161">IF($D300="是",O300-P300,0)</f>
        <v>0</v>
      </c>
      <c r="BF300" s="4284">
        <f t="shared" ref="BF300:BF331" si="162">IF($D300="是",Q300-R300,0)</f>
        <v>0</v>
      </c>
      <c r="BG300" s="4284">
        <f t="shared" ref="BG300:BG331" si="163">IF($D300="是",S300-T300,0)</f>
        <v>0</v>
      </c>
      <c r="BH300" s="4284">
        <f t="shared" ref="BH300:BH331" si="164">IF($D300="是",U300-V300,0)</f>
        <v>0</v>
      </c>
      <c r="BI300" s="4284">
        <f t="shared" ref="BI300:BI331" si="165">IF($D300="是",W300-X300,0)</f>
        <v>0</v>
      </c>
      <c r="BJ300" s="4284">
        <f t="shared" ref="BJ300:BJ331" si="166">IF($D300="是",Y300-Z300,0)</f>
        <v>0</v>
      </c>
      <c r="BK300" s="4284">
        <f t="shared" ref="BK300:BK331" si="167">IF($D300="是",AA300-AB300,0)</f>
        <v>0</v>
      </c>
      <c r="BL300" s="4284">
        <f t="shared" ref="BL300:BL331" si="168">SUM(BM300:BT300)</f>
        <v>0</v>
      </c>
      <c r="BM300" s="4284">
        <f t="shared" ref="BM300:BM331" si="169">IF($D300="是",AD300-AE300,0)</f>
        <v>0</v>
      </c>
      <c r="BN300" s="4284">
        <f t="shared" ref="BN300:BN331" si="170">IF($D300="是",AF300-AG300,0)</f>
        <v>0</v>
      </c>
      <c r="BO300" s="4284">
        <f t="shared" ref="BO300:BO331" si="171">IF($D300="是",AH300-AI300,0)</f>
        <v>0</v>
      </c>
      <c r="BP300" s="4284">
        <f t="shared" ref="BP300:BP331" si="172">IF($D300="是",AJ300-AK300,0)</f>
        <v>0</v>
      </c>
      <c r="BQ300" s="4284">
        <f t="shared" ref="BQ300:BQ331" si="173">IF($D300="是",AL300-AM300,0)</f>
        <v>0</v>
      </c>
      <c r="BR300" s="4284">
        <f t="shared" ref="BR300:BR331" si="174">IF($D300="是",AN300-AO300,0)</f>
        <v>0</v>
      </c>
      <c r="BS300" s="4284">
        <f t="shared" ref="BS300:BS331" si="175">IF($D300="是",AP300-AQ300,0)</f>
        <v>0</v>
      </c>
      <c r="BT300" s="4285">
        <f t="shared" ref="BT300:BT331" si="176">IF($D300="是",AR300-AS300,0)</f>
        <v>0</v>
      </c>
    </row>
    <row r="301" spans="1:72">
      <c r="A301" s="4278"/>
      <c r="B301" s="4278"/>
      <c r="C301" s="4278"/>
      <c r="D301" s="4280"/>
      <c r="E301" s="1188">
        <f t="shared" si="123"/>
        <v>0</v>
      </c>
      <c r="F301" s="1667"/>
      <c r="G301" s="4281">
        <f t="shared" si="152"/>
        <v>0</v>
      </c>
      <c r="H301" s="3457">
        <f t="shared" si="153"/>
        <v>0</v>
      </c>
      <c r="I301" s="4282"/>
      <c r="J301" s="4282"/>
      <c r="K301" s="4282"/>
      <c r="L301" s="4282"/>
      <c r="M301" s="4282"/>
      <c r="N301" s="4282"/>
      <c r="O301" s="4282"/>
      <c r="P301" s="4282"/>
      <c r="Q301" s="4282"/>
      <c r="R301" s="4282"/>
      <c r="S301" s="4282"/>
      <c r="T301" s="4282"/>
      <c r="U301" s="4282"/>
      <c r="V301" s="4282"/>
      <c r="W301" s="4282"/>
      <c r="X301" s="4282"/>
      <c r="Y301" s="4282"/>
      <c r="Z301" s="4282"/>
      <c r="AA301" s="4282"/>
      <c r="AB301" s="4282"/>
      <c r="AC301" s="1188">
        <f t="shared" si="154"/>
        <v>0</v>
      </c>
      <c r="AD301" s="4278"/>
      <c r="AE301" s="4278"/>
      <c r="AF301" s="4278"/>
      <c r="AG301" s="4278"/>
      <c r="AH301" s="4278"/>
      <c r="AI301" s="4278"/>
      <c r="AJ301" s="4278"/>
      <c r="AK301" s="4278"/>
      <c r="AL301" s="4278"/>
      <c r="AM301" s="4278"/>
      <c r="AN301" s="4278"/>
      <c r="AO301" s="4278"/>
      <c r="AP301" s="4278"/>
      <c r="AQ301" s="4278"/>
      <c r="AR301" s="4278"/>
      <c r="AS301" s="4278"/>
      <c r="AT301" s="4278"/>
      <c r="AU301" s="4286"/>
      <c r="AV301" s="1188">
        <f t="shared" si="127"/>
        <v>0</v>
      </c>
      <c r="AW301" s="1188">
        <f t="shared" si="128"/>
        <v>0</v>
      </c>
      <c r="AX301" s="1188">
        <f t="shared" si="129"/>
        <v>0</v>
      </c>
      <c r="AY301" s="1452">
        <f t="shared" si="155"/>
        <v>0</v>
      </c>
      <c r="AZ301" s="4284">
        <f t="shared" si="156"/>
        <v>0</v>
      </c>
      <c r="BA301" s="4284">
        <f t="shared" si="157"/>
        <v>0</v>
      </c>
      <c r="BB301" s="4284">
        <f t="shared" si="158"/>
        <v>0</v>
      </c>
      <c r="BC301" s="4284">
        <f t="shared" si="159"/>
        <v>0</v>
      </c>
      <c r="BD301" s="4284">
        <f t="shared" si="160"/>
        <v>0</v>
      </c>
      <c r="BE301" s="4284">
        <f t="shared" si="161"/>
        <v>0</v>
      </c>
      <c r="BF301" s="4284">
        <f t="shared" si="162"/>
        <v>0</v>
      </c>
      <c r="BG301" s="4284">
        <f t="shared" si="163"/>
        <v>0</v>
      </c>
      <c r="BH301" s="4284">
        <f t="shared" si="164"/>
        <v>0</v>
      </c>
      <c r="BI301" s="4284">
        <f t="shared" si="165"/>
        <v>0</v>
      </c>
      <c r="BJ301" s="4284">
        <f t="shared" si="166"/>
        <v>0</v>
      </c>
      <c r="BK301" s="4284">
        <f t="shared" si="167"/>
        <v>0</v>
      </c>
      <c r="BL301" s="4284">
        <f t="shared" si="168"/>
        <v>0</v>
      </c>
      <c r="BM301" s="4284">
        <f t="shared" si="169"/>
        <v>0</v>
      </c>
      <c r="BN301" s="4284">
        <f t="shared" si="170"/>
        <v>0</v>
      </c>
      <c r="BO301" s="4284">
        <f t="shared" si="171"/>
        <v>0</v>
      </c>
      <c r="BP301" s="4284">
        <f t="shared" si="172"/>
        <v>0</v>
      </c>
      <c r="BQ301" s="4284">
        <f t="shared" si="173"/>
        <v>0</v>
      </c>
      <c r="BR301" s="4284">
        <f t="shared" si="174"/>
        <v>0</v>
      </c>
      <c r="BS301" s="4284">
        <f t="shared" si="175"/>
        <v>0</v>
      </c>
      <c r="BT301" s="4285">
        <f t="shared" si="176"/>
        <v>0</v>
      </c>
    </row>
    <row r="302" spans="1:72">
      <c r="A302" s="4278"/>
      <c r="B302" s="4278"/>
      <c r="C302" s="4278"/>
      <c r="D302" s="4280"/>
      <c r="E302" s="1188">
        <f t="shared" si="123"/>
        <v>0</v>
      </c>
      <c r="F302" s="1667"/>
      <c r="G302" s="4281">
        <f t="shared" si="152"/>
        <v>0</v>
      </c>
      <c r="H302" s="3457">
        <f t="shared" si="153"/>
        <v>0</v>
      </c>
      <c r="I302" s="4282"/>
      <c r="J302" s="4282"/>
      <c r="K302" s="4282"/>
      <c r="L302" s="4282"/>
      <c r="M302" s="4282"/>
      <c r="N302" s="4282"/>
      <c r="O302" s="4282"/>
      <c r="P302" s="4282"/>
      <c r="Q302" s="4282"/>
      <c r="R302" s="4282"/>
      <c r="S302" s="4282"/>
      <c r="T302" s="4282"/>
      <c r="U302" s="4282"/>
      <c r="V302" s="4282"/>
      <c r="W302" s="4282"/>
      <c r="X302" s="4282"/>
      <c r="Y302" s="4282"/>
      <c r="Z302" s="4282"/>
      <c r="AA302" s="4282"/>
      <c r="AB302" s="4282"/>
      <c r="AC302" s="1188">
        <f t="shared" si="154"/>
        <v>0</v>
      </c>
      <c r="AD302" s="4278"/>
      <c r="AE302" s="4278"/>
      <c r="AF302" s="4278"/>
      <c r="AG302" s="4278"/>
      <c r="AH302" s="4278"/>
      <c r="AI302" s="4278"/>
      <c r="AJ302" s="4278"/>
      <c r="AK302" s="4278"/>
      <c r="AL302" s="4278"/>
      <c r="AM302" s="4278"/>
      <c r="AN302" s="4278"/>
      <c r="AO302" s="4278"/>
      <c r="AP302" s="4278"/>
      <c r="AQ302" s="4278"/>
      <c r="AR302" s="4278"/>
      <c r="AS302" s="4278"/>
      <c r="AT302" s="4278"/>
      <c r="AU302" s="4286"/>
      <c r="AV302" s="1188">
        <f t="shared" si="127"/>
        <v>0</v>
      </c>
      <c r="AW302" s="1188">
        <f t="shared" si="128"/>
        <v>0</v>
      </c>
      <c r="AX302" s="1188">
        <f t="shared" si="129"/>
        <v>0</v>
      </c>
      <c r="AY302" s="1452">
        <f t="shared" si="155"/>
        <v>0</v>
      </c>
      <c r="AZ302" s="4284">
        <f t="shared" si="156"/>
        <v>0</v>
      </c>
      <c r="BA302" s="4284">
        <f t="shared" si="157"/>
        <v>0</v>
      </c>
      <c r="BB302" s="4284">
        <f t="shared" si="158"/>
        <v>0</v>
      </c>
      <c r="BC302" s="4284">
        <f t="shared" si="159"/>
        <v>0</v>
      </c>
      <c r="BD302" s="4284">
        <f t="shared" si="160"/>
        <v>0</v>
      </c>
      <c r="BE302" s="4284">
        <f t="shared" si="161"/>
        <v>0</v>
      </c>
      <c r="BF302" s="4284">
        <f t="shared" si="162"/>
        <v>0</v>
      </c>
      <c r="BG302" s="4284">
        <f t="shared" si="163"/>
        <v>0</v>
      </c>
      <c r="BH302" s="4284">
        <f t="shared" si="164"/>
        <v>0</v>
      </c>
      <c r="BI302" s="4284">
        <f t="shared" si="165"/>
        <v>0</v>
      </c>
      <c r="BJ302" s="4284">
        <f t="shared" si="166"/>
        <v>0</v>
      </c>
      <c r="BK302" s="4284">
        <f t="shared" si="167"/>
        <v>0</v>
      </c>
      <c r="BL302" s="4284">
        <f t="shared" si="168"/>
        <v>0</v>
      </c>
      <c r="BM302" s="4284">
        <f t="shared" si="169"/>
        <v>0</v>
      </c>
      <c r="BN302" s="4284">
        <f t="shared" si="170"/>
        <v>0</v>
      </c>
      <c r="BO302" s="4284">
        <f t="shared" si="171"/>
        <v>0</v>
      </c>
      <c r="BP302" s="4284">
        <f t="shared" si="172"/>
        <v>0</v>
      </c>
      <c r="BQ302" s="4284">
        <f t="shared" si="173"/>
        <v>0</v>
      </c>
      <c r="BR302" s="4284">
        <f t="shared" si="174"/>
        <v>0</v>
      </c>
      <c r="BS302" s="4284">
        <f t="shared" si="175"/>
        <v>0</v>
      </c>
      <c r="BT302" s="4285">
        <f t="shared" si="176"/>
        <v>0</v>
      </c>
    </row>
    <row r="303" spans="1:72">
      <c r="A303" s="4278"/>
      <c r="B303" s="4279"/>
      <c r="C303" s="4279"/>
      <c r="D303" s="4280"/>
      <c r="E303" s="1188">
        <f t="shared" ref="E303:E334" si="177">IF($C$3="是",ROUND($A$3*G303/$B$3,2),ROUND($A$3*(G303-AT303)/$B$3,2))</f>
        <v>0</v>
      </c>
      <c r="F303" s="1680"/>
      <c r="G303" s="4281">
        <f t="shared" si="152"/>
        <v>0</v>
      </c>
      <c r="H303" s="3457">
        <f t="shared" si="153"/>
        <v>0</v>
      </c>
      <c r="I303" s="4282"/>
      <c r="J303" s="4282"/>
      <c r="K303" s="4282"/>
      <c r="L303" s="4282"/>
      <c r="M303" s="4282"/>
      <c r="N303" s="4282"/>
      <c r="O303" s="4282"/>
      <c r="P303" s="4282"/>
      <c r="Q303" s="4282"/>
      <c r="R303" s="4282"/>
      <c r="S303" s="4282"/>
      <c r="T303" s="4282"/>
      <c r="U303" s="4282"/>
      <c r="V303" s="4282"/>
      <c r="W303" s="4282"/>
      <c r="X303" s="4282"/>
      <c r="Y303" s="4282"/>
      <c r="Z303" s="4282"/>
      <c r="AA303" s="4282"/>
      <c r="AB303" s="4282"/>
      <c r="AC303" s="1188">
        <f t="shared" si="154"/>
        <v>0</v>
      </c>
      <c r="AD303" s="4278"/>
      <c r="AE303" s="4278"/>
      <c r="AF303" s="4278"/>
      <c r="AG303" s="4278"/>
      <c r="AH303" s="4278"/>
      <c r="AI303" s="4278"/>
      <c r="AJ303" s="4278"/>
      <c r="AK303" s="4278"/>
      <c r="AL303" s="4278"/>
      <c r="AM303" s="4278"/>
      <c r="AN303" s="4278"/>
      <c r="AO303" s="4278"/>
      <c r="AP303" s="4278"/>
      <c r="AQ303" s="4278"/>
      <c r="AR303" s="4278"/>
      <c r="AS303" s="4278"/>
      <c r="AT303" s="4279"/>
      <c r="AU303" s="4283"/>
      <c r="AV303" s="1188">
        <f t="shared" ref="AV303:AV334" si="178">A303</f>
        <v>0</v>
      </c>
      <c r="AW303" s="1188">
        <f t="shared" ref="AW303:AW334" si="179">B303</f>
        <v>0</v>
      </c>
      <c r="AX303" s="1188">
        <f t="shared" ref="AX303:AX334" si="180">C303</f>
        <v>0</v>
      </c>
      <c r="AY303" s="1452">
        <f t="shared" si="155"/>
        <v>0</v>
      </c>
      <c r="AZ303" s="4284">
        <f t="shared" si="156"/>
        <v>0</v>
      </c>
      <c r="BA303" s="4284">
        <f t="shared" si="157"/>
        <v>0</v>
      </c>
      <c r="BB303" s="4284">
        <f t="shared" si="158"/>
        <v>0</v>
      </c>
      <c r="BC303" s="4284">
        <f t="shared" si="159"/>
        <v>0</v>
      </c>
      <c r="BD303" s="4284">
        <f t="shared" si="160"/>
        <v>0</v>
      </c>
      <c r="BE303" s="4284">
        <f t="shared" si="161"/>
        <v>0</v>
      </c>
      <c r="BF303" s="4284">
        <f t="shared" si="162"/>
        <v>0</v>
      </c>
      <c r="BG303" s="4284">
        <f t="shared" si="163"/>
        <v>0</v>
      </c>
      <c r="BH303" s="4284">
        <f t="shared" si="164"/>
        <v>0</v>
      </c>
      <c r="BI303" s="4284">
        <f t="shared" si="165"/>
        <v>0</v>
      </c>
      <c r="BJ303" s="4284">
        <f t="shared" si="166"/>
        <v>0</v>
      </c>
      <c r="BK303" s="4284">
        <f t="shared" si="167"/>
        <v>0</v>
      </c>
      <c r="BL303" s="4284">
        <f t="shared" si="168"/>
        <v>0</v>
      </c>
      <c r="BM303" s="4284">
        <f t="shared" si="169"/>
        <v>0</v>
      </c>
      <c r="BN303" s="4284">
        <f t="shared" si="170"/>
        <v>0</v>
      </c>
      <c r="BO303" s="4284">
        <f t="shared" si="171"/>
        <v>0</v>
      </c>
      <c r="BP303" s="4284">
        <f t="shared" si="172"/>
        <v>0</v>
      </c>
      <c r="BQ303" s="4284">
        <f t="shared" si="173"/>
        <v>0</v>
      </c>
      <c r="BR303" s="4284">
        <f t="shared" si="174"/>
        <v>0</v>
      </c>
      <c r="BS303" s="4284">
        <f t="shared" si="175"/>
        <v>0</v>
      </c>
      <c r="BT303" s="4285">
        <f t="shared" si="176"/>
        <v>0</v>
      </c>
    </row>
    <row r="304" spans="1:72">
      <c r="A304" s="4278"/>
      <c r="B304" s="4279"/>
      <c r="C304" s="4279"/>
      <c r="D304" s="4280"/>
      <c r="E304" s="1188">
        <f t="shared" si="177"/>
        <v>0</v>
      </c>
      <c r="F304" s="1680"/>
      <c r="G304" s="4281">
        <f t="shared" si="152"/>
        <v>0</v>
      </c>
      <c r="H304" s="3457">
        <f t="shared" si="153"/>
        <v>0</v>
      </c>
      <c r="I304" s="4282"/>
      <c r="J304" s="4282"/>
      <c r="K304" s="4282"/>
      <c r="L304" s="4282"/>
      <c r="M304" s="4282"/>
      <c r="N304" s="4282"/>
      <c r="O304" s="4282"/>
      <c r="P304" s="4282"/>
      <c r="Q304" s="4282"/>
      <c r="R304" s="4282"/>
      <c r="S304" s="4282"/>
      <c r="T304" s="4282"/>
      <c r="U304" s="4282"/>
      <c r="V304" s="4282"/>
      <c r="W304" s="4282"/>
      <c r="X304" s="4282"/>
      <c r="Y304" s="4282"/>
      <c r="Z304" s="4282"/>
      <c r="AA304" s="4282"/>
      <c r="AB304" s="4282"/>
      <c r="AC304" s="1188">
        <f t="shared" si="154"/>
        <v>0</v>
      </c>
      <c r="AD304" s="4278"/>
      <c r="AE304" s="4278"/>
      <c r="AF304" s="4278"/>
      <c r="AG304" s="4278"/>
      <c r="AH304" s="4278"/>
      <c r="AI304" s="4278"/>
      <c r="AJ304" s="4278"/>
      <c r="AK304" s="4278"/>
      <c r="AL304" s="4278"/>
      <c r="AM304" s="4278"/>
      <c r="AN304" s="4278"/>
      <c r="AO304" s="4278"/>
      <c r="AP304" s="4278"/>
      <c r="AQ304" s="4278"/>
      <c r="AR304" s="4278"/>
      <c r="AS304" s="4278"/>
      <c r="AT304" s="4279"/>
      <c r="AU304" s="4283"/>
      <c r="AV304" s="1188">
        <f t="shared" si="178"/>
        <v>0</v>
      </c>
      <c r="AW304" s="1188">
        <f t="shared" si="179"/>
        <v>0</v>
      </c>
      <c r="AX304" s="1188">
        <f t="shared" si="180"/>
        <v>0</v>
      </c>
      <c r="AY304" s="1452">
        <f t="shared" si="155"/>
        <v>0</v>
      </c>
      <c r="AZ304" s="4284">
        <f t="shared" si="156"/>
        <v>0</v>
      </c>
      <c r="BA304" s="4284">
        <f t="shared" si="157"/>
        <v>0</v>
      </c>
      <c r="BB304" s="4284">
        <f t="shared" si="158"/>
        <v>0</v>
      </c>
      <c r="BC304" s="4284">
        <f t="shared" si="159"/>
        <v>0</v>
      </c>
      <c r="BD304" s="4284">
        <f t="shared" si="160"/>
        <v>0</v>
      </c>
      <c r="BE304" s="4284">
        <f t="shared" si="161"/>
        <v>0</v>
      </c>
      <c r="BF304" s="4284">
        <f t="shared" si="162"/>
        <v>0</v>
      </c>
      <c r="BG304" s="4284">
        <f t="shared" si="163"/>
        <v>0</v>
      </c>
      <c r="BH304" s="4284">
        <f t="shared" si="164"/>
        <v>0</v>
      </c>
      <c r="BI304" s="4284">
        <f t="shared" si="165"/>
        <v>0</v>
      </c>
      <c r="BJ304" s="4284">
        <f t="shared" si="166"/>
        <v>0</v>
      </c>
      <c r="BK304" s="4284">
        <f t="shared" si="167"/>
        <v>0</v>
      </c>
      <c r="BL304" s="4284">
        <f t="shared" si="168"/>
        <v>0</v>
      </c>
      <c r="BM304" s="4284">
        <f t="shared" si="169"/>
        <v>0</v>
      </c>
      <c r="BN304" s="4284">
        <f t="shared" si="170"/>
        <v>0</v>
      </c>
      <c r="BO304" s="4284">
        <f t="shared" si="171"/>
        <v>0</v>
      </c>
      <c r="BP304" s="4284">
        <f t="shared" si="172"/>
        <v>0</v>
      </c>
      <c r="BQ304" s="4284">
        <f t="shared" si="173"/>
        <v>0</v>
      </c>
      <c r="BR304" s="4284">
        <f t="shared" si="174"/>
        <v>0</v>
      </c>
      <c r="BS304" s="4284">
        <f t="shared" si="175"/>
        <v>0</v>
      </c>
      <c r="BT304" s="4285">
        <f t="shared" si="176"/>
        <v>0</v>
      </c>
    </row>
    <row r="305" spans="1:72">
      <c r="A305" s="4278"/>
      <c r="B305" s="4279"/>
      <c r="C305" s="4279"/>
      <c r="D305" s="4280"/>
      <c r="E305" s="1188">
        <f t="shared" si="177"/>
        <v>0</v>
      </c>
      <c r="F305" s="1680"/>
      <c r="G305" s="4281">
        <f t="shared" si="152"/>
        <v>0</v>
      </c>
      <c r="H305" s="3457">
        <f t="shared" si="153"/>
        <v>0</v>
      </c>
      <c r="I305" s="4282"/>
      <c r="J305" s="4282"/>
      <c r="K305" s="4282"/>
      <c r="L305" s="4282"/>
      <c r="M305" s="4282"/>
      <c r="N305" s="4282"/>
      <c r="O305" s="4282"/>
      <c r="P305" s="4282"/>
      <c r="Q305" s="4282"/>
      <c r="R305" s="4282"/>
      <c r="S305" s="4282"/>
      <c r="T305" s="4282"/>
      <c r="U305" s="4282"/>
      <c r="V305" s="4282"/>
      <c r="W305" s="4282"/>
      <c r="X305" s="4282"/>
      <c r="Y305" s="4282"/>
      <c r="Z305" s="4282"/>
      <c r="AA305" s="4282"/>
      <c r="AB305" s="4282"/>
      <c r="AC305" s="1188">
        <f t="shared" si="154"/>
        <v>0</v>
      </c>
      <c r="AD305" s="4278"/>
      <c r="AE305" s="4278"/>
      <c r="AF305" s="4278"/>
      <c r="AG305" s="4278"/>
      <c r="AH305" s="4278"/>
      <c r="AI305" s="4278"/>
      <c r="AJ305" s="4278"/>
      <c r="AK305" s="4278"/>
      <c r="AL305" s="4278"/>
      <c r="AM305" s="4278"/>
      <c r="AN305" s="4278"/>
      <c r="AO305" s="4278"/>
      <c r="AP305" s="4278"/>
      <c r="AQ305" s="4278"/>
      <c r="AR305" s="4278"/>
      <c r="AS305" s="4278"/>
      <c r="AT305" s="4279"/>
      <c r="AU305" s="4283"/>
      <c r="AV305" s="1188">
        <f t="shared" si="178"/>
        <v>0</v>
      </c>
      <c r="AW305" s="1188">
        <f t="shared" si="179"/>
        <v>0</v>
      </c>
      <c r="AX305" s="1188">
        <f t="shared" si="180"/>
        <v>0</v>
      </c>
      <c r="AY305" s="1452">
        <f t="shared" si="155"/>
        <v>0</v>
      </c>
      <c r="AZ305" s="4284">
        <f t="shared" si="156"/>
        <v>0</v>
      </c>
      <c r="BA305" s="4284">
        <f t="shared" si="157"/>
        <v>0</v>
      </c>
      <c r="BB305" s="4284">
        <f t="shared" si="158"/>
        <v>0</v>
      </c>
      <c r="BC305" s="4284">
        <f t="shared" si="159"/>
        <v>0</v>
      </c>
      <c r="BD305" s="4284">
        <f t="shared" si="160"/>
        <v>0</v>
      </c>
      <c r="BE305" s="4284">
        <f t="shared" si="161"/>
        <v>0</v>
      </c>
      <c r="BF305" s="4284">
        <f t="shared" si="162"/>
        <v>0</v>
      </c>
      <c r="BG305" s="4284">
        <f t="shared" si="163"/>
        <v>0</v>
      </c>
      <c r="BH305" s="4284">
        <f t="shared" si="164"/>
        <v>0</v>
      </c>
      <c r="BI305" s="4284">
        <f t="shared" si="165"/>
        <v>0</v>
      </c>
      <c r="BJ305" s="4284">
        <f t="shared" si="166"/>
        <v>0</v>
      </c>
      <c r="BK305" s="4284">
        <f t="shared" si="167"/>
        <v>0</v>
      </c>
      <c r="BL305" s="4284">
        <f t="shared" si="168"/>
        <v>0</v>
      </c>
      <c r="BM305" s="4284">
        <f t="shared" si="169"/>
        <v>0</v>
      </c>
      <c r="BN305" s="4284">
        <f t="shared" si="170"/>
        <v>0</v>
      </c>
      <c r="BO305" s="4284">
        <f t="shared" si="171"/>
        <v>0</v>
      </c>
      <c r="BP305" s="4284">
        <f t="shared" si="172"/>
        <v>0</v>
      </c>
      <c r="BQ305" s="4284">
        <f t="shared" si="173"/>
        <v>0</v>
      </c>
      <c r="BR305" s="4284">
        <f t="shared" si="174"/>
        <v>0</v>
      </c>
      <c r="BS305" s="4284">
        <f t="shared" si="175"/>
        <v>0</v>
      </c>
      <c r="BT305" s="4285">
        <f t="shared" si="176"/>
        <v>0</v>
      </c>
    </row>
    <row r="306" spans="1:72">
      <c r="A306" s="4278"/>
      <c r="B306" s="4279"/>
      <c r="C306" s="4279"/>
      <c r="D306" s="4280"/>
      <c r="E306" s="1188">
        <f t="shared" si="177"/>
        <v>0</v>
      </c>
      <c r="F306" s="1680"/>
      <c r="G306" s="4281">
        <f t="shared" si="152"/>
        <v>0</v>
      </c>
      <c r="H306" s="3457">
        <f t="shared" si="153"/>
        <v>0</v>
      </c>
      <c r="I306" s="4282"/>
      <c r="J306" s="4282"/>
      <c r="K306" s="4282"/>
      <c r="L306" s="4282"/>
      <c r="M306" s="4282"/>
      <c r="N306" s="4282"/>
      <c r="O306" s="4282"/>
      <c r="P306" s="4282"/>
      <c r="Q306" s="4282"/>
      <c r="R306" s="4282"/>
      <c r="S306" s="4282"/>
      <c r="T306" s="4282"/>
      <c r="U306" s="4282"/>
      <c r="V306" s="4282"/>
      <c r="W306" s="4282"/>
      <c r="X306" s="4282"/>
      <c r="Y306" s="4282"/>
      <c r="Z306" s="4282"/>
      <c r="AA306" s="4282"/>
      <c r="AB306" s="4282"/>
      <c r="AC306" s="1188">
        <f t="shared" si="154"/>
        <v>0</v>
      </c>
      <c r="AD306" s="4278"/>
      <c r="AE306" s="4278"/>
      <c r="AF306" s="4278"/>
      <c r="AG306" s="4278"/>
      <c r="AH306" s="4278"/>
      <c r="AI306" s="4278"/>
      <c r="AJ306" s="4278"/>
      <c r="AK306" s="4278"/>
      <c r="AL306" s="4278"/>
      <c r="AM306" s="4278"/>
      <c r="AN306" s="4278"/>
      <c r="AO306" s="4278"/>
      <c r="AP306" s="4278"/>
      <c r="AQ306" s="4278"/>
      <c r="AR306" s="4278"/>
      <c r="AS306" s="4278"/>
      <c r="AT306" s="4279"/>
      <c r="AU306" s="4283"/>
      <c r="AV306" s="1188">
        <f t="shared" si="178"/>
        <v>0</v>
      </c>
      <c r="AW306" s="1188">
        <f t="shared" si="179"/>
        <v>0</v>
      </c>
      <c r="AX306" s="1188">
        <f t="shared" si="180"/>
        <v>0</v>
      </c>
      <c r="AY306" s="1452">
        <f t="shared" si="155"/>
        <v>0</v>
      </c>
      <c r="AZ306" s="4284">
        <f t="shared" si="156"/>
        <v>0</v>
      </c>
      <c r="BA306" s="4284">
        <f t="shared" si="157"/>
        <v>0</v>
      </c>
      <c r="BB306" s="4284">
        <f t="shared" si="158"/>
        <v>0</v>
      </c>
      <c r="BC306" s="4284">
        <f t="shared" si="159"/>
        <v>0</v>
      </c>
      <c r="BD306" s="4284">
        <f t="shared" si="160"/>
        <v>0</v>
      </c>
      <c r="BE306" s="4284">
        <f t="shared" si="161"/>
        <v>0</v>
      </c>
      <c r="BF306" s="4284">
        <f t="shared" si="162"/>
        <v>0</v>
      </c>
      <c r="BG306" s="4284">
        <f t="shared" si="163"/>
        <v>0</v>
      </c>
      <c r="BH306" s="4284">
        <f t="shared" si="164"/>
        <v>0</v>
      </c>
      <c r="BI306" s="4284">
        <f t="shared" si="165"/>
        <v>0</v>
      </c>
      <c r="BJ306" s="4284">
        <f t="shared" si="166"/>
        <v>0</v>
      </c>
      <c r="BK306" s="4284">
        <f t="shared" si="167"/>
        <v>0</v>
      </c>
      <c r="BL306" s="4284">
        <f t="shared" si="168"/>
        <v>0</v>
      </c>
      <c r="BM306" s="4284">
        <f t="shared" si="169"/>
        <v>0</v>
      </c>
      <c r="BN306" s="4284">
        <f t="shared" si="170"/>
        <v>0</v>
      </c>
      <c r="BO306" s="4284">
        <f t="shared" si="171"/>
        <v>0</v>
      </c>
      <c r="BP306" s="4284">
        <f t="shared" si="172"/>
        <v>0</v>
      </c>
      <c r="BQ306" s="4284">
        <f t="shared" si="173"/>
        <v>0</v>
      </c>
      <c r="BR306" s="4284">
        <f t="shared" si="174"/>
        <v>0</v>
      </c>
      <c r="BS306" s="4284">
        <f t="shared" si="175"/>
        <v>0</v>
      </c>
      <c r="BT306" s="4285">
        <f t="shared" si="176"/>
        <v>0</v>
      </c>
    </row>
    <row r="307" spans="1:72">
      <c r="A307" s="4278"/>
      <c r="B307" s="4279"/>
      <c r="C307" s="4279"/>
      <c r="D307" s="4280"/>
      <c r="E307" s="1188">
        <f t="shared" si="177"/>
        <v>0</v>
      </c>
      <c r="F307" s="1680"/>
      <c r="G307" s="4281">
        <f t="shared" si="152"/>
        <v>0</v>
      </c>
      <c r="H307" s="3457">
        <f t="shared" si="153"/>
        <v>0</v>
      </c>
      <c r="I307" s="4282"/>
      <c r="J307" s="4282"/>
      <c r="K307" s="4282"/>
      <c r="L307" s="4282"/>
      <c r="M307" s="4282"/>
      <c r="N307" s="4282"/>
      <c r="O307" s="4282"/>
      <c r="P307" s="4282"/>
      <c r="Q307" s="4282"/>
      <c r="R307" s="4282"/>
      <c r="S307" s="4282"/>
      <c r="T307" s="4282"/>
      <c r="U307" s="4282"/>
      <c r="V307" s="4282"/>
      <c r="W307" s="4282"/>
      <c r="X307" s="4282"/>
      <c r="Y307" s="4282"/>
      <c r="Z307" s="4282"/>
      <c r="AA307" s="4282"/>
      <c r="AB307" s="4282"/>
      <c r="AC307" s="1188">
        <f t="shared" si="154"/>
        <v>0</v>
      </c>
      <c r="AD307" s="4278"/>
      <c r="AE307" s="4278"/>
      <c r="AF307" s="4278"/>
      <c r="AG307" s="4278"/>
      <c r="AH307" s="4278"/>
      <c r="AI307" s="4278"/>
      <c r="AJ307" s="4278"/>
      <c r="AK307" s="4278"/>
      <c r="AL307" s="4278"/>
      <c r="AM307" s="4278"/>
      <c r="AN307" s="4278"/>
      <c r="AO307" s="4278"/>
      <c r="AP307" s="4278"/>
      <c r="AQ307" s="4278"/>
      <c r="AR307" s="4278"/>
      <c r="AS307" s="4278"/>
      <c r="AT307" s="4279"/>
      <c r="AU307" s="4283"/>
      <c r="AV307" s="1188">
        <f t="shared" si="178"/>
        <v>0</v>
      </c>
      <c r="AW307" s="1188">
        <f t="shared" si="179"/>
        <v>0</v>
      </c>
      <c r="AX307" s="1188">
        <f t="shared" si="180"/>
        <v>0</v>
      </c>
      <c r="AY307" s="1452">
        <f t="shared" si="155"/>
        <v>0</v>
      </c>
      <c r="AZ307" s="4284">
        <f t="shared" si="156"/>
        <v>0</v>
      </c>
      <c r="BA307" s="4284">
        <f t="shared" si="157"/>
        <v>0</v>
      </c>
      <c r="BB307" s="4284">
        <f t="shared" si="158"/>
        <v>0</v>
      </c>
      <c r="BC307" s="4284">
        <f t="shared" si="159"/>
        <v>0</v>
      </c>
      <c r="BD307" s="4284">
        <f t="shared" si="160"/>
        <v>0</v>
      </c>
      <c r="BE307" s="4284">
        <f t="shared" si="161"/>
        <v>0</v>
      </c>
      <c r="BF307" s="4284">
        <f t="shared" si="162"/>
        <v>0</v>
      </c>
      <c r="BG307" s="4284">
        <f t="shared" si="163"/>
        <v>0</v>
      </c>
      <c r="BH307" s="4284">
        <f t="shared" si="164"/>
        <v>0</v>
      </c>
      <c r="BI307" s="4284">
        <f t="shared" si="165"/>
        <v>0</v>
      </c>
      <c r="BJ307" s="4284">
        <f t="shared" si="166"/>
        <v>0</v>
      </c>
      <c r="BK307" s="4284">
        <f t="shared" si="167"/>
        <v>0</v>
      </c>
      <c r="BL307" s="4284">
        <f t="shared" si="168"/>
        <v>0</v>
      </c>
      <c r="BM307" s="4284">
        <f t="shared" si="169"/>
        <v>0</v>
      </c>
      <c r="BN307" s="4284">
        <f t="shared" si="170"/>
        <v>0</v>
      </c>
      <c r="BO307" s="4284">
        <f t="shared" si="171"/>
        <v>0</v>
      </c>
      <c r="BP307" s="4284">
        <f t="shared" si="172"/>
        <v>0</v>
      </c>
      <c r="BQ307" s="4284">
        <f t="shared" si="173"/>
        <v>0</v>
      </c>
      <c r="BR307" s="4284">
        <f t="shared" si="174"/>
        <v>0</v>
      </c>
      <c r="BS307" s="4284">
        <f t="shared" si="175"/>
        <v>0</v>
      </c>
      <c r="BT307" s="4285">
        <f t="shared" si="176"/>
        <v>0</v>
      </c>
    </row>
    <row r="308" spans="1:72">
      <c r="A308" s="4278"/>
      <c r="B308" s="4279"/>
      <c r="C308" s="4279"/>
      <c r="D308" s="4280"/>
      <c r="E308" s="1188">
        <f t="shared" si="177"/>
        <v>0</v>
      </c>
      <c r="F308" s="1680"/>
      <c r="G308" s="4281">
        <f t="shared" si="152"/>
        <v>0</v>
      </c>
      <c r="H308" s="3457">
        <f t="shared" si="153"/>
        <v>0</v>
      </c>
      <c r="I308" s="4282"/>
      <c r="J308" s="4282"/>
      <c r="K308" s="4282"/>
      <c r="L308" s="4282"/>
      <c r="M308" s="4282"/>
      <c r="N308" s="4282"/>
      <c r="O308" s="4282"/>
      <c r="P308" s="4282"/>
      <c r="Q308" s="4282"/>
      <c r="R308" s="4282"/>
      <c r="S308" s="4282"/>
      <c r="T308" s="4282"/>
      <c r="U308" s="4282"/>
      <c r="V308" s="4282"/>
      <c r="W308" s="4282"/>
      <c r="X308" s="4282"/>
      <c r="Y308" s="4282"/>
      <c r="Z308" s="4282"/>
      <c r="AA308" s="4282"/>
      <c r="AB308" s="4282"/>
      <c r="AC308" s="1188">
        <f t="shared" si="154"/>
        <v>0</v>
      </c>
      <c r="AD308" s="4278"/>
      <c r="AE308" s="4278"/>
      <c r="AF308" s="4278"/>
      <c r="AG308" s="4278"/>
      <c r="AH308" s="4278"/>
      <c r="AI308" s="4278"/>
      <c r="AJ308" s="4278"/>
      <c r="AK308" s="4278"/>
      <c r="AL308" s="4278"/>
      <c r="AM308" s="4278"/>
      <c r="AN308" s="4278"/>
      <c r="AO308" s="4278"/>
      <c r="AP308" s="4278"/>
      <c r="AQ308" s="4278"/>
      <c r="AR308" s="4278"/>
      <c r="AS308" s="4278"/>
      <c r="AT308" s="4279"/>
      <c r="AU308" s="4283"/>
      <c r="AV308" s="1188">
        <f t="shared" si="178"/>
        <v>0</v>
      </c>
      <c r="AW308" s="1188">
        <f t="shared" si="179"/>
        <v>0</v>
      </c>
      <c r="AX308" s="1188">
        <f t="shared" si="180"/>
        <v>0</v>
      </c>
      <c r="AY308" s="1452">
        <f t="shared" si="155"/>
        <v>0</v>
      </c>
      <c r="AZ308" s="4284">
        <f t="shared" si="156"/>
        <v>0</v>
      </c>
      <c r="BA308" s="4284">
        <f t="shared" si="157"/>
        <v>0</v>
      </c>
      <c r="BB308" s="4284">
        <f t="shared" si="158"/>
        <v>0</v>
      </c>
      <c r="BC308" s="4284">
        <f t="shared" si="159"/>
        <v>0</v>
      </c>
      <c r="BD308" s="4284">
        <f t="shared" si="160"/>
        <v>0</v>
      </c>
      <c r="BE308" s="4284">
        <f t="shared" si="161"/>
        <v>0</v>
      </c>
      <c r="BF308" s="4284">
        <f t="shared" si="162"/>
        <v>0</v>
      </c>
      <c r="BG308" s="4284">
        <f t="shared" si="163"/>
        <v>0</v>
      </c>
      <c r="BH308" s="4284">
        <f t="shared" si="164"/>
        <v>0</v>
      </c>
      <c r="BI308" s="4284">
        <f t="shared" si="165"/>
        <v>0</v>
      </c>
      <c r="BJ308" s="4284">
        <f t="shared" si="166"/>
        <v>0</v>
      </c>
      <c r="BK308" s="4284">
        <f t="shared" si="167"/>
        <v>0</v>
      </c>
      <c r="BL308" s="4284">
        <f t="shared" si="168"/>
        <v>0</v>
      </c>
      <c r="BM308" s="4284">
        <f t="shared" si="169"/>
        <v>0</v>
      </c>
      <c r="BN308" s="4284">
        <f t="shared" si="170"/>
        <v>0</v>
      </c>
      <c r="BO308" s="4284">
        <f t="shared" si="171"/>
        <v>0</v>
      </c>
      <c r="BP308" s="4284">
        <f t="shared" si="172"/>
        <v>0</v>
      </c>
      <c r="BQ308" s="4284">
        <f t="shared" si="173"/>
        <v>0</v>
      </c>
      <c r="BR308" s="4284">
        <f t="shared" si="174"/>
        <v>0</v>
      </c>
      <c r="BS308" s="4284">
        <f t="shared" si="175"/>
        <v>0</v>
      </c>
      <c r="BT308" s="4285">
        <f t="shared" si="176"/>
        <v>0</v>
      </c>
    </row>
    <row r="309" spans="1:72">
      <c r="A309" s="4278"/>
      <c r="B309" s="4279"/>
      <c r="C309" s="4279"/>
      <c r="D309" s="4280"/>
      <c r="E309" s="1188">
        <f t="shared" si="177"/>
        <v>0</v>
      </c>
      <c r="F309" s="1680"/>
      <c r="G309" s="4281">
        <f t="shared" si="152"/>
        <v>0</v>
      </c>
      <c r="H309" s="3457">
        <f t="shared" si="153"/>
        <v>0</v>
      </c>
      <c r="I309" s="4282"/>
      <c r="J309" s="4282"/>
      <c r="K309" s="4282"/>
      <c r="L309" s="4282"/>
      <c r="M309" s="4282"/>
      <c r="N309" s="4282"/>
      <c r="O309" s="4282"/>
      <c r="P309" s="4282"/>
      <c r="Q309" s="4282"/>
      <c r="R309" s="4282"/>
      <c r="S309" s="4282"/>
      <c r="T309" s="4282"/>
      <c r="U309" s="4282"/>
      <c r="V309" s="4282"/>
      <c r="W309" s="4282"/>
      <c r="X309" s="4282"/>
      <c r="Y309" s="4282"/>
      <c r="Z309" s="4282"/>
      <c r="AA309" s="4282"/>
      <c r="AB309" s="4282"/>
      <c r="AC309" s="1188">
        <f t="shared" si="154"/>
        <v>0</v>
      </c>
      <c r="AD309" s="4278"/>
      <c r="AE309" s="4278"/>
      <c r="AF309" s="4278"/>
      <c r="AG309" s="4278"/>
      <c r="AH309" s="4278"/>
      <c r="AI309" s="4278"/>
      <c r="AJ309" s="4278"/>
      <c r="AK309" s="4278"/>
      <c r="AL309" s="4278"/>
      <c r="AM309" s="4278"/>
      <c r="AN309" s="4278"/>
      <c r="AO309" s="4278"/>
      <c r="AP309" s="4278"/>
      <c r="AQ309" s="4278"/>
      <c r="AR309" s="4278"/>
      <c r="AS309" s="4278"/>
      <c r="AT309" s="4279"/>
      <c r="AU309" s="4283"/>
      <c r="AV309" s="1188">
        <f t="shared" si="178"/>
        <v>0</v>
      </c>
      <c r="AW309" s="1188">
        <f t="shared" si="179"/>
        <v>0</v>
      </c>
      <c r="AX309" s="1188">
        <f t="shared" si="180"/>
        <v>0</v>
      </c>
      <c r="AY309" s="1452">
        <f t="shared" si="155"/>
        <v>0</v>
      </c>
      <c r="AZ309" s="4284">
        <f t="shared" si="156"/>
        <v>0</v>
      </c>
      <c r="BA309" s="4284">
        <f t="shared" si="157"/>
        <v>0</v>
      </c>
      <c r="BB309" s="4284">
        <f t="shared" si="158"/>
        <v>0</v>
      </c>
      <c r="BC309" s="4284">
        <f t="shared" si="159"/>
        <v>0</v>
      </c>
      <c r="BD309" s="4284">
        <f t="shared" si="160"/>
        <v>0</v>
      </c>
      <c r="BE309" s="4284">
        <f t="shared" si="161"/>
        <v>0</v>
      </c>
      <c r="BF309" s="4284">
        <f t="shared" si="162"/>
        <v>0</v>
      </c>
      <c r="BG309" s="4284">
        <f t="shared" si="163"/>
        <v>0</v>
      </c>
      <c r="BH309" s="4284">
        <f t="shared" si="164"/>
        <v>0</v>
      </c>
      <c r="BI309" s="4284">
        <f t="shared" si="165"/>
        <v>0</v>
      </c>
      <c r="BJ309" s="4284">
        <f t="shared" si="166"/>
        <v>0</v>
      </c>
      <c r="BK309" s="4284">
        <f t="shared" si="167"/>
        <v>0</v>
      </c>
      <c r="BL309" s="4284">
        <f t="shared" si="168"/>
        <v>0</v>
      </c>
      <c r="BM309" s="4284">
        <f t="shared" si="169"/>
        <v>0</v>
      </c>
      <c r="BN309" s="4284">
        <f t="shared" si="170"/>
        <v>0</v>
      </c>
      <c r="BO309" s="4284">
        <f t="shared" si="171"/>
        <v>0</v>
      </c>
      <c r="BP309" s="4284">
        <f t="shared" si="172"/>
        <v>0</v>
      </c>
      <c r="BQ309" s="4284">
        <f t="shared" si="173"/>
        <v>0</v>
      </c>
      <c r="BR309" s="4284">
        <f t="shared" si="174"/>
        <v>0</v>
      </c>
      <c r="BS309" s="4284">
        <f t="shared" si="175"/>
        <v>0</v>
      </c>
      <c r="BT309" s="4285">
        <f t="shared" si="176"/>
        <v>0</v>
      </c>
    </row>
    <row r="310" spans="1:72">
      <c r="A310" s="4278"/>
      <c r="B310" s="4279"/>
      <c r="C310" s="4279"/>
      <c r="D310" s="4280"/>
      <c r="E310" s="1188">
        <f t="shared" si="177"/>
        <v>0</v>
      </c>
      <c r="F310" s="1680"/>
      <c r="G310" s="4281">
        <f t="shared" si="152"/>
        <v>0</v>
      </c>
      <c r="H310" s="3457">
        <f t="shared" si="153"/>
        <v>0</v>
      </c>
      <c r="I310" s="4282"/>
      <c r="J310" s="4282"/>
      <c r="K310" s="4282"/>
      <c r="L310" s="4282"/>
      <c r="M310" s="4282"/>
      <c r="N310" s="4282"/>
      <c r="O310" s="4282"/>
      <c r="P310" s="4282"/>
      <c r="Q310" s="4282"/>
      <c r="R310" s="4282"/>
      <c r="S310" s="4282"/>
      <c r="T310" s="4282"/>
      <c r="U310" s="4282"/>
      <c r="V310" s="4282"/>
      <c r="W310" s="4282"/>
      <c r="X310" s="4282"/>
      <c r="Y310" s="4282"/>
      <c r="Z310" s="4282"/>
      <c r="AA310" s="4282"/>
      <c r="AB310" s="4282"/>
      <c r="AC310" s="1188">
        <f t="shared" si="154"/>
        <v>0</v>
      </c>
      <c r="AD310" s="4278"/>
      <c r="AE310" s="4278"/>
      <c r="AF310" s="4278"/>
      <c r="AG310" s="4278"/>
      <c r="AH310" s="4278"/>
      <c r="AI310" s="4278"/>
      <c r="AJ310" s="4278"/>
      <c r="AK310" s="4278"/>
      <c r="AL310" s="4278"/>
      <c r="AM310" s="4278"/>
      <c r="AN310" s="4278"/>
      <c r="AO310" s="4278"/>
      <c r="AP310" s="4278"/>
      <c r="AQ310" s="4278"/>
      <c r="AR310" s="4278"/>
      <c r="AS310" s="4278"/>
      <c r="AT310" s="4279"/>
      <c r="AU310" s="4283"/>
      <c r="AV310" s="1188">
        <f t="shared" si="178"/>
        <v>0</v>
      </c>
      <c r="AW310" s="1188">
        <f t="shared" si="179"/>
        <v>0</v>
      </c>
      <c r="AX310" s="1188">
        <f t="shared" si="180"/>
        <v>0</v>
      </c>
      <c r="AY310" s="1452">
        <f t="shared" si="155"/>
        <v>0</v>
      </c>
      <c r="AZ310" s="4284">
        <f t="shared" si="156"/>
        <v>0</v>
      </c>
      <c r="BA310" s="4284">
        <f t="shared" si="157"/>
        <v>0</v>
      </c>
      <c r="BB310" s="4284">
        <f t="shared" si="158"/>
        <v>0</v>
      </c>
      <c r="BC310" s="4284">
        <f t="shared" si="159"/>
        <v>0</v>
      </c>
      <c r="BD310" s="4284">
        <f t="shared" si="160"/>
        <v>0</v>
      </c>
      <c r="BE310" s="4284">
        <f t="shared" si="161"/>
        <v>0</v>
      </c>
      <c r="BF310" s="4284">
        <f t="shared" si="162"/>
        <v>0</v>
      </c>
      <c r="BG310" s="4284">
        <f t="shared" si="163"/>
        <v>0</v>
      </c>
      <c r="BH310" s="4284">
        <f t="shared" si="164"/>
        <v>0</v>
      </c>
      <c r="BI310" s="4284">
        <f t="shared" si="165"/>
        <v>0</v>
      </c>
      <c r="BJ310" s="4284">
        <f t="shared" si="166"/>
        <v>0</v>
      </c>
      <c r="BK310" s="4284">
        <f t="shared" si="167"/>
        <v>0</v>
      </c>
      <c r="BL310" s="4284">
        <f t="shared" si="168"/>
        <v>0</v>
      </c>
      <c r="BM310" s="4284">
        <f t="shared" si="169"/>
        <v>0</v>
      </c>
      <c r="BN310" s="4284">
        <f t="shared" si="170"/>
        <v>0</v>
      </c>
      <c r="BO310" s="4284">
        <f t="shared" si="171"/>
        <v>0</v>
      </c>
      <c r="BP310" s="4284">
        <f t="shared" si="172"/>
        <v>0</v>
      </c>
      <c r="BQ310" s="4284">
        <f t="shared" si="173"/>
        <v>0</v>
      </c>
      <c r="BR310" s="4284">
        <f t="shared" si="174"/>
        <v>0</v>
      </c>
      <c r="BS310" s="4284">
        <f t="shared" si="175"/>
        <v>0</v>
      </c>
      <c r="BT310" s="4285">
        <f t="shared" si="176"/>
        <v>0</v>
      </c>
    </row>
    <row r="311" spans="1:72">
      <c r="A311" s="4278"/>
      <c r="B311" s="4279"/>
      <c r="C311" s="4279"/>
      <c r="D311" s="4280"/>
      <c r="E311" s="1188">
        <f t="shared" si="177"/>
        <v>0</v>
      </c>
      <c r="F311" s="1680"/>
      <c r="G311" s="4281">
        <f t="shared" si="152"/>
        <v>0</v>
      </c>
      <c r="H311" s="3457">
        <f t="shared" si="153"/>
        <v>0</v>
      </c>
      <c r="I311" s="4282"/>
      <c r="J311" s="4282"/>
      <c r="K311" s="4282"/>
      <c r="L311" s="4282"/>
      <c r="M311" s="4282"/>
      <c r="N311" s="4282"/>
      <c r="O311" s="4282"/>
      <c r="P311" s="4282"/>
      <c r="Q311" s="4282"/>
      <c r="R311" s="4282"/>
      <c r="S311" s="4282"/>
      <c r="T311" s="4282"/>
      <c r="U311" s="4282"/>
      <c r="V311" s="4282"/>
      <c r="W311" s="4282"/>
      <c r="X311" s="4282"/>
      <c r="Y311" s="4282"/>
      <c r="Z311" s="4282"/>
      <c r="AA311" s="4282"/>
      <c r="AB311" s="4282"/>
      <c r="AC311" s="1188">
        <f t="shared" si="154"/>
        <v>0</v>
      </c>
      <c r="AD311" s="4278"/>
      <c r="AE311" s="4278"/>
      <c r="AF311" s="4278"/>
      <c r="AG311" s="4278"/>
      <c r="AH311" s="4278"/>
      <c r="AI311" s="4278"/>
      <c r="AJ311" s="4278"/>
      <c r="AK311" s="4278"/>
      <c r="AL311" s="4278"/>
      <c r="AM311" s="4278"/>
      <c r="AN311" s="4278"/>
      <c r="AO311" s="4278"/>
      <c r="AP311" s="4278"/>
      <c r="AQ311" s="4278"/>
      <c r="AR311" s="4278"/>
      <c r="AS311" s="4278"/>
      <c r="AT311" s="4279"/>
      <c r="AU311" s="4283"/>
      <c r="AV311" s="1188">
        <f t="shared" si="178"/>
        <v>0</v>
      </c>
      <c r="AW311" s="1188">
        <f t="shared" si="179"/>
        <v>0</v>
      </c>
      <c r="AX311" s="1188">
        <f t="shared" si="180"/>
        <v>0</v>
      </c>
      <c r="AY311" s="1452">
        <f t="shared" si="155"/>
        <v>0</v>
      </c>
      <c r="AZ311" s="4284">
        <f t="shared" si="156"/>
        <v>0</v>
      </c>
      <c r="BA311" s="4284">
        <f t="shared" si="157"/>
        <v>0</v>
      </c>
      <c r="BB311" s="4284">
        <f t="shared" si="158"/>
        <v>0</v>
      </c>
      <c r="BC311" s="4284">
        <f t="shared" si="159"/>
        <v>0</v>
      </c>
      <c r="BD311" s="4284">
        <f t="shared" si="160"/>
        <v>0</v>
      </c>
      <c r="BE311" s="4284">
        <f t="shared" si="161"/>
        <v>0</v>
      </c>
      <c r="BF311" s="4284">
        <f t="shared" si="162"/>
        <v>0</v>
      </c>
      <c r="BG311" s="4284">
        <f t="shared" si="163"/>
        <v>0</v>
      </c>
      <c r="BH311" s="4284">
        <f t="shared" si="164"/>
        <v>0</v>
      </c>
      <c r="BI311" s="4284">
        <f t="shared" si="165"/>
        <v>0</v>
      </c>
      <c r="BJ311" s="4284">
        <f t="shared" si="166"/>
        <v>0</v>
      </c>
      <c r="BK311" s="4284">
        <f t="shared" si="167"/>
        <v>0</v>
      </c>
      <c r="BL311" s="4284">
        <f t="shared" si="168"/>
        <v>0</v>
      </c>
      <c r="BM311" s="4284">
        <f t="shared" si="169"/>
        <v>0</v>
      </c>
      <c r="BN311" s="4284">
        <f t="shared" si="170"/>
        <v>0</v>
      </c>
      <c r="BO311" s="4284">
        <f t="shared" si="171"/>
        <v>0</v>
      </c>
      <c r="BP311" s="4284">
        <f t="shared" si="172"/>
        <v>0</v>
      </c>
      <c r="BQ311" s="4284">
        <f t="shared" si="173"/>
        <v>0</v>
      </c>
      <c r="BR311" s="4284">
        <f t="shared" si="174"/>
        <v>0</v>
      </c>
      <c r="BS311" s="4284">
        <f t="shared" si="175"/>
        <v>0</v>
      </c>
      <c r="BT311" s="4285">
        <f t="shared" si="176"/>
        <v>0</v>
      </c>
    </row>
    <row r="312" spans="1:72">
      <c r="A312" s="4278"/>
      <c r="B312" s="4279"/>
      <c r="C312" s="4279"/>
      <c r="D312" s="4280"/>
      <c r="E312" s="1188">
        <f t="shared" si="177"/>
        <v>0</v>
      </c>
      <c r="F312" s="1680"/>
      <c r="G312" s="4281">
        <f t="shared" si="152"/>
        <v>0</v>
      </c>
      <c r="H312" s="3457">
        <f t="shared" si="153"/>
        <v>0</v>
      </c>
      <c r="I312" s="4282"/>
      <c r="J312" s="4282"/>
      <c r="K312" s="4282"/>
      <c r="L312" s="4282"/>
      <c r="M312" s="4282"/>
      <c r="N312" s="4282"/>
      <c r="O312" s="4282"/>
      <c r="P312" s="4282"/>
      <c r="Q312" s="4282"/>
      <c r="R312" s="4282"/>
      <c r="S312" s="4282"/>
      <c r="T312" s="4282"/>
      <c r="U312" s="4282"/>
      <c r="V312" s="4282"/>
      <c r="W312" s="4282"/>
      <c r="X312" s="4282"/>
      <c r="Y312" s="4282"/>
      <c r="Z312" s="4282"/>
      <c r="AA312" s="4282"/>
      <c r="AB312" s="4282"/>
      <c r="AC312" s="1188">
        <f t="shared" si="154"/>
        <v>0</v>
      </c>
      <c r="AD312" s="4278"/>
      <c r="AE312" s="4278"/>
      <c r="AF312" s="4278"/>
      <c r="AG312" s="4278"/>
      <c r="AH312" s="4278"/>
      <c r="AI312" s="4278"/>
      <c r="AJ312" s="4278"/>
      <c r="AK312" s="4278"/>
      <c r="AL312" s="4278"/>
      <c r="AM312" s="4278"/>
      <c r="AN312" s="4278"/>
      <c r="AO312" s="4278"/>
      <c r="AP312" s="4278"/>
      <c r="AQ312" s="4278"/>
      <c r="AR312" s="4278"/>
      <c r="AS312" s="4278"/>
      <c r="AT312" s="4279"/>
      <c r="AU312" s="4283"/>
      <c r="AV312" s="1188">
        <f t="shared" si="178"/>
        <v>0</v>
      </c>
      <c r="AW312" s="1188">
        <f t="shared" si="179"/>
        <v>0</v>
      </c>
      <c r="AX312" s="1188">
        <f t="shared" si="180"/>
        <v>0</v>
      </c>
      <c r="AY312" s="1452">
        <f t="shared" si="155"/>
        <v>0</v>
      </c>
      <c r="AZ312" s="4284">
        <f t="shared" si="156"/>
        <v>0</v>
      </c>
      <c r="BA312" s="4284">
        <f t="shared" si="157"/>
        <v>0</v>
      </c>
      <c r="BB312" s="4284">
        <f t="shared" si="158"/>
        <v>0</v>
      </c>
      <c r="BC312" s="4284">
        <f t="shared" si="159"/>
        <v>0</v>
      </c>
      <c r="BD312" s="4284">
        <f t="shared" si="160"/>
        <v>0</v>
      </c>
      <c r="BE312" s="4284">
        <f t="shared" si="161"/>
        <v>0</v>
      </c>
      <c r="BF312" s="4284">
        <f t="shared" si="162"/>
        <v>0</v>
      </c>
      <c r="BG312" s="4284">
        <f t="shared" si="163"/>
        <v>0</v>
      </c>
      <c r="BH312" s="4284">
        <f t="shared" si="164"/>
        <v>0</v>
      </c>
      <c r="BI312" s="4284">
        <f t="shared" si="165"/>
        <v>0</v>
      </c>
      <c r="BJ312" s="4284">
        <f t="shared" si="166"/>
        <v>0</v>
      </c>
      <c r="BK312" s="4284">
        <f t="shared" si="167"/>
        <v>0</v>
      </c>
      <c r="BL312" s="4284">
        <f t="shared" si="168"/>
        <v>0</v>
      </c>
      <c r="BM312" s="4284">
        <f t="shared" si="169"/>
        <v>0</v>
      </c>
      <c r="BN312" s="4284">
        <f t="shared" si="170"/>
        <v>0</v>
      </c>
      <c r="BO312" s="4284">
        <f t="shared" si="171"/>
        <v>0</v>
      </c>
      <c r="BP312" s="4284">
        <f t="shared" si="172"/>
        <v>0</v>
      </c>
      <c r="BQ312" s="4284">
        <f t="shared" si="173"/>
        <v>0</v>
      </c>
      <c r="BR312" s="4284">
        <f t="shared" si="174"/>
        <v>0</v>
      </c>
      <c r="BS312" s="4284">
        <f t="shared" si="175"/>
        <v>0</v>
      </c>
      <c r="BT312" s="4285">
        <f t="shared" si="176"/>
        <v>0</v>
      </c>
    </row>
    <row r="313" spans="1:72">
      <c r="A313" s="4278"/>
      <c r="B313" s="4279"/>
      <c r="C313" s="4279"/>
      <c r="D313" s="4280"/>
      <c r="E313" s="1188">
        <f t="shared" si="177"/>
        <v>0</v>
      </c>
      <c r="F313" s="1680"/>
      <c r="G313" s="4281">
        <f t="shared" si="152"/>
        <v>0</v>
      </c>
      <c r="H313" s="3457">
        <f t="shared" si="153"/>
        <v>0</v>
      </c>
      <c r="I313" s="4282"/>
      <c r="J313" s="4282"/>
      <c r="K313" s="4282"/>
      <c r="L313" s="4282"/>
      <c r="M313" s="4282"/>
      <c r="N313" s="4282"/>
      <c r="O313" s="4282"/>
      <c r="P313" s="4282"/>
      <c r="Q313" s="4282"/>
      <c r="R313" s="4282"/>
      <c r="S313" s="4282"/>
      <c r="T313" s="4282"/>
      <c r="U313" s="4282"/>
      <c r="V313" s="4282"/>
      <c r="W313" s="4282"/>
      <c r="X313" s="4282"/>
      <c r="Y313" s="4282"/>
      <c r="Z313" s="4282"/>
      <c r="AA313" s="4282"/>
      <c r="AB313" s="4282"/>
      <c r="AC313" s="1188">
        <f t="shared" si="154"/>
        <v>0</v>
      </c>
      <c r="AD313" s="4278"/>
      <c r="AE313" s="4278"/>
      <c r="AF313" s="4278"/>
      <c r="AG313" s="4278"/>
      <c r="AH313" s="4278"/>
      <c r="AI313" s="4278"/>
      <c r="AJ313" s="4278"/>
      <c r="AK313" s="4278"/>
      <c r="AL313" s="4278"/>
      <c r="AM313" s="4278"/>
      <c r="AN313" s="4278"/>
      <c r="AO313" s="4278"/>
      <c r="AP313" s="4278"/>
      <c r="AQ313" s="4278"/>
      <c r="AR313" s="4278"/>
      <c r="AS313" s="4278"/>
      <c r="AT313" s="4279"/>
      <c r="AU313" s="4283"/>
      <c r="AV313" s="1188">
        <f t="shared" si="178"/>
        <v>0</v>
      </c>
      <c r="AW313" s="1188">
        <f t="shared" si="179"/>
        <v>0</v>
      </c>
      <c r="AX313" s="1188">
        <f t="shared" si="180"/>
        <v>0</v>
      </c>
      <c r="AY313" s="1452">
        <f t="shared" si="155"/>
        <v>0</v>
      </c>
      <c r="AZ313" s="4284">
        <f t="shared" si="156"/>
        <v>0</v>
      </c>
      <c r="BA313" s="4284">
        <f t="shared" si="157"/>
        <v>0</v>
      </c>
      <c r="BB313" s="4284">
        <f t="shared" si="158"/>
        <v>0</v>
      </c>
      <c r="BC313" s="4284">
        <f t="shared" si="159"/>
        <v>0</v>
      </c>
      <c r="BD313" s="4284">
        <f t="shared" si="160"/>
        <v>0</v>
      </c>
      <c r="BE313" s="4284">
        <f t="shared" si="161"/>
        <v>0</v>
      </c>
      <c r="BF313" s="4284">
        <f t="shared" si="162"/>
        <v>0</v>
      </c>
      <c r="BG313" s="4284">
        <f t="shared" si="163"/>
        <v>0</v>
      </c>
      <c r="BH313" s="4284">
        <f t="shared" si="164"/>
        <v>0</v>
      </c>
      <c r="BI313" s="4284">
        <f t="shared" si="165"/>
        <v>0</v>
      </c>
      <c r="BJ313" s="4284">
        <f t="shared" si="166"/>
        <v>0</v>
      </c>
      <c r="BK313" s="4284">
        <f t="shared" si="167"/>
        <v>0</v>
      </c>
      <c r="BL313" s="4284">
        <f t="shared" si="168"/>
        <v>0</v>
      </c>
      <c r="BM313" s="4284">
        <f t="shared" si="169"/>
        <v>0</v>
      </c>
      <c r="BN313" s="4284">
        <f t="shared" si="170"/>
        <v>0</v>
      </c>
      <c r="BO313" s="4284">
        <f t="shared" si="171"/>
        <v>0</v>
      </c>
      <c r="BP313" s="4284">
        <f t="shared" si="172"/>
        <v>0</v>
      </c>
      <c r="BQ313" s="4284">
        <f t="shared" si="173"/>
        <v>0</v>
      </c>
      <c r="BR313" s="4284">
        <f t="shared" si="174"/>
        <v>0</v>
      </c>
      <c r="BS313" s="4284">
        <f t="shared" si="175"/>
        <v>0</v>
      </c>
      <c r="BT313" s="4285">
        <f t="shared" si="176"/>
        <v>0</v>
      </c>
    </row>
    <row r="314" spans="1:72">
      <c r="A314" s="4278"/>
      <c r="B314" s="4279"/>
      <c r="C314" s="4279"/>
      <c r="D314" s="4280"/>
      <c r="E314" s="1188">
        <f t="shared" si="177"/>
        <v>0</v>
      </c>
      <c r="F314" s="1680"/>
      <c r="G314" s="4281">
        <f t="shared" si="152"/>
        <v>0</v>
      </c>
      <c r="H314" s="3457">
        <f t="shared" si="153"/>
        <v>0</v>
      </c>
      <c r="I314" s="4282"/>
      <c r="J314" s="4282"/>
      <c r="K314" s="4282"/>
      <c r="L314" s="4282"/>
      <c r="M314" s="4282"/>
      <c r="N314" s="4282"/>
      <c r="O314" s="4282"/>
      <c r="P314" s="4282"/>
      <c r="Q314" s="4282"/>
      <c r="R314" s="4282"/>
      <c r="S314" s="4282"/>
      <c r="T314" s="4282"/>
      <c r="U314" s="4282"/>
      <c r="V314" s="4282"/>
      <c r="W314" s="4282"/>
      <c r="X314" s="4282"/>
      <c r="Y314" s="4282"/>
      <c r="Z314" s="4282"/>
      <c r="AA314" s="4282"/>
      <c r="AB314" s="4282"/>
      <c r="AC314" s="1188">
        <f t="shared" si="154"/>
        <v>0</v>
      </c>
      <c r="AD314" s="4278"/>
      <c r="AE314" s="4278"/>
      <c r="AF314" s="4278"/>
      <c r="AG314" s="4278"/>
      <c r="AH314" s="4278"/>
      <c r="AI314" s="4278"/>
      <c r="AJ314" s="4278"/>
      <c r="AK314" s="4278"/>
      <c r="AL314" s="4278"/>
      <c r="AM314" s="4278"/>
      <c r="AN314" s="4278"/>
      <c r="AO314" s="4278"/>
      <c r="AP314" s="4278"/>
      <c r="AQ314" s="4278"/>
      <c r="AR314" s="4278"/>
      <c r="AS314" s="4278"/>
      <c r="AT314" s="4279"/>
      <c r="AU314" s="4283"/>
      <c r="AV314" s="1188">
        <f t="shared" si="178"/>
        <v>0</v>
      </c>
      <c r="AW314" s="1188">
        <f t="shared" si="179"/>
        <v>0</v>
      </c>
      <c r="AX314" s="1188">
        <f t="shared" si="180"/>
        <v>0</v>
      </c>
      <c r="AY314" s="1452">
        <f t="shared" si="155"/>
        <v>0</v>
      </c>
      <c r="AZ314" s="4284">
        <f t="shared" si="156"/>
        <v>0</v>
      </c>
      <c r="BA314" s="4284">
        <f t="shared" si="157"/>
        <v>0</v>
      </c>
      <c r="BB314" s="4284">
        <f t="shared" si="158"/>
        <v>0</v>
      </c>
      <c r="BC314" s="4284">
        <f t="shared" si="159"/>
        <v>0</v>
      </c>
      <c r="BD314" s="4284">
        <f t="shared" si="160"/>
        <v>0</v>
      </c>
      <c r="BE314" s="4284">
        <f t="shared" si="161"/>
        <v>0</v>
      </c>
      <c r="BF314" s="4284">
        <f t="shared" si="162"/>
        <v>0</v>
      </c>
      <c r="BG314" s="4284">
        <f t="shared" si="163"/>
        <v>0</v>
      </c>
      <c r="BH314" s="4284">
        <f t="shared" si="164"/>
        <v>0</v>
      </c>
      <c r="BI314" s="4284">
        <f t="shared" si="165"/>
        <v>0</v>
      </c>
      <c r="BJ314" s="4284">
        <f t="shared" si="166"/>
        <v>0</v>
      </c>
      <c r="BK314" s="4284">
        <f t="shared" si="167"/>
        <v>0</v>
      </c>
      <c r="BL314" s="4284">
        <f t="shared" si="168"/>
        <v>0</v>
      </c>
      <c r="BM314" s="4284">
        <f t="shared" si="169"/>
        <v>0</v>
      </c>
      <c r="BN314" s="4284">
        <f t="shared" si="170"/>
        <v>0</v>
      </c>
      <c r="BO314" s="4284">
        <f t="shared" si="171"/>
        <v>0</v>
      </c>
      <c r="BP314" s="4284">
        <f t="shared" si="172"/>
        <v>0</v>
      </c>
      <c r="BQ314" s="4284">
        <f t="shared" si="173"/>
        <v>0</v>
      </c>
      <c r="BR314" s="4284">
        <f t="shared" si="174"/>
        <v>0</v>
      </c>
      <c r="BS314" s="4284">
        <f t="shared" si="175"/>
        <v>0</v>
      </c>
      <c r="BT314" s="4285">
        <f t="shared" si="176"/>
        <v>0</v>
      </c>
    </row>
    <row r="315" spans="1:72">
      <c r="A315" s="4278"/>
      <c r="B315" s="4279"/>
      <c r="C315" s="4279"/>
      <c r="D315" s="4280"/>
      <c r="E315" s="1188">
        <f t="shared" si="177"/>
        <v>0</v>
      </c>
      <c r="F315" s="1680"/>
      <c r="G315" s="4281">
        <f t="shared" si="152"/>
        <v>0</v>
      </c>
      <c r="H315" s="3457">
        <f t="shared" si="153"/>
        <v>0</v>
      </c>
      <c r="I315" s="4282"/>
      <c r="J315" s="4282"/>
      <c r="K315" s="4282"/>
      <c r="L315" s="4282"/>
      <c r="M315" s="4282"/>
      <c r="N315" s="4282"/>
      <c r="O315" s="4282"/>
      <c r="P315" s="4282"/>
      <c r="Q315" s="4282"/>
      <c r="R315" s="4282"/>
      <c r="S315" s="4282"/>
      <c r="T315" s="4282"/>
      <c r="U315" s="4282"/>
      <c r="V315" s="4282"/>
      <c r="W315" s="4282"/>
      <c r="X315" s="4282"/>
      <c r="Y315" s="4282"/>
      <c r="Z315" s="4282"/>
      <c r="AA315" s="4282"/>
      <c r="AB315" s="4282"/>
      <c r="AC315" s="1188">
        <f t="shared" si="154"/>
        <v>0</v>
      </c>
      <c r="AD315" s="4278"/>
      <c r="AE315" s="4278"/>
      <c r="AF315" s="4278"/>
      <c r="AG315" s="4278"/>
      <c r="AH315" s="4278"/>
      <c r="AI315" s="4278"/>
      <c r="AJ315" s="4278"/>
      <c r="AK315" s="4278"/>
      <c r="AL315" s="4278"/>
      <c r="AM315" s="4278"/>
      <c r="AN315" s="4278"/>
      <c r="AO315" s="4278"/>
      <c r="AP315" s="4278"/>
      <c r="AQ315" s="4278"/>
      <c r="AR315" s="4278"/>
      <c r="AS315" s="4278"/>
      <c r="AT315" s="4279"/>
      <c r="AU315" s="4283"/>
      <c r="AV315" s="1188">
        <f t="shared" si="178"/>
        <v>0</v>
      </c>
      <c r="AW315" s="1188">
        <f t="shared" si="179"/>
        <v>0</v>
      </c>
      <c r="AX315" s="1188">
        <f t="shared" si="180"/>
        <v>0</v>
      </c>
      <c r="AY315" s="1452">
        <f t="shared" si="155"/>
        <v>0</v>
      </c>
      <c r="AZ315" s="4284">
        <f t="shared" si="156"/>
        <v>0</v>
      </c>
      <c r="BA315" s="4284">
        <f t="shared" si="157"/>
        <v>0</v>
      </c>
      <c r="BB315" s="4284">
        <f t="shared" si="158"/>
        <v>0</v>
      </c>
      <c r="BC315" s="4284">
        <f t="shared" si="159"/>
        <v>0</v>
      </c>
      <c r="BD315" s="4284">
        <f t="shared" si="160"/>
        <v>0</v>
      </c>
      <c r="BE315" s="4284">
        <f t="shared" si="161"/>
        <v>0</v>
      </c>
      <c r="BF315" s="4284">
        <f t="shared" si="162"/>
        <v>0</v>
      </c>
      <c r="BG315" s="4284">
        <f t="shared" si="163"/>
        <v>0</v>
      </c>
      <c r="BH315" s="4284">
        <f t="shared" si="164"/>
        <v>0</v>
      </c>
      <c r="BI315" s="4284">
        <f t="shared" si="165"/>
        <v>0</v>
      </c>
      <c r="BJ315" s="4284">
        <f t="shared" si="166"/>
        <v>0</v>
      </c>
      <c r="BK315" s="4284">
        <f t="shared" si="167"/>
        <v>0</v>
      </c>
      <c r="BL315" s="4284">
        <f t="shared" si="168"/>
        <v>0</v>
      </c>
      <c r="BM315" s="4284">
        <f t="shared" si="169"/>
        <v>0</v>
      </c>
      <c r="BN315" s="4284">
        <f t="shared" si="170"/>
        <v>0</v>
      </c>
      <c r="BO315" s="4284">
        <f t="shared" si="171"/>
        <v>0</v>
      </c>
      <c r="BP315" s="4284">
        <f t="shared" si="172"/>
        <v>0</v>
      </c>
      <c r="BQ315" s="4284">
        <f t="shared" si="173"/>
        <v>0</v>
      </c>
      <c r="BR315" s="4284">
        <f t="shared" si="174"/>
        <v>0</v>
      </c>
      <c r="BS315" s="4284">
        <f t="shared" si="175"/>
        <v>0</v>
      </c>
      <c r="BT315" s="4285">
        <f t="shared" si="176"/>
        <v>0</v>
      </c>
    </row>
    <row r="316" spans="1:72">
      <c r="A316" s="4278"/>
      <c r="B316" s="4279"/>
      <c r="C316" s="4279"/>
      <c r="D316" s="4280"/>
      <c r="E316" s="1188">
        <f t="shared" si="177"/>
        <v>0</v>
      </c>
      <c r="F316" s="1680"/>
      <c r="G316" s="4281">
        <f t="shared" si="152"/>
        <v>0</v>
      </c>
      <c r="H316" s="3457">
        <f t="shared" si="153"/>
        <v>0</v>
      </c>
      <c r="I316" s="4282"/>
      <c r="J316" s="4282"/>
      <c r="K316" s="4282"/>
      <c r="L316" s="4282"/>
      <c r="M316" s="4282"/>
      <c r="N316" s="4282"/>
      <c r="O316" s="4282"/>
      <c r="P316" s="4282"/>
      <c r="Q316" s="4282"/>
      <c r="R316" s="4282"/>
      <c r="S316" s="4282"/>
      <c r="T316" s="4282"/>
      <c r="U316" s="4282"/>
      <c r="V316" s="4282"/>
      <c r="W316" s="4282"/>
      <c r="X316" s="4282"/>
      <c r="Y316" s="4282"/>
      <c r="Z316" s="4282"/>
      <c r="AA316" s="4282"/>
      <c r="AB316" s="4282"/>
      <c r="AC316" s="1188">
        <f t="shared" si="154"/>
        <v>0</v>
      </c>
      <c r="AD316" s="4278"/>
      <c r="AE316" s="4278"/>
      <c r="AF316" s="4278"/>
      <c r="AG316" s="4278"/>
      <c r="AH316" s="4278"/>
      <c r="AI316" s="4278"/>
      <c r="AJ316" s="4278"/>
      <c r="AK316" s="4278"/>
      <c r="AL316" s="4278"/>
      <c r="AM316" s="4278"/>
      <c r="AN316" s="4278"/>
      <c r="AO316" s="4278"/>
      <c r="AP316" s="4278"/>
      <c r="AQ316" s="4278"/>
      <c r="AR316" s="4278"/>
      <c r="AS316" s="4278"/>
      <c r="AT316" s="4279"/>
      <c r="AU316" s="4283"/>
      <c r="AV316" s="1188">
        <f t="shared" si="178"/>
        <v>0</v>
      </c>
      <c r="AW316" s="1188">
        <f t="shared" si="179"/>
        <v>0</v>
      </c>
      <c r="AX316" s="1188">
        <f t="shared" si="180"/>
        <v>0</v>
      </c>
      <c r="AY316" s="1452">
        <f t="shared" si="155"/>
        <v>0</v>
      </c>
      <c r="AZ316" s="4284">
        <f t="shared" si="156"/>
        <v>0</v>
      </c>
      <c r="BA316" s="4284">
        <f t="shared" si="157"/>
        <v>0</v>
      </c>
      <c r="BB316" s="4284">
        <f t="shared" si="158"/>
        <v>0</v>
      </c>
      <c r="BC316" s="4284">
        <f t="shared" si="159"/>
        <v>0</v>
      </c>
      <c r="BD316" s="4284">
        <f t="shared" si="160"/>
        <v>0</v>
      </c>
      <c r="BE316" s="4284">
        <f t="shared" si="161"/>
        <v>0</v>
      </c>
      <c r="BF316" s="4284">
        <f t="shared" si="162"/>
        <v>0</v>
      </c>
      <c r="BG316" s="4284">
        <f t="shared" si="163"/>
        <v>0</v>
      </c>
      <c r="BH316" s="4284">
        <f t="shared" si="164"/>
        <v>0</v>
      </c>
      <c r="BI316" s="4284">
        <f t="shared" si="165"/>
        <v>0</v>
      </c>
      <c r="BJ316" s="4284">
        <f t="shared" si="166"/>
        <v>0</v>
      </c>
      <c r="BK316" s="4284">
        <f t="shared" si="167"/>
        <v>0</v>
      </c>
      <c r="BL316" s="4284">
        <f t="shared" si="168"/>
        <v>0</v>
      </c>
      <c r="BM316" s="4284">
        <f t="shared" si="169"/>
        <v>0</v>
      </c>
      <c r="BN316" s="4284">
        <f t="shared" si="170"/>
        <v>0</v>
      </c>
      <c r="BO316" s="4284">
        <f t="shared" si="171"/>
        <v>0</v>
      </c>
      <c r="BP316" s="4284">
        <f t="shared" si="172"/>
        <v>0</v>
      </c>
      <c r="BQ316" s="4284">
        <f t="shared" si="173"/>
        <v>0</v>
      </c>
      <c r="BR316" s="4284">
        <f t="shared" si="174"/>
        <v>0</v>
      </c>
      <c r="BS316" s="4284">
        <f t="shared" si="175"/>
        <v>0</v>
      </c>
      <c r="BT316" s="4285">
        <f t="shared" si="176"/>
        <v>0</v>
      </c>
    </row>
    <row r="317" spans="1:72">
      <c r="A317" s="4278"/>
      <c r="B317" s="4279"/>
      <c r="C317" s="4279"/>
      <c r="D317" s="4280"/>
      <c r="E317" s="1188">
        <f t="shared" si="177"/>
        <v>0</v>
      </c>
      <c r="F317" s="1680"/>
      <c r="G317" s="4281">
        <f t="shared" si="152"/>
        <v>0</v>
      </c>
      <c r="H317" s="3457">
        <f t="shared" si="153"/>
        <v>0</v>
      </c>
      <c r="I317" s="4282"/>
      <c r="J317" s="4282"/>
      <c r="K317" s="4282"/>
      <c r="L317" s="4282"/>
      <c r="M317" s="4282"/>
      <c r="N317" s="4282"/>
      <c r="O317" s="4282"/>
      <c r="P317" s="4282"/>
      <c r="Q317" s="4282"/>
      <c r="R317" s="4282"/>
      <c r="S317" s="4282"/>
      <c r="T317" s="4282"/>
      <c r="U317" s="4282"/>
      <c r="V317" s="4282"/>
      <c r="W317" s="4282"/>
      <c r="X317" s="4282"/>
      <c r="Y317" s="4282"/>
      <c r="Z317" s="4282"/>
      <c r="AA317" s="4282"/>
      <c r="AB317" s="4282"/>
      <c r="AC317" s="1188">
        <f t="shared" si="154"/>
        <v>0</v>
      </c>
      <c r="AD317" s="4278"/>
      <c r="AE317" s="4278"/>
      <c r="AF317" s="4278"/>
      <c r="AG317" s="4278"/>
      <c r="AH317" s="4278"/>
      <c r="AI317" s="4278"/>
      <c r="AJ317" s="4278"/>
      <c r="AK317" s="4278"/>
      <c r="AL317" s="4278"/>
      <c r="AM317" s="4278"/>
      <c r="AN317" s="4278"/>
      <c r="AO317" s="4278"/>
      <c r="AP317" s="4278"/>
      <c r="AQ317" s="4278"/>
      <c r="AR317" s="4278"/>
      <c r="AS317" s="4278"/>
      <c r="AT317" s="4279"/>
      <c r="AU317" s="4283"/>
      <c r="AV317" s="1188">
        <f t="shared" si="178"/>
        <v>0</v>
      </c>
      <c r="AW317" s="1188">
        <f t="shared" si="179"/>
        <v>0</v>
      </c>
      <c r="AX317" s="1188">
        <f t="shared" si="180"/>
        <v>0</v>
      </c>
      <c r="AY317" s="1452">
        <f t="shared" si="155"/>
        <v>0</v>
      </c>
      <c r="AZ317" s="4284">
        <f t="shared" si="156"/>
        <v>0</v>
      </c>
      <c r="BA317" s="4284">
        <f t="shared" si="157"/>
        <v>0</v>
      </c>
      <c r="BB317" s="4284">
        <f t="shared" si="158"/>
        <v>0</v>
      </c>
      <c r="BC317" s="4284">
        <f t="shared" si="159"/>
        <v>0</v>
      </c>
      <c r="BD317" s="4284">
        <f t="shared" si="160"/>
        <v>0</v>
      </c>
      <c r="BE317" s="4284">
        <f t="shared" si="161"/>
        <v>0</v>
      </c>
      <c r="BF317" s="4284">
        <f t="shared" si="162"/>
        <v>0</v>
      </c>
      <c r="BG317" s="4284">
        <f t="shared" si="163"/>
        <v>0</v>
      </c>
      <c r="BH317" s="4284">
        <f t="shared" si="164"/>
        <v>0</v>
      </c>
      <c r="BI317" s="4284">
        <f t="shared" si="165"/>
        <v>0</v>
      </c>
      <c r="BJ317" s="4284">
        <f t="shared" si="166"/>
        <v>0</v>
      </c>
      <c r="BK317" s="4284">
        <f t="shared" si="167"/>
        <v>0</v>
      </c>
      <c r="BL317" s="4284">
        <f t="shared" si="168"/>
        <v>0</v>
      </c>
      <c r="BM317" s="4284">
        <f t="shared" si="169"/>
        <v>0</v>
      </c>
      <c r="BN317" s="4284">
        <f t="shared" si="170"/>
        <v>0</v>
      </c>
      <c r="BO317" s="4284">
        <f t="shared" si="171"/>
        <v>0</v>
      </c>
      <c r="BP317" s="4284">
        <f t="shared" si="172"/>
        <v>0</v>
      </c>
      <c r="BQ317" s="4284">
        <f t="shared" si="173"/>
        <v>0</v>
      </c>
      <c r="BR317" s="4284">
        <f t="shared" si="174"/>
        <v>0</v>
      </c>
      <c r="BS317" s="4284">
        <f t="shared" si="175"/>
        <v>0</v>
      </c>
      <c r="BT317" s="4285">
        <f t="shared" si="176"/>
        <v>0</v>
      </c>
    </row>
    <row r="318" spans="1:72">
      <c r="A318" s="4278"/>
      <c r="B318" s="4279"/>
      <c r="C318" s="4279"/>
      <c r="D318" s="4280"/>
      <c r="E318" s="1188">
        <f t="shared" si="177"/>
        <v>0</v>
      </c>
      <c r="F318" s="1680"/>
      <c r="G318" s="4281">
        <f t="shared" si="152"/>
        <v>0</v>
      </c>
      <c r="H318" s="3457">
        <f t="shared" si="153"/>
        <v>0</v>
      </c>
      <c r="I318" s="4282"/>
      <c r="J318" s="4282"/>
      <c r="K318" s="4282"/>
      <c r="L318" s="4282"/>
      <c r="M318" s="4282"/>
      <c r="N318" s="4282"/>
      <c r="O318" s="4282"/>
      <c r="P318" s="4282"/>
      <c r="Q318" s="4282"/>
      <c r="R318" s="4282"/>
      <c r="S318" s="4282"/>
      <c r="T318" s="4282"/>
      <c r="U318" s="4282"/>
      <c r="V318" s="4282"/>
      <c r="W318" s="4282"/>
      <c r="X318" s="4282"/>
      <c r="Y318" s="4282"/>
      <c r="Z318" s="4282"/>
      <c r="AA318" s="4282"/>
      <c r="AB318" s="4282"/>
      <c r="AC318" s="1188">
        <f t="shared" si="154"/>
        <v>0</v>
      </c>
      <c r="AD318" s="4278"/>
      <c r="AE318" s="4278"/>
      <c r="AF318" s="4278"/>
      <c r="AG318" s="4278"/>
      <c r="AH318" s="4278"/>
      <c r="AI318" s="4278"/>
      <c r="AJ318" s="4278"/>
      <c r="AK318" s="4278"/>
      <c r="AL318" s="4278"/>
      <c r="AM318" s="4278"/>
      <c r="AN318" s="4278"/>
      <c r="AO318" s="4278"/>
      <c r="AP318" s="4278"/>
      <c r="AQ318" s="4278"/>
      <c r="AR318" s="4278"/>
      <c r="AS318" s="4278"/>
      <c r="AT318" s="4279"/>
      <c r="AU318" s="4283"/>
      <c r="AV318" s="1188">
        <f t="shared" si="178"/>
        <v>0</v>
      </c>
      <c r="AW318" s="1188">
        <f t="shared" si="179"/>
        <v>0</v>
      </c>
      <c r="AX318" s="1188">
        <f t="shared" si="180"/>
        <v>0</v>
      </c>
      <c r="AY318" s="1452">
        <f t="shared" si="155"/>
        <v>0</v>
      </c>
      <c r="AZ318" s="4284">
        <f t="shared" si="156"/>
        <v>0</v>
      </c>
      <c r="BA318" s="4284">
        <f t="shared" si="157"/>
        <v>0</v>
      </c>
      <c r="BB318" s="4284">
        <f t="shared" si="158"/>
        <v>0</v>
      </c>
      <c r="BC318" s="4284">
        <f t="shared" si="159"/>
        <v>0</v>
      </c>
      <c r="BD318" s="4284">
        <f t="shared" si="160"/>
        <v>0</v>
      </c>
      <c r="BE318" s="4284">
        <f t="shared" si="161"/>
        <v>0</v>
      </c>
      <c r="BF318" s="4284">
        <f t="shared" si="162"/>
        <v>0</v>
      </c>
      <c r="BG318" s="4284">
        <f t="shared" si="163"/>
        <v>0</v>
      </c>
      <c r="BH318" s="4284">
        <f t="shared" si="164"/>
        <v>0</v>
      </c>
      <c r="BI318" s="4284">
        <f t="shared" si="165"/>
        <v>0</v>
      </c>
      <c r="BJ318" s="4284">
        <f t="shared" si="166"/>
        <v>0</v>
      </c>
      <c r="BK318" s="4284">
        <f t="shared" si="167"/>
        <v>0</v>
      </c>
      <c r="BL318" s="4284">
        <f t="shared" si="168"/>
        <v>0</v>
      </c>
      <c r="BM318" s="4284">
        <f t="shared" si="169"/>
        <v>0</v>
      </c>
      <c r="BN318" s="4284">
        <f t="shared" si="170"/>
        <v>0</v>
      </c>
      <c r="BO318" s="4284">
        <f t="shared" si="171"/>
        <v>0</v>
      </c>
      <c r="BP318" s="4284">
        <f t="shared" si="172"/>
        <v>0</v>
      </c>
      <c r="BQ318" s="4284">
        <f t="shared" si="173"/>
        <v>0</v>
      </c>
      <c r="BR318" s="4284">
        <f t="shared" si="174"/>
        <v>0</v>
      </c>
      <c r="BS318" s="4284">
        <f t="shared" si="175"/>
        <v>0</v>
      </c>
      <c r="BT318" s="4285">
        <f t="shared" si="176"/>
        <v>0</v>
      </c>
    </row>
    <row r="319" spans="1:72">
      <c r="A319" s="4278"/>
      <c r="B319" s="4279"/>
      <c r="C319" s="4279"/>
      <c r="D319" s="4280"/>
      <c r="E319" s="1188">
        <f t="shared" si="177"/>
        <v>0</v>
      </c>
      <c r="F319" s="1680"/>
      <c r="G319" s="4281">
        <f t="shared" si="152"/>
        <v>0</v>
      </c>
      <c r="H319" s="3457">
        <f t="shared" si="153"/>
        <v>0</v>
      </c>
      <c r="I319" s="4282"/>
      <c r="J319" s="4282"/>
      <c r="K319" s="4282"/>
      <c r="L319" s="4282"/>
      <c r="M319" s="4282"/>
      <c r="N319" s="4282"/>
      <c r="O319" s="4282"/>
      <c r="P319" s="4282"/>
      <c r="Q319" s="4282"/>
      <c r="R319" s="4282"/>
      <c r="S319" s="4282"/>
      <c r="T319" s="4282"/>
      <c r="U319" s="4282"/>
      <c r="V319" s="4282"/>
      <c r="W319" s="4282"/>
      <c r="X319" s="4282"/>
      <c r="Y319" s="4282"/>
      <c r="Z319" s="4282"/>
      <c r="AA319" s="4282"/>
      <c r="AB319" s="4282"/>
      <c r="AC319" s="1188">
        <f t="shared" si="154"/>
        <v>0</v>
      </c>
      <c r="AD319" s="4278"/>
      <c r="AE319" s="4278"/>
      <c r="AF319" s="4278"/>
      <c r="AG319" s="4278"/>
      <c r="AH319" s="4278"/>
      <c r="AI319" s="4278"/>
      <c r="AJ319" s="4278"/>
      <c r="AK319" s="4278"/>
      <c r="AL319" s="4278"/>
      <c r="AM319" s="4278"/>
      <c r="AN319" s="4278"/>
      <c r="AO319" s="4278"/>
      <c r="AP319" s="4278"/>
      <c r="AQ319" s="4278"/>
      <c r="AR319" s="4278"/>
      <c r="AS319" s="4278"/>
      <c r="AT319" s="4279"/>
      <c r="AU319" s="4283"/>
      <c r="AV319" s="1188">
        <f t="shared" si="178"/>
        <v>0</v>
      </c>
      <c r="AW319" s="1188">
        <f t="shared" si="179"/>
        <v>0</v>
      </c>
      <c r="AX319" s="1188">
        <f t="shared" si="180"/>
        <v>0</v>
      </c>
      <c r="AY319" s="1452">
        <f t="shared" si="155"/>
        <v>0</v>
      </c>
      <c r="AZ319" s="4284">
        <f t="shared" si="156"/>
        <v>0</v>
      </c>
      <c r="BA319" s="4284">
        <f t="shared" si="157"/>
        <v>0</v>
      </c>
      <c r="BB319" s="4284">
        <f t="shared" si="158"/>
        <v>0</v>
      </c>
      <c r="BC319" s="4284">
        <f t="shared" si="159"/>
        <v>0</v>
      </c>
      <c r="BD319" s="4284">
        <f t="shared" si="160"/>
        <v>0</v>
      </c>
      <c r="BE319" s="4284">
        <f t="shared" si="161"/>
        <v>0</v>
      </c>
      <c r="BF319" s="4284">
        <f t="shared" si="162"/>
        <v>0</v>
      </c>
      <c r="BG319" s="4284">
        <f t="shared" si="163"/>
        <v>0</v>
      </c>
      <c r="BH319" s="4284">
        <f t="shared" si="164"/>
        <v>0</v>
      </c>
      <c r="BI319" s="4284">
        <f t="shared" si="165"/>
        <v>0</v>
      </c>
      <c r="BJ319" s="4284">
        <f t="shared" si="166"/>
        <v>0</v>
      </c>
      <c r="BK319" s="4284">
        <f t="shared" si="167"/>
        <v>0</v>
      </c>
      <c r="BL319" s="4284">
        <f t="shared" si="168"/>
        <v>0</v>
      </c>
      <c r="BM319" s="4284">
        <f t="shared" si="169"/>
        <v>0</v>
      </c>
      <c r="BN319" s="4284">
        <f t="shared" si="170"/>
        <v>0</v>
      </c>
      <c r="BO319" s="4284">
        <f t="shared" si="171"/>
        <v>0</v>
      </c>
      <c r="BP319" s="4284">
        <f t="shared" si="172"/>
        <v>0</v>
      </c>
      <c r="BQ319" s="4284">
        <f t="shared" si="173"/>
        <v>0</v>
      </c>
      <c r="BR319" s="4284">
        <f t="shared" si="174"/>
        <v>0</v>
      </c>
      <c r="BS319" s="4284">
        <f t="shared" si="175"/>
        <v>0</v>
      </c>
      <c r="BT319" s="4285">
        <f t="shared" si="176"/>
        <v>0</v>
      </c>
    </row>
    <row r="320" spans="1:72">
      <c r="A320" s="4278"/>
      <c r="B320" s="4279"/>
      <c r="C320" s="4279"/>
      <c r="D320" s="4280"/>
      <c r="E320" s="1188">
        <f t="shared" si="177"/>
        <v>0</v>
      </c>
      <c r="F320" s="1680"/>
      <c r="G320" s="4281">
        <f t="shared" si="152"/>
        <v>0</v>
      </c>
      <c r="H320" s="3457">
        <f t="shared" si="153"/>
        <v>0</v>
      </c>
      <c r="I320" s="4282"/>
      <c r="J320" s="4282"/>
      <c r="K320" s="4282"/>
      <c r="L320" s="4282"/>
      <c r="M320" s="4282"/>
      <c r="N320" s="4282"/>
      <c r="O320" s="4282"/>
      <c r="P320" s="4282"/>
      <c r="Q320" s="4282"/>
      <c r="R320" s="4282"/>
      <c r="S320" s="4282"/>
      <c r="T320" s="4282"/>
      <c r="U320" s="4282"/>
      <c r="V320" s="4282"/>
      <c r="W320" s="4282"/>
      <c r="X320" s="4282"/>
      <c r="Y320" s="4282"/>
      <c r="Z320" s="4282"/>
      <c r="AA320" s="4282"/>
      <c r="AB320" s="4282"/>
      <c r="AC320" s="1188">
        <f t="shared" si="154"/>
        <v>0</v>
      </c>
      <c r="AD320" s="4278"/>
      <c r="AE320" s="4278"/>
      <c r="AF320" s="4278"/>
      <c r="AG320" s="4278"/>
      <c r="AH320" s="4278"/>
      <c r="AI320" s="4278"/>
      <c r="AJ320" s="4278"/>
      <c r="AK320" s="4278"/>
      <c r="AL320" s="4278"/>
      <c r="AM320" s="4278"/>
      <c r="AN320" s="4278"/>
      <c r="AO320" s="4278"/>
      <c r="AP320" s="4278"/>
      <c r="AQ320" s="4278"/>
      <c r="AR320" s="4278"/>
      <c r="AS320" s="4278"/>
      <c r="AT320" s="4279"/>
      <c r="AU320" s="4283"/>
      <c r="AV320" s="1188">
        <f t="shared" si="178"/>
        <v>0</v>
      </c>
      <c r="AW320" s="1188">
        <f t="shared" si="179"/>
        <v>0</v>
      </c>
      <c r="AX320" s="1188">
        <f t="shared" si="180"/>
        <v>0</v>
      </c>
      <c r="AY320" s="1452">
        <f t="shared" si="155"/>
        <v>0</v>
      </c>
      <c r="AZ320" s="4284">
        <f t="shared" si="156"/>
        <v>0</v>
      </c>
      <c r="BA320" s="4284">
        <f t="shared" si="157"/>
        <v>0</v>
      </c>
      <c r="BB320" s="4284">
        <f t="shared" si="158"/>
        <v>0</v>
      </c>
      <c r="BC320" s="4284">
        <f t="shared" si="159"/>
        <v>0</v>
      </c>
      <c r="BD320" s="4284">
        <f t="shared" si="160"/>
        <v>0</v>
      </c>
      <c r="BE320" s="4284">
        <f t="shared" si="161"/>
        <v>0</v>
      </c>
      <c r="BF320" s="4284">
        <f t="shared" si="162"/>
        <v>0</v>
      </c>
      <c r="BG320" s="4284">
        <f t="shared" si="163"/>
        <v>0</v>
      </c>
      <c r="BH320" s="4284">
        <f t="shared" si="164"/>
        <v>0</v>
      </c>
      <c r="BI320" s="4284">
        <f t="shared" si="165"/>
        <v>0</v>
      </c>
      <c r="BJ320" s="4284">
        <f t="shared" si="166"/>
        <v>0</v>
      </c>
      <c r="BK320" s="4284">
        <f t="shared" si="167"/>
        <v>0</v>
      </c>
      <c r="BL320" s="4284">
        <f t="shared" si="168"/>
        <v>0</v>
      </c>
      <c r="BM320" s="4284">
        <f t="shared" si="169"/>
        <v>0</v>
      </c>
      <c r="BN320" s="4284">
        <f t="shared" si="170"/>
        <v>0</v>
      </c>
      <c r="BO320" s="4284">
        <f t="shared" si="171"/>
        <v>0</v>
      </c>
      <c r="BP320" s="4284">
        <f t="shared" si="172"/>
        <v>0</v>
      </c>
      <c r="BQ320" s="4284">
        <f t="shared" si="173"/>
        <v>0</v>
      </c>
      <c r="BR320" s="4284">
        <f t="shared" si="174"/>
        <v>0</v>
      </c>
      <c r="BS320" s="4284">
        <f t="shared" si="175"/>
        <v>0</v>
      </c>
      <c r="BT320" s="4285">
        <f t="shared" si="176"/>
        <v>0</v>
      </c>
    </row>
    <row r="321" spans="1:72">
      <c r="A321" s="4278"/>
      <c r="B321" s="4279"/>
      <c r="C321" s="4279"/>
      <c r="D321" s="4280"/>
      <c r="E321" s="1188">
        <f t="shared" si="177"/>
        <v>0</v>
      </c>
      <c r="F321" s="1680"/>
      <c r="G321" s="4281">
        <f t="shared" si="152"/>
        <v>0</v>
      </c>
      <c r="H321" s="3457">
        <f t="shared" si="153"/>
        <v>0</v>
      </c>
      <c r="I321" s="4282"/>
      <c r="J321" s="4282"/>
      <c r="K321" s="4282"/>
      <c r="L321" s="4282"/>
      <c r="M321" s="4282"/>
      <c r="N321" s="4282"/>
      <c r="O321" s="4282"/>
      <c r="P321" s="4282"/>
      <c r="Q321" s="4282"/>
      <c r="R321" s="4282"/>
      <c r="S321" s="4282"/>
      <c r="T321" s="4282"/>
      <c r="U321" s="4282"/>
      <c r="V321" s="4282"/>
      <c r="W321" s="4282"/>
      <c r="X321" s="4282"/>
      <c r="Y321" s="4282"/>
      <c r="Z321" s="4282"/>
      <c r="AA321" s="4282"/>
      <c r="AB321" s="4282"/>
      <c r="AC321" s="1188">
        <f t="shared" si="154"/>
        <v>0</v>
      </c>
      <c r="AD321" s="4278"/>
      <c r="AE321" s="4278"/>
      <c r="AF321" s="4278"/>
      <c r="AG321" s="4278"/>
      <c r="AH321" s="4278"/>
      <c r="AI321" s="4278"/>
      <c r="AJ321" s="4278"/>
      <c r="AK321" s="4278"/>
      <c r="AL321" s="4278"/>
      <c r="AM321" s="4278"/>
      <c r="AN321" s="4278"/>
      <c r="AO321" s="4278"/>
      <c r="AP321" s="4278"/>
      <c r="AQ321" s="4278"/>
      <c r="AR321" s="4278"/>
      <c r="AS321" s="4278"/>
      <c r="AT321" s="4279"/>
      <c r="AU321" s="4283"/>
      <c r="AV321" s="1188">
        <f t="shared" si="178"/>
        <v>0</v>
      </c>
      <c r="AW321" s="1188">
        <f t="shared" si="179"/>
        <v>0</v>
      </c>
      <c r="AX321" s="1188">
        <f t="shared" si="180"/>
        <v>0</v>
      </c>
      <c r="AY321" s="1452">
        <f t="shared" si="155"/>
        <v>0</v>
      </c>
      <c r="AZ321" s="4284">
        <f t="shared" si="156"/>
        <v>0</v>
      </c>
      <c r="BA321" s="4284">
        <f t="shared" si="157"/>
        <v>0</v>
      </c>
      <c r="BB321" s="4284">
        <f t="shared" si="158"/>
        <v>0</v>
      </c>
      <c r="BC321" s="4284">
        <f t="shared" si="159"/>
        <v>0</v>
      </c>
      <c r="BD321" s="4284">
        <f t="shared" si="160"/>
        <v>0</v>
      </c>
      <c r="BE321" s="4284">
        <f t="shared" si="161"/>
        <v>0</v>
      </c>
      <c r="BF321" s="4284">
        <f t="shared" si="162"/>
        <v>0</v>
      </c>
      <c r="BG321" s="4284">
        <f t="shared" si="163"/>
        <v>0</v>
      </c>
      <c r="BH321" s="4284">
        <f t="shared" si="164"/>
        <v>0</v>
      </c>
      <c r="BI321" s="4284">
        <f t="shared" si="165"/>
        <v>0</v>
      </c>
      <c r="BJ321" s="4284">
        <f t="shared" si="166"/>
        <v>0</v>
      </c>
      <c r="BK321" s="4284">
        <f t="shared" si="167"/>
        <v>0</v>
      </c>
      <c r="BL321" s="4284">
        <f t="shared" si="168"/>
        <v>0</v>
      </c>
      <c r="BM321" s="4284">
        <f t="shared" si="169"/>
        <v>0</v>
      </c>
      <c r="BN321" s="4284">
        <f t="shared" si="170"/>
        <v>0</v>
      </c>
      <c r="BO321" s="4284">
        <f t="shared" si="171"/>
        <v>0</v>
      </c>
      <c r="BP321" s="4284">
        <f t="shared" si="172"/>
        <v>0</v>
      </c>
      <c r="BQ321" s="4284">
        <f t="shared" si="173"/>
        <v>0</v>
      </c>
      <c r="BR321" s="4284">
        <f t="shared" si="174"/>
        <v>0</v>
      </c>
      <c r="BS321" s="4284">
        <f t="shared" si="175"/>
        <v>0</v>
      </c>
      <c r="BT321" s="4285">
        <f t="shared" si="176"/>
        <v>0</v>
      </c>
    </row>
    <row r="322" spans="1:72">
      <c r="A322" s="4278"/>
      <c r="B322" s="4279"/>
      <c r="C322" s="4279"/>
      <c r="D322" s="4280"/>
      <c r="E322" s="1188">
        <f t="shared" si="177"/>
        <v>0</v>
      </c>
      <c r="F322" s="1680"/>
      <c r="G322" s="4281">
        <f t="shared" si="152"/>
        <v>0</v>
      </c>
      <c r="H322" s="3457">
        <f t="shared" si="153"/>
        <v>0</v>
      </c>
      <c r="I322" s="4282"/>
      <c r="J322" s="4282"/>
      <c r="K322" s="4282"/>
      <c r="L322" s="4282"/>
      <c r="M322" s="4282"/>
      <c r="N322" s="4282"/>
      <c r="O322" s="4282"/>
      <c r="P322" s="4282"/>
      <c r="Q322" s="4282"/>
      <c r="R322" s="4282"/>
      <c r="S322" s="4282"/>
      <c r="T322" s="4282"/>
      <c r="U322" s="4282"/>
      <c r="V322" s="4282"/>
      <c r="W322" s="4282"/>
      <c r="X322" s="4282"/>
      <c r="Y322" s="4282"/>
      <c r="Z322" s="4282"/>
      <c r="AA322" s="4282"/>
      <c r="AB322" s="4282"/>
      <c r="AC322" s="1188">
        <f t="shared" si="154"/>
        <v>0</v>
      </c>
      <c r="AD322" s="4278"/>
      <c r="AE322" s="4278"/>
      <c r="AF322" s="4278"/>
      <c r="AG322" s="4278"/>
      <c r="AH322" s="4278"/>
      <c r="AI322" s="4278"/>
      <c r="AJ322" s="4278"/>
      <c r="AK322" s="4278"/>
      <c r="AL322" s="4278"/>
      <c r="AM322" s="4278"/>
      <c r="AN322" s="4278"/>
      <c r="AO322" s="4278"/>
      <c r="AP322" s="4278"/>
      <c r="AQ322" s="4278"/>
      <c r="AR322" s="4278"/>
      <c r="AS322" s="4278"/>
      <c r="AT322" s="4279"/>
      <c r="AU322" s="4283"/>
      <c r="AV322" s="1188">
        <f t="shared" si="178"/>
        <v>0</v>
      </c>
      <c r="AW322" s="1188">
        <f t="shared" si="179"/>
        <v>0</v>
      </c>
      <c r="AX322" s="1188">
        <f t="shared" si="180"/>
        <v>0</v>
      </c>
      <c r="AY322" s="1452">
        <f t="shared" si="155"/>
        <v>0</v>
      </c>
      <c r="AZ322" s="4284">
        <f t="shared" si="156"/>
        <v>0</v>
      </c>
      <c r="BA322" s="4284">
        <f t="shared" si="157"/>
        <v>0</v>
      </c>
      <c r="BB322" s="4284">
        <f t="shared" si="158"/>
        <v>0</v>
      </c>
      <c r="BC322" s="4284">
        <f t="shared" si="159"/>
        <v>0</v>
      </c>
      <c r="BD322" s="4284">
        <f t="shared" si="160"/>
        <v>0</v>
      </c>
      <c r="BE322" s="4284">
        <f t="shared" si="161"/>
        <v>0</v>
      </c>
      <c r="BF322" s="4284">
        <f t="shared" si="162"/>
        <v>0</v>
      </c>
      <c r="BG322" s="4284">
        <f t="shared" si="163"/>
        <v>0</v>
      </c>
      <c r="BH322" s="4284">
        <f t="shared" si="164"/>
        <v>0</v>
      </c>
      <c r="BI322" s="4284">
        <f t="shared" si="165"/>
        <v>0</v>
      </c>
      <c r="BJ322" s="4284">
        <f t="shared" si="166"/>
        <v>0</v>
      </c>
      <c r="BK322" s="4284">
        <f t="shared" si="167"/>
        <v>0</v>
      </c>
      <c r="BL322" s="4284">
        <f t="shared" si="168"/>
        <v>0</v>
      </c>
      <c r="BM322" s="4284">
        <f t="shared" si="169"/>
        <v>0</v>
      </c>
      <c r="BN322" s="4284">
        <f t="shared" si="170"/>
        <v>0</v>
      </c>
      <c r="BO322" s="4284">
        <f t="shared" si="171"/>
        <v>0</v>
      </c>
      <c r="BP322" s="4284">
        <f t="shared" si="172"/>
        <v>0</v>
      </c>
      <c r="BQ322" s="4284">
        <f t="shared" si="173"/>
        <v>0</v>
      </c>
      <c r="BR322" s="4284">
        <f t="shared" si="174"/>
        <v>0</v>
      </c>
      <c r="BS322" s="4284">
        <f t="shared" si="175"/>
        <v>0</v>
      </c>
      <c r="BT322" s="4285">
        <f t="shared" si="176"/>
        <v>0</v>
      </c>
    </row>
    <row r="323" spans="1:72">
      <c r="A323" s="4278"/>
      <c r="B323" s="4279"/>
      <c r="C323" s="4279"/>
      <c r="D323" s="4280"/>
      <c r="E323" s="1188">
        <f t="shared" si="177"/>
        <v>0</v>
      </c>
      <c r="F323" s="1680"/>
      <c r="G323" s="4281">
        <f t="shared" si="152"/>
        <v>0</v>
      </c>
      <c r="H323" s="3457">
        <f t="shared" si="153"/>
        <v>0</v>
      </c>
      <c r="I323" s="4282"/>
      <c r="J323" s="4282"/>
      <c r="K323" s="4282"/>
      <c r="L323" s="4282"/>
      <c r="M323" s="4282"/>
      <c r="N323" s="4282"/>
      <c r="O323" s="4282"/>
      <c r="P323" s="4282"/>
      <c r="Q323" s="4282"/>
      <c r="R323" s="4282"/>
      <c r="S323" s="4282"/>
      <c r="T323" s="4282"/>
      <c r="U323" s="4282"/>
      <c r="V323" s="4282"/>
      <c r="W323" s="4282"/>
      <c r="X323" s="4282"/>
      <c r="Y323" s="4282"/>
      <c r="Z323" s="4282"/>
      <c r="AA323" s="4282"/>
      <c r="AB323" s="4282"/>
      <c r="AC323" s="1188">
        <f t="shared" si="154"/>
        <v>0</v>
      </c>
      <c r="AD323" s="4278"/>
      <c r="AE323" s="4278"/>
      <c r="AF323" s="4278"/>
      <c r="AG323" s="4278"/>
      <c r="AH323" s="4278"/>
      <c r="AI323" s="4278"/>
      <c r="AJ323" s="4278"/>
      <c r="AK323" s="4278"/>
      <c r="AL323" s="4278"/>
      <c r="AM323" s="4278"/>
      <c r="AN323" s="4278"/>
      <c r="AO323" s="4278"/>
      <c r="AP323" s="4278"/>
      <c r="AQ323" s="4278"/>
      <c r="AR323" s="4278"/>
      <c r="AS323" s="4278"/>
      <c r="AT323" s="4279"/>
      <c r="AU323" s="4283"/>
      <c r="AV323" s="1188">
        <f t="shared" si="178"/>
        <v>0</v>
      </c>
      <c r="AW323" s="1188">
        <f t="shared" si="179"/>
        <v>0</v>
      </c>
      <c r="AX323" s="1188">
        <f t="shared" si="180"/>
        <v>0</v>
      </c>
      <c r="AY323" s="1452">
        <f t="shared" si="155"/>
        <v>0</v>
      </c>
      <c r="AZ323" s="4284">
        <f t="shared" si="156"/>
        <v>0</v>
      </c>
      <c r="BA323" s="4284">
        <f t="shared" si="157"/>
        <v>0</v>
      </c>
      <c r="BB323" s="4284">
        <f t="shared" si="158"/>
        <v>0</v>
      </c>
      <c r="BC323" s="4284">
        <f t="shared" si="159"/>
        <v>0</v>
      </c>
      <c r="BD323" s="4284">
        <f t="shared" si="160"/>
        <v>0</v>
      </c>
      <c r="BE323" s="4284">
        <f t="shared" si="161"/>
        <v>0</v>
      </c>
      <c r="BF323" s="4284">
        <f t="shared" si="162"/>
        <v>0</v>
      </c>
      <c r="BG323" s="4284">
        <f t="shared" si="163"/>
        <v>0</v>
      </c>
      <c r="BH323" s="4284">
        <f t="shared" si="164"/>
        <v>0</v>
      </c>
      <c r="BI323" s="4284">
        <f t="shared" si="165"/>
        <v>0</v>
      </c>
      <c r="BJ323" s="4284">
        <f t="shared" si="166"/>
        <v>0</v>
      </c>
      <c r="BK323" s="4284">
        <f t="shared" si="167"/>
        <v>0</v>
      </c>
      <c r="BL323" s="4284">
        <f t="shared" si="168"/>
        <v>0</v>
      </c>
      <c r="BM323" s="4284">
        <f t="shared" si="169"/>
        <v>0</v>
      </c>
      <c r="BN323" s="4284">
        <f t="shared" si="170"/>
        <v>0</v>
      </c>
      <c r="BO323" s="4284">
        <f t="shared" si="171"/>
        <v>0</v>
      </c>
      <c r="BP323" s="4284">
        <f t="shared" si="172"/>
        <v>0</v>
      </c>
      <c r="BQ323" s="4284">
        <f t="shared" si="173"/>
        <v>0</v>
      </c>
      <c r="BR323" s="4284">
        <f t="shared" si="174"/>
        <v>0</v>
      </c>
      <c r="BS323" s="4284">
        <f t="shared" si="175"/>
        <v>0</v>
      </c>
      <c r="BT323" s="4285">
        <f t="shared" si="176"/>
        <v>0</v>
      </c>
    </row>
    <row r="324" spans="1:72">
      <c r="A324" s="4278"/>
      <c r="B324" s="4279"/>
      <c r="C324" s="4279"/>
      <c r="D324" s="4280"/>
      <c r="E324" s="1188">
        <f t="shared" si="177"/>
        <v>0</v>
      </c>
      <c r="F324" s="1680"/>
      <c r="G324" s="4281">
        <f t="shared" si="152"/>
        <v>0</v>
      </c>
      <c r="H324" s="3457">
        <f t="shared" si="153"/>
        <v>0</v>
      </c>
      <c r="I324" s="4282"/>
      <c r="J324" s="4282"/>
      <c r="K324" s="4282"/>
      <c r="L324" s="4282"/>
      <c r="M324" s="4282"/>
      <c r="N324" s="4282"/>
      <c r="O324" s="4282"/>
      <c r="P324" s="4282"/>
      <c r="Q324" s="4282"/>
      <c r="R324" s="4282"/>
      <c r="S324" s="4282"/>
      <c r="T324" s="4282"/>
      <c r="U324" s="4282"/>
      <c r="V324" s="4282"/>
      <c r="W324" s="4282"/>
      <c r="X324" s="4282"/>
      <c r="Y324" s="4282"/>
      <c r="Z324" s="4282"/>
      <c r="AA324" s="4282"/>
      <c r="AB324" s="4282"/>
      <c r="AC324" s="1188">
        <f t="shared" si="154"/>
        <v>0</v>
      </c>
      <c r="AD324" s="4278"/>
      <c r="AE324" s="4278"/>
      <c r="AF324" s="4278"/>
      <c r="AG324" s="4278"/>
      <c r="AH324" s="4278"/>
      <c r="AI324" s="4278"/>
      <c r="AJ324" s="4278"/>
      <c r="AK324" s="4278"/>
      <c r="AL324" s="4278"/>
      <c r="AM324" s="4278"/>
      <c r="AN324" s="4278"/>
      <c r="AO324" s="4278"/>
      <c r="AP324" s="4278"/>
      <c r="AQ324" s="4278"/>
      <c r="AR324" s="4278"/>
      <c r="AS324" s="4278"/>
      <c r="AT324" s="4279"/>
      <c r="AU324" s="4283"/>
      <c r="AV324" s="1188">
        <f t="shared" si="178"/>
        <v>0</v>
      </c>
      <c r="AW324" s="1188">
        <f t="shared" si="179"/>
        <v>0</v>
      </c>
      <c r="AX324" s="1188">
        <f t="shared" si="180"/>
        <v>0</v>
      </c>
      <c r="AY324" s="1452">
        <f t="shared" si="155"/>
        <v>0</v>
      </c>
      <c r="AZ324" s="4284">
        <f t="shared" si="156"/>
        <v>0</v>
      </c>
      <c r="BA324" s="4284">
        <f t="shared" si="157"/>
        <v>0</v>
      </c>
      <c r="BB324" s="4284">
        <f t="shared" si="158"/>
        <v>0</v>
      </c>
      <c r="BC324" s="4284">
        <f t="shared" si="159"/>
        <v>0</v>
      </c>
      <c r="BD324" s="4284">
        <f t="shared" si="160"/>
        <v>0</v>
      </c>
      <c r="BE324" s="4284">
        <f t="shared" si="161"/>
        <v>0</v>
      </c>
      <c r="BF324" s="4284">
        <f t="shared" si="162"/>
        <v>0</v>
      </c>
      <c r="BG324" s="4284">
        <f t="shared" si="163"/>
        <v>0</v>
      </c>
      <c r="BH324" s="4284">
        <f t="shared" si="164"/>
        <v>0</v>
      </c>
      <c r="BI324" s="4284">
        <f t="shared" si="165"/>
        <v>0</v>
      </c>
      <c r="BJ324" s="4284">
        <f t="shared" si="166"/>
        <v>0</v>
      </c>
      <c r="BK324" s="4284">
        <f t="shared" si="167"/>
        <v>0</v>
      </c>
      <c r="BL324" s="4284">
        <f t="shared" si="168"/>
        <v>0</v>
      </c>
      <c r="BM324" s="4284">
        <f t="shared" si="169"/>
        <v>0</v>
      </c>
      <c r="BN324" s="4284">
        <f t="shared" si="170"/>
        <v>0</v>
      </c>
      <c r="BO324" s="4284">
        <f t="shared" si="171"/>
        <v>0</v>
      </c>
      <c r="BP324" s="4284">
        <f t="shared" si="172"/>
        <v>0</v>
      </c>
      <c r="BQ324" s="4284">
        <f t="shared" si="173"/>
        <v>0</v>
      </c>
      <c r="BR324" s="4284">
        <f t="shared" si="174"/>
        <v>0</v>
      </c>
      <c r="BS324" s="4284">
        <f t="shared" si="175"/>
        <v>0</v>
      </c>
      <c r="BT324" s="4285">
        <f t="shared" si="176"/>
        <v>0</v>
      </c>
    </row>
    <row r="325" spans="1:72">
      <c r="A325" s="4278"/>
      <c r="B325" s="4279"/>
      <c r="C325" s="4279"/>
      <c r="D325" s="4280"/>
      <c r="E325" s="1188">
        <f t="shared" si="177"/>
        <v>0</v>
      </c>
      <c r="F325" s="1680"/>
      <c r="G325" s="4281">
        <f t="shared" si="152"/>
        <v>0</v>
      </c>
      <c r="H325" s="3457">
        <f t="shared" si="153"/>
        <v>0</v>
      </c>
      <c r="I325" s="4282"/>
      <c r="J325" s="4282"/>
      <c r="K325" s="4282"/>
      <c r="L325" s="4282"/>
      <c r="M325" s="4282"/>
      <c r="N325" s="4282"/>
      <c r="O325" s="4282"/>
      <c r="P325" s="4282"/>
      <c r="Q325" s="4282"/>
      <c r="R325" s="4282"/>
      <c r="S325" s="4282"/>
      <c r="T325" s="4282"/>
      <c r="U325" s="4282"/>
      <c r="V325" s="4282"/>
      <c r="W325" s="4282"/>
      <c r="X325" s="4282"/>
      <c r="Y325" s="4282"/>
      <c r="Z325" s="4282"/>
      <c r="AA325" s="4282"/>
      <c r="AB325" s="4282"/>
      <c r="AC325" s="1188">
        <f t="shared" si="154"/>
        <v>0</v>
      </c>
      <c r="AD325" s="4278"/>
      <c r="AE325" s="4278"/>
      <c r="AF325" s="4278"/>
      <c r="AG325" s="4278"/>
      <c r="AH325" s="4278"/>
      <c r="AI325" s="4278"/>
      <c r="AJ325" s="4278"/>
      <c r="AK325" s="4278"/>
      <c r="AL325" s="4278"/>
      <c r="AM325" s="4278"/>
      <c r="AN325" s="4278"/>
      <c r="AO325" s="4278"/>
      <c r="AP325" s="4278"/>
      <c r="AQ325" s="4278"/>
      <c r="AR325" s="4278"/>
      <c r="AS325" s="4278"/>
      <c r="AT325" s="4279"/>
      <c r="AU325" s="4283"/>
      <c r="AV325" s="1188">
        <f t="shared" si="178"/>
        <v>0</v>
      </c>
      <c r="AW325" s="1188">
        <f t="shared" si="179"/>
        <v>0</v>
      </c>
      <c r="AX325" s="1188">
        <f t="shared" si="180"/>
        <v>0</v>
      </c>
      <c r="AY325" s="1452">
        <f t="shared" si="155"/>
        <v>0</v>
      </c>
      <c r="AZ325" s="4284">
        <f t="shared" si="156"/>
        <v>0</v>
      </c>
      <c r="BA325" s="4284">
        <f t="shared" si="157"/>
        <v>0</v>
      </c>
      <c r="BB325" s="4284">
        <f t="shared" si="158"/>
        <v>0</v>
      </c>
      <c r="BC325" s="4284">
        <f t="shared" si="159"/>
        <v>0</v>
      </c>
      <c r="BD325" s="4284">
        <f t="shared" si="160"/>
        <v>0</v>
      </c>
      <c r="BE325" s="4284">
        <f t="shared" si="161"/>
        <v>0</v>
      </c>
      <c r="BF325" s="4284">
        <f t="shared" si="162"/>
        <v>0</v>
      </c>
      <c r="BG325" s="4284">
        <f t="shared" si="163"/>
        <v>0</v>
      </c>
      <c r="BH325" s="4284">
        <f t="shared" si="164"/>
        <v>0</v>
      </c>
      <c r="BI325" s="4284">
        <f t="shared" si="165"/>
        <v>0</v>
      </c>
      <c r="BJ325" s="4284">
        <f t="shared" si="166"/>
        <v>0</v>
      </c>
      <c r="BK325" s="4284">
        <f t="shared" si="167"/>
        <v>0</v>
      </c>
      <c r="BL325" s="4284">
        <f t="shared" si="168"/>
        <v>0</v>
      </c>
      <c r="BM325" s="4284">
        <f t="shared" si="169"/>
        <v>0</v>
      </c>
      <c r="BN325" s="4284">
        <f t="shared" si="170"/>
        <v>0</v>
      </c>
      <c r="BO325" s="4284">
        <f t="shared" si="171"/>
        <v>0</v>
      </c>
      <c r="BP325" s="4284">
        <f t="shared" si="172"/>
        <v>0</v>
      </c>
      <c r="BQ325" s="4284">
        <f t="shared" si="173"/>
        <v>0</v>
      </c>
      <c r="BR325" s="4284">
        <f t="shared" si="174"/>
        <v>0</v>
      </c>
      <c r="BS325" s="4284">
        <f t="shared" si="175"/>
        <v>0</v>
      </c>
      <c r="BT325" s="4285">
        <f t="shared" si="176"/>
        <v>0</v>
      </c>
    </row>
    <row r="326" spans="1:72">
      <c r="A326" s="4278"/>
      <c r="B326" s="4279"/>
      <c r="C326" s="4279"/>
      <c r="D326" s="4280"/>
      <c r="E326" s="1188">
        <f t="shared" si="177"/>
        <v>0</v>
      </c>
      <c r="F326" s="1680"/>
      <c r="G326" s="4281">
        <f t="shared" si="152"/>
        <v>0</v>
      </c>
      <c r="H326" s="3457">
        <f t="shared" si="153"/>
        <v>0</v>
      </c>
      <c r="I326" s="4282"/>
      <c r="J326" s="4282"/>
      <c r="K326" s="4282"/>
      <c r="L326" s="4282"/>
      <c r="M326" s="4282"/>
      <c r="N326" s="4282"/>
      <c r="O326" s="4282"/>
      <c r="P326" s="4282"/>
      <c r="Q326" s="4282"/>
      <c r="R326" s="4282"/>
      <c r="S326" s="4282"/>
      <c r="T326" s="4282"/>
      <c r="U326" s="4282"/>
      <c r="V326" s="4282"/>
      <c r="W326" s="4282"/>
      <c r="X326" s="4282"/>
      <c r="Y326" s="4282"/>
      <c r="Z326" s="4282"/>
      <c r="AA326" s="4282"/>
      <c r="AB326" s="4282"/>
      <c r="AC326" s="1188">
        <f t="shared" si="154"/>
        <v>0</v>
      </c>
      <c r="AD326" s="4278"/>
      <c r="AE326" s="4278"/>
      <c r="AF326" s="4278"/>
      <c r="AG326" s="4278"/>
      <c r="AH326" s="4278"/>
      <c r="AI326" s="4278"/>
      <c r="AJ326" s="4278"/>
      <c r="AK326" s="4278"/>
      <c r="AL326" s="4278"/>
      <c r="AM326" s="4278"/>
      <c r="AN326" s="4278"/>
      <c r="AO326" s="4278"/>
      <c r="AP326" s="4278"/>
      <c r="AQ326" s="4278"/>
      <c r="AR326" s="4278"/>
      <c r="AS326" s="4278"/>
      <c r="AT326" s="4279"/>
      <c r="AU326" s="4283"/>
      <c r="AV326" s="1188">
        <f t="shared" si="178"/>
        <v>0</v>
      </c>
      <c r="AW326" s="1188">
        <f t="shared" si="179"/>
        <v>0</v>
      </c>
      <c r="AX326" s="1188">
        <f t="shared" si="180"/>
        <v>0</v>
      </c>
      <c r="AY326" s="1452">
        <f t="shared" si="155"/>
        <v>0</v>
      </c>
      <c r="AZ326" s="4284">
        <f t="shared" si="156"/>
        <v>0</v>
      </c>
      <c r="BA326" s="4284">
        <f t="shared" si="157"/>
        <v>0</v>
      </c>
      <c r="BB326" s="4284">
        <f t="shared" si="158"/>
        <v>0</v>
      </c>
      <c r="BC326" s="4284">
        <f t="shared" si="159"/>
        <v>0</v>
      </c>
      <c r="BD326" s="4284">
        <f t="shared" si="160"/>
        <v>0</v>
      </c>
      <c r="BE326" s="4284">
        <f t="shared" si="161"/>
        <v>0</v>
      </c>
      <c r="BF326" s="4284">
        <f t="shared" si="162"/>
        <v>0</v>
      </c>
      <c r="BG326" s="4284">
        <f t="shared" si="163"/>
        <v>0</v>
      </c>
      <c r="BH326" s="4284">
        <f t="shared" si="164"/>
        <v>0</v>
      </c>
      <c r="BI326" s="4284">
        <f t="shared" si="165"/>
        <v>0</v>
      </c>
      <c r="BJ326" s="4284">
        <f t="shared" si="166"/>
        <v>0</v>
      </c>
      <c r="BK326" s="4284">
        <f t="shared" si="167"/>
        <v>0</v>
      </c>
      <c r="BL326" s="4284">
        <f t="shared" si="168"/>
        <v>0</v>
      </c>
      <c r="BM326" s="4284">
        <f t="shared" si="169"/>
        <v>0</v>
      </c>
      <c r="BN326" s="4284">
        <f t="shared" si="170"/>
        <v>0</v>
      </c>
      <c r="BO326" s="4284">
        <f t="shared" si="171"/>
        <v>0</v>
      </c>
      <c r="BP326" s="4284">
        <f t="shared" si="172"/>
        <v>0</v>
      </c>
      <c r="BQ326" s="4284">
        <f t="shared" si="173"/>
        <v>0</v>
      </c>
      <c r="BR326" s="4284">
        <f t="shared" si="174"/>
        <v>0</v>
      </c>
      <c r="BS326" s="4284">
        <f t="shared" si="175"/>
        <v>0</v>
      </c>
      <c r="BT326" s="4285">
        <f t="shared" si="176"/>
        <v>0</v>
      </c>
    </row>
    <row r="327" spans="1:72">
      <c r="A327" s="4278"/>
      <c r="B327" s="4279"/>
      <c r="C327" s="4279"/>
      <c r="D327" s="4280"/>
      <c r="E327" s="1188">
        <f t="shared" si="177"/>
        <v>0</v>
      </c>
      <c r="F327" s="1680"/>
      <c r="G327" s="4281">
        <f t="shared" si="152"/>
        <v>0</v>
      </c>
      <c r="H327" s="3457">
        <f t="shared" si="153"/>
        <v>0</v>
      </c>
      <c r="I327" s="4282"/>
      <c r="J327" s="4282"/>
      <c r="K327" s="4282"/>
      <c r="L327" s="4282"/>
      <c r="M327" s="4282"/>
      <c r="N327" s="4282"/>
      <c r="O327" s="4282"/>
      <c r="P327" s="4282"/>
      <c r="Q327" s="4282"/>
      <c r="R327" s="4282"/>
      <c r="S327" s="4282"/>
      <c r="T327" s="4282"/>
      <c r="U327" s="4282"/>
      <c r="V327" s="4282"/>
      <c r="W327" s="4282"/>
      <c r="X327" s="4282"/>
      <c r="Y327" s="4282"/>
      <c r="Z327" s="4282"/>
      <c r="AA327" s="4282"/>
      <c r="AB327" s="4282"/>
      <c r="AC327" s="1188">
        <f t="shared" si="154"/>
        <v>0</v>
      </c>
      <c r="AD327" s="4278"/>
      <c r="AE327" s="4278"/>
      <c r="AF327" s="4278"/>
      <c r="AG327" s="4278"/>
      <c r="AH327" s="4278"/>
      <c r="AI327" s="4278"/>
      <c r="AJ327" s="4278"/>
      <c r="AK327" s="4278"/>
      <c r="AL327" s="4278"/>
      <c r="AM327" s="4278"/>
      <c r="AN327" s="4278"/>
      <c r="AO327" s="4278"/>
      <c r="AP327" s="4278"/>
      <c r="AQ327" s="4278"/>
      <c r="AR327" s="4278"/>
      <c r="AS327" s="4278"/>
      <c r="AT327" s="4279"/>
      <c r="AU327" s="4283"/>
      <c r="AV327" s="1188">
        <f t="shared" si="178"/>
        <v>0</v>
      </c>
      <c r="AW327" s="1188">
        <f t="shared" si="179"/>
        <v>0</v>
      </c>
      <c r="AX327" s="1188">
        <f t="shared" si="180"/>
        <v>0</v>
      </c>
      <c r="AY327" s="1452">
        <f t="shared" si="155"/>
        <v>0</v>
      </c>
      <c r="AZ327" s="4284">
        <f t="shared" si="156"/>
        <v>0</v>
      </c>
      <c r="BA327" s="4284">
        <f t="shared" si="157"/>
        <v>0</v>
      </c>
      <c r="BB327" s="4284">
        <f t="shared" si="158"/>
        <v>0</v>
      </c>
      <c r="BC327" s="4284">
        <f t="shared" si="159"/>
        <v>0</v>
      </c>
      <c r="BD327" s="4284">
        <f t="shared" si="160"/>
        <v>0</v>
      </c>
      <c r="BE327" s="4284">
        <f t="shared" si="161"/>
        <v>0</v>
      </c>
      <c r="BF327" s="4284">
        <f t="shared" si="162"/>
        <v>0</v>
      </c>
      <c r="BG327" s="4284">
        <f t="shared" si="163"/>
        <v>0</v>
      </c>
      <c r="BH327" s="4284">
        <f t="shared" si="164"/>
        <v>0</v>
      </c>
      <c r="BI327" s="4284">
        <f t="shared" si="165"/>
        <v>0</v>
      </c>
      <c r="BJ327" s="4284">
        <f t="shared" si="166"/>
        <v>0</v>
      </c>
      <c r="BK327" s="4284">
        <f t="shared" si="167"/>
        <v>0</v>
      </c>
      <c r="BL327" s="4284">
        <f t="shared" si="168"/>
        <v>0</v>
      </c>
      <c r="BM327" s="4284">
        <f t="shared" si="169"/>
        <v>0</v>
      </c>
      <c r="BN327" s="4284">
        <f t="shared" si="170"/>
        <v>0</v>
      </c>
      <c r="BO327" s="4284">
        <f t="shared" si="171"/>
        <v>0</v>
      </c>
      <c r="BP327" s="4284">
        <f t="shared" si="172"/>
        <v>0</v>
      </c>
      <c r="BQ327" s="4284">
        <f t="shared" si="173"/>
        <v>0</v>
      </c>
      <c r="BR327" s="4284">
        <f t="shared" si="174"/>
        <v>0</v>
      </c>
      <c r="BS327" s="4284">
        <f t="shared" si="175"/>
        <v>0</v>
      </c>
      <c r="BT327" s="4285">
        <f t="shared" si="176"/>
        <v>0</v>
      </c>
    </row>
    <row r="328" spans="1:72">
      <c r="A328" s="4278"/>
      <c r="B328" s="4279"/>
      <c r="C328" s="4279"/>
      <c r="D328" s="4280"/>
      <c r="E328" s="1188">
        <f t="shared" si="177"/>
        <v>0</v>
      </c>
      <c r="F328" s="1680"/>
      <c r="G328" s="4281">
        <f t="shared" si="152"/>
        <v>0</v>
      </c>
      <c r="H328" s="3457">
        <f t="shared" si="153"/>
        <v>0</v>
      </c>
      <c r="I328" s="4282"/>
      <c r="J328" s="4282"/>
      <c r="K328" s="4282"/>
      <c r="L328" s="4282"/>
      <c r="M328" s="4282"/>
      <c r="N328" s="4282"/>
      <c r="O328" s="4282"/>
      <c r="P328" s="4282"/>
      <c r="Q328" s="4282"/>
      <c r="R328" s="4282"/>
      <c r="S328" s="4282"/>
      <c r="T328" s="4282"/>
      <c r="U328" s="4282"/>
      <c r="V328" s="4282"/>
      <c r="W328" s="4282"/>
      <c r="X328" s="4282"/>
      <c r="Y328" s="4282"/>
      <c r="Z328" s="4282"/>
      <c r="AA328" s="4282"/>
      <c r="AB328" s="4282"/>
      <c r="AC328" s="1188">
        <f t="shared" si="154"/>
        <v>0</v>
      </c>
      <c r="AD328" s="4278"/>
      <c r="AE328" s="4278"/>
      <c r="AF328" s="4278"/>
      <c r="AG328" s="4278"/>
      <c r="AH328" s="4278"/>
      <c r="AI328" s="4278"/>
      <c r="AJ328" s="4278"/>
      <c r="AK328" s="4278"/>
      <c r="AL328" s="4278"/>
      <c r="AM328" s="4278"/>
      <c r="AN328" s="4278"/>
      <c r="AO328" s="4278"/>
      <c r="AP328" s="4278"/>
      <c r="AQ328" s="4278"/>
      <c r="AR328" s="4278"/>
      <c r="AS328" s="4278"/>
      <c r="AT328" s="4279"/>
      <c r="AU328" s="4283"/>
      <c r="AV328" s="1188">
        <f t="shared" si="178"/>
        <v>0</v>
      </c>
      <c r="AW328" s="1188">
        <f t="shared" si="179"/>
        <v>0</v>
      </c>
      <c r="AX328" s="1188">
        <f t="shared" si="180"/>
        <v>0</v>
      </c>
      <c r="AY328" s="1452">
        <f t="shared" si="155"/>
        <v>0</v>
      </c>
      <c r="AZ328" s="4284">
        <f t="shared" si="156"/>
        <v>0</v>
      </c>
      <c r="BA328" s="4284">
        <f t="shared" si="157"/>
        <v>0</v>
      </c>
      <c r="BB328" s="4284">
        <f t="shared" si="158"/>
        <v>0</v>
      </c>
      <c r="BC328" s="4284">
        <f t="shared" si="159"/>
        <v>0</v>
      </c>
      <c r="BD328" s="4284">
        <f t="shared" si="160"/>
        <v>0</v>
      </c>
      <c r="BE328" s="4284">
        <f t="shared" si="161"/>
        <v>0</v>
      </c>
      <c r="BF328" s="4284">
        <f t="shared" si="162"/>
        <v>0</v>
      </c>
      <c r="BG328" s="4284">
        <f t="shared" si="163"/>
        <v>0</v>
      </c>
      <c r="BH328" s="4284">
        <f t="shared" si="164"/>
        <v>0</v>
      </c>
      <c r="BI328" s="4284">
        <f t="shared" si="165"/>
        <v>0</v>
      </c>
      <c r="BJ328" s="4284">
        <f t="shared" si="166"/>
        <v>0</v>
      </c>
      <c r="BK328" s="4284">
        <f t="shared" si="167"/>
        <v>0</v>
      </c>
      <c r="BL328" s="4284">
        <f t="shared" si="168"/>
        <v>0</v>
      </c>
      <c r="BM328" s="4284">
        <f t="shared" si="169"/>
        <v>0</v>
      </c>
      <c r="BN328" s="4284">
        <f t="shared" si="170"/>
        <v>0</v>
      </c>
      <c r="BO328" s="4284">
        <f t="shared" si="171"/>
        <v>0</v>
      </c>
      <c r="BP328" s="4284">
        <f t="shared" si="172"/>
        <v>0</v>
      </c>
      <c r="BQ328" s="4284">
        <f t="shared" si="173"/>
        <v>0</v>
      </c>
      <c r="BR328" s="4284">
        <f t="shared" si="174"/>
        <v>0</v>
      </c>
      <c r="BS328" s="4284">
        <f t="shared" si="175"/>
        <v>0</v>
      </c>
      <c r="BT328" s="4285">
        <f t="shared" si="176"/>
        <v>0</v>
      </c>
    </row>
    <row r="329" spans="1:72">
      <c r="A329" s="4278"/>
      <c r="B329" s="4279"/>
      <c r="C329" s="4279"/>
      <c r="D329" s="4280"/>
      <c r="E329" s="1188">
        <f t="shared" si="177"/>
        <v>0</v>
      </c>
      <c r="F329" s="1680"/>
      <c r="G329" s="4281">
        <f t="shared" si="152"/>
        <v>0</v>
      </c>
      <c r="H329" s="3457">
        <f t="shared" si="153"/>
        <v>0</v>
      </c>
      <c r="I329" s="4282"/>
      <c r="J329" s="4282"/>
      <c r="K329" s="4282"/>
      <c r="L329" s="4282"/>
      <c r="M329" s="4282"/>
      <c r="N329" s="4282"/>
      <c r="O329" s="4282"/>
      <c r="P329" s="4282"/>
      <c r="Q329" s="4282"/>
      <c r="R329" s="4282"/>
      <c r="S329" s="4282"/>
      <c r="T329" s="4282"/>
      <c r="U329" s="4282"/>
      <c r="V329" s="4282"/>
      <c r="W329" s="4282"/>
      <c r="X329" s="4282"/>
      <c r="Y329" s="4282"/>
      <c r="Z329" s="4282"/>
      <c r="AA329" s="4282"/>
      <c r="AB329" s="4282"/>
      <c r="AC329" s="1188">
        <f t="shared" si="154"/>
        <v>0</v>
      </c>
      <c r="AD329" s="4278"/>
      <c r="AE329" s="4278"/>
      <c r="AF329" s="4278"/>
      <c r="AG329" s="4278"/>
      <c r="AH329" s="4278"/>
      <c r="AI329" s="4278"/>
      <c r="AJ329" s="4278"/>
      <c r="AK329" s="4278"/>
      <c r="AL329" s="4278"/>
      <c r="AM329" s="4278"/>
      <c r="AN329" s="4278"/>
      <c r="AO329" s="4278"/>
      <c r="AP329" s="4278"/>
      <c r="AQ329" s="4278"/>
      <c r="AR329" s="4278"/>
      <c r="AS329" s="4278"/>
      <c r="AT329" s="4279"/>
      <c r="AU329" s="4283"/>
      <c r="AV329" s="1188">
        <f t="shared" si="178"/>
        <v>0</v>
      </c>
      <c r="AW329" s="1188">
        <f t="shared" si="179"/>
        <v>0</v>
      </c>
      <c r="AX329" s="1188">
        <f t="shared" si="180"/>
        <v>0</v>
      </c>
      <c r="AY329" s="1452">
        <f t="shared" si="155"/>
        <v>0</v>
      </c>
      <c r="AZ329" s="4284">
        <f t="shared" si="156"/>
        <v>0</v>
      </c>
      <c r="BA329" s="4284">
        <f t="shared" si="157"/>
        <v>0</v>
      </c>
      <c r="BB329" s="4284">
        <f t="shared" si="158"/>
        <v>0</v>
      </c>
      <c r="BC329" s="4284">
        <f t="shared" si="159"/>
        <v>0</v>
      </c>
      <c r="BD329" s="4284">
        <f t="shared" si="160"/>
        <v>0</v>
      </c>
      <c r="BE329" s="4284">
        <f t="shared" si="161"/>
        <v>0</v>
      </c>
      <c r="BF329" s="4284">
        <f t="shared" si="162"/>
        <v>0</v>
      </c>
      <c r="BG329" s="4284">
        <f t="shared" si="163"/>
        <v>0</v>
      </c>
      <c r="BH329" s="4284">
        <f t="shared" si="164"/>
        <v>0</v>
      </c>
      <c r="BI329" s="4284">
        <f t="shared" si="165"/>
        <v>0</v>
      </c>
      <c r="BJ329" s="4284">
        <f t="shared" si="166"/>
        <v>0</v>
      </c>
      <c r="BK329" s="4284">
        <f t="shared" si="167"/>
        <v>0</v>
      </c>
      <c r="BL329" s="4284">
        <f t="shared" si="168"/>
        <v>0</v>
      </c>
      <c r="BM329" s="4284">
        <f t="shared" si="169"/>
        <v>0</v>
      </c>
      <c r="BN329" s="4284">
        <f t="shared" si="170"/>
        <v>0</v>
      </c>
      <c r="BO329" s="4284">
        <f t="shared" si="171"/>
        <v>0</v>
      </c>
      <c r="BP329" s="4284">
        <f t="shared" si="172"/>
        <v>0</v>
      </c>
      <c r="BQ329" s="4284">
        <f t="shared" si="173"/>
        <v>0</v>
      </c>
      <c r="BR329" s="4284">
        <f t="shared" si="174"/>
        <v>0</v>
      </c>
      <c r="BS329" s="4284">
        <f t="shared" si="175"/>
        <v>0</v>
      </c>
      <c r="BT329" s="4285">
        <f t="shared" si="176"/>
        <v>0</v>
      </c>
    </row>
    <row r="330" spans="1:72">
      <c r="A330" s="4278"/>
      <c r="B330" s="4279"/>
      <c r="C330" s="4279"/>
      <c r="D330" s="4280"/>
      <c r="E330" s="1188">
        <f t="shared" si="177"/>
        <v>0</v>
      </c>
      <c r="F330" s="1680"/>
      <c r="G330" s="4281">
        <f t="shared" si="152"/>
        <v>0</v>
      </c>
      <c r="H330" s="3457">
        <f t="shared" si="153"/>
        <v>0</v>
      </c>
      <c r="I330" s="4282"/>
      <c r="J330" s="4282"/>
      <c r="K330" s="4282"/>
      <c r="L330" s="4282"/>
      <c r="M330" s="4282"/>
      <c r="N330" s="4282"/>
      <c r="O330" s="4282"/>
      <c r="P330" s="4282"/>
      <c r="Q330" s="4282"/>
      <c r="R330" s="4282"/>
      <c r="S330" s="4282"/>
      <c r="T330" s="4282"/>
      <c r="U330" s="4282"/>
      <c r="V330" s="4282"/>
      <c r="W330" s="4282"/>
      <c r="X330" s="4282"/>
      <c r="Y330" s="4282"/>
      <c r="Z330" s="4282"/>
      <c r="AA330" s="4282"/>
      <c r="AB330" s="4282"/>
      <c r="AC330" s="1188">
        <f t="shared" si="154"/>
        <v>0</v>
      </c>
      <c r="AD330" s="4278"/>
      <c r="AE330" s="4278"/>
      <c r="AF330" s="4278"/>
      <c r="AG330" s="4278"/>
      <c r="AH330" s="4278"/>
      <c r="AI330" s="4278"/>
      <c r="AJ330" s="4278"/>
      <c r="AK330" s="4278"/>
      <c r="AL330" s="4278"/>
      <c r="AM330" s="4278"/>
      <c r="AN330" s="4278"/>
      <c r="AO330" s="4278"/>
      <c r="AP330" s="4278"/>
      <c r="AQ330" s="4278"/>
      <c r="AR330" s="4278"/>
      <c r="AS330" s="4278"/>
      <c r="AT330" s="4279"/>
      <c r="AU330" s="4283"/>
      <c r="AV330" s="1188">
        <f t="shared" si="178"/>
        <v>0</v>
      </c>
      <c r="AW330" s="1188">
        <f t="shared" si="179"/>
        <v>0</v>
      </c>
      <c r="AX330" s="1188">
        <f t="shared" si="180"/>
        <v>0</v>
      </c>
      <c r="AY330" s="1452">
        <f t="shared" si="155"/>
        <v>0</v>
      </c>
      <c r="AZ330" s="4284">
        <f t="shared" si="156"/>
        <v>0</v>
      </c>
      <c r="BA330" s="4284">
        <f t="shared" si="157"/>
        <v>0</v>
      </c>
      <c r="BB330" s="4284">
        <f t="shared" si="158"/>
        <v>0</v>
      </c>
      <c r="BC330" s="4284">
        <f t="shared" si="159"/>
        <v>0</v>
      </c>
      <c r="BD330" s="4284">
        <f t="shared" si="160"/>
        <v>0</v>
      </c>
      <c r="BE330" s="4284">
        <f t="shared" si="161"/>
        <v>0</v>
      </c>
      <c r="BF330" s="4284">
        <f t="shared" si="162"/>
        <v>0</v>
      </c>
      <c r="BG330" s="4284">
        <f t="shared" si="163"/>
        <v>0</v>
      </c>
      <c r="BH330" s="4284">
        <f t="shared" si="164"/>
        <v>0</v>
      </c>
      <c r="BI330" s="4284">
        <f t="shared" si="165"/>
        <v>0</v>
      </c>
      <c r="BJ330" s="4284">
        <f t="shared" si="166"/>
        <v>0</v>
      </c>
      <c r="BK330" s="4284">
        <f t="shared" si="167"/>
        <v>0</v>
      </c>
      <c r="BL330" s="4284">
        <f t="shared" si="168"/>
        <v>0</v>
      </c>
      <c r="BM330" s="4284">
        <f t="shared" si="169"/>
        <v>0</v>
      </c>
      <c r="BN330" s="4284">
        <f t="shared" si="170"/>
        <v>0</v>
      </c>
      <c r="BO330" s="4284">
        <f t="shared" si="171"/>
        <v>0</v>
      </c>
      <c r="BP330" s="4284">
        <f t="shared" si="172"/>
        <v>0</v>
      </c>
      <c r="BQ330" s="4284">
        <f t="shared" si="173"/>
        <v>0</v>
      </c>
      <c r="BR330" s="4284">
        <f t="shared" si="174"/>
        <v>0</v>
      </c>
      <c r="BS330" s="4284">
        <f t="shared" si="175"/>
        <v>0</v>
      </c>
      <c r="BT330" s="4285">
        <f t="shared" si="176"/>
        <v>0</v>
      </c>
    </row>
    <row r="331" spans="1:72">
      <c r="A331" s="4278"/>
      <c r="B331" s="4279"/>
      <c r="C331" s="4279"/>
      <c r="D331" s="4280"/>
      <c r="E331" s="1188">
        <f t="shared" si="177"/>
        <v>0</v>
      </c>
      <c r="F331" s="1680"/>
      <c r="G331" s="4281">
        <f t="shared" si="152"/>
        <v>0</v>
      </c>
      <c r="H331" s="3457">
        <f t="shared" si="153"/>
        <v>0</v>
      </c>
      <c r="I331" s="4282"/>
      <c r="J331" s="4282"/>
      <c r="K331" s="4282"/>
      <c r="L331" s="4282"/>
      <c r="M331" s="4282"/>
      <c r="N331" s="4282"/>
      <c r="O331" s="4282"/>
      <c r="P331" s="4282"/>
      <c r="Q331" s="4282"/>
      <c r="R331" s="4282"/>
      <c r="S331" s="4282"/>
      <c r="T331" s="4282"/>
      <c r="U331" s="4282"/>
      <c r="V331" s="4282"/>
      <c r="W331" s="4282"/>
      <c r="X331" s="4282"/>
      <c r="Y331" s="4282"/>
      <c r="Z331" s="4282"/>
      <c r="AA331" s="4282"/>
      <c r="AB331" s="4282"/>
      <c r="AC331" s="1188">
        <f t="shared" si="154"/>
        <v>0</v>
      </c>
      <c r="AD331" s="4278"/>
      <c r="AE331" s="4278"/>
      <c r="AF331" s="4278"/>
      <c r="AG331" s="4278"/>
      <c r="AH331" s="4278"/>
      <c r="AI331" s="4278"/>
      <c r="AJ331" s="4278"/>
      <c r="AK331" s="4278"/>
      <c r="AL331" s="4278"/>
      <c r="AM331" s="4278"/>
      <c r="AN331" s="4278"/>
      <c r="AO331" s="4278"/>
      <c r="AP331" s="4278"/>
      <c r="AQ331" s="4278"/>
      <c r="AR331" s="4278"/>
      <c r="AS331" s="4278"/>
      <c r="AT331" s="4279"/>
      <c r="AU331" s="4283"/>
      <c r="AV331" s="1188">
        <f t="shared" si="178"/>
        <v>0</v>
      </c>
      <c r="AW331" s="1188">
        <f t="shared" si="179"/>
        <v>0</v>
      </c>
      <c r="AX331" s="1188">
        <f t="shared" si="180"/>
        <v>0</v>
      </c>
      <c r="AY331" s="1452">
        <f t="shared" si="155"/>
        <v>0</v>
      </c>
      <c r="AZ331" s="4284">
        <f t="shared" si="156"/>
        <v>0</v>
      </c>
      <c r="BA331" s="4284">
        <f t="shared" si="157"/>
        <v>0</v>
      </c>
      <c r="BB331" s="4284">
        <f t="shared" si="158"/>
        <v>0</v>
      </c>
      <c r="BC331" s="4284">
        <f t="shared" si="159"/>
        <v>0</v>
      </c>
      <c r="BD331" s="4284">
        <f t="shared" si="160"/>
        <v>0</v>
      </c>
      <c r="BE331" s="4284">
        <f t="shared" si="161"/>
        <v>0</v>
      </c>
      <c r="BF331" s="4284">
        <f t="shared" si="162"/>
        <v>0</v>
      </c>
      <c r="BG331" s="4284">
        <f t="shared" si="163"/>
        <v>0</v>
      </c>
      <c r="BH331" s="4284">
        <f t="shared" si="164"/>
        <v>0</v>
      </c>
      <c r="BI331" s="4284">
        <f t="shared" si="165"/>
        <v>0</v>
      </c>
      <c r="BJ331" s="4284">
        <f t="shared" si="166"/>
        <v>0</v>
      </c>
      <c r="BK331" s="4284">
        <f t="shared" si="167"/>
        <v>0</v>
      </c>
      <c r="BL331" s="4284">
        <f t="shared" si="168"/>
        <v>0</v>
      </c>
      <c r="BM331" s="4284">
        <f t="shared" si="169"/>
        <v>0</v>
      </c>
      <c r="BN331" s="4284">
        <f t="shared" si="170"/>
        <v>0</v>
      </c>
      <c r="BO331" s="4284">
        <f t="shared" si="171"/>
        <v>0</v>
      </c>
      <c r="BP331" s="4284">
        <f t="shared" si="172"/>
        <v>0</v>
      </c>
      <c r="BQ331" s="4284">
        <f t="shared" si="173"/>
        <v>0</v>
      </c>
      <c r="BR331" s="4284">
        <f t="shared" si="174"/>
        <v>0</v>
      </c>
      <c r="BS331" s="4284">
        <f t="shared" si="175"/>
        <v>0</v>
      </c>
      <c r="BT331" s="4285">
        <f t="shared" si="176"/>
        <v>0</v>
      </c>
    </row>
    <row r="332" spans="1:72">
      <c r="A332" s="4278"/>
      <c r="B332" s="4279"/>
      <c r="C332" s="4279"/>
      <c r="D332" s="4280"/>
      <c r="E332" s="1188">
        <f t="shared" si="177"/>
        <v>0</v>
      </c>
      <c r="F332" s="1680"/>
      <c r="G332" s="4281">
        <f t="shared" ref="G332:G363" si="181">H332+AC332+AT332</f>
        <v>0</v>
      </c>
      <c r="H332" s="3457">
        <f t="shared" ref="H332:H363" si="182">SUMIF(I$12:AB$12,"总值",I332:AB332)</f>
        <v>0</v>
      </c>
      <c r="I332" s="4282"/>
      <c r="J332" s="4282"/>
      <c r="K332" s="4282"/>
      <c r="L332" s="4282"/>
      <c r="M332" s="4282"/>
      <c r="N332" s="4282"/>
      <c r="O332" s="4282"/>
      <c r="P332" s="4282"/>
      <c r="Q332" s="4282"/>
      <c r="R332" s="4282"/>
      <c r="S332" s="4282"/>
      <c r="T332" s="4282"/>
      <c r="U332" s="4282"/>
      <c r="V332" s="4282"/>
      <c r="W332" s="4282"/>
      <c r="X332" s="4282"/>
      <c r="Y332" s="4282"/>
      <c r="Z332" s="4282"/>
      <c r="AA332" s="4282"/>
      <c r="AB332" s="4282"/>
      <c r="AC332" s="1188">
        <f t="shared" ref="AC332:AC363" si="183">SUMIF(AD$12:AS$12,"总值",AD332:AS332)</f>
        <v>0</v>
      </c>
      <c r="AD332" s="4278"/>
      <c r="AE332" s="4278"/>
      <c r="AF332" s="4278"/>
      <c r="AG332" s="4278"/>
      <c r="AH332" s="4278"/>
      <c r="AI332" s="4278"/>
      <c r="AJ332" s="4278"/>
      <c r="AK332" s="4278"/>
      <c r="AL332" s="4278"/>
      <c r="AM332" s="4278"/>
      <c r="AN332" s="4278"/>
      <c r="AO332" s="4278"/>
      <c r="AP332" s="4278"/>
      <c r="AQ332" s="4278"/>
      <c r="AR332" s="4278"/>
      <c r="AS332" s="4278"/>
      <c r="AT332" s="4279"/>
      <c r="AU332" s="4283"/>
      <c r="AV332" s="1188">
        <f t="shared" si="178"/>
        <v>0</v>
      </c>
      <c r="AW332" s="1188">
        <f t="shared" si="179"/>
        <v>0</v>
      </c>
      <c r="AX332" s="1188">
        <f t="shared" si="180"/>
        <v>0</v>
      </c>
      <c r="AY332" s="1452">
        <f t="shared" ref="AY332:AY363" si="184">ROUND($AY$6*AZ332/$AZ$5,2)</f>
        <v>0</v>
      </c>
      <c r="AZ332" s="4284">
        <f t="shared" ref="AZ332:AZ363" si="185">BA332+BL332</f>
        <v>0</v>
      </c>
      <c r="BA332" s="4284">
        <f t="shared" ref="BA332:BA363" si="186">SUM(BB332:BK332)</f>
        <v>0</v>
      </c>
      <c r="BB332" s="4284">
        <f t="shared" ref="BB332:BB363" si="187">IF($D332="是",I332-J332,0)</f>
        <v>0</v>
      </c>
      <c r="BC332" s="4284">
        <f t="shared" ref="BC332:BC363" si="188">IF($D332="是",K332-L332,0)</f>
        <v>0</v>
      </c>
      <c r="BD332" s="4284">
        <f t="shared" ref="BD332:BD363" si="189">IF($D332="是",M332-N332,0)</f>
        <v>0</v>
      </c>
      <c r="BE332" s="4284">
        <f t="shared" ref="BE332:BE363" si="190">IF($D332="是",O332-P332,0)</f>
        <v>0</v>
      </c>
      <c r="BF332" s="4284">
        <f t="shared" ref="BF332:BF363" si="191">IF($D332="是",Q332-R332,0)</f>
        <v>0</v>
      </c>
      <c r="BG332" s="4284">
        <f t="shared" ref="BG332:BG363" si="192">IF($D332="是",S332-T332,0)</f>
        <v>0</v>
      </c>
      <c r="BH332" s="4284">
        <f t="shared" ref="BH332:BH363" si="193">IF($D332="是",U332-V332,0)</f>
        <v>0</v>
      </c>
      <c r="BI332" s="4284">
        <f t="shared" ref="BI332:BI363" si="194">IF($D332="是",W332-X332,0)</f>
        <v>0</v>
      </c>
      <c r="BJ332" s="4284">
        <f t="shared" ref="BJ332:BJ363" si="195">IF($D332="是",Y332-Z332,0)</f>
        <v>0</v>
      </c>
      <c r="BK332" s="4284">
        <f t="shared" ref="BK332:BK363" si="196">IF($D332="是",AA332-AB332,0)</f>
        <v>0</v>
      </c>
      <c r="BL332" s="4284">
        <f t="shared" ref="BL332:BL363" si="197">SUM(BM332:BT332)</f>
        <v>0</v>
      </c>
      <c r="BM332" s="4284">
        <f t="shared" ref="BM332:BM363" si="198">IF($D332="是",AD332-AE332,0)</f>
        <v>0</v>
      </c>
      <c r="BN332" s="4284">
        <f t="shared" ref="BN332:BN363" si="199">IF($D332="是",AF332-AG332,0)</f>
        <v>0</v>
      </c>
      <c r="BO332" s="4284">
        <f t="shared" ref="BO332:BO363" si="200">IF($D332="是",AH332-AI332,0)</f>
        <v>0</v>
      </c>
      <c r="BP332" s="4284">
        <f t="shared" ref="BP332:BP363" si="201">IF($D332="是",AJ332-AK332,0)</f>
        <v>0</v>
      </c>
      <c r="BQ332" s="4284">
        <f t="shared" ref="BQ332:BQ363" si="202">IF($D332="是",AL332-AM332,0)</f>
        <v>0</v>
      </c>
      <c r="BR332" s="4284">
        <f t="shared" ref="BR332:BR363" si="203">IF($D332="是",AN332-AO332,0)</f>
        <v>0</v>
      </c>
      <c r="BS332" s="4284">
        <f t="shared" ref="BS332:BS363" si="204">IF($D332="是",AP332-AQ332,0)</f>
        <v>0</v>
      </c>
      <c r="BT332" s="4285">
        <f t="shared" ref="BT332:BT363" si="205">IF($D332="是",AR332-AS332,0)</f>
        <v>0</v>
      </c>
    </row>
    <row r="333" spans="1:72">
      <c r="A333" s="4278"/>
      <c r="B333" s="4279"/>
      <c r="C333" s="4279"/>
      <c r="D333" s="4280"/>
      <c r="E333" s="1188">
        <f t="shared" si="177"/>
        <v>0</v>
      </c>
      <c r="F333" s="1680"/>
      <c r="G333" s="4281">
        <f t="shared" si="181"/>
        <v>0</v>
      </c>
      <c r="H333" s="3457">
        <f t="shared" si="182"/>
        <v>0</v>
      </c>
      <c r="I333" s="4282"/>
      <c r="J333" s="4282"/>
      <c r="K333" s="4282"/>
      <c r="L333" s="4282"/>
      <c r="M333" s="4282"/>
      <c r="N333" s="4282"/>
      <c r="O333" s="4282"/>
      <c r="P333" s="4282"/>
      <c r="Q333" s="4282"/>
      <c r="R333" s="4282"/>
      <c r="S333" s="4282"/>
      <c r="T333" s="4282"/>
      <c r="U333" s="4282"/>
      <c r="V333" s="4282"/>
      <c r="W333" s="4282"/>
      <c r="X333" s="4282"/>
      <c r="Y333" s="4282"/>
      <c r="Z333" s="4282"/>
      <c r="AA333" s="4282"/>
      <c r="AB333" s="4282"/>
      <c r="AC333" s="1188">
        <f t="shared" si="183"/>
        <v>0</v>
      </c>
      <c r="AD333" s="4278"/>
      <c r="AE333" s="4278"/>
      <c r="AF333" s="4278"/>
      <c r="AG333" s="4278"/>
      <c r="AH333" s="4278"/>
      <c r="AI333" s="4278"/>
      <c r="AJ333" s="4278"/>
      <c r="AK333" s="4278"/>
      <c r="AL333" s="4278"/>
      <c r="AM333" s="4278"/>
      <c r="AN333" s="4278"/>
      <c r="AO333" s="4278"/>
      <c r="AP333" s="4278"/>
      <c r="AQ333" s="4278"/>
      <c r="AR333" s="4278"/>
      <c r="AS333" s="4278"/>
      <c r="AT333" s="4279"/>
      <c r="AU333" s="4283"/>
      <c r="AV333" s="1188">
        <f t="shared" si="178"/>
        <v>0</v>
      </c>
      <c r="AW333" s="1188">
        <f t="shared" si="179"/>
        <v>0</v>
      </c>
      <c r="AX333" s="1188">
        <f t="shared" si="180"/>
        <v>0</v>
      </c>
      <c r="AY333" s="1452">
        <f t="shared" si="184"/>
        <v>0</v>
      </c>
      <c r="AZ333" s="4284">
        <f t="shared" si="185"/>
        <v>0</v>
      </c>
      <c r="BA333" s="4284">
        <f t="shared" si="186"/>
        <v>0</v>
      </c>
      <c r="BB333" s="4284">
        <f t="shared" si="187"/>
        <v>0</v>
      </c>
      <c r="BC333" s="4284">
        <f t="shared" si="188"/>
        <v>0</v>
      </c>
      <c r="BD333" s="4284">
        <f t="shared" si="189"/>
        <v>0</v>
      </c>
      <c r="BE333" s="4284">
        <f t="shared" si="190"/>
        <v>0</v>
      </c>
      <c r="BF333" s="4284">
        <f t="shared" si="191"/>
        <v>0</v>
      </c>
      <c r="BG333" s="4284">
        <f t="shared" si="192"/>
        <v>0</v>
      </c>
      <c r="BH333" s="4284">
        <f t="shared" si="193"/>
        <v>0</v>
      </c>
      <c r="BI333" s="4284">
        <f t="shared" si="194"/>
        <v>0</v>
      </c>
      <c r="BJ333" s="4284">
        <f t="shared" si="195"/>
        <v>0</v>
      </c>
      <c r="BK333" s="4284">
        <f t="shared" si="196"/>
        <v>0</v>
      </c>
      <c r="BL333" s="4284">
        <f t="shared" si="197"/>
        <v>0</v>
      </c>
      <c r="BM333" s="4284">
        <f t="shared" si="198"/>
        <v>0</v>
      </c>
      <c r="BN333" s="4284">
        <f t="shared" si="199"/>
        <v>0</v>
      </c>
      <c r="BO333" s="4284">
        <f t="shared" si="200"/>
        <v>0</v>
      </c>
      <c r="BP333" s="4284">
        <f t="shared" si="201"/>
        <v>0</v>
      </c>
      <c r="BQ333" s="4284">
        <f t="shared" si="202"/>
        <v>0</v>
      </c>
      <c r="BR333" s="4284">
        <f t="shared" si="203"/>
        <v>0</v>
      </c>
      <c r="BS333" s="4284">
        <f t="shared" si="204"/>
        <v>0</v>
      </c>
      <c r="BT333" s="4285">
        <f t="shared" si="205"/>
        <v>0</v>
      </c>
    </row>
    <row r="334" spans="1:72">
      <c r="A334" s="4278"/>
      <c r="B334" s="4279"/>
      <c r="C334" s="4279"/>
      <c r="D334" s="4280"/>
      <c r="E334" s="1188">
        <f t="shared" si="177"/>
        <v>0</v>
      </c>
      <c r="F334" s="1680"/>
      <c r="G334" s="4281">
        <f t="shared" si="181"/>
        <v>0</v>
      </c>
      <c r="H334" s="3457">
        <f t="shared" si="182"/>
        <v>0</v>
      </c>
      <c r="I334" s="4282"/>
      <c r="J334" s="4282"/>
      <c r="K334" s="4282"/>
      <c r="L334" s="4282"/>
      <c r="M334" s="4282"/>
      <c r="N334" s="4282"/>
      <c r="O334" s="4282"/>
      <c r="P334" s="4282"/>
      <c r="Q334" s="4282"/>
      <c r="R334" s="4282"/>
      <c r="S334" s="4282"/>
      <c r="T334" s="4282"/>
      <c r="U334" s="4282"/>
      <c r="V334" s="4282"/>
      <c r="W334" s="4282"/>
      <c r="X334" s="4282"/>
      <c r="Y334" s="4282"/>
      <c r="Z334" s="4282"/>
      <c r="AA334" s="4282"/>
      <c r="AB334" s="4282"/>
      <c r="AC334" s="1188">
        <f t="shared" si="183"/>
        <v>0</v>
      </c>
      <c r="AD334" s="4278"/>
      <c r="AE334" s="4278"/>
      <c r="AF334" s="4278"/>
      <c r="AG334" s="4278"/>
      <c r="AH334" s="4278"/>
      <c r="AI334" s="4278"/>
      <c r="AJ334" s="4278"/>
      <c r="AK334" s="4278"/>
      <c r="AL334" s="4278"/>
      <c r="AM334" s="4278"/>
      <c r="AN334" s="4278"/>
      <c r="AO334" s="4278"/>
      <c r="AP334" s="4278"/>
      <c r="AQ334" s="4278"/>
      <c r="AR334" s="4278"/>
      <c r="AS334" s="4278"/>
      <c r="AT334" s="4279"/>
      <c r="AU334" s="4283"/>
      <c r="AV334" s="1188">
        <f t="shared" si="178"/>
        <v>0</v>
      </c>
      <c r="AW334" s="1188">
        <f t="shared" si="179"/>
        <v>0</v>
      </c>
      <c r="AX334" s="1188">
        <f t="shared" si="180"/>
        <v>0</v>
      </c>
      <c r="AY334" s="1452">
        <f t="shared" si="184"/>
        <v>0</v>
      </c>
      <c r="AZ334" s="4284">
        <f t="shared" si="185"/>
        <v>0</v>
      </c>
      <c r="BA334" s="4284">
        <f t="shared" si="186"/>
        <v>0</v>
      </c>
      <c r="BB334" s="4284">
        <f t="shared" si="187"/>
        <v>0</v>
      </c>
      <c r="BC334" s="4284">
        <f t="shared" si="188"/>
        <v>0</v>
      </c>
      <c r="BD334" s="4284">
        <f t="shared" si="189"/>
        <v>0</v>
      </c>
      <c r="BE334" s="4284">
        <f t="shared" si="190"/>
        <v>0</v>
      </c>
      <c r="BF334" s="4284">
        <f t="shared" si="191"/>
        <v>0</v>
      </c>
      <c r="BG334" s="4284">
        <f t="shared" si="192"/>
        <v>0</v>
      </c>
      <c r="BH334" s="4284">
        <f t="shared" si="193"/>
        <v>0</v>
      </c>
      <c r="BI334" s="4284">
        <f t="shared" si="194"/>
        <v>0</v>
      </c>
      <c r="BJ334" s="4284">
        <f t="shared" si="195"/>
        <v>0</v>
      </c>
      <c r="BK334" s="4284">
        <f t="shared" si="196"/>
        <v>0</v>
      </c>
      <c r="BL334" s="4284">
        <f t="shared" si="197"/>
        <v>0</v>
      </c>
      <c r="BM334" s="4284">
        <f t="shared" si="198"/>
        <v>0</v>
      </c>
      <c r="BN334" s="4284">
        <f t="shared" si="199"/>
        <v>0</v>
      </c>
      <c r="BO334" s="4284">
        <f t="shared" si="200"/>
        <v>0</v>
      </c>
      <c r="BP334" s="4284">
        <f t="shared" si="201"/>
        <v>0</v>
      </c>
      <c r="BQ334" s="4284">
        <f t="shared" si="202"/>
        <v>0</v>
      </c>
      <c r="BR334" s="4284">
        <f t="shared" si="203"/>
        <v>0</v>
      </c>
      <c r="BS334" s="4284">
        <f t="shared" si="204"/>
        <v>0</v>
      </c>
      <c r="BT334" s="4285">
        <f t="shared" si="205"/>
        <v>0</v>
      </c>
    </row>
    <row r="335" spans="1:72">
      <c r="A335" s="4278"/>
      <c r="B335" s="4279"/>
      <c r="C335" s="4279"/>
      <c r="D335" s="4280"/>
      <c r="E335" s="1188">
        <f t="shared" ref="E335:E366" si="206">IF($C$3="是",ROUND($A$3*G335/$B$3,2),ROUND($A$3*(G335-AT335)/$B$3,2))</f>
        <v>0</v>
      </c>
      <c r="F335" s="1680"/>
      <c r="G335" s="4281">
        <f t="shared" si="181"/>
        <v>0</v>
      </c>
      <c r="H335" s="3457">
        <f t="shared" si="182"/>
        <v>0</v>
      </c>
      <c r="I335" s="4282"/>
      <c r="J335" s="4282"/>
      <c r="K335" s="4282"/>
      <c r="L335" s="4282"/>
      <c r="M335" s="4282"/>
      <c r="N335" s="4282"/>
      <c r="O335" s="4282"/>
      <c r="P335" s="4282"/>
      <c r="Q335" s="4282"/>
      <c r="R335" s="4282"/>
      <c r="S335" s="4282"/>
      <c r="T335" s="4282"/>
      <c r="U335" s="4282"/>
      <c r="V335" s="4282"/>
      <c r="W335" s="4282"/>
      <c r="X335" s="4282"/>
      <c r="Y335" s="4282"/>
      <c r="Z335" s="4282"/>
      <c r="AA335" s="4282"/>
      <c r="AB335" s="4282"/>
      <c r="AC335" s="1188">
        <f t="shared" si="183"/>
        <v>0</v>
      </c>
      <c r="AD335" s="4278"/>
      <c r="AE335" s="4278"/>
      <c r="AF335" s="4278"/>
      <c r="AG335" s="4278"/>
      <c r="AH335" s="4278"/>
      <c r="AI335" s="4278"/>
      <c r="AJ335" s="4278"/>
      <c r="AK335" s="4278"/>
      <c r="AL335" s="4278"/>
      <c r="AM335" s="4278"/>
      <c r="AN335" s="4278"/>
      <c r="AO335" s="4278"/>
      <c r="AP335" s="4278"/>
      <c r="AQ335" s="4278"/>
      <c r="AR335" s="4278"/>
      <c r="AS335" s="4278"/>
      <c r="AT335" s="4279"/>
      <c r="AU335" s="4283"/>
      <c r="AV335" s="1188">
        <f t="shared" ref="AV335:AV366" si="207">A335</f>
        <v>0</v>
      </c>
      <c r="AW335" s="1188">
        <f t="shared" ref="AW335:AW366" si="208">B335</f>
        <v>0</v>
      </c>
      <c r="AX335" s="1188">
        <f t="shared" ref="AX335:AX366" si="209">C335</f>
        <v>0</v>
      </c>
      <c r="AY335" s="1452">
        <f t="shared" si="184"/>
        <v>0</v>
      </c>
      <c r="AZ335" s="4284">
        <f t="shared" si="185"/>
        <v>0</v>
      </c>
      <c r="BA335" s="4284">
        <f t="shared" si="186"/>
        <v>0</v>
      </c>
      <c r="BB335" s="4284">
        <f t="shared" si="187"/>
        <v>0</v>
      </c>
      <c r="BC335" s="4284">
        <f t="shared" si="188"/>
        <v>0</v>
      </c>
      <c r="BD335" s="4284">
        <f t="shared" si="189"/>
        <v>0</v>
      </c>
      <c r="BE335" s="4284">
        <f t="shared" si="190"/>
        <v>0</v>
      </c>
      <c r="BF335" s="4284">
        <f t="shared" si="191"/>
        <v>0</v>
      </c>
      <c r="BG335" s="4284">
        <f t="shared" si="192"/>
        <v>0</v>
      </c>
      <c r="BH335" s="4284">
        <f t="shared" si="193"/>
        <v>0</v>
      </c>
      <c r="BI335" s="4284">
        <f t="shared" si="194"/>
        <v>0</v>
      </c>
      <c r="BJ335" s="4284">
        <f t="shared" si="195"/>
        <v>0</v>
      </c>
      <c r="BK335" s="4284">
        <f t="shared" si="196"/>
        <v>0</v>
      </c>
      <c r="BL335" s="4284">
        <f t="shared" si="197"/>
        <v>0</v>
      </c>
      <c r="BM335" s="4284">
        <f t="shared" si="198"/>
        <v>0</v>
      </c>
      <c r="BN335" s="4284">
        <f t="shared" si="199"/>
        <v>0</v>
      </c>
      <c r="BO335" s="4284">
        <f t="shared" si="200"/>
        <v>0</v>
      </c>
      <c r="BP335" s="4284">
        <f t="shared" si="201"/>
        <v>0</v>
      </c>
      <c r="BQ335" s="4284">
        <f t="shared" si="202"/>
        <v>0</v>
      </c>
      <c r="BR335" s="4284">
        <f t="shared" si="203"/>
        <v>0</v>
      </c>
      <c r="BS335" s="4284">
        <f t="shared" si="204"/>
        <v>0</v>
      </c>
      <c r="BT335" s="4285">
        <f t="shared" si="205"/>
        <v>0</v>
      </c>
    </row>
    <row r="336" spans="1:72">
      <c r="A336" s="4278"/>
      <c r="B336" s="4279"/>
      <c r="C336" s="4279"/>
      <c r="D336" s="4280"/>
      <c r="E336" s="1188">
        <f t="shared" si="206"/>
        <v>0</v>
      </c>
      <c r="F336" s="1680"/>
      <c r="G336" s="4281">
        <f t="shared" si="181"/>
        <v>0</v>
      </c>
      <c r="H336" s="3457">
        <f t="shared" si="182"/>
        <v>0</v>
      </c>
      <c r="I336" s="4282"/>
      <c r="J336" s="4282"/>
      <c r="K336" s="4282"/>
      <c r="L336" s="4282"/>
      <c r="M336" s="4282"/>
      <c r="N336" s="4282"/>
      <c r="O336" s="4282"/>
      <c r="P336" s="4282"/>
      <c r="Q336" s="4282"/>
      <c r="R336" s="4282"/>
      <c r="S336" s="4282"/>
      <c r="T336" s="4282"/>
      <c r="U336" s="4282"/>
      <c r="V336" s="4282"/>
      <c r="W336" s="4282"/>
      <c r="X336" s="4282"/>
      <c r="Y336" s="4282"/>
      <c r="Z336" s="4282"/>
      <c r="AA336" s="4282"/>
      <c r="AB336" s="4282"/>
      <c r="AC336" s="1188">
        <f t="shared" si="183"/>
        <v>0</v>
      </c>
      <c r="AD336" s="4278"/>
      <c r="AE336" s="4278"/>
      <c r="AF336" s="4278"/>
      <c r="AG336" s="4278"/>
      <c r="AH336" s="4278"/>
      <c r="AI336" s="4278"/>
      <c r="AJ336" s="4278"/>
      <c r="AK336" s="4278"/>
      <c r="AL336" s="4278"/>
      <c r="AM336" s="4278"/>
      <c r="AN336" s="4278"/>
      <c r="AO336" s="4278"/>
      <c r="AP336" s="4278"/>
      <c r="AQ336" s="4278"/>
      <c r="AR336" s="4278"/>
      <c r="AS336" s="4278"/>
      <c r="AT336" s="4279"/>
      <c r="AU336" s="4283"/>
      <c r="AV336" s="1188">
        <f t="shared" si="207"/>
        <v>0</v>
      </c>
      <c r="AW336" s="1188">
        <f t="shared" si="208"/>
        <v>0</v>
      </c>
      <c r="AX336" s="1188">
        <f t="shared" si="209"/>
        <v>0</v>
      </c>
      <c r="AY336" s="1452">
        <f t="shared" si="184"/>
        <v>0</v>
      </c>
      <c r="AZ336" s="4284">
        <f t="shared" si="185"/>
        <v>0</v>
      </c>
      <c r="BA336" s="4284">
        <f t="shared" si="186"/>
        <v>0</v>
      </c>
      <c r="BB336" s="4284">
        <f t="shared" si="187"/>
        <v>0</v>
      </c>
      <c r="BC336" s="4284">
        <f t="shared" si="188"/>
        <v>0</v>
      </c>
      <c r="BD336" s="4284">
        <f t="shared" si="189"/>
        <v>0</v>
      </c>
      <c r="BE336" s="4284">
        <f t="shared" si="190"/>
        <v>0</v>
      </c>
      <c r="BF336" s="4284">
        <f t="shared" si="191"/>
        <v>0</v>
      </c>
      <c r="BG336" s="4284">
        <f t="shared" si="192"/>
        <v>0</v>
      </c>
      <c r="BH336" s="4284">
        <f t="shared" si="193"/>
        <v>0</v>
      </c>
      <c r="BI336" s="4284">
        <f t="shared" si="194"/>
        <v>0</v>
      </c>
      <c r="BJ336" s="4284">
        <f t="shared" si="195"/>
        <v>0</v>
      </c>
      <c r="BK336" s="4284">
        <f t="shared" si="196"/>
        <v>0</v>
      </c>
      <c r="BL336" s="4284">
        <f t="shared" si="197"/>
        <v>0</v>
      </c>
      <c r="BM336" s="4284">
        <f t="shared" si="198"/>
        <v>0</v>
      </c>
      <c r="BN336" s="4284">
        <f t="shared" si="199"/>
        <v>0</v>
      </c>
      <c r="BO336" s="4284">
        <f t="shared" si="200"/>
        <v>0</v>
      </c>
      <c r="BP336" s="4284">
        <f t="shared" si="201"/>
        <v>0</v>
      </c>
      <c r="BQ336" s="4284">
        <f t="shared" si="202"/>
        <v>0</v>
      </c>
      <c r="BR336" s="4284">
        <f t="shared" si="203"/>
        <v>0</v>
      </c>
      <c r="BS336" s="4284">
        <f t="shared" si="204"/>
        <v>0</v>
      </c>
      <c r="BT336" s="4285">
        <f t="shared" si="205"/>
        <v>0</v>
      </c>
    </row>
    <row r="337" spans="1:72">
      <c r="A337" s="4278"/>
      <c r="B337" s="4279"/>
      <c r="C337" s="4279"/>
      <c r="D337" s="4280"/>
      <c r="E337" s="1188">
        <f t="shared" si="206"/>
        <v>0</v>
      </c>
      <c r="F337" s="1680"/>
      <c r="G337" s="4281">
        <f t="shared" si="181"/>
        <v>0</v>
      </c>
      <c r="H337" s="3457">
        <f t="shared" si="182"/>
        <v>0</v>
      </c>
      <c r="I337" s="4282"/>
      <c r="J337" s="4282"/>
      <c r="K337" s="4282"/>
      <c r="L337" s="4282"/>
      <c r="M337" s="4282"/>
      <c r="N337" s="4282"/>
      <c r="O337" s="4282"/>
      <c r="P337" s="4282"/>
      <c r="Q337" s="4282"/>
      <c r="R337" s="4282"/>
      <c r="S337" s="4282"/>
      <c r="T337" s="4282"/>
      <c r="U337" s="4282"/>
      <c r="V337" s="4282"/>
      <c r="W337" s="4282"/>
      <c r="X337" s="4282"/>
      <c r="Y337" s="4282"/>
      <c r="Z337" s="4282"/>
      <c r="AA337" s="4282"/>
      <c r="AB337" s="4282"/>
      <c r="AC337" s="1188">
        <f t="shared" si="183"/>
        <v>0</v>
      </c>
      <c r="AD337" s="4278"/>
      <c r="AE337" s="4278"/>
      <c r="AF337" s="4278"/>
      <c r="AG337" s="4278"/>
      <c r="AH337" s="4278"/>
      <c r="AI337" s="4278"/>
      <c r="AJ337" s="4278"/>
      <c r="AK337" s="4278"/>
      <c r="AL337" s="4278"/>
      <c r="AM337" s="4278"/>
      <c r="AN337" s="4278"/>
      <c r="AO337" s="4278"/>
      <c r="AP337" s="4278"/>
      <c r="AQ337" s="4278"/>
      <c r="AR337" s="4278"/>
      <c r="AS337" s="4278"/>
      <c r="AT337" s="4279"/>
      <c r="AU337" s="4283"/>
      <c r="AV337" s="1188">
        <f t="shared" si="207"/>
        <v>0</v>
      </c>
      <c r="AW337" s="1188">
        <f t="shared" si="208"/>
        <v>0</v>
      </c>
      <c r="AX337" s="1188">
        <f t="shared" si="209"/>
        <v>0</v>
      </c>
      <c r="AY337" s="1452">
        <f t="shared" si="184"/>
        <v>0</v>
      </c>
      <c r="AZ337" s="4284">
        <f t="shared" si="185"/>
        <v>0</v>
      </c>
      <c r="BA337" s="4284">
        <f t="shared" si="186"/>
        <v>0</v>
      </c>
      <c r="BB337" s="4284">
        <f t="shared" si="187"/>
        <v>0</v>
      </c>
      <c r="BC337" s="4284">
        <f t="shared" si="188"/>
        <v>0</v>
      </c>
      <c r="BD337" s="4284">
        <f t="shared" si="189"/>
        <v>0</v>
      </c>
      <c r="BE337" s="4284">
        <f t="shared" si="190"/>
        <v>0</v>
      </c>
      <c r="BF337" s="4284">
        <f t="shared" si="191"/>
        <v>0</v>
      </c>
      <c r="BG337" s="4284">
        <f t="shared" si="192"/>
        <v>0</v>
      </c>
      <c r="BH337" s="4284">
        <f t="shared" si="193"/>
        <v>0</v>
      </c>
      <c r="BI337" s="4284">
        <f t="shared" si="194"/>
        <v>0</v>
      </c>
      <c r="BJ337" s="4284">
        <f t="shared" si="195"/>
        <v>0</v>
      </c>
      <c r="BK337" s="4284">
        <f t="shared" si="196"/>
        <v>0</v>
      </c>
      <c r="BL337" s="4284">
        <f t="shared" si="197"/>
        <v>0</v>
      </c>
      <c r="BM337" s="4284">
        <f t="shared" si="198"/>
        <v>0</v>
      </c>
      <c r="BN337" s="4284">
        <f t="shared" si="199"/>
        <v>0</v>
      </c>
      <c r="BO337" s="4284">
        <f t="shared" si="200"/>
        <v>0</v>
      </c>
      <c r="BP337" s="4284">
        <f t="shared" si="201"/>
        <v>0</v>
      </c>
      <c r="BQ337" s="4284">
        <f t="shared" si="202"/>
        <v>0</v>
      </c>
      <c r="BR337" s="4284">
        <f t="shared" si="203"/>
        <v>0</v>
      </c>
      <c r="BS337" s="4284">
        <f t="shared" si="204"/>
        <v>0</v>
      </c>
      <c r="BT337" s="4285">
        <f t="shared" si="205"/>
        <v>0</v>
      </c>
    </row>
    <row r="338" spans="1:72">
      <c r="A338" s="4278"/>
      <c r="B338" s="4279"/>
      <c r="C338" s="4279"/>
      <c r="D338" s="4280"/>
      <c r="E338" s="1188">
        <f t="shared" si="206"/>
        <v>0</v>
      </c>
      <c r="F338" s="1680"/>
      <c r="G338" s="4281">
        <f t="shared" si="181"/>
        <v>0</v>
      </c>
      <c r="H338" s="3457">
        <f t="shared" si="182"/>
        <v>0</v>
      </c>
      <c r="I338" s="4282"/>
      <c r="J338" s="4282"/>
      <c r="K338" s="4282"/>
      <c r="L338" s="4282"/>
      <c r="M338" s="4282"/>
      <c r="N338" s="4282"/>
      <c r="O338" s="4282"/>
      <c r="P338" s="4282"/>
      <c r="Q338" s="4282"/>
      <c r="R338" s="4282"/>
      <c r="S338" s="4282"/>
      <c r="T338" s="4282"/>
      <c r="U338" s="4282"/>
      <c r="V338" s="4282"/>
      <c r="W338" s="4282"/>
      <c r="X338" s="4282"/>
      <c r="Y338" s="4282"/>
      <c r="Z338" s="4282"/>
      <c r="AA338" s="4282"/>
      <c r="AB338" s="4282"/>
      <c r="AC338" s="1188">
        <f t="shared" si="183"/>
        <v>0</v>
      </c>
      <c r="AD338" s="4278"/>
      <c r="AE338" s="4278"/>
      <c r="AF338" s="4278"/>
      <c r="AG338" s="4278"/>
      <c r="AH338" s="4278"/>
      <c r="AI338" s="4278"/>
      <c r="AJ338" s="4278"/>
      <c r="AK338" s="4278"/>
      <c r="AL338" s="4278"/>
      <c r="AM338" s="4278"/>
      <c r="AN338" s="4278"/>
      <c r="AO338" s="4278"/>
      <c r="AP338" s="4278"/>
      <c r="AQ338" s="4278"/>
      <c r="AR338" s="4278"/>
      <c r="AS338" s="4278"/>
      <c r="AT338" s="4279"/>
      <c r="AU338" s="4283"/>
      <c r="AV338" s="1188">
        <f t="shared" si="207"/>
        <v>0</v>
      </c>
      <c r="AW338" s="1188">
        <f t="shared" si="208"/>
        <v>0</v>
      </c>
      <c r="AX338" s="1188">
        <f t="shared" si="209"/>
        <v>0</v>
      </c>
      <c r="AY338" s="1452">
        <f t="shared" si="184"/>
        <v>0</v>
      </c>
      <c r="AZ338" s="4284">
        <f t="shared" si="185"/>
        <v>0</v>
      </c>
      <c r="BA338" s="4284">
        <f t="shared" si="186"/>
        <v>0</v>
      </c>
      <c r="BB338" s="4284">
        <f t="shared" si="187"/>
        <v>0</v>
      </c>
      <c r="BC338" s="4284">
        <f t="shared" si="188"/>
        <v>0</v>
      </c>
      <c r="BD338" s="4284">
        <f t="shared" si="189"/>
        <v>0</v>
      </c>
      <c r="BE338" s="4284">
        <f t="shared" si="190"/>
        <v>0</v>
      </c>
      <c r="BF338" s="4284">
        <f t="shared" si="191"/>
        <v>0</v>
      </c>
      <c r="BG338" s="4284">
        <f t="shared" si="192"/>
        <v>0</v>
      </c>
      <c r="BH338" s="4284">
        <f t="shared" si="193"/>
        <v>0</v>
      </c>
      <c r="BI338" s="4284">
        <f t="shared" si="194"/>
        <v>0</v>
      </c>
      <c r="BJ338" s="4284">
        <f t="shared" si="195"/>
        <v>0</v>
      </c>
      <c r="BK338" s="4284">
        <f t="shared" si="196"/>
        <v>0</v>
      </c>
      <c r="BL338" s="4284">
        <f t="shared" si="197"/>
        <v>0</v>
      </c>
      <c r="BM338" s="4284">
        <f t="shared" si="198"/>
        <v>0</v>
      </c>
      <c r="BN338" s="4284">
        <f t="shared" si="199"/>
        <v>0</v>
      </c>
      <c r="BO338" s="4284">
        <f t="shared" si="200"/>
        <v>0</v>
      </c>
      <c r="BP338" s="4284">
        <f t="shared" si="201"/>
        <v>0</v>
      </c>
      <c r="BQ338" s="4284">
        <f t="shared" si="202"/>
        <v>0</v>
      </c>
      <c r="BR338" s="4284">
        <f t="shared" si="203"/>
        <v>0</v>
      </c>
      <c r="BS338" s="4284">
        <f t="shared" si="204"/>
        <v>0</v>
      </c>
      <c r="BT338" s="4285">
        <f t="shared" si="205"/>
        <v>0</v>
      </c>
    </row>
    <row r="339" spans="1:72">
      <c r="A339" s="4278"/>
      <c r="B339" s="4279"/>
      <c r="C339" s="4279"/>
      <c r="D339" s="4280"/>
      <c r="E339" s="1188">
        <f t="shared" si="206"/>
        <v>0</v>
      </c>
      <c r="F339" s="1680"/>
      <c r="G339" s="4281">
        <f t="shared" si="181"/>
        <v>0</v>
      </c>
      <c r="H339" s="3457">
        <f t="shared" si="182"/>
        <v>0</v>
      </c>
      <c r="I339" s="4282"/>
      <c r="J339" s="4282"/>
      <c r="K339" s="4282"/>
      <c r="L339" s="4282"/>
      <c r="M339" s="4282"/>
      <c r="N339" s="4282"/>
      <c r="O339" s="4282"/>
      <c r="P339" s="4282"/>
      <c r="Q339" s="4282"/>
      <c r="R339" s="4282"/>
      <c r="S339" s="4282"/>
      <c r="T339" s="4282"/>
      <c r="U339" s="4282"/>
      <c r="V339" s="4282"/>
      <c r="W339" s="4282"/>
      <c r="X339" s="4282"/>
      <c r="Y339" s="4282"/>
      <c r="Z339" s="4282"/>
      <c r="AA339" s="4282"/>
      <c r="AB339" s="4282"/>
      <c r="AC339" s="1188">
        <f t="shared" si="183"/>
        <v>0</v>
      </c>
      <c r="AD339" s="4278"/>
      <c r="AE339" s="4278"/>
      <c r="AF339" s="4278"/>
      <c r="AG339" s="4278"/>
      <c r="AH339" s="4278"/>
      <c r="AI339" s="4278"/>
      <c r="AJ339" s="4278"/>
      <c r="AK339" s="4278"/>
      <c r="AL339" s="4278"/>
      <c r="AM339" s="4278"/>
      <c r="AN339" s="4278"/>
      <c r="AO339" s="4278"/>
      <c r="AP339" s="4278"/>
      <c r="AQ339" s="4278"/>
      <c r="AR339" s="4278"/>
      <c r="AS339" s="4278"/>
      <c r="AT339" s="4279"/>
      <c r="AU339" s="4283"/>
      <c r="AV339" s="1188">
        <f t="shared" si="207"/>
        <v>0</v>
      </c>
      <c r="AW339" s="1188">
        <f t="shared" si="208"/>
        <v>0</v>
      </c>
      <c r="AX339" s="1188">
        <f t="shared" si="209"/>
        <v>0</v>
      </c>
      <c r="AY339" s="1452">
        <f t="shared" si="184"/>
        <v>0</v>
      </c>
      <c r="AZ339" s="4284">
        <f t="shared" si="185"/>
        <v>0</v>
      </c>
      <c r="BA339" s="4284">
        <f t="shared" si="186"/>
        <v>0</v>
      </c>
      <c r="BB339" s="4284">
        <f t="shared" si="187"/>
        <v>0</v>
      </c>
      <c r="BC339" s="4284">
        <f t="shared" si="188"/>
        <v>0</v>
      </c>
      <c r="BD339" s="4284">
        <f t="shared" si="189"/>
        <v>0</v>
      </c>
      <c r="BE339" s="4284">
        <f t="shared" si="190"/>
        <v>0</v>
      </c>
      <c r="BF339" s="4284">
        <f t="shared" si="191"/>
        <v>0</v>
      </c>
      <c r="BG339" s="4284">
        <f t="shared" si="192"/>
        <v>0</v>
      </c>
      <c r="BH339" s="4284">
        <f t="shared" si="193"/>
        <v>0</v>
      </c>
      <c r="BI339" s="4284">
        <f t="shared" si="194"/>
        <v>0</v>
      </c>
      <c r="BJ339" s="4284">
        <f t="shared" si="195"/>
        <v>0</v>
      </c>
      <c r="BK339" s="4284">
        <f t="shared" si="196"/>
        <v>0</v>
      </c>
      <c r="BL339" s="4284">
        <f t="shared" si="197"/>
        <v>0</v>
      </c>
      <c r="BM339" s="4284">
        <f t="shared" si="198"/>
        <v>0</v>
      </c>
      <c r="BN339" s="4284">
        <f t="shared" si="199"/>
        <v>0</v>
      </c>
      <c r="BO339" s="4284">
        <f t="shared" si="200"/>
        <v>0</v>
      </c>
      <c r="BP339" s="4284">
        <f t="shared" si="201"/>
        <v>0</v>
      </c>
      <c r="BQ339" s="4284">
        <f t="shared" si="202"/>
        <v>0</v>
      </c>
      <c r="BR339" s="4284">
        <f t="shared" si="203"/>
        <v>0</v>
      </c>
      <c r="BS339" s="4284">
        <f t="shared" si="204"/>
        <v>0</v>
      </c>
      <c r="BT339" s="4285">
        <f t="shared" si="205"/>
        <v>0</v>
      </c>
    </row>
    <row r="340" spans="1:72">
      <c r="A340" s="4278"/>
      <c r="B340" s="4279"/>
      <c r="C340" s="4279"/>
      <c r="D340" s="4280"/>
      <c r="E340" s="1188">
        <f t="shared" si="206"/>
        <v>0</v>
      </c>
      <c r="F340" s="1680"/>
      <c r="G340" s="4281">
        <f t="shared" si="181"/>
        <v>0</v>
      </c>
      <c r="H340" s="3457">
        <f t="shared" si="182"/>
        <v>0</v>
      </c>
      <c r="I340" s="4282"/>
      <c r="J340" s="4282"/>
      <c r="K340" s="4282"/>
      <c r="L340" s="4282"/>
      <c r="M340" s="4282"/>
      <c r="N340" s="4282"/>
      <c r="O340" s="4282"/>
      <c r="P340" s="4282"/>
      <c r="Q340" s="4282"/>
      <c r="R340" s="4282"/>
      <c r="S340" s="4282"/>
      <c r="T340" s="4282"/>
      <c r="U340" s="4282"/>
      <c r="V340" s="4282"/>
      <c r="W340" s="4282"/>
      <c r="X340" s="4282"/>
      <c r="Y340" s="4282"/>
      <c r="Z340" s="4282"/>
      <c r="AA340" s="4282"/>
      <c r="AB340" s="4282"/>
      <c r="AC340" s="1188">
        <f t="shared" si="183"/>
        <v>0</v>
      </c>
      <c r="AD340" s="4278"/>
      <c r="AE340" s="4278"/>
      <c r="AF340" s="4278"/>
      <c r="AG340" s="4278"/>
      <c r="AH340" s="4278"/>
      <c r="AI340" s="4278"/>
      <c r="AJ340" s="4278"/>
      <c r="AK340" s="4278"/>
      <c r="AL340" s="4278"/>
      <c r="AM340" s="4278"/>
      <c r="AN340" s="4278"/>
      <c r="AO340" s="4278"/>
      <c r="AP340" s="4278"/>
      <c r="AQ340" s="4278"/>
      <c r="AR340" s="4278"/>
      <c r="AS340" s="4278"/>
      <c r="AT340" s="4279"/>
      <c r="AU340" s="4283"/>
      <c r="AV340" s="1188">
        <f t="shared" si="207"/>
        <v>0</v>
      </c>
      <c r="AW340" s="1188">
        <f t="shared" si="208"/>
        <v>0</v>
      </c>
      <c r="AX340" s="1188">
        <f t="shared" si="209"/>
        <v>0</v>
      </c>
      <c r="AY340" s="1452">
        <f t="shared" si="184"/>
        <v>0</v>
      </c>
      <c r="AZ340" s="4284">
        <f t="shared" si="185"/>
        <v>0</v>
      </c>
      <c r="BA340" s="4284">
        <f t="shared" si="186"/>
        <v>0</v>
      </c>
      <c r="BB340" s="4284">
        <f t="shared" si="187"/>
        <v>0</v>
      </c>
      <c r="BC340" s="4284">
        <f t="shared" si="188"/>
        <v>0</v>
      </c>
      <c r="BD340" s="4284">
        <f t="shared" si="189"/>
        <v>0</v>
      </c>
      <c r="BE340" s="4284">
        <f t="shared" si="190"/>
        <v>0</v>
      </c>
      <c r="BF340" s="4284">
        <f t="shared" si="191"/>
        <v>0</v>
      </c>
      <c r="BG340" s="4284">
        <f t="shared" si="192"/>
        <v>0</v>
      </c>
      <c r="BH340" s="4284">
        <f t="shared" si="193"/>
        <v>0</v>
      </c>
      <c r="BI340" s="4284">
        <f t="shared" si="194"/>
        <v>0</v>
      </c>
      <c r="BJ340" s="4284">
        <f t="shared" si="195"/>
        <v>0</v>
      </c>
      <c r="BK340" s="4284">
        <f t="shared" si="196"/>
        <v>0</v>
      </c>
      <c r="BL340" s="4284">
        <f t="shared" si="197"/>
        <v>0</v>
      </c>
      <c r="BM340" s="4284">
        <f t="shared" si="198"/>
        <v>0</v>
      </c>
      <c r="BN340" s="4284">
        <f t="shared" si="199"/>
        <v>0</v>
      </c>
      <c r="BO340" s="4284">
        <f t="shared" si="200"/>
        <v>0</v>
      </c>
      <c r="BP340" s="4284">
        <f t="shared" si="201"/>
        <v>0</v>
      </c>
      <c r="BQ340" s="4284">
        <f t="shared" si="202"/>
        <v>0</v>
      </c>
      <c r="BR340" s="4284">
        <f t="shared" si="203"/>
        <v>0</v>
      </c>
      <c r="BS340" s="4284">
        <f t="shared" si="204"/>
        <v>0</v>
      </c>
      <c r="BT340" s="4285">
        <f t="shared" si="205"/>
        <v>0</v>
      </c>
    </row>
    <row r="341" spans="1:72">
      <c r="A341" s="4278"/>
      <c r="B341" s="4279"/>
      <c r="C341" s="4279"/>
      <c r="D341" s="4280"/>
      <c r="E341" s="1188">
        <f t="shared" si="206"/>
        <v>0</v>
      </c>
      <c r="F341" s="1680"/>
      <c r="G341" s="4281">
        <f t="shared" si="181"/>
        <v>0</v>
      </c>
      <c r="H341" s="3457">
        <f t="shared" si="182"/>
        <v>0</v>
      </c>
      <c r="I341" s="4282"/>
      <c r="J341" s="4282"/>
      <c r="K341" s="4282"/>
      <c r="L341" s="4282"/>
      <c r="M341" s="4282"/>
      <c r="N341" s="4282"/>
      <c r="O341" s="4282"/>
      <c r="P341" s="4282"/>
      <c r="Q341" s="4282"/>
      <c r="R341" s="4282"/>
      <c r="S341" s="4282"/>
      <c r="T341" s="4282"/>
      <c r="U341" s="4282"/>
      <c r="V341" s="4282"/>
      <c r="W341" s="4282"/>
      <c r="X341" s="4282"/>
      <c r="Y341" s="4282"/>
      <c r="Z341" s="4282"/>
      <c r="AA341" s="4282"/>
      <c r="AB341" s="4282"/>
      <c r="AC341" s="1188">
        <f t="shared" si="183"/>
        <v>0</v>
      </c>
      <c r="AD341" s="4278"/>
      <c r="AE341" s="4278"/>
      <c r="AF341" s="4278"/>
      <c r="AG341" s="4278"/>
      <c r="AH341" s="4278"/>
      <c r="AI341" s="4278"/>
      <c r="AJ341" s="4278"/>
      <c r="AK341" s="4278"/>
      <c r="AL341" s="4278"/>
      <c r="AM341" s="4278"/>
      <c r="AN341" s="4278"/>
      <c r="AO341" s="4278"/>
      <c r="AP341" s="4278"/>
      <c r="AQ341" s="4278"/>
      <c r="AR341" s="4278"/>
      <c r="AS341" s="4278"/>
      <c r="AT341" s="4279"/>
      <c r="AU341" s="4283"/>
      <c r="AV341" s="1188">
        <f t="shared" si="207"/>
        <v>0</v>
      </c>
      <c r="AW341" s="1188">
        <f t="shared" si="208"/>
        <v>0</v>
      </c>
      <c r="AX341" s="1188">
        <f t="shared" si="209"/>
        <v>0</v>
      </c>
      <c r="AY341" s="1452">
        <f t="shared" si="184"/>
        <v>0</v>
      </c>
      <c r="AZ341" s="4284">
        <f t="shared" si="185"/>
        <v>0</v>
      </c>
      <c r="BA341" s="4284">
        <f t="shared" si="186"/>
        <v>0</v>
      </c>
      <c r="BB341" s="4284">
        <f t="shared" si="187"/>
        <v>0</v>
      </c>
      <c r="BC341" s="4284">
        <f t="shared" si="188"/>
        <v>0</v>
      </c>
      <c r="BD341" s="4284">
        <f t="shared" si="189"/>
        <v>0</v>
      </c>
      <c r="BE341" s="4284">
        <f t="shared" si="190"/>
        <v>0</v>
      </c>
      <c r="BF341" s="4284">
        <f t="shared" si="191"/>
        <v>0</v>
      </c>
      <c r="BG341" s="4284">
        <f t="shared" si="192"/>
        <v>0</v>
      </c>
      <c r="BH341" s="4284">
        <f t="shared" si="193"/>
        <v>0</v>
      </c>
      <c r="BI341" s="4284">
        <f t="shared" si="194"/>
        <v>0</v>
      </c>
      <c r="BJ341" s="4284">
        <f t="shared" si="195"/>
        <v>0</v>
      </c>
      <c r="BK341" s="4284">
        <f t="shared" si="196"/>
        <v>0</v>
      </c>
      <c r="BL341" s="4284">
        <f t="shared" si="197"/>
        <v>0</v>
      </c>
      <c r="BM341" s="4284">
        <f t="shared" si="198"/>
        <v>0</v>
      </c>
      <c r="BN341" s="4284">
        <f t="shared" si="199"/>
        <v>0</v>
      </c>
      <c r="BO341" s="4284">
        <f t="shared" si="200"/>
        <v>0</v>
      </c>
      <c r="BP341" s="4284">
        <f t="shared" si="201"/>
        <v>0</v>
      </c>
      <c r="BQ341" s="4284">
        <f t="shared" si="202"/>
        <v>0</v>
      </c>
      <c r="BR341" s="4284">
        <f t="shared" si="203"/>
        <v>0</v>
      </c>
      <c r="BS341" s="4284">
        <f t="shared" si="204"/>
        <v>0</v>
      </c>
      <c r="BT341" s="4285">
        <f t="shared" si="205"/>
        <v>0</v>
      </c>
    </row>
    <row r="342" spans="1:72">
      <c r="A342" s="4278"/>
      <c r="B342" s="4279"/>
      <c r="C342" s="4279"/>
      <c r="D342" s="4280"/>
      <c r="E342" s="1188">
        <f t="shared" si="206"/>
        <v>0</v>
      </c>
      <c r="F342" s="1680"/>
      <c r="G342" s="4281">
        <f t="shared" si="181"/>
        <v>0</v>
      </c>
      <c r="H342" s="3457">
        <f t="shared" si="182"/>
        <v>0</v>
      </c>
      <c r="I342" s="4282"/>
      <c r="J342" s="4282"/>
      <c r="K342" s="4282"/>
      <c r="L342" s="4282"/>
      <c r="M342" s="4282"/>
      <c r="N342" s="4282"/>
      <c r="O342" s="4282"/>
      <c r="P342" s="4282"/>
      <c r="Q342" s="4282"/>
      <c r="R342" s="4282"/>
      <c r="S342" s="4282"/>
      <c r="T342" s="4282"/>
      <c r="U342" s="4282"/>
      <c r="V342" s="4282"/>
      <c r="W342" s="4282"/>
      <c r="X342" s="4282"/>
      <c r="Y342" s="4282"/>
      <c r="Z342" s="4282"/>
      <c r="AA342" s="4282"/>
      <c r="AB342" s="4282"/>
      <c r="AC342" s="1188">
        <f t="shared" si="183"/>
        <v>0</v>
      </c>
      <c r="AD342" s="4278"/>
      <c r="AE342" s="4278"/>
      <c r="AF342" s="4278"/>
      <c r="AG342" s="4278"/>
      <c r="AH342" s="4278"/>
      <c r="AI342" s="4278"/>
      <c r="AJ342" s="4278"/>
      <c r="AK342" s="4278"/>
      <c r="AL342" s="4278"/>
      <c r="AM342" s="4278"/>
      <c r="AN342" s="4278"/>
      <c r="AO342" s="4278"/>
      <c r="AP342" s="4278"/>
      <c r="AQ342" s="4278"/>
      <c r="AR342" s="4278"/>
      <c r="AS342" s="4278"/>
      <c r="AT342" s="4279"/>
      <c r="AU342" s="4283"/>
      <c r="AV342" s="1188">
        <f t="shared" si="207"/>
        <v>0</v>
      </c>
      <c r="AW342" s="1188">
        <f t="shared" si="208"/>
        <v>0</v>
      </c>
      <c r="AX342" s="1188">
        <f t="shared" si="209"/>
        <v>0</v>
      </c>
      <c r="AY342" s="1452">
        <f t="shared" si="184"/>
        <v>0</v>
      </c>
      <c r="AZ342" s="4284">
        <f t="shared" si="185"/>
        <v>0</v>
      </c>
      <c r="BA342" s="4284">
        <f t="shared" si="186"/>
        <v>0</v>
      </c>
      <c r="BB342" s="4284">
        <f t="shared" si="187"/>
        <v>0</v>
      </c>
      <c r="BC342" s="4284">
        <f t="shared" si="188"/>
        <v>0</v>
      </c>
      <c r="BD342" s="4284">
        <f t="shared" si="189"/>
        <v>0</v>
      </c>
      <c r="BE342" s="4284">
        <f t="shared" si="190"/>
        <v>0</v>
      </c>
      <c r="BF342" s="4284">
        <f t="shared" si="191"/>
        <v>0</v>
      </c>
      <c r="BG342" s="4284">
        <f t="shared" si="192"/>
        <v>0</v>
      </c>
      <c r="BH342" s="4284">
        <f t="shared" si="193"/>
        <v>0</v>
      </c>
      <c r="BI342" s="4284">
        <f t="shared" si="194"/>
        <v>0</v>
      </c>
      <c r="BJ342" s="4284">
        <f t="shared" si="195"/>
        <v>0</v>
      </c>
      <c r="BK342" s="4284">
        <f t="shared" si="196"/>
        <v>0</v>
      </c>
      <c r="BL342" s="4284">
        <f t="shared" si="197"/>
        <v>0</v>
      </c>
      <c r="BM342" s="4284">
        <f t="shared" si="198"/>
        <v>0</v>
      </c>
      <c r="BN342" s="4284">
        <f t="shared" si="199"/>
        <v>0</v>
      </c>
      <c r="BO342" s="4284">
        <f t="shared" si="200"/>
        <v>0</v>
      </c>
      <c r="BP342" s="4284">
        <f t="shared" si="201"/>
        <v>0</v>
      </c>
      <c r="BQ342" s="4284">
        <f t="shared" si="202"/>
        <v>0</v>
      </c>
      <c r="BR342" s="4284">
        <f t="shared" si="203"/>
        <v>0</v>
      </c>
      <c r="BS342" s="4284">
        <f t="shared" si="204"/>
        <v>0</v>
      </c>
      <c r="BT342" s="4285">
        <f t="shared" si="205"/>
        <v>0</v>
      </c>
    </row>
    <row r="343" spans="1:72">
      <c r="A343" s="4278"/>
      <c r="B343" s="4279"/>
      <c r="C343" s="4279"/>
      <c r="D343" s="4280"/>
      <c r="E343" s="1188">
        <f t="shared" si="206"/>
        <v>0</v>
      </c>
      <c r="F343" s="1680"/>
      <c r="G343" s="4281">
        <f t="shared" si="181"/>
        <v>0</v>
      </c>
      <c r="H343" s="3457">
        <f t="shared" si="182"/>
        <v>0</v>
      </c>
      <c r="I343" s="4282"/>
      <c r="J343" s="4282"/>
      <c r="K343" s="4282"/>
      <c r="L343" s="4282"/>
      <c r="M343" s="4282"/>
      <c r="N343" s="4282"/>
      <c r="O343" s="4282"/>
      <c r="P343" s="4282"/>
      <c r="Q343" s="4282"/>
      <c r="R343" s="4282"/>
      <c r="S343" s="4282"/>
      <c r="T343" s="4282"/>
      <c r="U343" s="4282"/>
      <c r="V343" s="4282"/>
      <c r="W343" s="4282"/>
      <c r="X343" s="4282"/>
      <c r="Y343" s="4282"/>
      <c r="Z343" s="4282"/>
      <c r="AA343" s="4282"/>
      <c r="AB343" s="4282"/>
      <c r="AC343" s="1188">
        <f t="shared" si="183"/>
        <v>0</v>
      </c>
      <c r="AD343" s="4278"/>
      <c r="AE343" s="4278"/>
      <c r="AF343" s="4278"/>
      <c r="AG343" s="4278"/>
      <c r="AH343" s="4278"/>
      <c r="AI343" s="4278"/>
      <c r="AJ343" s="4278"/>
      <c r="AK343" s="4278"/>
      <c r="AL343" s="4278"/>
      <c r="AM343" s="4278"/>
      <c r="AN343" s="4278"/>
      <c r="AO343" s="4278"/>
      <c r="AP343" s="4278"/>
      <c r="AQ343" s="4278"/>
      <c r="AR343" s="4278"/>
      <c r="AS343" s="4278"/>
      <c r="AT343" s="4279"/>
      <c r="AU343" s="4283"/>
      <c r="AV343" s="1188">
        <f t="shared" si="207"/>
        <v>0</v>
      </c>
      <c r="AW343" s="1188">
        <f t="shared" si="208"/>
        <v>0</v>
      </c>
      <c r="AX343" s="1188">
        <f t="shared" si="209"/>
        <v>0</v>
      </c>
      <c r="AY343" s="1452">
        <f t="shared" si="184"/>
        <v>0</v>
      </c>
      <c r="AZ343" s="4284">
        <f t="shared" si="185"/>
        <v>0</v>
      </c>
      <c r="BA343" s="4284">
        <f t="shared" si="186"/>
        <v>0</v>
      </c>
      <c r="BB343" s="4284">
        <f t="shared" si="187"/>
        <v>0</v>
      </c>
      <c r="BC343" s="4284">
        <f t="shared" si="188"/>
        <v>0</v>
      </c>
      <c r="BD343" s="4284">
        <f t="shared" si="189"/>
        <v>0</v>
      </c>
      <c r="BE343" s="4284">
        <f t="shared" si="190"/>
        <v>0</v>
      </c>
      <c r="BF343" s="4284">
        <f t="shared" si="191"/>
        <v>0</v>
      </c>
      <c r="BG343" s="4284">
        <f t="shared" si="192"/>
        <v>0</v>
      </c>
      <c r="BH343" s="4284">
        <f t="shared" si="193"/>
        <v>0</v>
      </c>
      <c r="BI343" s="4284">
        <f t="shared" si="194"/>
        <v>0</v>
      </c>
      <c r="BJ343" s="4284">
        <f t="shared" si="195"/>
        <v>0</v>
      </c>
      <c r="BK343" s="4284">
        <f t="shared" si="196"/>
        <v>0</v>
      </c>
      <c r="BL343" s="4284">
        <f t="shared" si="197"/>
        <v>0</v>
      </c>
      <c r="BM343" s="4284">
        <f t="shared" si="198"/>
        <v>0</v>
      </c>
      <c r="BN343" s="4284">
        <f t="shared" si="199"/>
        <v>0</v>
      </c>
      <c r="BO343" s="4284">
        <f t="shared" si="200"/>
        <v>0</v>
      </c>
      <c r="BP343" s="4284">
        <f t="shared" si="201"/>
        <v>0</v>
      </c>
      <c r="BQ343" s="4284">
        <f t="shared" si="202"/>
        <v>0</v>
      </c>
      <c r="BR343" s="4284">
        <f t="shared" si="203"/>
        <v>0</v>
      </c>
      <c r="BS343" s="4284">
        <f t="shared" si="204"/>
        <v>0</v>
      </c>
      <c r="BT343" s="4285">
        <f t="shared" si="205"/>
        <v>0</v>
      </c>
    </row>
    <row r="344" spans="1:72">
      <c r="A344" s="4278"/>
      <c r="B344" s="4279"/>
      <c r="C344" s="4279"/>
      <c r="D344" s="4280"/>
      <c r="E344" s="1188">
        <f t="shared" si="206"/>
        <v>0</v>
      </c>
      <c r="F344" s="1680"/>
      <c r="G344" s="4281">
        <f t="shared" si="181"/>
        <v>0</v>
      </c>
      <c r="H344" s="3457">
        <f t="shared" si="182"/>
        <v>0</v>
      </c>
      <c r="I344" s="4282"/>
      <c r="J344" s="4282"/>
      <c r="K344" s="4282"/>
      <c r="L344" s="4282"/>
      <c r="M344" s="4282"/>
      <c r="N344" s="4282"/>
      <c r="O344" s="4282"/>
      <c r="P344" s="4282"/>
      <c r="Q344" s="4282"/>
      <c r="R344" s="4282"/>
      <c r="S344" s="4282"/>
      <c r="T344" s="4282"/>
      <c r="U344" s="4282"/>
      <c r="V344" s="4282"/>
      <c r="W344" s="4282"/>
      <c r="X344" s="4282"/>
      <c r="Y344" s="4282"/>
      <c r="Z344" s="4282"/>
      <c r="AA344" s="4282"/>
      <c r="AB344" s="4282"/>
      <c r="AC344" s="1188">
        <f t="shared" si="183"/>
        <v>0</v>
      </c>
      <c r="AD344" s="4278"/>
      <c r="AE344" s="4278"/>
      <c r="AF344" s="4278"/>
      <c r="AG344" s="4278"/>
      <c r="AH344" s="4278"/>
      <c r="AI344" s="4278"/>
      <c r="AJ344" s="4278"/>
      <c r="AK344" s="4278"/>
      <c r="AL344" s="4278"/>
      <c r="AM344" s="4278"/>
      <c r="AN344" s="4278"/>
      <c r="AO344" s="4278"/>
      <c r="AP344" s="4278"/>
      <c r="AQ344" s="4278"/>
      <c r="AR344" s="4278"/>
      <c r="AS344" s="4278"/>
      <c r="AT344" s="4279"/>
      <c r="AU344" s="4283"/>
      <c r="AV344" s="1188">
        <f t="shared" si="207"/>
        <v>0</v>
      </c>
      <c r="AW344" s="1188">
        <f t="shared" si="208"/>
        <v>0</v>
      </c>
      <c r="AX344" s="1188">
        <f t="shared" si="209"/>
        <v>0</v>
      </c>
      <c r="AY344" s="1452">
        <f t="shared" si="184"/>
        <v>0</v>
      </c>
      <c r="AZ344" s="4284">
        <f t="shared" si="185"/>
        <v>0</v>
      </c>
      <c r="BA344" s="4284">
        <f t="shared" si="186"/>
        <v>0</v>
      </c>
      <c r="BB344" s="4284">
        <f t="shared" si="187"/>
        <v>0</v>
      </c>
      <c r="BC344" s="4284">
        <f t="shared" si="188"/>
        <v>0</v>
      </c>
      <c r="BD344" s="4284">
        <f t="shared" si="189"/>
        <v>0</v>
      </c>
      <c r="BE344" s="4284">
        <f t="shared" si="190"/>
        <v>0</v>
      </c>
      <c r="BF344" s="4284">
        <f t="shared" si="191"/>
        <v>0</v>
      </c>
      <c r="BG344" s="4284">
        <f t="shared" si="192"/>
        <v>0</v>
      </c>
      <c r="BH344" s="4284">
        <f t="shared" si="193"/>
        <v>0</v>
      </c>
      <c r="BI344" s="4284">
        <f t="shared" si="194"/>
        <v>0</v>
      </c>
      <c r="BJ344" s="4284">
        <f t="shared" si="195"/>
        <v>0</v>
      </c>
      <c r="BK344" s="4284">
        <f t="shared" si="196"/>
        <v>0</v>
      </c>
      <c r="BL344" s="4284">
        <f t="shared" si="197"/>
        <v>0</v>
      </c>
      <c r="BM344" s="4284">
        <f t="shared" si="198"/>
        <v>0</v>
      </c>
      <c r="BN344" s="4284">
        <f t="shared" si="199"/>
        <v>0</v>
      </c>
      <c r="BO344" s="4284">
        <f t="shared" si="200"/>
        <v>0</v>
      </c>
      <c r="BP344" s="4284">
        <f t="shared" si="201"/>
        <v>0</v>
      </c>
      <c r="BQ344" s="4284">
        <f t="shared" si="202"/>
        <v>0</v>
      </c>
      <c r="BR344" s="4284">
        <f t="shared" si="203"/>
        <v>0</v>
      </c>
      <c r="BS344" s="4284">
        <f t="shared" si="204"/>
        <v>0</v>
      </c>
      <c r="BT344" s="4285">
        <f t="shared" si="205"/>
        <v>0</v>
      </c>
    </row>
    <row r="345" spans="1:72">
      <c r="A345" s="4278"/>
      <c r="B345" s="4279"/>
      <c r="C345" s="4279"/>
      <c r="D345" s="4280"/>
      <c r="E345" s="1188">
        <f t="shared" si="206"/>
        <v>0</v>
      </c>
      <c r="F345" s="1680"/>
      <c r="G345" s="4281">
        <f t="shared" si="181"/>
        <v>0</v>
      </c>
      <c r="H345" s="3457">
        <f t="shared" si="182"/>
        <v>0</v>
      </c>
      <c r="I345" s="4282"/>
      <c r="J345" s="4282"/>
      <c r="K345" s="4282"/>
      <c r="L345" s="4282"/>
      <c r="M345" s="4282"/>
      <c r="N345" s="4282"/>
      <c r="O345" s="4282"/>
      <c r="P345" s="4282"/>
      <c r="Q345" s="4282"/>
      <c r="R345" s="4282"/>
      <c r="S345" s="4282"/>
      <c r="T345" s="4282"/>
      <c r="U345" s="4282"/>
      <c r="V345" s="4282"/>
      <c r="W345" s="4282"/>
      <c r="X345" s="4282"/>
      <c r="Y345" s="4282"/>
      <c r="Z345" s="4282"/>
      <c r="AA345" s="4282"/>
      <c r="AB345" s="4282"/>
      <c r="AC345" s="1188">
        <f t="shared" si="183"/>
        <v>0</v>
      </c>
      <c r="AD345" s="4278"/>
      <c r="AE345" s="4278"/>
      <c r="AF345" s="4278"/>
      <c r="AG345" s="4278"/>
      <c r="AH345" s="4278"/>
      <c r="AI345" s="4278"/>
      <c r="AJ345" s="4278"/>
      <c r="AK345" s="4278"/>
      <c r="AL345" s="4278"/>
      <c r="AM345" s="4278"/>
      <c r="AN345" s="4278"/>
      <c r="AO345" s="4278"/>
      <c r="AP345" s="4278"/>
      <c r="AQ345" s="4278"/>
      <c r="AR345" s="4278"/>
      <c r="AS345" s="4278"/>
      <c r="AT345" s="4279"/>
      <c r="AU345" s="4283"/>
      <c r="AV345" s="1188">
        <f t="shared" si="207"/>
        <v>0</v>
      </c>
      <c r="AW345" s="1188">
        <f t="shared" si="208"/>
        <v>0</v>
      </c>
      <c r="AX345" s="1188">
        <f t="shared" si="209"/>
        <v>0</v>
      </c>
      <c r="AY345" s="1452">
        <f t="shared" si="184"/>
        <v>0</v>
      </c>
      <c r="AZ345" s="4284">
        <f t="shared" si="185"/>
        <v>0</v>
      </c>
      <c r="BA345" s="4284">
        <f t="shared" si="186"/>
        <v>0</v>
      </c>
      <c r="BB345" s="4284">
        <f t="shared" si="187"/>
        <v>0</v>
      </c>
      <c r="BC345" s="4284">
        <f t="shared" si="188"/>
        <v>0</v>
      </c>
      <c r="BD345" s="4284">
        <f t="shared" si="189"/>
        <v>0</v>
      </c>
      <c r="BE345" s="4284">
        <f t="shared" si="190"/>
        <v>0</v>
      </c>
      <c r="BF345" s="4284">
        <f t="shared" si="191"/>
        <v>0</v>
      </c>
      <c r="BG345" s="4284">
        <f t="shared" si="192"/>
        <v>0</v>
      </c>
      <c r="BH345" s="4284">
        <f t="shared" si="193"/>
        <v>0</v>
      </c>
      <c r="BI345" s="4284">
        <f t="shared" si="194"/>
        <v>0</v>
      </c>
      <c r="BJ345" s="4284">
        <f t="shared" si="195"/>
        <v>0</v>
      </c>
      <c r="BK345" s="4284">
        <f t="shared" si="196"/>
        <v>0</v>
      </c>
      <c r="BL345" s="4284">
        <f t="shared" si="197"/>
        <v>0</v>
      </c>
      <c r="BM345" s="4284">
        <f t="shared" si="198"/>
        <v>0</v>
      </c>
      <c r="BN345" s="4284">
        <f t="shared" si="199"/>
        <v>0</v>
      </c>
      <c r="BO345" s="4284">
        <f t="shared" si="200"/>
        <v>0</v>
      </c>
      <c r="BP345" s="4284">
        <f t="shared" si="201"/>
        <v>0</v>
      </c>
      <c r="BQ345" s="4284">
        <f t="shared" si="202"/>
        <v>0</v>
      </c>
      <c r="BR345" s="4284">
        <f t="shared" si="203"/>
        <v>0</v>
      </c>
      <c r="BS345" s="4284">
        <f t="shared" si="204"/>
        <v>0</v>
      </c>
      <c r="BT345" s="4285">
        <f t="shared" si="205"/>
        <v>0</v>
      </c>
    </row>
    <row r="346" spans="1:72">
      <c r="A346" s="4278"/>
      <c r="B346" s="4279"/>
      <c r="C346" s="4279"/>
      <c r="D346" s="4280"/>
      <c r="E346" s="1188">
        <f t="shared" si="206"/>
        <v>0</v>
      </c>
      <c r="F346" s="1680"/>
      <c r="G346" s="4281">
        <f t="shared" si="181"/>
        <v>0</v>
      </c>
      <c r="H346" s="3457">
        <f t="shared" si="182"/>
        <v>0</v>
      </c>
      <c r="I346" s="4282"/>
      <c r="J346" s="4282"/>
      <c r="K346" s="4282"/>
      <c r="L346" s="4282"/>
      <c r="M346" s="4282"/>
      <c r="N346" s="4282"/>
      <c r="O346" s="4282"/>
      <c r="P346" s="4282"/>
      <c r="Q346" s="4282"/>
      <c r="R346" s="4282"/>
      <c r="S346" s="4282"/>
      <c r="T346" s="4282"/>
      <c r="U346" s="4282"/>
      <c r="V346" s="4282"/>
      <c r="W346" s="4282"/>
      <c r="X346" s="4282"/>
      <c r="Y346" s="4282"/>
      <c r="Z346" s="4282"/>
      <c r="AA346" s="4282"/>
      <c r="AB346" s="4282"/>
      <c r="AC346" s="1188">
        <f t="shared" si="183"/>
        <v>0</v>
      </c>
      <c r="AD346" s="4278"/>
      <c r="AE346" s="4278"/>
      <c r="AF346" s="4278"/>
      <c r="AG346" s="4278"/>
      <c r="AH346" s="4278"/>
      <c r="AI346" s="4278"/>
      <c r="AJ346" s="4278"/>
      <c r="AK346" s="4278"/>
      <c r="AL346" s="4278"/>
      <c r="AM346" s="4278"/>
      <c r="AN346" s="4278"/>
      <c r="AO346" s="4278"/>
      <c r="AP346" s="4278"/>
      <c r="AQ346" s="4278"/>
      <c r="AR346" s="4278"/>
      <c r="AS346" s="4278"/>
      <c r="AT346" s="4279"/>
      <c r="AU346" s="4283"/>
      <c r="AV346" s="1188">
        <f t="shared" si="207"/>
        <v>0</v>
      </c>
      <c r="AW346" s="1188">
        <f t="shared" si="208"/>
        <v>0</v>
      </c>
      <c r="AX346" s="1188">
        <f t="shared" si="209"/>
        <v>0</v>
      </c>
      <c r="AY346" s="1452">
        <f t="shared" si="184"/>
        <v>0</v>
      </c>
      <c r="AZ346" s="4284">
        <f t="shared" si="185"/>
        <v>0</v>
      </c>
      <c r="BA346" s="4284">
        <f t="shared" si="186"/>
        <v>0</v>
      </c>
      <c r="BB346" s="4284">
        <f t="shared" si="187"/>
        <v>0</v>
      </c>
      <c r="BC346" s="4284">
        <f t="shared" si="188"/>
        <v>0</v>
      </c>
      <c r="BD346" s="4284">
        <f t="shared" si="189"/>
        <v>0</v>
      </c>
      <c r="BE346" s="4284">
        <f t="shared" si="190"/>
        <v>0</v>
      </c>
      <c r="BF346" s="4284">
        <f t="shared" si="191"/>
        <v>0</v>
      </c>
      <c r="BG346" s="4284">
        <f t="shared" si="192"/>
        <v>0</v>
      </c>
      <c r="BH346" s="4284">
        <f t="shared" si="193"/>
        <v>0</v>
      </c>
      <c r="BI346" s="4284">
        <f t="shared" si="194"/>
        <v>0</v>
      </c>
      <c r="BJ346" s="4284">
        <f t="shared" si="195"/>
        <v>0</v>
      </c>
      <c r="BK346" s="4284">
        <f t="shared" si="196"/>
        <v>0</v>
      </c>
      <c r="BL346" s="4284">
        <f t="shared" si="197"/>
        <v>0</v>
      </c>
      <c r="BM346" s="4284">
        <f t="shared" si="198"/>
        <v>0</v>
      </c>
      <c r="BN346" s="4284">
        <f t="shared" si="199"/>
        <v>0</v>
      </c>
      <c r="BO346" s="4284">
        <f t="shared" si="200"/>
        <v>0</v>
      </c>
      <c r="BP346" s="4284">
        <f t="shared" si="201"/>
        <v>0</v>
      </c>
      <c r="BQ346" s="4284">
        <f t="shared" si="202"/>
        <v>0</v>
      </c>
      <c r="BR346" s="4284">
        <f t="shared" si="203"/>
        <v>0</v>
      </c>
      <c r="BS346" s="4284">
        <f t="shared" si="204"/>
        <v>0</v>
      </c>
      <c r="BT346" s="4285">
        <f t="shared" si="205"/>
        <v>0</v>
      </c>
    </row>
    <row r="347" spans="1:72">
      <c r="A347" s="4278"/>
      <c r="B347" s="4279"/>
      <c r="C347" s="4279"/>
      <c r="D347" s="4280"/>
      <c r="E347" s="1188">
        <f t="shared" si="206"/>
        <v>0</v>
      </c>
      <c r="F347" s="1680"/>
      <c r="G347" s="4281">
        <f t="shared" si="181"/>
        <v>0</v>
      </c>
      <c r="H347" s="3457">
        <f t="shared" si="182"/>
        <v>0</v>
      </c>
      <c r="I347" s="4282"/>
      <c r="J347" s="4282"/>
      <c r="K347" s="4282"/>
      <c r="L347" s="4282"/>
      <c r="M347" s="4282"/>
      <c r="N347" s="4282"/>
      <c r="O347" s="4282"/>
      <c r="P347" s="4282"/>
      <c r="Q347" s="4282"/>
      <c r="R347" s="4282"/>
      <c r="S347" s="4282"/>
      <c r="T347" s="4282"/>
      <c r="U347" s="4282"/>
      <c r="V347" s="4282"/>
      <c r="W347" s="4282"/>
      <c r="X347" s="4282"/>
      <c r="Y347" s="4282"/>
      <c r="Z347" s="4282"/>
      <c r="AA347" s="4282"/>
      <c r="AB347" s="4282"/>
      <c r="AC347" s="1188">
        <f t="shared" si="183"/>
        <v>0</v>
      </c>
      <c r="AD347" s="4278"/>
      <c r="AE347" s="4278"/>
      <c r="AF347" s="4278"/>
      <c r="AG347" s="4278"/>
      <c r="AH347" s="4278"/>
      <c r="AI347" s="4278"/>
      <c r="AJ347" s="4278"/>
      <c r="AK347" s="4278"/>
      <c r="AL347" s="4278"/>
      <c r="AM347" s="4278"/>
      <c r="AN347" s="4278"/>
      <c r="AO347" s="4278"/>
      <c r="AP347" s="4278"/>
      <c r="AQ347" s="4278"/>
      <c r="AR347" s="4278"/>
      <c r="AS347" s="4278"/>
      <c r="AT347" s="4279"/>
      <c r="AU347" s="4283"/>
      <c r="AV347" s="1188">
        <f t="shared" si="207"/>
        <v>0</v>
      </c>
      <c r="AW347" s="1188">
        <f t="shared" si="208"/>
        <v>0</v>
      </c>
      <c r="AX347" s="1188">
        <f t="shared" si="209"/>
        <v>0</v>
      </c>
      <c r="AY347" s="1452">
        <f t="shared" si="184"/>
        <v>0</v>
      </c>
      <c r="AZ347" s="4284">
        <f t="shared" si="185"/>
        <v>0</v>
      </c>
      <c r="BA347" s="4284">
        <f t="shared" si="186"/>
        <v>0</v>
      </c>
      <c r="BB347" s="4284">
        <f t="shared" si="187"/>
        <v>0</v>
      </c>
      <c r="BC347" s="4284">
        <f t="shared" si="188"/>
        <v>0</v>
      </c>
      <c r="BD347" s="4284">
        <f t="shared" si="189"/>
        <v>0</v>
      </c>
      <c r="BE347" s="4284">
        <f t="shared" si="190"/>
        <v>0</v>
      </c>
      <c r="BF347" s="4284">
        <f t="shared" si="191"/>
        <v>0</v>
      </c>
      <c r="BG347" s="4284">
        <f t="shared" si="192"/>
        <v>0</v>
      </c>
      <c r="BH347" s="4284">
        <f t="shared" si="193"/>
        <v>0</v>
      </c>
      <c r="BI347" s="4284">
        <f t="shared" si="194"/>
        <v>0</v>
      </c>
      <c r="BJ347" s="4284">
        <f t="shared" si="195"/>
        <v>0</v>
      </c>
      <c r="BK347" s="4284">
        <f t="shared" si="196"/>
        <v>0</v>
      </c>
      <c r="BL347" s="4284">
        <f t="shared" si="197"/>
        <v>0</v>
      </c>
      <c r="BM347" s="4284">
        <f t="shared" si="198"/>
        <v>0</v>
      </c>
      <c r="BN347" s="4284">
        <f t="shared" si="199"/>
        <v>0</v>
      </c>
      <c r="BO347" s="4284">
        <f t="shared" si="200"/>
        <v>0</v>
      </c>
      <c r="BP347" s="4284">
        <f t="shared" si="201"/>
        <v>0</v>
      </c>
      <c r="BQ347" s="4284">
        <f t="shared" si="202"/>
        <v>0</v>
      </c>
      <c r="BR347" s="4284">
        <f t="shared" si="203"/>
        <v>0</v>
      </c>
      <c r="BS347" s="4284">
        <f t="shared" si="204"/>
        <v>0</v>
      </c>
      <c r="BT347" s="4285">
        <f t="shared" si="205"/>
        <v>0</v>
      </c>
    </row>
    <row r="348" spans="1:72">
      <c r="A348" s="4278"/>
      <c r="B348" s="4279"/>
      <c r="C348" s="4279"/>
      <c r="D348" s="4280"/>
      <c r="E348" s="1188">
        <f t="shared" si="206"/>
        <v>0</v>
      </c>
      <c r="F348" s="1680"/>
      <c r="G348" s="4281">
        <f t="shared" si="181"/>
        <v>0</v>
      </c>
      <c r="H348" s="3457">
        <f t="shared" si="182"/>
        <v>0</v>
      </c>
      <c r="I348" s="4282"/>
      <c r="J348" s="4282"/>
      <c r="K348" s="4282"/>
      <c r="L348" s="4282"/>
      <c r="M348" s="4282"/>
      <c r="N348" s="4282"/>
      <c r="O348" s="4282"/>
      <c r="P348" s="4282"/>
      <c r="Q348" s="4282"/>
      <c r="R348" s="4282"/>
      <c r="S348" s="4282"/>
      <c r="T348" s="4282"/>
      <c r="U348" s="4282"/>
      <c r="V348" s="4282"/>
      <c r="W348" s="4282"/>
      <c r="X348" s="4282"/>
      <c r="Y348" s="4282"/>
      <c r="Z348" s="4282"/>
      <c r="AA348" s="4282"/>
      <c r="AB348" s="4282"/>
      <c r="AC348" s="1188">
        <f t="shared" si="183"/>
        <v>0</v>
      </c>
      <c r="AD348" s="4278"/>
      <c r="AE348" s="4278"/>
      <c r="AF348" s="4278"/>
      <c r="AG348" s="4278"/>
      <c r="AH348" s="4278"/>
      <c r="AI348" s="4278"/>
      <c r="AJ348" s="4278"/>
      <c r="AK348" s="4278"/>
      <c r="AL348" s="4278"/>
      <c r="AM348" s="4278"/>
      <c r="AN348" s="4278"/>
      <c r="AO348" s="4278"/>
      <c r="AP348" s="4278"/>
      <c r="AQ348" s="4278"/>
      <c r="AR348" s="4278"/>
      <c r="AS348" s="4278"/>
      <c r="AT348" s="4279"/>
      <c r="AU348" s="4283"/>
      <c r="AV348" s="1188">
        <f t="shared" si="207"/>
        <v>0</v>
      </c>
      <c r="AW348" s="1188">
        <f t="shared" si="208"/>
        <v>0</v>
      </c>
      <c r="AX348" s="1188">
        <f t="shared" si="209"/>
        <v>0</v>
      </c>
      <c r="AY348" s="1452">
        <f t="shared" si="184"/>
        <v>0</v>
      </c>
      <c r="AZ348" s="4284">
        <f t="shared" si="185"/>
        <v>0</v>
      </c>
      <c r="BA348" s="4284">
        <f t="shared" si="186"/>
        <v>0</v>
      </c>
      <c r="BB348" s="4284">
        <f t="shared" si="187"/>
        <v>0</v>
      </c>
      <c r="BC348" s="4284">
        <f t="shared" si="188"/>
        <v>0</v>
      </c>
      <c r="BD348" s="4284">
        <f t="shared" si="189"/>
        <v>0</v>
      </c>
      <c r="BE348" s="4284">
        <f t="shared" si="190"/>
        <v>0</v>
      </c>
      <c r="BF348" s="4284">
        <f t="shared" si="191"/>
        <v>0</v>
      </c>
      <c r="BG348" s="4284">
        <f t="shared" si="192"/>
        <v>0</v>
      </c>
      <c r="BH348" s="4284">
        <f t="shared" si="193"/>
        <v>0</v>
      </c>
      <c r="BI348" s="4284">
        <f t="shared" si="194"/>
        <v>0</v>
      </c>
      <c r="BJ348" s="4284">
        <f t="shared" si="195"/>
        <v>0</v>
      </c>
      <c r="BK348" s="4284">
        <f t="shared" si="196"/>
        <v>0</v>
      </c>
      <c r="BL348" s="4284">
        <f t="shared" si="197"/>
        <v>0</v>
      </c>
      <c r="BM348" s="4284">
        <f t="shared" si="198"/>
        <v>0</v>
      </c>
      <c r="BN348" s="4284">
        <f t="shared" si="199"/>
        <v>0</v>
      </c>
      <c r="BO348" s="4284">
        <f t="shared" si="200"/>
        <v>0</v>
      </c>
      <c r="BP348" s="4284">
        <f t="shared" si="201"/>
        <v>0</v>
      </c>
      <c r="BQ348" s="4284">
        <f t="shared" si="202"/>
        <v>0</v>
      </c>
      <c r="BR348" s="4284">
        <f t="shared" si="203"/>
        <v>0</v>
      </c>
      <c r="BS348" s="4284">
        <f t="shared" si="204"/>
        <v>0</v>
      </c>
      <c r="BT348" s="4285">
        <f t="shared" si="205"/>
        <v>0</v>
      </c>
    </row>
    <row r="349" spans="1:72">
      <c r="A349" s="4278"/>
      <c r="B349" s="4279"/>
      <c r="C349" s="4279"/>
      <c r="D349" s="4280"/>
      <c r="E349" s="1188">
        <f t="shared" si="206"/>
        <v>0</v>
      </c>
      <c r="F349" s="1680"/>
      <c r="G349" s="4281">
        <f t="shared" si="181"/>
        <v>0</v>
      </c>
      <c r="H349" s="3457">
        <f t="shared" si="182"/>
        <v>0</v>
      </c>
      <c r="I349" s="4282"/>
      <c r="J349" s="4282"/>
      <c r="K349" s="4282"/>
      <c r="L349" s="4282"/>
      <c r="M349" s="4282"/>
      <c r="N349" s="4282"/>
      <c r="O349" s="4282"/>
      <c r="P349" s="4282"/>
      <c r="Q349" s="4282"/>
      <c r="R349" s="4282"/>
      <c r="S349" s="4282"/>
      <c r="T349" s="4282"/>
      <c r="U349" s="4282"/>
      <c r="V349" s="4282"/>
      <c r="W349" s="4282"/>
      <c r="X349" s="4282"/>
      <c r="Y349" s="4282"/>
      <c r="Z349" s="4282"/>
      <c r="AA349" s="4282"/>
      <c r="AB349" s="4282"/>
      <c r="AC349" s="1188">
        <f t="shared" si="183"/>
        <v>0</v>
      </c>
      <c r="AD349" s="4278"/>
      <c r="AE349" s="4278"/>
      <c r="AF349" s="4278"/>
      <c r="AG349" s="4278"/>
      <c r="AH349" s="4278"/>
      <c r="AI349" s="4278"/>
      <c r="AJ349" s="4278"/>
      <c r="AK349" s="4278"/>
      <c r="AL349" s="4278"/>
      <c r="AM349" s="4278"/>
      <c r="AN349" s="4278"/>
      <c r="AO349" s="4278"/>
      <c r="AP349" s="4278"/>
      <c r="AQ349" s="4278"/>
      <c r="AR349" s="4278"/>
      <c r="AS349" s="4278"/>
      <c r="AT349" s="4279"/>
      <c r="AU349" s="4283"/>
      <c r="AV349" s="1188">
        <f t="shared" si="207"/>
        <v>0</v>
      </c>
      <c r="AW349" s="1188">
        <f t="shared" si="208"/>
        <v>0</v>
      </c>
      <c r="AX349" s="1188">
        <f t="shared" si="209"/>
        <v>0</v>
      </c>
      <c r="AY349" s="1452">
        <f t="shared" si="184"/>
        <v>0</v>
      </c>
      <c r="AZ349" s="4284">
        <f t="shared" si="185"/>
        <v>0</v>
      </c>
      <c r="BA349" s="4284">
        <f t="shared" si="186"/>
        <v>0</v>
      </c>
      <c r="BB349" s="4284">
        <f t="shared" si="187"/>
        <v>0</v>
      </c>
      <c r="BC349" s="4284">
        <f t="shared" si="188"/>
        <v>0</v>
      </c>
      <c r="BD349" s="4284">
        <f t="shared" si="189"/>
        <v>0</v>
      </c>
      <c r="BE349" s="4284">
        <f t="shared" si="190"/>
        <v>0</v>
      </c>
      <c r="BF349" s="4284">
        <f t="shared" si="191"/>
        <v>0</v>
      </c>
      <c r="BG349" s="4284">
        <f t="shared" si="192"/>
        <v>0</v>
      </c>
      <c r="BH349" s="4284">
        <f t="shared" si="193"/>
        <v>0</v>
      </c>
      <c r="BI349" s="4284">
        <f t="shared" si="194"/>
        <v>0</v>
      </c>
      <c r="BJ349" s="4284">
        <f t="shared" si="195"/>
        <v>0</v>
      </c>
      <c r="BK349" s="4284">
        <f t="shared" si="196"/>
        <v>0</v>
      </c>
      <c r="BL349" s="4284">
        <f t="shared" si="197"/>
        <v>0</v>
      </c>
      <c r="BM349" s="4284">
        <f t="shared" si="198"/>
        <v>0</v>
      </c>
      <c r="BN349" s="4284">
        <f t="shared" si="199"/>
        <v>0</v>
      </c>
      <c r="BO349" s="4284">
        <f t="shared" si="200"/>
        <v>0</v>
      </c>
      <c r="BP349" s="4284">
        <f t="shared" si="201"/>
        <v>0</v>
      </c>
      <c r="BQ349" s="4284">
        <f t="shared" si="202"/>
        <v>0</v>
      </c>
      <c r="BR349" s="4284">
        <f t="shared" si="203"/>
        <v>0</v>
      </c>
      <c r="BS349" s="4284">
        <f t="shared" si="204"/>
        <v>0</v>
      </c>
      <c r="BT349" s="4285">
        <f t="shared" si="205"/>
        <v>0</v>
      </c>
    </row>
    <row r="350" spans="1:72">
      <c r="A350" s="4278"/>
      <c r="B350" s="4279"/>
      <c r="C350" s="4279"/>
      <c r="D350" s="4280"/>
      <c r="E350" s="1188">
        <f t="shared" si="206"/>
        <v>0</v>
      </c>
      <c r="F350" s="1680"/>
      <c r="G350" s="4281">
        <f t="shared" si="181"/>
        <v>0</v>
      </c>
      <c r="H350" s="3457">
        <f t="shared" si="182"/>
        <v>0</v>
      </c>
      <c r="I350" s="4282"/>
      <c r="J350" s="4282"/>
      <c r="K350" s="4282"/>
      <c r="L350" s="4282"/>
      <c r="M350" s="4282"/>
      <c r="N350" s="4282"/>
      <c r="O350" s="4282"/>
      <c r="P350" s="4282"/>
      <c r="Q350" s="4282"/>
      <c r="R350" s="4282"/>
      <c r="S350" s="4282"/>
      <c r="T350" s="4282"/>
      <c r="U350" s="4282"/>
      <c r="V350" s="4282"/>
      <c r="W350" s="4282"/>
      <c r="X350" s="4282"/>
      <c r="Y350" s="4282"/>
      <c r="Z350" s="4282"/>
      <c r="AA350" s="4282"/>
      <c r="AB350" s="4282"/>
      <c r="AC350" s="1188">
        <f t="shared" si="183"/>
        <v>0</v>
      </c>
      <c r="AD350" s="4278"/>
      <c r="AE350" s="4278"/>
      <c r="AF350" s="4278"/>
      <c r="AG350" s="4278"/>
      <c r="AH350" s="4278"/>
      <c r="AI350" s="4278"/>
      <c r="AJ350" s="4278"/>
      <c r="AK350" s="4278"/>
      <c r="AL350" s="4278"/>
      <c r="AM350" s="4278"/>
      <c r="AN350" s="4278"/>
      <c r="AO350" s="4278"/>
      <c r="AP350" s="4278"/>
      <c r="AQ350" s="4278"/>
      <c r="AR350" s="4278"/>
      <c r="AS350" s="4278"/>
      <c r="AT350" s="4279"/>
      <c r="AU350" s="4283"/>
      <c r="AV350" s="1188">
        <f t="shared" si="207"/>
        <v>0</v>
      </c>
      <c r="AW350" s="1188">
        <f t="shared" si="208"/>
        <v>0</v>
      </c>
      <c r="AX350" s="1188">
        <f t="shared" si="209"/>
        <v>0</v>
      </c>
      <c r="AY350" s="1452">
        <f t="shared" si="184"/>
        <v>0</v>
      </c>
      <c r="AZ350" s="4284">
        <f t="shared" si="185"/>
        <v>0</v>
      </c>
      <c r="BA350" s="4284">
        <f t="shared" si="186"/>
        <v>0</v>
      </c>
      <c r="BB350" s="4284">
        <f t="shared" si="187"/>
        <v>0</v>
      </c>
      <c r="BC350" s="4284">
        <f t="shared" si="188"/>
        <v>0</v>
      </c>
      <c r="BD350" s="4284">
        <f t="shared" si="189"/>
        <v>0</v>
      </c>
      <c r="BE350" s="4284">
        <f t="shared" si="190"/>
        <v>0</v>
      </c>
      <c r="BF350" s="4284">
        <f t="shared" si="191"/>
        <v>0</v>
      </c>
      <c r="BG350" s="4284">
        <f t="shared" si="192"/>
        <v>0</v>
      </c>
      <c r="BH350" s="4284">
        <f t="shared" si="193"/>
        <v>0</v>
      </c>
      <c r="BI350" s="4284">
        <f t="shared" si="194"/>
        <v>0</v>
      </c>
      <c r="BJ350" s="4284">
        <f t="shared" si="195"/>
        <v>0</v>
      </c>
      <c r="BK350" s="4284">
        <f t="shared" si="196"/>
        <v>0</v>
      </c>
      <c r="BL350" s="4284">
        <f t="shared" si="197"/>
        <v>0</v>
      </c>
      <c r="BM350" s="4284">
        <f t="shared" si="198"/>
        <v>0</v>
      </c>
      <c r="BN350" s="4284">
        <f t="shared" si="199"/>
        <v>0</v>
      </c>
      <c r="BO350" s="4284">
        <f t="shared" si="200"/>
        <v>0</v>
      </c>
      <c r="BP350" s="4284">
        <f t="shared" si="201"/>
        <v>0</v>
      </c>
      <c r="BQ350" s="4284">
        <f t="shared" si="202"/>
        <v>0</v>
      </c>
      <c r="BR350" s="4284">
        <f t="shared" si="203"/>
        <v>0</v>
      </c>
      <c r="BS350" s="4284">
        <f t="shared" si="204"/>
        <v>0</v>
      </c>
      <c r="BT350" s="4285">
        <f t="shared" si="205"/>
        <v>0</v>
      </c>
    </row>
    <row r="351" spans="1:72">
      <c r="A351" s="4278"/>
      <c r="B351" s="4279"/>
      <c r="C351" s="4279"/>
      <c r="D351" s="4280"/>
      <c r="E351" s="1188">
        <f t="shared" si="206"/>
        <v>0</v>
      </c>
      <c r="F351" s="1680"/>
      <c r="G351" s="4281">
        <f t="shared" si="181"/>
        <v>0</v>
      </c>
      <c r="H351" s="3457">
        <f t="shared" si="182"/>
        <v>0</v>
      </c>
      <c r="I351" s="4282"/>
      <c r="J351" s="4282"/>
      <c r="K351" s="4282"/>
      <c r="L351" s="4282"/>
      <c r="M351" s="4282"/>
      <c r="N351" s="4282"/>
      <c r="O351" s="4282"/>
      <c r="P351" s="4282"/>
      <c r="Q351" s="4282"/>
      <c r="R351" s="4282"/>
      <c r="S351" s="4282"/>
      <c r="T351" s="4282"/>
      <c r="U351" s="4282"/>
      <c r="V351" s="4282"/>
      <c r="W351" s="4282"/>
      <c r="X351" s="4282"/>
      <c r="Y351" s="4282"/>
      <c r="Z351" s="4282"/>
      <c r="AA351" s="4282"/>
      <c r="AB351" s="4282"/>
      <c r="AC351" s="1188">
        <f t="shared" si="183"/>
        <v>0</v>
      </c>
      <c r="AD351" s="4278"/>
      <c r="AE351" s="4278"/>
      <c r="AF351" s="4278"/>
      <c r="AG351" s="4278"/>
      <c r="AH351" s="4278"/>
      <c r="AI351" s="4278"/>
      <c r="AJ351" s="4278"/>
      <c r="AK351" s="4278"/>
      <c r="AL351" s="4278"/>
      <c r="AM351" s="4278"/>
      <c r="AN351" s="4278"/>
      <c r="AO351" s="4278"/>
      <c r="AP351" s="4278"/>
      <c r="AQ351" s="4278"/>
      <c r="AR351" s="4278"/>
      <c r="AS351" s="4278"/>
      <c r="AT351" s="4279"/>
      <c r="AU351" s="4283"/>
      <c r="AV351" s="1188">
        <f t="shared" si="207"/>
        <v>0</v>
      </c>
      <c r="AW351" s="1188">
        <f t="shared" si="208"/>
        <v>0</v>
      </c>
      <c r="AX351" s="1188">
        <f t="shared" si="209"/>
        <v>0</v>
      </c>
      <c r="AY351" s="1452">
        <f t="shared" si="184"/>
        <v>0</v>
      </c>
      <c r="AZ351" s="4284">
        <f t="shared" si="185"/>
        <v>0</v>
      </c>
      <c r="BA351" s="4284">
        <f t="shared" si="186"/>
        <v>0</v>
      </c>
      <c r="BB351" s="4284">
        <f t="shared" si="187"/>
        <v>0</v>
      </c>
      <c r="BC351" s="4284">
        <f t="shared" si="188"/>
        <v>0</v>
      </c>
      <c r="BD351" s="4284">
        <f t="shared" si="189"/>
        <v>0</v>
      </c>
      <c r="BE351" s="4284">
        <f t="shared" si="190"/>
        <v>0</v>
      </c>
      <c r="BF351" s="4284">
        <f t="shared" si="191"/>
        <v>0</v>
      </c>
      <c r="BG351" s="4284">
        <f t="shared" si="192"/>
        <v>0</v>
      </c>
      <c r="BH351" s="4284">
        <f t="shared" si="193"/>
        <v>0</v>
      </c>
      <c r="BI351" s="4284">
        <f t="shared" si="194"/>
        <v>0</v>
      </c>
      <c r="BJ351" s="4284">
        <f t="shared" si="195"/>
        <v>0</v>
      </c>
      <c r="BK351" s="4284">
        <f t="shared" si="196"/>
        <v>0</v>
      </c>
      <c r="BL351" s="4284">
        <f t="shared" si="197"/>
        <v>0</v>
      </c>
      <c r="BM351" s="4284">
        <f t="shared" si="198"/>
        <v>0</v>
      </c>
      <c r="BN351" s="4284">
        <f t="shared" si="199"/>
        <v>0</v>
      </c>
      <c r="BO351" s="4284">
        <f t="shared" si="200"/>
        <v>0</v>
      </c>
      <c r="BP351" s="4284">
        <f t="shared" si="201"/>
        <v>0</v>
      </c>
      <c r="BQ351" s="4284">
        <f t="shared" si="202"/>
        <v>0</v>
      </c>
      <c r="BR351" s="4284">
        <f t="shared" si="203"/>
        <v>0</v>
      </c>
      <c r="BS351" s="4284">
        <f t="shared" si="204"/>
        <v>0</v>
      </c>
      <c r="BT351" s="4285">
        <f t="shared" si="205"/>
        <v>0</v>
      </c>
    </row>
    <row r="352" spans="1:72">
      <c r="A352" s="4278"/>
      <c r="B352" s="4279"/>
      <c r="C352" s="4279"/>
      <c r="D352" s="4280"/>
      <c r="E352" s="1188">
        <f t="shared" si="206"/>
        <v>0</v>
      </c>
      <c r="F352" s="1680"/>
      <c r="G352" s="4281">
        <f t="shared" si="181"/>
        <v>0</v>
      </c>
      <c r="H352" s="3457">
        <f t="shared" si="182"/>
        <v>0</v>
      </c>
      <c r="I352" s="4282"/>
      <c r="J352" s="4282"/>
      <c r="K352" s="4282"/>
      <c r="L352" s="4282"/>
      <c r="M352" s="4282"/>
      <c r="N352" s="4282"/>
      <c r="O352" s="4282"/>
      <c r="P352" s="4282"/>
      <c r="Q352" s="4282"/>
      <c r="R352" s="4282"/>
      <c r="S352" s="4282"/>
      <c r="T352" s="4282"/>
      <c r="U352" s="4282"/>
      <c r="V352" s="4282"/>
      <c r="W352" s="4282"/>
      <c r="X352" s="4282"/>
      <c r="Y352" s="4282"/>
      <c r="Z352" s="4282"/>
      <c r="AA352" s="4282"/>
      <c r="AB352" s="4282"/>
      <c r="AC352" s="1188">
        <f t="shared" si="183"/>
        <v>0</v>
      </c>
      <c r="AD352" s="4278"/>
      <c r="AE352" s="4278"/>
      <c r="AF352" s="4278"/>
      <c r="AG352" s="4278"/>
      <c r="AH352" s="4278"/>
      <c r="AI352" s="4278"/>
      <c r="AJ352" s="4278"/>
      <c r="AK352" s="4278"/>
      <c r="AL352" s="4278"/>
      <c r="AM352" s="4278"/>
      <c r="AN352" s="4278"/>
      <c r="AO352" s="4278"/>
      <c r="AP352" s="4278"/>
      <c r="AQ352" s="4278"/>
      <c r="AR352" s="4278"/>
      <c r="AS352" s="4278"/>
      <c r="AT352" s="4279"/>
      <c r="AU352" s="4283"/>
      <c r="AV352" s="1188">
        <f t="shared" si="207"/>
        <v>0</v>
      </c>
      <c r="AW352" s="1188">
        <f t="shared" si="208"/>
        <v>0</v>
      </c>
      <c r="AX352" s="1188">
        <f t="shared" si="209"/>
        <v>0</v>
      </c>
      <c r="AY352" s="1452">
        <f t="shared" si="184"/>
        <v>0</v>
      </c>
      <c r="AZ352" s="4284">
        <f t="shared" si="185"/>
        <v>0</v>
      </c>
      <c r="BA352" s="4284">
        <f t="shared" si="186"/>
        <v>0</v>
      </c>
      <c r="BB352" s="4284">
        <f t="shared" si="187"/>
        <v>0</v>
      </c>
      <c r="BC352" s="4284">
        <f t="shared" si="188"/>
        <v>0</v>
      </c>
      <c r="BD352" s="4284">
        <f t="shared" si="189"/>
        <v>0</v>
      </c>
      <c r="BE352" s="4284">
        <f t="shared" si="190"/>
        <v>0</v>
      </c>
      <c r="BF352" s="4284">
        <f t="shared" si="191"/>
        <v>0</v>
      </c>
      <c r="BG352" s="4284">
        <f t="shared" si="192"/>
        <v>0</v>
      </c>
      <c r="BH352" s="4284">
        <f t="shared" si="193"/>
        <v>0</v>
      </c>
      <c r="BI352" s="4284">
        <f t="shared" si="194"/>
        <v>0</v>
      </c>
      <c r="BJ352" s="4284">
        <f t="shared" si="195"/>
        <v>0</v>
      </c>
      <c r="BK352" s="4284">
        <f t="shared" si="196"/>
        <v>0</v>
      </c>
      <c r="BL352" s="4284">
        <f t="shared" si="197"/>
        <v>0</v>
      </c>
      <c r="BM352" s="4284">
        <f t="shared" si="198"/>
        <v>0</v>
      </c>
      <c r="BN352" s="4284">
        <f t="shared" si="199"/>
        <v>0</v>
      </c>
      <c r="BO352" s="4284">
        <f t="shared" si="200"/>
        <v>0</v>
      </c>
      <c r="BP352" s="4284">
        <f t="shared" si="201"/>
        <v>0</v>
      </c>
      <c r="BQ352" s="4284">
        <f t="shared" si="202"/>
        <v>0</v>
      </c>
      <c r="BR352" s="4284">
        <f t="shared" si="203"/>
        <v>0</v>
      </c>
      <c r="BS352" s="4284">
        <f t="shared" si="204"/>
        <v>0</v>
      </c>
      <c r="BT352" s="4285">
        <f t="shared" si="205"/>
        <v>0</v>
      </c>
    </row>
    <row r="353" spans="1:72">
      <c r="A353" s="4278"/>
      <c r="B353" s="4279"/>
      <c r="C353" s="4279"/>
      <c r="D353" s="4280"/>
      <c r="E353" s="1188">
        <f t="shared" si="206"/>
        <v>0</v>
      </c>
      <c r="F353" s="1680"/>
      <c r="G353" s="4281">
        <f t="shared" si="181"/>
        <v>0</v>
      </c>
      <c r="H353" s="3457">
        <f t="shared" si="182"/>
        <v>0</v>
      </c>
      <c r="I353" s="4282"/>
      <c r="J353" s="4282"/>
      <c r="K353" s="4282"/>
      <c r="L353" s="4282"/>
      <c r="M353" s="4282"/>
      <c r="N353" s="4282"/>
      <c r="O353" s="4282"/>
      <c r="P353" s="4282"/>
      <c r="Q353" s="4282"/>
      <c r="R353" s="4282"/>
      <c r="S353" s="4282"/>
      <c r="T353" s="4282"/>
      <c r="U353" s="4282"/>
      <c r="V353" s="4282"/>
      <c r="W353" s="4282"/>
      <c r="X353" s="4282"/>
      <c r="Y353" s="4282"/>
      <c r="Z353" s="4282"/>
      <c r="AA353" s="4282"/>
      <c r="AB353" s="4282"/>
      <c r="AC353" s="1188">
        <f t="shared" si="183"/>
        <v>0</v>
      </c>
      <c r="AD353" s="4278"/>
      <c r="AE353" s="4278"/>
      <c r="AF353" s="4278"/>
      <c r="AG353" s="4278"/>
      <c r="AH353" s="4278"/>
      <c r="AI353" s="4278"/>
      <c r="AJ353" s="4278"/>
      <c r="AK353" s="4278"/>
      <c r="AL353" s="4278"/>
      <c r="AM353" s="4278"/>
      <c r="AN353" s="4278"/>
      <c r="AO353" s="4278"/>
      <c r="AP353" s="4278"/>
      <c r="AQ353" s="4278"/>
      <c r="AR353" s="4278"/>
      <c r="AS353" s="4278"/>
      <c r="AT353" s="4279"/>
      <c r="AU353" s="4283"/>
      <c r="AV353" s="1188">
        <f t="shared" si="207"/>
        <v>0</v>
      </c>
      <c r="AW353" s="1188">
        <f t="shared" si="208"/>
        <v>0</v>
      </c>
      <c r="AX353" s="1188">
        <f t="shared" si="209"/>
        <v>0</v>
      </c>
      <c r="AY353" s="1452">
        <f t="shared" si="184"/>
        <v>0</v>
      </c>
      <c r="AZ353" s="4284">
        <f t="shared" si="185"/>
        <v>0</v>
      </c>
      <c r="BA353" s="4284">
        <f t="shared" si="186"/>
        <v>0</v>
      </c>
      <c r="BB353" s="4284">
        <f t="shared" si="187"/>
        <v>0</v>
      </c>
      <c r="BC353" s="4284">
        <f t="shared" si="188"/>
        <v>0</v>
      </c>
      <c r="BD353" s="4284">
        <f t="shared" si="189"/>
        <v>0</v>
      </c>
      <c r="BE353" s="4284">
        <f t="shared" si="190"/>
        <v>0</v>
      </c>
      <c r="BF353" s="4284">
        <f t="shared" si="191"/>
        <v>0</v>
      </c>
      <c r="BG353" s="4284">
        <f t="shared" si="192"/>
        <v>0</v>
      </c>
      <c r="BH353" s="4284">
        <f t="shared" si="193"/>
        <v>0</v>
      </c>
      <c r="BI353" s="4284">
        <f t="shared" si="194"/>
        <v>0</v>
      </c>
      <c r="BJ353" s="4284">
        <f t="shared" si="195"/>
        <v>0</v>
      </c>
      <c r="BK353" s="4284">
        <f t="shared" si="196"/>
        <v>0</v>
      </c>
      <c r="BL353" s="4284">
        <f t="shared" si="197"/>
        <v>0</v>
      </c>
      <c r="BM353" s="4284">
        <f t="shared" si="198"/>
        <v>0</v>
      </c>
      <c r="BN353" s="4284">
        <f t="shared" si="199"/>
        <v>0</v>
      </c>
      <c r="BO353" s="4284">
        <f t="shared" si="200"/>
        <v>0</v>
      </c>
      <c r="BP353" s="4284">
        <f t="shared" si="201"/>
        <v>0</v>
      </c>
      <c r="BQ353" s="4284">
        <f t="shared" si="202"/>
        <v>0</v>
      </c>
      <c r="BR353" s="4284">
        <f t="shared" si="203"/>
        <v>0</v>
      </c>
      <c r="BS353" s="4284">
        <f t="shared" si="204"/>
        <v>0</v>
      </c>
      <c r="BT353" s="4285">
        <f t="shared" si="205"/>
        <v>0</v>
      </c>
    </row>
    <row r="354" spans="1:72">
      <c r="A354" s="4278"/>
      <c r="B354" s="4279"/>
      <c r="C354" s="4279"/>
      <c r="D354" s="4280"/>
      <c r="E354" s="1188">
        <f t="shared" si="206"/>
        <v>0</v>
      </c>
      <c r="F354" s="1680"/>
      <c r="G354" s="4281">
        <f t="shared" si="181"/>
        <v>0</v>
      </c>
      <c r="H354" s="3457">
        <f t="shared" si="182"/>
        <v>0</v>
      </c>
      <c r="I354" s="4282"/>
      <c r="J354" s="4282"/>
      <c r="K354" s="4282"/>
      <c r="L354" s="4282"/>
      <c r="M354" s="4282"/>
      <c r="N354" s="4282"/>
      <c r="O354" s="4282"/>
      <c r="P354" s="4282"/>
      <c r="Q354" s="4282"/>
      <c r="R354" s="4282"/>
      <c r="S354" s="4282"/>
      <c r="T354" s="4282"/>
      <c r="U354" s="4282"/>
      <c r="V354" s="4282"/>
      <c r="W354" s="4282"/>
      <c r="X354" s="4282"/>
      <c r="Y354" s="4282"/>
      <c r="Z354" s="4282"/>
      <c r="AA354" s="4282"/>
      <c r="AB354" s="4282"/>
      <c r="AC354" s="1188">
        <f t="shared" si="183"/>
        <v>0</v>
      </c>
      <c r="AD354" s="4278"/>
      <c r="AE354" s="4278"/>
      <c r="AF354" s="4278"/>
      <c r="AG354" s="4278"/>
      <c r="AH354" s="4278"/>
      <c r="AI354" s="4278"/>
      <c r="AJ354" s="4278"/>
      <c r="AK354" s="4278"/>
      <c r="AL354" s="4278"/>
      <c r="AM354" s="4278"/>
      <c r="AN354" s="4278"/>
      <c r="AO354" s="4278"/>
      <c r="AP354" s="4278"/>
      <c r="AQ354" s="4278"/>
      <c r="AR354" s="4278"/>
      <c r="AS354" s="4278"/>
      <c r="AT354" s="4279"/>
      <c r="AU354" s="4283"/>
      <c r="AV354" s="1188">
        <f t="shared" si="207"/>
        <v>0</v>
      </c>
      <c r="AW354" s="1188">
        <f t="shared" si="208"/>
        <v>0</v>
      </c>
      <c r="AX354" s="1188">
        <f t="shared" si="209"/>
        <v>0</v>
      </c>
      <c r="AY354" s="1452">
        <f t="shared" si="184"/>
        <v>0</v>
      </c>
      <c r="AZ354" s="4284">
        <f t="shared" si="185"/>
        <v>0</v>
      </c>
      <c r="BA354" s="4284">
        <f t="shared" si="186"/>
        <v>0</v>
      </c>
      <c r="BB354" s="4284">
        <f t="shared" si="187"/>
        <v>0</v>
      </c>
      <c r="BC354" s="4284">
        <f t="shared" si="188"/>
        <v>0</v>
      </c>
      <c r="BD354" s="4284">
        <f t="shared" si="189"/>
        <v>0</v>
      </c>
      <c r="BE354" s="4284">
        <f t="shared" si="190"/>
        <v>0</v>
      </c>
      <c r="BF354" s="4284">
        <f t="shared" si="191"/>
        <v>0</v>
      </c>
      <c r="BG354" s="4284">
        <f t="shared" si="192"/>
        <v>0</v>
      </c>
      <c r="BH354" s="4284">
        <f t="shared" si="193"/>
        <v>0</v>
      </c>
      <c r="BI354" s="4284">
        <f t="shared" si="194"/>
        <v>0</v>
      </c>
      <c r="BJ354" s="4284">
        <f t="shared" si="195"/>
        <v>0</v>
      </c>
      <c r="BK354" s="4284">
        <f t="shared" si="196"/>
        <v>0</v>
      </c>
      <c r="BL354" s="4284">
        <f t="shared" si="197"/>
        <v>0</v>
      </c>
      <c r="BM354" s="4284">
        <f t="shared" si="198"/>
        <v>0</v>
      </c>
      <c r="BN354" s="4284">
        <f t="shared" si="199"/>
        <v>0</v>
      </c>
      <c r="BO354" s="4284">
        <f t="shared" si="200"/>
        <v>0</v>
      </c>
      <c r="BP354" s="4284">
        <f t="shared" si="201"/>
        <v>0</v>
      </c>
      <c r="BQ354" s="4284">
        <f t="shared" si="202"/>
        <v>0</v>
      </c>
      <c r="BR354" s="4284">
        <f t="shared" si="203"/>
        <v>0</v>
      </c>
      <c r="BS354" s="4284">
        <f t="shared" si="204"/>
        <v>0</v>
      </c>
      <c r="BT354" s="4285">
        <f t="shared" si="205"/>
        <v>0</v>
      </c>
    </row>
    <row r="355" spans="1:72">
      <c r="A355" s="4278"/>
      <c r="B355" s="4279"/>
      <c r="C355" s="4279"/>
      <c r="D355" s="4280"/>
      <c r="E355" s="1188">
        <f t="shared" si="206"/>
        <v>0</v>
      </c>
      <c r="F355" s="1680"/>
      <c r="G355" s="4281">
        <f t="shared" si="181"/>
        <v>0</v>
      </c>
      <c r="H355" s="3457">
        <f t="shared" si="182"/>
        <v>0</v>
      </c>
      <c r="I355" s="4282"/>
      <c r="J355" s="4282"/>
      <c r="K355" s="4282"/>
      <c r="L355" s="4282"/>
      <c r="M355" s="4282"/>
      <c r="N355" s="4282"/>
      <c r="O355" s="4282"/>
      <c r="P355" s="4282"/>
      <c r="Q355" s="4282"/>
      <c r="R355" s="4282"/>
      <c r="S355" s="4282"/>
      <c r="T355" s="4282"/>
      <c r="U355" s="4282"/>
      <c r="V355" s="4282"/>
      <c r="W355" s="4282"/>
      <c r="X355" s="4282"/>
      <c r="Y355" s="4282"/>
      <c r="Z355" s="4282"/>
      <c r="AA355" s="4282"/>
      <c r="AB355" s="4282"/>
      <c r="AC355" s="1188">
        <f t="shared" si="183"/>
        <v>0</v>
      </c>
      <c r="AD355" s="4278"/>
      <c r="AE355" s="4278"/>
      <c r="AF355" s="4278"/>
      <c r="AG355" s="4278"/>
      <c r="AH355" s="4278"/>
      <c r="AI355" s="4278"/>
      <c r="AJ355" s="4278"/>
      <c r="AK355" s="4278"/>
      <c r="AL355" s="4278"/>
      <c r="AM355" s="4278"/>
      <c r="AN355" s="4278"/>
      <c r="AO355" s="4278"/>
      <c r="AP355" s="4278"/>
      <c r="AQ355" s="4278"/>
      <c r="AR355" s="4278"/>
      <c r="AS355" s="4278"/>
      <c r="AT355" s="4279"/>
      <c r="AU355" s="4283"/>
      <c r="AV355" s="1188">
        <f t="shared" si="207"/>
        <v>0</v>
      </c>
      <c r="AW355" s="1188">
        <f t="shared" si="208"/>
        <v>0</v>
      </c>
      <c r="AX355" s="1188">
        <f t="shared" si="209"/>
        <v>0</v>
      </c>
      <c r="AY355" s="1452">
        <f t="shared" si="184"/>
        <v>0</v>
      </c>
      <c r="AZ355" s="4284">
        <f t="shared" si="185"/>
        <v>0</v>
      </c>
      <c r="BA355" s="4284">
        <f t="shared" si="186"/>
        <v>0</v>
      </c>
      <c r="BB355" s="4284">
        <f t="shared" si="187"/>
        <v>0</v>
      </c>
      <c r="BC355" s="4284">
        <f t="shared" si="188"/>
        <v>0</v>
      </c>
      <c r="BD355" s="4284">
        <f t="shared" si="189"/>
        <v>0</v>
      </c>
      <c r="BE355" s="4284">
        <f t="shared" si="190"/>
        <v>0</v>
      </c>
      <c r="BF355" s="4284">
        <f t="shared" si="191"/>
        <v>0</v>
      </c>
      <c r="BG355" s="4284">
        <f t="shared" si="192"/>
        <v>0</v>
      </c>
      <c r="BH355" s="4284">
        <f t="shared" si="193"/>
        <v>0</v>
      </c>
      <c r="BI355" s="4284">
        <f t="shared" si="194"/>
        <v>0</v>
      </c>
      <c r="BJ355" s="4284">
        <f t="shared" si="195"/>
        <v>0</v>
      </c>
      <c r="BK355" s="4284">
        <f t="shared" si="196"/>
        <v>0</v>
      </c>
      <c r="BL355" s="4284">
        <f t="shared" si="197"/>
        <v>0</v>
      </c>
      <c r="BM355" s="4284">
        <f t="shared" si="198"/>
        <v>0</v>
      </c>
      <c r="BN355" s="4284">
        <f t="shared" si="199"/>
        <v>0</v>
      </c>
      <c r="BO355" s="4284">
        <f t="shared" si="200"/>
        <v>0</v>
      </c>
      <c r="BP355" s="4284">
        <f t="shared" si="201"/>
        <v>0</v>
      </c>
      <c r="BQ355" s="4284">
        <f t="shared" si="202"/>
        <v>0</v>
      </c>
      <c r="BR355" s="4284">
        <f t="shared" si="203"/>
        <v>0</v>
      </c>
      <c r="BS355" s="4284">
        <f t="shared" si="204"/>
        <v>0</v>
      </c>
      <c r="BT355" s="4285">
        <f t="shared" si="205"/>
        <v>0</v>
      </c>
    </row>
    <row r="356" spans="1:72">
      <c r="A356" s="4278"/>
      <c r="B356" s="4279"/>
      <c r="C356" s="4279"/>
      <c r="D356" s="4280"/>
      <c r="E356" s="1188">
        <f t="shared" si="206"/>
        <v>0</v>
      </c>
      <c r="F356" s="1680"/>
      <c r="G356" s="4281">
        <f t="shared" si="181"/>
        <v>0</v>
      </c>
      <c r="H356" s="3457">
        <f t="shared" si="182"/>
        <v>0</v>
      </c>
      <c r="I356" s="4282"/>
      <c r="J356" s="4282"/>
      <c r="K356" s="4282"/>
      <c r="L356" s="4282"/>
      <c r="M356" s="4282"/>
      <c r="N356" s="4282"/>
      <c r="O356" s="4282"/>
      <c r="P356" s="4282"/>
      <c r="Q356" s="4282"/>
      <c r="R356" s="4282"/>
      <c r="S356" s="4282"/>
      <c r="T356" s="4282"/>
      <c r="U356" s="4282"/>
      <c r="V356" s="4282"/>
      <c r="W356" s="4282"/>
      <c r="X356" s="4282"/>
      <c r="Y356" s="4282"/>
      <c r="Z356" s="4282"/>
      <c r="AA356" s="4282"/>
      <c r="AB356" s="4282"/>
      <c r="AC356" s="1188">
        <f t="shared" si="183"/>
        <v>0</v>
      </c>
      <c r="AD356" s="4278"/>
      <c r="AE356" s="4278"/>
      <c r="AF356" s="4278"/>
      <c r="AG356" s="4278"/>
      <c r="AH356" s="4278"/>
      <c r="AI356" s="4278"/>
      <c r="AJ356" s="4278"/>
      <c r="AK356" s="4278"/>
      <c r="AL356" s="4278"/>
      <c r="AM356" s="4278"/>
      <c r="AN356" s="4278"/>
      <c r="AO356" s="4278"/>
      <c r="AP356" s="4278"/>
      <c r="AQ356" s="4278"/>
      <c r="AR356" s="4278"/>
      <c r="AS356" s="4278"/>
      <c r="AT356" s="4279"/>
      <c r="AU356" s="4283"/>
      <c r="AV356" s="1188">
        <f t="shared" si="207"/>
        <v>0</v>
      </c>
      <c r="AW356" s="1188">
        <f t="shared" si="208"/>
        <v>0</v>
      </c>
      <c r="AX356" s="1188">
        <f t="shared" si="209"/>
        <v>0</v>
      </c>
      <c r="AY356" s="1452">
        <f t="shared" si="184"/>
        <v>0</v>
      </c>
      <c r="AZ356" s="4284">
        <f t="shared" si="185"/>
        <v>0</v>
      </c>
      <c r="BA356" s="4284">
        <f t="shared" si="186"/>
        <v>0</v>
      </c>
      <c r="BB356" s="4284">
        <f t="shared" si="187"/>
        <v>0</v>
      </c>
      <c r="BC356" s="4284">
        <f t="shared" si="188"/>
        <v>0</v>
      </c>
      <c r="BD356" s="4284">
        <f t="shared" si="189"/>
        <v>0</v>
      </c>
      <c r="BE356" s="4284">
        <f t="shared" si="190"/>
        <v>0</v>
      </c>
      <c r="BF356" s="4284">
        <f t="shared" si="191"/>
        <v>0</v>
      </c>
      <c r="BG356" s="4284">
        <f t="shared" si="192"/>
        <v>0</v>
      </c>
      <c r="BH356" s="4284">
        <f t="shared" si="193"/>
        <v>0</v>
      </c>
      <c r="BI356" s="4284">
        <f t="shared" si="194"/>
        <v>0</v>
      </c>
      <c r="BJ356" s="4284">
        <f t="shared" si="195"/>
        <v>0</v>
      </c>
      <c r="BK356" s="4284">
        <f t="shared" si="196"/>
        <v>0</v>
      </c>
      <c r="BL356" s="4284">
        <f t="shared" si="197"/>
        <v>0</v>
      </c>
      <c r="BM356" s="4284">
        <f t="shared" si="198"/>
        <v>0</v>
      </c>
      <c r="BN356" s="4284">
        <f t="shared" si="199"/>
        <v>0</v>
      </c>
      <c r="BO356" s="4284">
        <f t="shared" si="200"/>
        <v>0</v>
      </c>
      <c r="BP356" s="4284">
        <f t="shared" si="201"/>
        <v>0</v>
      </c>
      <c r="BQ356" s="4284">
        <f t="shared" si="202"/>
        <v>0</v>
      </c>
      <c r="BR356" s="4284">
        <f t="shared" si="203"/>
        <v>0</v>
      </c>
      <c r="BS356" s="4284">
        <f t="shared" si="204"/>
        <v>0</v>
      </c>
      <c r="BT356" s="4285">
        <f t="shared" si="205"/>
        <v>0</v>
      </c>
    </row>
    <row r="357" spans="1:72">
      <c r="A357" s="4278"/>
      <c r="B357" s="4279"/>
      <c r="C357" s="4279"/>
      <c r="D357" s="4280"/>
      <c r="E357" s="1188">
        <f t="shared" si="206"/>
        <v>0</v>
      </c>
      <c r="F357" s="1680"/>
      <c r="G357" s="4281">
        <f t="shared" si="181"/>
        <v>0</v>
      </c>
      <c r="H357" s="3457">
        <f t="shared" si="182"/>
        <v>0</v>
      </c>
      <c r="I357" s="4282"/>
      <c r="J357" s="4282"/>
      <c r="K357" s="4282"/>
      <c r="L357" s="4282"/>
      <c r="M357" s="4282"/>
      <c r="N357" s="4282"/>
      <c r="O357" s="4282"/>
      <c r="P357" s="4282"/>
      <c r="Q357" s="4282"/>
      <c r="R357" s="4282"/>
      <c r="S357" s="4282"/>
      <c r="T357" s="4282"/>
      <c r="U357" s="4282"/>
      <c r="V357" s="4282"/>
      <c r="W357" s="4282"/>
      <c r="X357" s="4282"/>
      <c r="Y357" s="4282"/>
      <c r="Z357" s="4282"/>
      <c r="AA357" s="4282"/>
      <c r="AB357" s="4282"/>
      <c r="AC357" s="1188">
        <f t="shared" si="183"/>
        <v>0</v>
      </c>
      <c r="AD357" s="4278"/>
      <c r="AE357" s="4278"/>
      <c r="AF357" s="4278"/>
      <c r="AG357" s="4278"/>
      <c r="AH357" s="4278"/>
      <c r="AI357" s="4278"/>
      <c r="AJ357" s="4278"/>
      <c r="AK357" s="4278"/>
      <c r="AL357" s="4278"/>
      <c r="AM357" s="4278"/>
      <c r="AN357" s="4278"/>
      <c r="AO357" s="4278"/>
      <c r="AP357" s="4278"/>
      <c r="AQ357" s="4278"/>
      <c r="AR357" s="4278"/>
      <c r="AS357" s="4278"/>
      <c r="AT357" s="4279"/>
      <c r="AU357" s="4283"/>
      <c r="AV357" s="1188">
        <f t="shared" si="207"/>
        <v>0</v>
      </c>
      <c r="AW357" s="1188">
        <f t="shared" si="208"/>
        <v>0</v>
      </c>
      <c r="AX357" s="1188">
        <f t="shared" si="209"/>
        <v>0</v>
      </c>
      <c r="AY357" s="1452">
        <f t="shared" si="184"/>
        <v>0</v>
      </c>
      <c r="AZ357" s="4284">
        <f t="shared" si="185"/>
        <v>0</v>
      </c>
      <c r="BA357" s="4284">
        <f t="shared" si="186"/>
        <v>0</v>
      </c>
      <c r="BB357" s="4284">
        <f t="shared" si="187"/>
        <v>0</v>
      </c>
      <c r="BC357" s="4284">
        <f t="shared" si="188"/>
        <v>0</v>
      </c>
      <c r="BD357" s="4284">
        <f t="shared" si="189"/>
        <v>0</v>
      </c>
      <c r="BE357" s="4284">
        <f t="shared" si="190"/>
        <v>0</v>
      </c>
      <c r="BF357" s="4284">
        <f t="shared" si="191"/>
        <v>0</v>
      </c>
      <c r="BG357" s="4284">
        <f t="shared" si="192"/>
        <v>0</v>
      </c>
      <c r="BH357" s="4284">
        <f t="shared" si="193"/>
        <v>0</v>
      </c>
      <c r="BI357" s="4284">
        <f t="shared" si="194"/>
        <v>0</v>
      </c>
      <c r="BJ357" s="4284">
        <f t="shared" si="195"/>
        <v>0</v>
      </c>
      <c r="BK357" s="4284">
        <f t="shared" si="196"/>
        <v>0</v>
      </c>
      <c r="BL357" s="4284">
        <f t="shared" si="197"/>
        <v>0</v>
      </c>
      <c r="BM357" s="4284">
        <f t="shared" si="198"/>
        <v>0</v>
      </c>
      <c r="BN357" s="4284">
        <f t="shared" si="199"/>
        <v>0</v>
      </c>
      <c r="BO357" s="4284">
        <f t="shared" si="200"/>
        <v>0</v>
      </c>
      <c r="BP357" s="4284">
        <f t="shared" si="201"/>
        <v>0</v>
      </c>
      <c r="BQ357" s="4284">
        <f t="shared" si="202"/>
        <v>0</v>
      </c>
      <c r="BR357" s="4284">
        <f t="shared" si="203"/>
        <v>0</v>
      </c>
      <c r="BS357" s="4284">
        <f t="shared" si="204"/>
        <v>0</v>
      </c>
      <c r="BT357" s="4285">
        <f t="shared" si="205"/>
        <v>0</v>
      </c>
    </row>
    <row r="358" spans="1:72">
      <c r="A358" s="4278"/>
      <c r="B358" s="4279"/>
      <c r="C358" s="4279"/>
      <c r="D358" s="4280"/>
      <c r="E358" s="1188">
        <f t="shared" si="206"/>
        <v>0</v>
      </c>
      <c r="F358" s="1680"/>
      <c r="G358" s="4281">
        <f t="shared" si="181"/>
        <v>0</v>
      </c>
      <c r="H358" s="3457">
        <f t="shared" si="182"/>
        <v>0</v>
      </c>
      <c r="I358" s="4282"/>
      <c r="J358" s="4282"/>
      <c r="K358" s="4282"/>
      <c r="L358" s="4282"/>
      <c r="M358" s="4282"/>
      <c r="N358" s="4282"/>
      <c r="O358" s="4282"/>
      <c r="P358" s="4282"/>
      <c r="Q358" s="4282"/>
      <c r="R358" s="4282"/>
      <c r="S358" s="4282"/>
      <c r="T358" s="4282"/>
      <c r="U358" s="4282"/>
      <c r="V358" s="4282"/>
      <c r="W358" s="4282"/>
      <c r="X358" s="4282"/>
      <c r="Y358" s="4282"/>
      <c r="Z358" s="4282"/>
      <c r="AA358" s="4282"/>
      <c r="AB358" s="4282"/>
      <c r="AC358" s="1188">
        <f t="shared" si="183"/>
        <v>0</v>
      </c>
      <c r="AD358" s="4278"/>
      <c r="AE358" s="4278"/>
      <c r="AF358" s="4278"/>
      <c r="AG358" s="4278"/>
      <c r="AH358" s="4278"/>
      <c r="AI358" s="4278"/>
      <c r="AJ358" s="4278"/>
      <c r="AK358" s="4278"/>
      <c r="AL358" s="4278"/>
      <c r="AM358" s="4278"/>
      <c r="AN358" s="4278"/>
      <c r="AO358" s="4278"/>
      <c r="AP358" s="4278"/>
      <c r="AQ358" s="4278"/>
      <c r="AR358" s="4278"/>
      <c r="AS358" s="4278"/>
      <c r="AT358" s="4279"/>
      <c r="AU358" s="4283"/>
      <c r="AV358" s="1188">
        <f t="shared" si="207"/>
        <v>0</v>
      </c>
      <c r="AW358" s="1188">
        <f t="shared" si="208"/>
        <v>0</v>
      </c>
      <c r="AX358" s="1188">
        <f t="shared" si="209"/>
        <v>0</v>
      </c>
      <c r="AY358" s="1452">
        <f t="shared" si="184"/>
        <v>0</v>
      </c>
      <c r="AZ358" s="4284">
        <f t="shared" si="185"/>
        <v>0</v>
      </c>
      <c r="BA358" s="4284">
        <f t="shared" si="186"/>
        <v>0</v>
      </c>
      <c r="BB358" s="4284">
        <f t="shared" si="187"/>
        <v>0</v>
      </c>
      <c r="BC358" s="4284">
        <f t="shared" si="188"/>
        <v>0</v>
      </c>
      <c r="BD358" s="4284">
        <f t="shared" si="189"/>
        <v>0</v>
      </c>
      <c r="BE358" s="4284">
        <f t="shared" si="190"/>
        <v>0</v>
      </c>
      <c r="BF358" s="4284">
        <f t="shared" si="191"/>
        <v>0</v>
      </c>
      <c r="BG358" s="4284">
        <f t="shared" si="192"/>
        <v>0</v>
      </c>
      <c r="BH358" s="4284">
        <f t="shared" si="193"/>
        <v>0</v>
      </c>
      <c r="BI358" s="4284">
        <f t="shared" si="194"/>
        <v>0</v>
      </c>
      <c r="BJ358" s="4284">
        <f t="shared" si="195"/>
        <v>0</v>
      </c>
      <c r="BK358" s="4284">
        <f t="shared" si="196"/>
        <v>0</v>
      </c>
      <c r="BL358" s="4284">
        <f t="shared" si="197"/>
        <v>0</v>
      </c>
      <c r="BM358" s="4284">
        <f t="shared" si="198"/>
        <v>0</v>
      </c>
      <c r="BN358" s="4284">
        <f t="shared" si="199"/>
        <v>0</v>
      </c>
      <c r="BO358" s="4284">
        <f t="shared" si="200"/>
        <v>0</v>
      </c>
      <c r="BP358" s="4284">
        <f t="shared" si="201"/>
        <v>0</v>
      </c>
      <c r="BQ358" s="4284">
        <f t="shared" si="202"/>
        <v>0</v>
      </c>
      <c r="BR358" s="4284">
        <f t="shared" si="203"/>
        <v>0</v>
      </c>
      <c r="BS358" s="4284">
        <f t="shared" si="204"/>
        <v>0</v>
      </c>
      <c r="BT358" s="4285">
        <f t="shared" si="205"/>
        <v>0</v>
      </c>
    </row>
    <row r="359" spans="1:72">
      <c r="A359" s="4278"/>
      <c r="B359" s="4279"/>
      <c r="C359" s="4279"/>
      <c r="D359" s="4280"/>
      <c r="E359" s="1188">
        <f t="shared" si="206"/>
        <v>0</v>
      </c>
      <c r="F359" s="1680"/>
      <c r="G359" s="4281">
        <f t="shared" si="181"/>
        <v>0</v>
      </c>
      <c r="H359" s="3457">
        <f t="shared" si="182"/>
        <v>0</v>
      </c>
      <c r="I359" s="4282"/>
      <c r="J359" s="4282"/>
      <c r="K359" s="4282"/>
      <c r="L359" s="4282"/>
      <c r="M359" s="4282"/>
      <c r="N359" s="4282"/>
      <c r="O359" s="4282"/>
      <c r="P359" s="4282"/>
      <c r="Q359" s="4282"/>
      <c r="R359" s="4282"/>
      <c r="S359" s="4282"/>
      <c r="T359" s="4282"/>
      <c r="U359" s="4282"/>
      <c r="V359" s="4282"/>
      <c r="W359" s="4282"/>
      <c r="X359" s="4282"/>
      <c r="Y359" s="4282"/>
      <c r="Z359" s="4282"/>
      <c r="AA359" s="4282"/>
      <c r="AB359" s="4282"/>
      <c r="AC359" s="1188">
        <f t="shared" si="183"/>
        <v>0</v>
      </c>
      <c r="AD359" s="4278"/>
      <c r="AE359" s="4278"/>
      <c r="AF359" s="4278"/>
      <c r="AG359" s="4278"/>
      <c r="AH359" s="4278"/>
      <c r="AI359" s="4278"/>
      <c r="AJ359" s="4278"/>
      <c r="AK359" s="4278"/>
      <c r="AL359" s="4278"/>
      <c r="AM359" s="4278"/>
      <c r="AN359" s="4278"/>
      <c r="AO359" s="4278"/>
      <c r="AP359" s="4278"/>
      <c r="AQ359" s="4278"/>
      <c r="AR359" s="4278"/>
      <c r="AS359" s="4278"/>
      <c r="AT359" s="4279"/>
      <c r="AU359" s="4283"/>
      <c r="AV359" s="1188">
        <f t="shared" si="207"/>
        <v>0</v>
      </c>
      <c r="AW359" s="1188">
        <f t="shared" si="208"/>
        <v>0</v>
      </c>
      <c r="AX359" s="1188">
        <f t="shared" si="209"/>
        <v>0</v>
      </c>
      <c r="AY359" s="1452">
        <f t="shared" si="184"/>
        <v>0</v>
      </c>
      <c r="AZ359" s="4284">
        <f t="shared" si="185"/>
        <v>0</v>
      </c>
      <c r="BA359" s="4284">
        <f t="shared" si="186"/>
        <v>0</v>
      </c>
      <c r="BB359" s="4284">
        <f t="shared" si="187"/>
        <v>0</v>
      </c>
      <c r="BC359" s="4284">
        <f t="shared" si="188"/>
        <v>0</v>
      </c>
      <c r="BD359" s="4284">
        <f t="shared" si="189"/>
        <v>0</v>
      </c>
      <c r="BE359" s="4284">
        <f t="shared" si="190"/>
        <v>0</v>
      </c>
      <c r="BF359" s="4284">
        <f t="shared" si="191"/>
        <v>0</v>
      </c>
      <c r="BG359" s="4284">
        <f t="shared" si="192"/>
        <v>0</v>
      </c>
      <c r="BH359" s="4284">
        <f t="shared" si="193"/>
        <v>0</v>
      </c>
      <c r="BI359" s="4284">
        <f t="shared" si="194"/>
        <v>0</v>
      </c>
      <c r="BJ359" s="4284">
        <f t="shared" si="195"/>
        <v>0</v>
      </c>
      <c r="BK359" s="4284">
        <f t="shared" si="196"/>
        <v>0</v>
      </c>
      <c r="BL359" s="4284">
        <f t="shared" si="197"/>
        <v>0</v>
      </c>
      <c r="BM359" s="4284">
        <f t="shared" si="198"/>
        <v>0</v>
      </c>
      <c r="BN359" s="4284">
        <f t="shared" si="199"/>
        <v>0</v>
      </c>
      <c r="BO359" s="4284">
        <f t="shared" si="200"/>
        <v>0</v>
      </c>
      <c r="BP359" s="4284">
        <f t="shared" si="201"/>
        <v>0</v>
      </c>
      <c r="BQ359" s="4284">
        <f t="shared" si="202"/>
        <v>0</v>
      </c>
      <c r="BR359" s="4284">
        <f t="shared" si="203"/>
        <v>0</v>
      </c>
      <c r="BS359" s="4284">
        <f t="shared" si="204"/>
        <v>0</v>
      </c>
      <c r="BT359" s="4285">
        <f t="shared" si="205"/>
        <v>0</v>
      </c>
    </row>
    <row r="360" spans="1:72">
      <c r="A360" s="4278"/>
      <c r="B360" s="4279"/>
      <c r="C360" s="4279"/>
      <c r="D360" s="4280"/>
      <c r="E360" s="1188">
        <f t="shared" si="206"/>
        <v>0</v>
      </c>
      <c r="F360" s="1680"/>
      <c r="G360" s="4281">
        <f t="shared" si="181"/>
        <v>0</v>
      </c>
      <c r="H360" s="3457">
        <f t="shared" si="182"/>
        <v>0</v>
      </c>
      <c r="I360" s="4282"/>
      <c r="J360" s="4282"/>
      <c r="K360" s="4282"/>
      <c r="L360" s="4282"/>
      <c r="M360" s="4282"/>
      <c r="N360" s="4282"/>
      <c r="O360" s="4282"/>
      <c r="P360" s="4282"/>
      <c r="Q360" s="4282"/>
      <c r="R360" s="4282"/>
      <c r="S360" s="4282"/>
      <c r="T360" s="4282"/>
      <c r="U360" s="4282"/>
      <c r="V360" s="4282"/>
      <c r="W360" s="4282"/>
      <c r="X360" s="4282"/>
      <c r="Y360" s="4282"/>
      <c r="Z360" s="4282"/>
      <c r="AA360" s="4282"/>
      <c r="AB360" s="4282"/>
      <c r="AC360" s="1188">
        <f t="shared" si="183"/>
        <v>0</v>
      </c>
      <c r="AD360" s="4278"/>
      <c r="AE360" s="4278"/>
      <c r="AF360" s="4278"/>
      <c r="AG360" s="4278"/>
      <c r="AH360" s="4278"/>
      <c r="AI360" s="4278"/>
      <c r="AJ360" s="4278"/>
      <c r="AK360" s="4278"/>
      <c r="AL360" s="4278"/>
      <c r="AM360" s="4278"/>
      <c r="AN360" s="4278"/>
      <c r="AO360" s="4278"/>
      <c r="AP360" s="4278"/>
      <c r="AQ360" s="4278"/>
      <c r="AR360" s="4278"/>
      <c r="AS360" s="4278"/>
      <c r="AT360" s="4279"/>
      <c r="AU360" s="4283"/>
      <c r="AV360" s="1188">
        <f t="shared" si="207"/>
        <v>0</v>
      </c>
      <c r="AW360" s="1188">
        <f t="shared" si="208"/>
        <v>0</v>
      </c>
      <c r="AX360" s="1188">
        <f t="shared" si="209"/>
        <v>0</v>
      </c>
      <c r="AY360" s="1452">
        <f t="shared" si="184"/>
        <v>0</v>
      </c>
      <c r="AZ360" s="4284">
        <f t="shared" si="185"/>
        <v>0</v>
      </c>
      <c r="BA360" s="4284">
        <f t="shared" si="186"/>
        <v>0</v>
      </c>
      <c r="BB360" s="4284">
        <f t="shared" si="187"/>
        <v>0</v>
      </c>
      <c r="BC360" s="4284">
        <f t="shared" si="188"/>
        <v>0</v>
      </c>
      <c r="BD360" s="4284">
        <f t="shared" si="189"/>
        <v>0</v>
      </c>
      <c r="BE360" s="4284">
        <f t="shared" si="190"/>
        <v>0</v>
      </c>
      <c r="BF360" s="4284">
        <f t="shared" si="191"/>
        <v>0</v>
      </c>
      <c r="BG360" s="4284">
        <f t="shared" si="192"/>
        <v>0</v>
      </c>
      <c r="BH360" s="4284">
        <f t="shared" si="193"/>
        <v>0</v>
      </c>
      <c r="BI360" s="4284">
        <f t="shared" si="194"/>
        <v>0</v>
      </c>
      <c r="BJ360" s="4284">
        <f t="shared" si="195"/>
        <v>0</v>
      </c>
      <c r="BK360" s="4284">
        <f t="shared" si="196"/>
        <v>0</v>
      </c>
      <c r="BL360" s="4284">
        <f t="shared" si="197"/>
        <v>0</v>
      </c>
      <c r="BM360" s="4284">
        <f t="shared" si="198"/>
        <v>0</v>
      </c>
      <c r="BN360" s="4284">
        <f t="shared" si="199"/>
        <v>0</v>
      </c>
      <c r="BO360" s="4284">
        <f t="shared" si="200"/>
        <v>0</v>
      </c>
      <c r="BP360" s="4284">
        <f t="shared" si="201"/>
        <v>0</v>
      </c>
      <c r="BQ360" s="4284">
        <f t="shared" si="202"/>
        <v>0</v>
      </c>
      <c r="BR360" s="4284">
        <f t="shared" si="203"/>
        <v>0</v>
      </c>
      <c r="BS360" s="4284">
        <f t="shared" si="204"/>
        <v>0</v>
      </c>
      <c r="BT360" s="4285">
        <f t="shared" si="205"/>
        <v>0</v>
      </c>
    </row>
    <row r="361" spans="1:72">
      <c r="A361" s="4278"/>
      <c r="B361" s="4279"/>
      <c r="C361" s="4279"/>
      <c r="D361" s="4280"/>
      <c r="E361" s="1188">
        <f t="shared" si="206"/>
        <v>0</v>
      </c>
      <c r="F361" s="1680"/>
      <c r="G361" s="4281">
        <f t="shared" si="181"/>
        <v>0</v>
      </c>
      <c r="H361" s="3457">
        <f t="shared" si="182"/>
        <v>0</v>
      </c>
      <c r="I361" s="4282"/>
      <c r="J361" s="4282"/>
      <c r="K361" s="4282"/>
      <c r="L361" s="4282"/>
      <c r="M361" s="4282"/>
      <c r="N361" s="4282"/>
      <c r="O361" s="4282"/>
      <c r="P361" s="4282"/>
      <c r="Q361" s="4282"/>
      <c r="R361" s="4282"/>
      <c r="S361" s="4282"/>
      <c r="T361" s="4282"/>
      <c r="U361" s="4282"/>
      <c r="V361" s="4282"/>
      <c r="W361" s="4282"/>
      <c r="X361" s="4282"/>
      <c r="Y361" s="4282"/>
      <c r="Z361" s="4282"/>
      <c r="AA361" s="4282"/>
      <c r="AB361" s="4282"/>
      <c r="AC361" s="1188">
        <f t="shared" si="183"/>
        <v>0</v>
      </c>
      <c r="AD361" s="4278"/>
      <c r="AE361" s="4278"/>
      <c r="AF361" s="4278"/>
      <c r="AG361" s="4278"/>
      <c r="AH361" s="4278"/>
      <c r="AI361" s="4278"/>
      <c r="AJ361" s="4278"/>
      <c r="AK361" s="4278"/>
      <c r="AL361" s="4278"/>
      <c r="AM361" s="4278"/>
      <c r="AN361" s="4278"/>
      <c r="AO361" s="4278"/>
      <c r="AP361" s="4278"/>
      <c r="AQ361" s="4278"/>
      <c r="AR361" s="4278"/>
      <c r="AS361" s="4278"/>
      <c r="AT361" s="4279"/>
      <c r="AU361" s="4283"/>
      <c r="AV361" s="1188">
        <f t="shared" si="207"/>
        <v>0</v>
      </c>
      <c r="AW361" s="1188">
        <f t="shared" si="208"/>
        <v>0</v>
      </c>
      <c r="AX361" s="1188">
        <f t="shared" si="209"/>
        <v>0</v>
      </c>
      <c r="AY361" s="1452">
        <f t="shared" si="184"/>
        <v>0</v>
      </c>
      <c r="AZ361" s="4284">
        <f t="shared" si="185"/>
        <v>0</v>
      </c>
      <c r="BA361" s="4284">
        <f t="shared" si="186"/>
        <v>0</v>
      </c>
      <c r="BB361" s="4284">
        <f t="shared" si="187"/>
        <v>0</v>
      </c>
      <c r="BC361" s="4284">
        <f t="shared" si="188"/>
        <v>0</v>
      </c>
      <c r="BD361" s="4284">
        <f t="shared" si="189"/>
        <v>0</v>
      </c>
      <c r="BE361" s="4284">
        <f t="shared" si="190"/>
        <v>0</v>
      </c>
      <c r="BF361" s="4284">
        <f t="shared" si="191"/>
        <v>0</v>
      </c>
      <c r="BG361" s="4284">
        <f t="shared" si="192"/>
        <v>0</v>
      </c>
      <c r="BH361" s="4284">
        <f t="shared" si="193"/>
        <v>0</v>
      </c>
      <c r="BI361" s="4284">
        <f t="shared" si="194"/>
        <v>0</v>
      </c>
      <c r="BJ361" s="4284">
        <f t="shared" si="195"/>
        <v>0</v>
      </c>
      <c r="BK361" s="4284">
        <f t="shared" si="196"/>
        <v>0</v>
      </c>
      <c r="BL361" s="4284">
        <f t="shared" si="197"/>
        <v>0</v>
      </c>
      <c r="BM361" s="4284">
        <f t="shared" si="198"/>
        <v>0</v>
      </c>
      <c r="BN361" s="4284">
        <f t="shared" si="199"/>
        <v>0</v>
      </c>
      <c r="BO361" s="4284">
        <f t="shared" si="200"/>
        <v>0</v>
      </c>
      <c r="BP361" s="4284">
        <f t="shared" si="201"/>
        <v>0</v>
      </c>
      <c r="BQ361" s="4284">
        <f t="shared" si="202"/>
        <v>0</v>
      </c>
      <c r="BR361" s="4284">
        <f t="shared" si="203"/>
        <v>0</v>
      </c>
      <c r="BS361" s="4284">
        <f t="shared" si="204"/>
        <v>0</v>
      </c>
      <c r="BT361" s="4285">
        <f t="shared" si="205"/>
        <v>0</v>
      </c>
    </row>
    <row r="362" spans="1:72">
      <c r="A362" s="4278"/>
      <c r="B362" s="4279"/>
      <c r="C362" s="4279"/>
      <c r="D362" s="4280"/>
      <c r="E362" s="1188">
        <f t="shared" si="206"/>
        <v>0</v>
      </c>
      <c r="F362" s="1680"/>
      <c r="G362" s="4281">
        <f t="shared" si="181"/>
        <v>0</v>
      </c>
      <c r="H362" s="3457">
        <f t="shared" si="182"/>
        <v>0</v>
      </c>
      <c r="I362" s="4282"/>
      <c r="J362" s="4282"/>
      <c r="K362" s="4282"/>
      <c r="L362" s="4282"/>
      <c r="M362" s="4282"/>
      <c r="N362" s="4282"/>
      <c r="O362" s="4282"/>
      <c r="P362" s="4282"/>
      <c r="Q362" s="4282"/>
      <c r="R362" s="4282"/>
      <c r="S362" s="4282"/>
      <c r="T362" s="4282"/>
      <c r="U362" s="4282"/>
      <c r="V362" s="4282"/>
      <c r="W362" s="4282"/>
      <c r="X362" s="4282"/>
      <c r="Y362" s="4282"/>
      <c r="Z362" s="4282"/>
      <c r="AA362" s="4282"/>
      <c r="AB362" s="4282"/>
      <c r="AC362" s="1188">
        <f t="shared" si="183"/>
        <v>0</v>
      </c>
      <c r="AD362" s="4278"/>
      <c r="AE362" s="4278"/>
      <c r="AF362" s="4278"/>
      <c r="AG362" s="4278"/>
      <c r="AH362" s="4278"/>
      <c r="AI362" s="4278"/>
      <c r="AJ362" s="4278"/>
      <c r="AK362" s="4278"/>
      <c r="AL362" s="4278"/>
      <c r="AM362" s="4278"/>
      <c r="AN362" s="4278"/>
      <c r="AO362" s="4278"/>
      <c r="AP362" s="4278"/>
      <c r="AQ362" s="4278"/>
      <c r="AR362" s="4278"/>
      <c r="AS362" s="4278"/>
      <c r="AT362" s="4279"/>
      <c r="AU362" s="4283"/>
      <c r="AV362" s="1188">
        <f t="shared" si="207"/>
        <v>0</v>
      </c>
      <c r="AW362" s="1188">
        <f t="shared" si="208"/>
        <v>0</v>
      </c>
      <c r="AX362" s="1188">
        <f t="shared" si="209"/>
        <v>0</v>
      </c>
      <c r="AY362" s="1452">
        <f t="shared" si="184"/>
        <v>0</v>
      </c>
      <c r="AZ362" s="4284">
        <f t="shared" si="185"/>
        <v>0</v>
      </c>
      <c r="BA362" s="4284">
        <f t="shared" si="186"/>
        <v>0</v>
      </c>
      <c r="BB362" s="4284">
        <f t="shared" si="187"/>
        <v>0</v>
      </c>
      <c r="BC362" s="4284">
        <f t="shared" si="188"/>
        <v>0</v>
      </c>
      <c r="BD362" s="4284">
        <f t="shared" si="189"/>
        <v>0</v>
      </c>
      <c r="BE362" s="4284">
        <f t="shared" si="190"/>
        <v>0</v>
      </c>
      <c r="BF362" s="4284">
        <f t="shared" si="191"/>
        <v>0</v>
      </c>
      <c r="BG362" s="4284">
        <f t="shared" si="192"/>
        <v>0</v>
      </c>
      <c r="BH362" s="4284">
        <f t="shared" si="193"/>
        <v>0</v>
      </c>
      <c r="BI362" s="4284">
        <f t="shared" si="194"/>
        <v>0</v>
      </c>
      <c r="BJ362" s="4284">
        <f t="shared" si="195"/>
        <v>0</v>
      </c>
      <c r="BK362" s="4284">
        <f t="shared" si="196"/>
        <v>0</v>
      </c>
      <c r="BL362" s="4284">
        <f t="shared" si="197"/>
        <v>0</v>
      </c>
      <c r="BM362" s="4284">
        <f t="shared" si="198"/>
        <v>0</v>
      </c>
      <c r="BN362" s="4284">
        <f t="shared" si="199"/>
        <v>0</v>
      </c>
      <c r="BO362" s="4284">
        <f t="shared" si="200"/>
        <v>0</v>
      </c>
      <c r="BP362" s="4284">
        <f t="shared" si="201"/>
        <v>0</v>
      </c>
      <c r="BQ362" s="4284">
        <f t="shared" si="202"/>
        <v>0</v>
      </c>
      <c r="BR362" s="4284">
        <f t="shared" si="203"/>
        <v>0</v>
      </c>
      <c r="BS362" s="4284">
        <f t="shared" si="204"/>
        <v>0</v>
      </c>
      <c r="BT362" s="4285">
        <f t="shared" si="205"/>
        <v>0</v>
      </c>
    </row>
    <row r="363" spans="1:72">
      <c r="A363" s="4278"/>
      <c r="B363" s="4279"/>
      <c r="C363" s="4279"/>
      <c r="D363" s="4280"/>
      <c r="E363" s="1188">
        <f t="shared" si="206"/>
        <v>0</v>
      </c>
      <c r="F363" s="1680"/>
      <c r="G363" s="4281">
        <f t="shared" si="181"/>
        <v>0</v>
      </c>
      <c r="H363" s="3457">
        <f t="shared" si="182"/>
        <v>0</v>
      </c>
      <c r="I363" s="4282"/>
      <c r="J363" s="4282"/>
      <c r="K363" s="4282"/>
      <c r="L363" s="4282"/>
      <c r="M363" s="4282"/>
      <c r="N363" s="4282"/>
      <c r="O363" s="4282"/>
      <c r="P363" s="4282"/>
      <c r="Q363" s="4282"/>
      <c r="R363" s="4282"/>
      <c r="S363" s="4282"/>
      <c r="T363" s="4282"/>
      <c r="U363" s="4282"/>
      <c r="V363" s="4282"/>
      <c r="W363" s="4282"/>
      <c r="X363" s="4282"/>
      <c r="Y363" s="4282"/>
      <c r="Z363" s="4282"/>
      <c r="AA363" s="4282"/>
      <c r="AB363" s="4282"/>
      <c r="AC363" s="1188">
        <f t="shared" si="183"/>
        <v>0</v>
      </c>
      <c r="AD363" s="4278"/>
      <c r="AE363" s="4278"/>
      <c r="AF363" s="4278"/>
      <c r="AG363" s="4278"/>
      <c r="AH363" s="4278"/>
      <c r="AI363" s="4278"/>
      <c r="AJ363" s="4278"/>
      <c r="AK363" s="4278"/>
      <c r="AL363" s="4278"/>
      <c r="AM363" s="4278"/>
      <c r="AN363" s="4278"/>
      <c r="AO363" s="4278"/>
      <c r="AP363" s="4278"/>
      <c r="AQ363" s="4278"/>
      <c r="AR363" s="4278"/>
      <c r="AS363" s="4278"/>
      <c r="AT363" s="4279"/>
      <c r="AU363" s="4283"/>
      <c r="AV363" s="1188">
        <f t="shared" si="207"/>
        <v>0</v>
      </c>
      <c r="AW363" s="1188">
        <f t="shared" si="208"/>
        <v>0</v>
      </c>
      <c r="AX363" s="1188">
        <f t="shared" si="209"/>
        <v>0</v>
      </c>
      <c r="AY363" s="1452">
        <f t="shared" si="184"/>
        <v>0</v>
      </c>
      <c r="AZ363" s="4284">
        <f t="shared" si="185"/>
        <v>0</v>
      </c>
      <c r="BA363" s="4284">
        <f t="shared" si="186"/>
        <v>0</v>
      </c>
      <c r="BB363" s="4284">
        <f t="shared" si="187"/>
        <v>0</v>
      </c>
      <c r="BC363" s="4284">
        <f t="shared" si="188"/>
        <v>0</v>
      </c>
      <c r="BD363" s="4284">
        <f t="shared" si="189"/>
        <v>0</v>
      </c>
      <c r="BE363" s="4284">
        <f t="shared" si="190"/>
        <v>0</v>
      </c>
      <c r="BF363" s="4284">
        <f t="shared" si="191"/>
        <v>0</v>
      </c>
      <c r="BG363" s="4284">
        <f t="shared" si="192"/>
        <v>0</v>
      </c>
      <c r="BH363" s="4284">
        <f t="shared" si="193"/>
        <v>0</v>
      </c>
      <c r="BI363" s="4284">
        <f t="shared" si="194"/>
        <v>0</v>
      </c>
      <c r="BJ363" s="4284">
        <f t="shared" si="195"/>
        <v>0</v>
      </c>
      <c r="BK363" s="4284">
        <f t="shared" si="196"/>
        <v>0</v>
      </c>
      <c r="BL363" s="4284">
        <f t="shared" si="197"/>
        <v>0</v>
      </c>
      <c r="BM363" s="4284">
        <f t="shared" si="198"/>
        <v>0</v>
      </c>
      <c r="BN363" s="4284">
        <f t="shared" si="199"/>
        <v>0</v>
      </c>
      <c r="BO363" s="4284">
        <f t="shared" si="200"/>
        <v>0</v>
      </c>
      <c r="BP363" s="4284">
        <f t="shared" si="201"/>
        <v>0</v>
      </c>
      <c r="BQ363" s="4284">
        <f t="shared" si="202"/>
        <v>0</v>
      </c>
      <c r="BR363" s="4284">
        <f t="shared" si="203"/>
        <v>0</v>
      </c>
      <c r="BS363" s="4284">
        <f t="shared" si="204"/>
        <v>0</v>
      </c>
      <c r="BT363" s="4285">
        <f t="shared" si="205"/>
        <v>0</v>
      </c>
    </row>
    <row r="364" spans="1:72">
      <c r="A364" s="4278"/>
      <c r="B364" s="4279"/>
      <c r="C364" s="4279"/>
      <c r="D364" s="4280"/>
      <c r="E364" s="1188">
        <f t="shared" si="206"/>
        <v>0</v>
      </c>
      <c r="F364" s="1680"/>
      <c r="G364" s="4281">
        <f t="shared" ref="G364:G397" si="210">H364+AC364+AT364</f>
        <v>0</v>
      </c>
      <c r="H364" s="3457">
        <f t="shared" ref="H364:H397" si="211">SUMIF(I$12:AB$12,"总值",I364:AB364)</f>
        <v>0</v>
      </c>
      <c r="I364" s="4282"/>
      <c r="J364" s="4282"/>
      <c r="K364" s="4282"/>
      <c r="L364" s="4282"/>
      <c r="M364" s="4282"/>
      <c r="N364" s="4282"/>
      <c r="O364" s="4282"/>
      <c r="P364" s="4282"/>
      <c r="Q364" s="4282"/>
      <c r="R364" s="4282"/>
      <c r="S364" s="4282"/>
      <c r="T364" s="4282"/>
      <c r="U364" s="4282"/>
      <c r="V364" s="4282"/>
      <c r="W364" s="4282"/>
      <c r="X364" s="4282"/>
      <c r="Y364" s="4282"/>
      <c r="Z364" s="4282"/>
      <c r="AA364" s="4282"/>
      <c r="AB364" s="4282"/>
      <c r="AC364" s="1188">
        <f t="shared" ref="AC364:AC397" si="212">SUMIF(AD$12:AS$12,"总值",AD364:AS364)</f>
        <v>0</v>
      </c>
      <c r="AD364" s="4278"/>
      <c r="AE364" s="4278"/>
      <c r="AF364" s="4278"/>
      <c r="AG364" s="4278"/>
      <c r="AH364" s="4278"/>
      <c r="AI364" s="4278"/>
      <c r="AJ364" s="4278"/>
      <c r="AK364" s="4278"/>
      <c r="AL364" s="4278"/>
      <c r="AM364" s="4278"/>
      <c r="AN364" s="4278"/>
      <c r="AO364" s="4278"/>
      <c r="AP364" s="4278"/>
      <c r="AQ364" s="4278"/>
      <c r="AR364" s="4278"/>
      <c r="AS364" s="4278"/>
      <c r="AT364" s="4279"/>
      <c r="AU364" s="4283"/>
      <c r="AV364" s="1188">
        <f t="shared" si="207"/>
        <v>0</v>
      </c>
      <c r="AW364" s="1188">
        <f t="shared" si="208"/>
        <v>0</v>
      </c>
      <c r="AX364" s="1188">
        <f t="shared" si="209"/>
        <v>0</v>
      </c>
      <c r="AY364" s="1452">
        <f t="shared" ref="AY364:AY397" si="213">ROUND($AY$6*AZ364/$AZ$5,2)</f>
        <v>0</v>
      </c>
      <c r="AZ364" s="4284">
        <f t="shared" ref="AZ364:AZ397" si="214">BA364+BL364</f>
        <v>0</v>
      </c>
      <c r="BA364" s="4284">
        <f t="shared" ref="BA364:BA397" si="215">SUM(BB364:BK364)</f>
        <v>0</v>
      </c>
      <c r="BB364" s="4284">
        <f t="shared" ref="BB364:BB397" si="216">IF($D364="是",I364-J364,0)</f>
        <v>0</v>
      </c>
      <c r="BC364" s="4284">
        <f t="shared" ref="BC364:BC397" si="217">IF($D364="是",K364-L364,0)</f>
        <v>0</v>
      </c>
      <c r="BD364" s="4284">
        <f t="shared" ref="BD364:BD397" si="218">IF($D364="是",M364-N364,0)</f>
        <v>0</v>
      </c>
      <c r="BE364" s="4284">
        <f t="shared" ref="BE364:BE397" si="219">IF($D364="是",O364-P364,0)</f>
        <v>0</v>
      </c>
      <c r="BF364" s="4284">
        <f t="shared" ref="BF364:BF397" si="220">IF($D364="是",Q364-R364,0)</f>
        <v>0</v>
      </c>
      <c r="BG364" s="4284">
        <f t="shared" ref="BG364:BG397" si="221">IF($D364="是",S364-T364,0)</f>
        <v>0</v>
      </c>
      <c r="BH364" s="4284">
        <f t="shared" ref="BH364:BH397" si="222">IF($D364="是",U364-V364,0)</f>
        <v>0</v>
      </c>
      <c r="BI364" s="4284">
        <f t="shared" ref="BI364:BI397" si="223">IF($D364="是",W364-X364,0)</f>
        <v>0</v>
      </c>
      <c r="BJ364" s="4284">
        <f t="shared" ref="BJ364:BJ397" si="224">IF($D364="是",Y364-Z364,0)</f>
        <v>0</v>
      </c>
      <c r="BK364" s="4284">
        <f t="shared" ref="BK364:BK397" si="225">IF($D364="是",AA364-AB364,0)</f>
        <v>0</v>
      </c>
      <c r="BL364" s="4284">
        <f t="shared" ref="BL364:BL397" si="226">SUM(BM364:BT364)</f>
        <v>0</v>
      </c>
      <c r="BM364" s="4284">
        <f t="shared" ref="BM364:BM397" si="227">IF($D364="是",AD364-AE364,0)</f>
        <v>0</v>
      </c>
      <c r="BN364" s="4284">
        <f t="shared" ref="BN364:BN397" si="228">IF($D364="是",AF364-AG364,0)</f>
        <v>0</v>
      </c>
      <c r="BO364" s="4284">
        <f t="shared" ref="BO364:BO397" si="229">IF($D364="是",AH364-AI364,0)</f>
        <v>0</v>
      </c>
      <c r="BP364" s="4284">
        <f t="shared" ref="BP364:BP397" si="230">IF($D364="是",AJ364-AK364,0)</f>
        <v>0</v>
      </c>
      <c r="BQ364" s="4284">
        <f t="shared" ref="BQ364:BQ397" si="231">IF($D364="是",AL364-AM364,0)</f>
        <v>0</v>
      </c>
      <c r="BR364" s="4284">
        <f t="shared" ref="BR364:BR397" si="232">IF($D364="是",AN364-AO364,0)</f>
        <v>0</v>
      </c>
      <c r="BS364" s="4284">
        <f t="shared" ref="BS364:BS397" si="233">IF($D364="是",AP364-AQ364,0)</f>
        <v>0</v>
      </c>
      <c r="BT364" s="4285">
        <f t="shared" ref="BT364:BT397" si="234">IF($D364="是",AR364-AS364,0)</f>
        <v>0</v>
      </c>
    </row>
    <row r="365" spans="1:72">
      <c r="A365" s="4278"/>
      <c r="B365" s="4279"/>
      <c r="C365" s="4279"/>
      <c r="D365" s="4280"/>
      <c r="E365" s="1188">
        <f t="shared" si="206"/>
        <v>0</v>
      </c>
      <c r="F365" s="1680"/>
      <c r="G365" s="4281">
        <f t="shared" si="210"/>
        <v>0</v>
      </c>
      <c r="H365" s="3457">
        <f t="shared" si="211"/>
        <v>0</v>
      </c>
      <c r="I365" s="4282"/>
      <c r="J365" s="4282"/>
      <c r="K365" s="4282"/>
      <c r="L365" s="4282"/>
      <c r="M365" s="4282"/>
      <c r="N365" s="4282"/>
      <c r="O365" s="4282"/>
      <c r="P365" s="4282"/>
      <c r="Q365" s="4282"/>
      <c r="R365" s="4282"/>
      <c r="S365" s="4282"/>
      <c r="T365" s="4282"/>
      <c r="U365" s="4282"/>
      <c r="V365" s="4282"/>
      <c r="W365" s="4282"/>
      <c r="X365" s="4282"/>
      <c r="Y365" s="4282"/>
      <c r="Z365" s="4282"/>
      <c r="AA365" s="4282"/>
      <c r="AB365" s="4282"/>
      <c r="AC365" s="1188">
        <f t="shared" si="212"/>
        <v>0</v>
      </c>
      <c r="AD365" s="4278"/>
      <c r="AE365" s="4278"/>
      <c r="AF365" s="4278"/>
      <c r="AG365" s="4278"/>
      <c r="AH365" s="4278"/>
      <c r="AI365" s="4278"/>
      <c r="AJ365" s="4278"/>
      <c r="AK365" s="4278"/>
      <c r="AL365" s="4278"/>
      <c r="AM365" s="4278"/>
      <c r="AN365" s="4278"/>
      <c r="AO365" s="4278"/>
      <c r="AP365" s="4278"/>
      <c r="AQ365" s="4278"/>
      <c r="AR365" s="4278"/>
      <c r="AS365" s="4278"/>
      <c r="AT365" s="4279"/>
      <c r="AU365" s="4283"/>
      <c r="AV365" s="1188">
        <f t="shared" si="207"/>
        <v>0</v>
      </c>
      <c r="AW365" s="1188">
        <f t="shared" si="208"/>
        <v>0</v>
      </c>
      <c r="AX365" s="1188">
        <f t="shared" si="209"/>
        <v>0</v>
      </c>
      <c r="AY365" s="1452">
        <f t="shared" si="213"/>
        <v>0</v>
      </c>
      <c r="AZ365" s="4284">
        <f t="shared" si="214"/>
        <v>0</v>
      </c>
      <c r="BA365" s="4284">
        <f t="shared" si="215"/>
        <v>0</v>
      </c>
      <c r="BB365" s="4284">
        <f t="shared" si="216"/>
        <v>0</v>
      </c>
      <c r="BC365" s="4284">
        <f t="shared" si="217"/>
        <v>0</v>
      </c>
      <c r="BD365" s="4284">
        <f t="shared" si="218"/>
        <v>0</v>
      </c>
      <c r="BE365" s="4284">
        <f t="shared" si="219"/>
        <v>0</v>
      </c>
      <c r="BF365" s="4284">
        <f t="shared" si="220"/>
        <v>0</v>
      </c>
      <c r="BG365" s="4284">
        <f t="shared" si="221"/>
        <v>0</v>
      </c>
      <c r="BH365" s="4284">
        <f t="shared" si="222"/>
        <v>0</v>
      </c>
      <c r="BI365" s="4284">
        <f t="shared" si="223"/>
        <v>0</v>
      </c>
      <c r="BJ365" s="4284">
        <f t="shared" si="224"/>
        <v>0</v>
      </c>
      <c r="BK365" s="4284">
        <f t="shared" si="225"/>
        <v>0</v>
      </c>
      <c r="BL365" s="4284">
        <f t="shared" si="226"/>
        <v>0</v>
      </c>
      <c r="BM365" s="4284">
        <f t="shared" si="227"/>
        <v>0</v>
      </c>
      <c r="BN365" s="4284">
        <f t="shared" si="228"/>
        <v>0</v>
      </c>
      <c r="BO365" s="4284">
        <f t="shared" si="229"/>
        <v>0</v>
      </c>
      <c r="BP365" s="4284">
        <f t="shared" si="230"/>
        <v>0</v>
      </c>
      <c r="BQ365" s="4284">
        <f t="shared" si="231"/>
        <v>0</v>
      </c>
      <c r="BR365" s="4284">
        <f t="shared" si="232"/>
        <v>0</v>
      </c>
      <c r="BS365" s="4284">
        <f t="shared" si="233"/>
        <v>0</v>
      </c>
      <c r="BT365" s="4285">
        <f t="shared" si="234"/>
        <v>0</v>
      </c>
    </row>
    <row r="366" spans="1:72">
      <c r="A366" s="4278"/>
      <c r="B366" s="4279"/>
      <c r="C366" s="4279"/>
      <c r="D366" s="4280"/>
      <c r="E366" s="1188">
        <f t="shared" si="206"/>
        <v>0</v>
      </c>
      <c r="F366" s="1680"/>
      <c r="G366" s="4281">
        <f t="shared" si="210"/>
        <v>0</v>
      </c>
      <c r="H366" s="3457">
        <f t="shared" si="211"/>
        <v>0</v>
      </c>
      <c r="I366" s="4282"/>
      <c r="J366" s="4282"/>
      <c r="K366" s="4282"/>
      <c r="L366" s="4282"/>
      <c r="M366" s="4282"/>
      <c r="N366" s="4282"/>
      <c r="O366" s="4282"/>
      <c r="P366" s="4282"/>
      <c r="Q366" s="4282"/>
      <c r="R366" s="4282"/>
      <c r="S366" s="4282"/>
      <c r="T366" s="4282"/>
      <c r="U366" s="4282"/>
      <c r="V366" s="4282"/>
      <c r="W366" s="4282"/>
      <c r="X366" s="4282"/>
      <c r="Y366" s="4282"/>
      <c r="Z366" s="4282"/>
      <c r="AA366" s="4282"/>
      <c r="AB366" s="4282"/>
      <c r="AC366" s="1188">
        <f t="shared" si="212"/>
        <v>0</v>
      </c>
      <c r="AD366" s="4278"/>
      <c r="AE366" s="4278"/>
      <c r="AF366" s="4278"/>
      <c r="AG366" s="4278"/>
      <c r="AH366" s="4278"/>
      <c r="AI366" s="4278"/>
      <c r="AJ366" s="4278"/>
      <c r="AK366" s="4278"/>
      <c r="AL366" s="4278"/>
      <c r="AM366" s="4278"/>
      <c r="AN366" s="4278"/>
      <c r="AO366" s="4278"/>
      <c r="AP366" s="4278"/>
      <c r="AQ366" s="4278"/>
      <c r="AR366" s="4278"/>
      <c r="AS366" s="4278"/>
      <c r="AT366" s="4279"/>
      <c r="AU366" s="4283"/>
      <c r="AV366" s="1188">
        <f t="shared" si="207"/>
        <v>0</v>
      </c>
      <c r="AW366" s="1188">
        <f t="shared" si="208"/>
        <v>0</v>
      </c>
      <c r="AX366" s="1188">
        <f t="shared" si="209"/>
        <v>0</v>
      </c>
      <c r="AY366" s="1452">
        <f t="shared" si="213"/>
        <v>0</v>
      </c>
      <c r="AZ366" s="4284">
        <f t="shared" si="214"/>
        <v>0</v>
      </c>
      <c r="BA366" s="4284">
        <f t="shared" si="215"/>
        <v>0</v>
      </c>
      <c r="BB366" s="4284">
        <f t="shared" si="216"/>
        <v>0</v>
      </c>
      <c r="BC366" s="4284">
        <f t="shared" si="217"/>
        <v>0</v>
      </c>
      <c r="BD366" s="4284">
        <f t="shared" si="218"/>
        <v>0</v>
      </c>
      <c r="BE366" s="4284">
        <f t="shared" si="219"/>
        <v>0</v>
      </c>
      <c r="BF366" s="4284">
        <f t="shared" si="220"/>
        <v>0</v>
      </c>
      <c r="BG366" s="4284">
        <f t="shared" si="221"/>
        <v>0</v>
      </c>
      <c r="BH366" s="4284">
        <f t="shared" si="222"/>
        <v>0</v>
      </c>
      <c r="BI366" s="4284">
        <f t="shared" si="223"/>
        <v>0</v>
      </c>
      <c r="BJ366" s="4284">
        <f t="shared" si="224"/>
        <v>0</v>
      </c>
      <c r="BK366" s="4284">
        <f t="shared" si="225"/>
        <v>0</v>
      </c>
      <c r="BL366" s="4284">
        <f t="shared" si="226"/>
        <v>0</v>
      </c>
      <c r="BM366" s="4284">
        <f t="shared" si="227"/>
        <v>0</v>
      </c>
      <c r="BN366" s="4284">
        <f t="shared" si="228"/>
        <v>0</v>
      </c>
      <c r="BO366" s="4284">
        <f t="shared" si="229"/>
        <v>0</v>
      </c>
      <c r="BP366" s="4284">
        <f t="shared" si="230"/>
        <v>0</v>
      </c>
      <c r="BQ366" s="4284">
        <f t="shared" si="231"/>
        <v>0</v>
      </c>
      <c r="BR366" s="4284">
        <f t="shared" si="232"/>
        <v>0</v>
      </c>
      <c r="BS366" s="4284">
        <f t="shared" si="233"/>
        <v>0</v>
      </c>
      <c r="BT366" s="4285">
        <f t="shared" si="234"/>
        <v>0</v>
      </c>
    </row>
    <row r="367" spans="1:72">
      <c r="A367" s="4278"/>
      <c r="B367" s="4279"/>
      <c r="C367" s="4279"/>
      <c r="D367" s="4280"/>
      <c r="E367" s="1188">
        <f t="shared" ref="E367:E397" si="235">IF($C$3="是",ROUND($A$3*G367/$B$3,2),ROUND($A$3*(G367-AT367)/$B$3,2))</f>
        <v>0</v>
      </c>
      <c r="F367" s="1680"/>
      <c r="G367" s="4281">
        <f t="shared" si="210"/>
        <v>0</v>
      </c>
      <c r="H367" s="3457">
        <f t="shared" si="211"/>
        <v>0</v>
      </c>
      <c r="I367" s="4282"/>
      <c r="J367" s="4282"/>
      <c r="K367" s="4282"/>
      <c r="L367" s="4282"/>
      <c r="M367" s="4282"/>
      <c r="N367" s="4282"/>
      <c r="O367" s="4282"/>
      <c r="P367" s="4282"/>
      <c r="Q367" s="4282"/>
      <c r="R367" s="4282"/>
      <c r="S367" s="4282"/>
      <c r="T367" s="4282"/>
      <c r="U367" s="4282"/>
      <c r="V367" s="4282"/>
      <c r="W367" s="4282"/>
      <c r="X367" s="4282"/>
      <c r="Y367" s="4282"/>
      <c r="Z367" s="4282"/>
      <c r="AA367" s="4282"/>
      <c r="AB367" s="4282"/>
      <c r="AC367" s="1188">
        <f t="shared" si="212"/>
        <v>0</v>
      </c>
      <c r="AD367" s="4278"/>
      <c r="AE367" s="4278"/>
      <c r="AF367" s="4278"/>
      <c r="AG367" s="4278"/>
      <c r="AH367" s="4278"/>
      <c r="AI367" s="4278"/>
      <c r="AJ367" s="4278"/>
      <c r="AK367" s="4278"/>
      <c r="AL367" s="4278"/>
      <c r="AM367" s="4278"/>
      <c r="AN367" s="4278"/>
      <c r="AO367" s="4278"/>
      <c r="AP367" s="4278"/>
      <c r="AQ367" s="4278"/>
      <c r="AR367" s="4278"/>
      <c r="AS367" s="4278"/>
      <c r="AT367" s="4279"/>
      <c r="AU367" s="4283"/>
      <c r="AV367" s="1188">
        <f t="shared" ref="AV367:AV397" si="236">A367</f>
        <v>0</v>
      </c>
      <c r="AW367" s="1188">
        <f t="shared" ref="AW367:AW397" si="237">B367</f>
        <v>0</v>
      </c>
      <c r="AX367" s="1188">
        <f t="shared" ref="AX367:AX397" si="238">C367</f>
        <v>0</v>
      </c>
      <c r="AY367" s="1452">
        <f t="shared" si="213"/>
        <v>0</v>
      </c>
      <c r="AZ367" s="4284">
        <f t="shared" si="214"/>
        <v>0</v>
      </c>
      <c r="BA367" s="4284">
        <f t="shared" si="215"/>
        <v>0</v>
      </c>
      <c r="BB367" s="4284">
        <f t="shared" si="216"/>
        <v>0</v>
      </c>
      <c r="BC367" s="4284">
        <f t="shared" si="217"/>
        <v>0</v>
      </c>
      <c r="BD367" s="4284">
        <f t="shared" si="218"/>
        <v>0</v>
      </c>
      <c r="BE367" s="4284">
        <f t="shared" si="219"/>
        <v>0</v>
      </c>
      <c r="BF367" s="4284">
        <f t="shared" si="220"/>
        <v>0</v>
      </c>
      <c r="BG367" s="4284">
        <f t="shared" si="221"/>
        <v>0</v>
      </c>
      <c r="BH367" s="4284">
        <f t="shared" si="222"/>
        <v>0</v>
      </c>
      <c r="BI367" s="4284">
        <f t="shared" si="223"/>
        <v>0</v>
      </c>
      <c r="BJ367" s="4284">
        <f t="shared" si="224"/>
        <v>0</v>
      </c>
      <c r="BK367" s="4284">
        <f t="shared" si="225"/>
        <v>0</v>
      </c>
      <c r="BL367" s="4284">
        <f t="shared" si="226"/>
        <v>0</v>
      </c>
      <c r="BM367" s="4284">
        <f t="shared" si="227"/>
        <v>0</v>
      </c>
      <c r="BN367" s="4284">
        <f t="shared" si="228"/>
        <v>0</v>
      </c>
      <c r="BO367" s="4284">
        <f t="shared" si="229"/>
        <v>0</v>
      </c>
      <c r="BP367" s="4284">
        <f t="shared" si="230"/>
        <v>0</v>
      </c>
      <c r="BQ367" s="4284">
        <f t="shared" si="231"/>
        <v>0</v>
      </c>
      <c r="BR367" s="4284">
        <f t="shared" si="232"/>
        <v>0</v>
      </c>
      <c r="BS367" s="4284">
        <f t="shared" si="233"/>
        <v>0</v>
      </c>
      <c r="BT367" s="4285">
        <f t="shared" si="234"/>
        <v>0</v>
      </c>
    </row>
    <row r="368" spans="1:72">
      <c r="A368" s="4278"/>
      <c r="B368" s="4279"/>
      <c r="C368" s="4279"/>
      <c r="D368" s="4280"/>
      <c r="E368" s="1188">
        <f t="shared" si="235"/>
        <v>0</v>
      </c>
      <c r="F368" s="1680"/>
      <c r="G368" s="4281">
        <f t="shared" si="210"/>
        <v>0</v>
      </c>
      <c r="H368" s="3457">
        <f t="shared" si="211"/>
        <v>0</v>
      </c>
      <c r="I368" s="4282"/>
      <c r="J368" s="4282"/>
      <c r="K368" s="4282"/>
      <c r="L368" s="4282"/>
      <c r="M368" s="4282"/>
      <c r="N368" s="4282"/>
      <c r="O368" s="4282"/>
      <c r="P368" s="4282"/>
      <c r="Q368" s="4282"/>
      <c r="R368" s="4282"/>
      <c r="S368" s="4282"/>
      <c r="T368" s="4282"/>
      <c r="U368" s="4282"/>
      <c r="V368" s="4282"/>
      <c r="W368" s="4282"/>
      <c r="X368" s="4282"/>
      <c r="Y368" s="4282"/>
      <c r="Z368" s="4282"/>
      <c r="AA368" s="4282"/>
      <c r="AB368" s="4282"/>
      <c r="AC368" s="1188">
        <f t="shared" si="212"/>
        <v>0</v>
      </c>
      <c r="AD368" s="4278"/>
      <c r="AE368" s="4278"/>
      <c r="AF368" s="4278"/>
      <c r="AG368" s="4278"/>
      <c r="AH368" s="4278"/>
      <c r="AI368" s="4278"/>
      <c r="AJ368" s="4278"/>
      <c r="AK368" s="4278"/>
      <c r="AL368" s="4278"/>
      <c r="AM368" s="4278"/>
      <c r="AN368" s="4278"/>
      <c r="AO368" s="4278"/>
      <c r="AP368" s="4278"/>
      <c r="AQ368" s="4278"/>
      <c r="AR368" s="4278"/>
      <c r="AS368" s="4278"/>
      <c r="AT368" s="4279"/>
      <c r="AU368" s="4283"/>
      <c r="AV368" s="1188">
        <f t="shared" si="236"/>
        <v>0</v>
      </c>
      <c r="AW368" s="1188">
        <f t="shared" si="237"/>
        <v>0</v>
      </c>
      <c r="AX368" s="1188">
        <f t="shared" si="238"/>
        <v>0</v>
      </c>
      <c r="AY368" s="1452">
        <f t="shared" si="213"/>
        <v>0</v>
      </c>
      <c r="AZ368" s="4284">
        <f t="shared" si="214"/>
        <v>0</v>
      </c>
      <c r="BA368" s="4284">
        <f t="shared" si="215"/>
        <v>0</v>
      </c>
      <c r="BB368" s="4284">
        <f t="shared" si="216"/>
        <v>0</v>
      </c>
      <c r="BC368" s="4284">
        <f t="shared" si="217"/>
        <v>0</v>
      </c>
      <c r="BD368" s="4284">
        <f t="shared" si="218"/>
        <v>0</v>
      </c>
      <c r="BE368" s="4284">
        <f t="shared" si="219"/>
        <v>0</v>
      </c>
      <c r="BF368" s="4284">
        <f t="shared" si="220"/>
        <v>0</v>
      </c>
      <c r="BG368" s="4284">
        <f t="shared" si="221"/>
        <v>0</v>
      </c>
      <c r="BH368" s="4284">
        <f t="shared" si="222"/>
        <v>0</v>
      </c>
      <c r="BI368" s="4284">
        <f t="shared" si="223"/>
        <v>0</v>
      </c>
      <c r="BJ368" s="4284">
        <f t="shared" si="224"/>
        <v>0</v>
      </c>
      <c r="BK368" s="4284">
        <f t="shared" si="225"/>
        <v>0</v>
      </c>
      <c r="BL368" s="4284">
        <f t="shared" si="226"/>
        <v>0</v>
      </c>
      <c r="BM368" s="4284">
        <f t="shared" si="227"/>
        <v>0</v>
      </c>
      <c r="BN368" s="4284">
        <f t="shared" si="228"/>
        <v>0</v>
      </c>
      <c r="BO368" s="4284">
        <f t="shared" si="229"/>
        <v>0</v>
      </c>
      <c r="BP368" s="4284">
        <f t="shared" si="230"/>
        <v>0</v>
      </c>
      <c r="BQ368" s="4284">
        <f t="shared" si="231"/>
        <v>0</v>
      </c>
      <c r="BR368" s="4284">
        <f t="shared" si="232"/>
        <v>0</v>
      </c>
      <c r="BS368" s="4284">
        <f t="shared" si="233"/>
        <v>0</v>
      </c>
      <c r="BT368" s="4285">
        <f t="shared" si="234"/>
        <v>0</v>
      </c>
    </row>
    <row r="369" spans="1:72">
      <c r="A369" s="4278"/>
      <c r="B369" s="4279"/>
      <c r="C369" s="4279"/>
      <c r="D369" s="4280"/>
      <c r="E369" s="1188">
        <f t="shared" si="235"/>
        <v>0</v>
      </c>
      <c r="F369" s="1680"/>
      <c r="G369" s="4281">
        <f t="shared" si="210"/>
        <v>0</v>
      </c>
      <c r="H369" s="3457">
        <f t="shared" si="211"/>
        <v>0</v>
      </c>
      <c r="I369" s="4282"/>
      <c r="J369" s="4282"/>
      <c r="K369" s="4282"/>
      <c r="L369" s="4282"/>
      <c r="M369" s="4282"/>
      <c r="N369" s="4282"/>
      <c r="O369" s="4282"/>
      <c r="P369" s="4282"/>
      <c r="Q369" s="4282"/>
      <c r="R369" s="4282"/>
      <c r="S369" s="4282"/>
      <c r="T369" s="4282"/>
      <c r="U369" s="4282"/>
      <c r="V369" s="4282"/>
      <c r="W369" s="4282"/>
      <c r="X369" s="4282"/>
      <c r="Y369" s="4282"/>
      <c r="Z369" s="4282"/>
      <c r="AA369" s="4282"/>
      <c r="AB369" s="4282"/>
      <c r="AC369" s="1188">
        <f t="shared" si="212"/>
        <v>0</v>
      </c>
      <c r="AD369" s="4278"/>
      <c r="AE369" s="4278"/>
      <c r="AF369" s="4278"/>
      <c r="AG369" s="4278"/>
      <c r="AH369" s="4278"/>
      <c r="AI369" s="4278"/>
      <c r="AJ369" s="4278"/>
      <c r="AK369" s="4278"/>
      <c r="AL369" s="4278"/>
      <c r="AM369" s="4278"/>
      <c r="AN369" s="4278"/>
      <c r="AO369" s="4278"/>
      <c r="AP369" s="4278"/>
      <c r="AQ369" s="4278"/>
      <c r="AR369" s="4278"/>
      <c r="AS369" s="4278"/>
      <c r="AT369" s="4279"/>
      <c r="AU369" s="4283"/>
      <c r="AV369" s="1188">
        <f t="shared" si="236"/>
        <v>0</v>
      </c>
      <c r="AW369" s="1188">
        <f t="shared" si="237"/>
        <v>0</v>
      </c>
      <c r="AX369" s="1188">
        <f t="shared" si="238"/>
        <v>0</v>
      </c>
      <c r="AY369" s="1452">
        <f t="shared" si="213"/>
        <v>0</v>
      </c>
      <c r="AZ369" s="4284">
        <f t="shared" si="214"/>
        <v>0</v>
      </c>
      <c r="BA369" s="4284">
        <f t="shared" si="215"/>
        <v>0</v>
      </c>
      <c r="BB369" s="4284">
        <f t="shared" si="216"/>
        <v>0</v>
      </c>
      <c r="BC369" s="4284">
        <f t="shared" si="217"/>
        <v>0</v>
      </c>
      <c r="BD369" s="4284">
        <f t="shared" si="218"/>
        <v>0</v>
      </c>
      <c r="BE369" s="4284">
        <f t="shared" si="219"/>
        <v>0</v>
      </c>
      <c r="BF369" s="4284">
        <f t="shared" si="220"/>
        <v>0</v>
      </c>
      <c r="BG369" s="4284">
        <f t="shared" si="221"/>
        <v>0</v>
      </c>
      <c r="BH369" s="4284">
        <f t="shared" si="222"/>
        <v>0</v>
      </c>
      <c r="BI369" s="4284">
        <f t="shared" si="223"/>
        <v>0</v>
      </c>
      <c r="BJ369" s="4284">
        <f t="shared" si="224"/>
        <v>0</v>
      </c>
      <c r="BK369" s="4284">
        <f t="shared" si="225"/>
        <v>0</v>
      </c>
      <c r="BL369" s="4284">
        <f t="shared" si="226"/>
        <v>0</v>
      </c>
      <c r="BM369" s="4284">
        <f t="shared" si="227"/>
        <v>0</v>
      </c>
      <c r="BN369" s="4284">
        <f t="shared" si="228"/>
        <v>0</v>
      </c>
      <c r="BO369" s="4284">
        <f t="shared" si="229"/>
        <v>0</v>
      </c>
      <c r="BP369" s="4284">
        <f t="shared" si="230"/>
        <v>0</v>
      </c>
      <c r="BQ369" s="4284">
        <f t="shared" si="231"/>
        <v>0</v>
      </c>
      <c r="BR369" s="4284">
        <f t="shared" si="232"/>
        <v>0</v>
      </c>
      <c r="BS369" s="4284">
        <f t="shared" si="233"/>
        <v>0</v>
      </c>
      <c r="BT369" s="4285">
        <f t="shared" si="234"/>
        <v>0</v>
      </c>
    </row>
    <row r="370" spans="1:72">
      <c r="A370" s="4278"/>
      <c r="B370" s="4279"/>
      <c r="C370" s="4279"/>
      <c r="D370" s="4280"/>
      <c r="E370" s="1188">
        <f t="shared" si="235"/>
        <v>0</v>
      </c>
      <c r="F370" s="1680"/>
      <c r="G370" s="4281">
        <f t="shared" si="210"/>
        <v>0</v>
      </c>
      <c r="H370" s="3457">
        <f t="shared" si="211"/>
        <v>0</v>
      </c>
      <c r="I370" s="4282"/>
      <c r="J370" s="4282"/>
      <c r="K370" s="4282"/>
      <c r="L370" s="4282"/>
      <c r="M370" s="4282"/>
      <c r="N370" s="4282"/>
      <c r="O370" s="4282"/>
      <c r="P370" s="4282"/>
      <c r="Q370" s="4282"/>
      <c r="R370" s="4282"/>
      <c r="S370" s="4282"/>
      <c r="T370" s="4282"/>
      <c r="U370" s="4282"/>
      <c r="V370" s="4282"/>
      <c r="W370" s="4282"/>
      <c r="X370" s="4282"/>
      <c r="Y370" s="4282"/>
      <c r="Z370" s="4282"/>
      <c r="AA370" s="4282"/>
      <c r="AB370" s="4282"/>
      <c r="AC370" s="1188">
        <f t="shared" si="212"/>
        <v>0</v>
      </c>
      <c r="AD370" s="4278"/>
      <c r="AE370" s="4278"/>
      <c r="AF370" s="4278"/>
      <c r="AG370" s="4278"/>
      <c r="AH370" s="4278"/>
      <c r="AI370" s="4278"/>
      <c r="AJ370" s="4278"/>
      <c r="AK370" s="4278"/>
      <c r="AL370" s="4278"/>
      <c r="AM370" s="4278"/>
      <c r="AN370" s="4278"/>
      <c r="AO370" s="4278"/>
      <c r="AP370" s="4278"/>
      <c r="AQ370" s="4278"/>
      <c r="AR370" s="4278"/>
      <c r="AS370" s="4278"/>
      <c r="AT370" s="4279"/>
      <c r="AU370" s="4283"/>
      <c r="AV370" s="1188">
        <f t="shared" si="236"/>
        <v>0</v>
      </c>
      <c r="AW370" s="1188">
        <f t="shared" si="237"/>
        <v>0</v>
      </c>
      <c r="AX370" s="1188">
        <f t="shared" si="238"/>
        <v>0</v>
      </c>
      <c r="AY370" s="1452">
        <f t="shared" si="213"/>
        <v>0</v>
      </c>
      <c r="AZ370" s="4284">
        <f t="shared" si="214"/>
        <v>0</v>
      </c>
      <c r="BA370" s="4284">
        <f t="shared" si="215"/>
        <v>0</v>
      </c>
      <c r="BB370" s="4284">
        <f t="shared" si="216"/>
        <v>0</v>
      </c>
      <c r="BC370" s="4284">
        <f t="shared" si="217"/>
        <v>0</v>
      </c>
      <c r="BD370" s="4284">
        <f t="shared" si="218"/>
        <v>0</v>
      </c>
      <c r="BE370" s="4284">
        <f t="shared" si="219"/>
        <v>0</v>
      </c>
      <c r="BF370" s="4284">
        <f t="shared" si="220"/>
        <v>0</v>
      </c>
      <c r="BG370" s="4284">
        <f t="shared" si="221"/>
        <v>0</v>
      </c>
      <c r="BH370" s="4284">
        <f t="shared" si="222"/>
        <v>0</v>
      </c>
      <c r="BI370" s="4284">
        <f t="shared" si="223"/>
        <v>0</v>
      </c>
      <c r="BJ370" s="4284">
        <f t="shared" si="224"/>
        <v>0</v>
      </c>
      <c r="BK370" s="4284">
        <f t="shared" si="225"/>
        <v>0</v>
      </c>
      <c r="BL370" s="4284">
        <f t="shared" si="226"/>
        <v>0</v>
      </c>
      <c r="BM370" s="4284">
        <f t="shared" si="227"/>
        <v>0</v>
      </c>
      <c r="BN370" s="4284">
        <f t="shared" si="228"/>
        <v>0</v>
      </c>
      <c r="BO370" s="4284">
        <f t="shared" si="229"/>
        <v>0</v>
      </c>
      <c r="BP370" s="4284">
        <f t="shared" si="230"/>
        <v>0</v>
      </c>
      <c r="BQ370" s="4284">
        <f t="shared" si="231"/>
        <v>0</v>
      </c>
      <c r="BR370" s="4284">
        <f t="shared" si="232"/>
        <v>0</v>
      </c>
      <c r="BS370" s="4284">
        <f t="shared" si="233"/>
        <v>0</v>
      </c>
      <c r="BT370" s="4285">
        <f t="shared" si="234"/>
        <v>0</v>
      </c>
    </row>
    <row r="371" spans="1:72">
      <c r="A371" s="4278"/>
      <c r="B371" s="4279"/>
      <c r="C371" s="4279"/>
      <c r="D371" s="4280"/>
      <c r="E371" s="1188">
        <f t="shared" si="235"/>
        <v>0</v>
      </c>
      <c r="F371" s="1680"/>
      <c r="G371" s="4281">
        <f t="shared" si="210"/>
        <v>0</v>
      </c>
      <c r="H371" s="3457">
        <f t="shared" si="211"/>
        <v>0</v>
      </c>
      <c r="I371" s="4282"/>
      <c r="J371" s="4282"/>
      <c r="K371" s="4282"/>
      <c r="L371" s="4282"/>
      <c r="M371" s="4282"/>
      <c r="N371" s="4282"/>
      <c r="O371" s="4282"/>
      <c r="P371" s="4282"/>
      <c r="Q371" s="4282"/>
      <c r="R371" s="4282"/>
      <c r="S371" s="4282"/>
      <c r="T371" s="4282"/>
      <c r="U371" s="4282"/>
      <c r="V371" s="4282"/>
      <c r="W371" s="4282"/>
      <c r="X371" s="4282"/>
      <c r="Y371" s="4282"/>
      <c r="Z371" s="4282"/>
      <c r="AA371" s="4282"/>
      <c r="AB371" s="4282"/>
      <c r="AC371" s="1188">
        <f t="shared" si="212"/>
        <v>0</v>
      </c>
      <c r="AD371" s="4278"/>
      <c r="AE371" s="4278"/>
      <c r="AF371" s="4278"/>
      <c r="AG371" s="4278"/>
      <c r="AH371" s="4278"/>
      <c r="AI371" s="4278"/>
      <c r="AJ371" s="4278"/>
      <c r="AK371" s="4278"/>
      <c r="AL371" s="4278"/>
      <c r="AM371" s="4278"/>
      <c r="AN371" s="4278"/>
      <c r="AO371" s="4278"/>
      <c r="AP371" s="4278"/>
      <c r="AQ371" s="4278"/>
      <c r="AR371" s="4278"/>
      <c r="AS371" s="4278"/>
      <c r="AT371" s="4279"/>
      <c r="AU371" s="4283"/>
      <c r="AV371" s="1188">
        <f t="shared" si="236"/>
        <v>0</v>
      </c>
      <c r="AW371" s="1188">
        <f t="shared" si="237"/>
        <v>0</v>
      </c>
      <c r="AX371" s="1188">
        <f t="shared" si="238"/>
        <v>0</v>
      </c>
      <c r="AY371" s="1452">
        <f t="shared" si="213"/>
        <v>0</v>
      </c>
      <c r="AZ371" s="4284">
        <f t="shared" si="214"/>
        <v>0</v>
      </c>
      <c r="BA371" s="4284">
        <f t="shared" si="215"/>
        <v>0</v>
      </c>
      <c r="BB371" s="4284">
        <f t="shared" si="216"/>
        <v>0</v>
      </c>
      <c r="BC371" s="4284">
        <f t="shared" si="217"/>
        <v>0</v>
      </c>
      <c r="BD371" s="4284">
        <f t="shared" si="218"/>
        <v>0</v>
      </c>
      <c r="BE371" s="4284">
        <f t="shared" si="219"/>
        <v>0</v>
      </c>
      <c r="BF371" s="4284">
        <f t="shared" si="220"/>
        <v>0</v>
      </c>
      <c r="BG371" s="4284">
        <f t="shared" si="221"/>
        <v>0</v>
      </c>
      <c r="BH371" s="4284">
        <f t="shared" si="222"/>
        <v>0</v>
      </c>
      <c r="BI371" s="4284">
        <f t="shared" si="223"/>
        <v>0</v>
      </c>
      <c r="BJ371" s="4284">
        <f t="shared" si="224"/>
        <v>0</v>
      </c>
      <c r="BK371" s="4284">
        <f t="shared" si="225"/>
        <v>0</v>
      </c>
      <c r="BL371" s="4284">
        <f t="shared" si="226"/>
        <v>0</v>
      </c>
      <c r="BM371" s="4284">
        <f t="shared" si="227"/>
        <v>0</v>
      </c>
      <c r="BN371" s="4284">
        <f t="shared" si="228"/>
        <v>0</v>
      </c>
      <c r="BO371" s="4284">
        <f t="shared" si="229"/>
        <v>0</v>
      </c>
      <c r="BP371" s="4284">
        <f t="shared" si="230"/>
        <v>0</v>
      </c>
      <c r="BQ371" s="4284">
        <f t="shared" si="231"/>
        <v>0</v>
      </c>
      <c r="BR371" s="4284">
        <f t="shared" si="232"/>
        <v>0</v>
      </c>
      <c r="BS371" s="4284">
        <f t="shared" si="233"/>
        <v>0</v>
      </c>
      <c r="BT371" s="4285">
        <f t="shared" si="234"/>
        <v>0</v>
      </c>
    </row>
    <row r="372" spans="1:72">
      <c r="A372" s="4278"/>
      <c r="B372" s="4279"/>
      <c r="C372" s="4279"/>
      <c r="D372" s="4280"/>
      <c r="E372" s="1188">
        <f t="shared" si="235"/>
        <v>0</v>
      </c>
      <c r="F372" s="1680"/>
      <c r="G372" s="4281">
        <f t="shared" si="210"/>
        <v>0</v>
      </c>
      <c r="H372" s="3457">
        <f t="shared" si="211"/>
        <v>0</v>
      </c>
      <c r="I372" s="4282"/>
      <c r="J372" s="4282"/>
      <c r="K372" s="4282"/>
      <c r="L372" s="4282"/>
      <c r="M372" s="4282"/>
      <c r="N372" s="4282"/>
      <c r="O372" s="4282"/>
      <c r="P372" s="4282"/>
      <c r="Q372" s="4282"/>
      <c r="R372" s="4282"/>
      <c r="S372" s="4282"/>
      <c r="T372" s="4282"/>
      <c r="U372" s="4282"/>
      <c r="V372" s="4282"/>
      <c r="W372" s="4282"/>
      <c r="X372" s="4282"/>
      <c r="Y372" s="4282"/>
      <c r="Z372" s="4282"/>
      <c r="AA372" s="4282"/>
      <c r="AB372" s="4282"/>
      <c r="AC372" s="1188">
        <f t="shared" si="212"/>
        <v>0</v>
      </c>
      <c r="AD372" s="4278"/>
      <c r="AE372" s="4278"/>
      <c r="AF372" s="4278"/>
      <c r="AG372" s="4278"/>
      <c r="AH372" s="4278"/>
      <c r="AI372" s="4278"/>
      <c r="AJ372" s="4278"/>
      <c r="AK372" s="4278"/>
      <c r="AL372" s="4278"/>
      <c r="AM372" s="4278"/>
      <c r="AN372" s="4278"/>
      <c r="AO372" s="4278"/>
      <c r="AP372" s="4278"/>
      <c r="AQ372" s="4278"/>
      <c r="AR372" s="4278"/>
      <c r="AS372" s="4278"/>
      <c r="AT372" s="4279"/>
      <c r="AU372" s="4283"/>
      <c r="AV372" s="1188">
        <f t="shared" si="236"/>
        <v>0</v>
      </c>
      <c r="AW372" s="1188">
        <f t="shared" si="237"/>
        <v>0</v>
      </c>
      <c r="AX372" s="1188">
        <f t="shared" si="238"/>
        <v>0</v>
      </c>
      <c r="AY372" s="1452">
        <f t="shared" si="213"/>
        <v>0</v>
      </c>
      <c r="AZ372" s="4284">
        <f t="shared" si="214"/>
        <v>0</v>
      </c>
      <c r="BA372" s="4284">
        <f t="shared" si="215"/>
        <v>0</v>
      </c>
      <c r="BB372" s="4284">
        <f t="shared" si="216"/>
        <v>0</v>
      </c>
      <c r="BC372" s="4284">
        <f t="shared" si="217"/>
        <v>0</v>
      </c>
      <c r="BD372" s="4284">
        <f t="shared" si="218"/>
        <v>0</v>
      </c>
      <c r="BE372" s="4284">
        <f t="shared" si="219"/>
        <v>0</v>
      </c>
      <c r="BF372" s="4284">
        <f t="shared" si="220"/>
        <v>0</v>
      </c>
      <c r="BG372" s="4284">
        <f t="shared" si="221"/>
        <v>0</v>
      </c>
      <c r="BH372" s="4284">
        <f t="shared" si="222"/>
        <v>0</v>
      </c>
      <c r="BI372" s="4284">
        <f t="shared" si="223"/>
        <v>0</v>
      </c>
      <c r="BJ372" s="4284">
        <f t="shared" si="224"/>
        <v>0</v>
      </c>
      <c r="BK372" s="4284">
        <f t="shared" si="225"/>
        <v>0</v>
      </c>
      <c r="BL372" s="4284">
        <f t="shared" si="226"/>
        <v>0</v>
      </c>
      <c r="BM372" s="4284">
        <f t="shared" si="227"/>
        <v>0</v>
      </c>
      <c r="BN372" s="4284">
        <f t="shared" si="228"/>
        <v>0</v>
      </c>
      <c r="BO372" s="4284">
        <f t="shared" si="229"/>
        <v>0</v>
      </c>
      <c r="BP372" s="4284">
        <f t="shared" si="230"/>
        <v>0</v>
      </c>
      <c r="BQ372" s="4284">
        <f t="shared" si="231"/>
        <v>0</v>
      </c>
      <c r="BR372" s="4284">
        <f t="shared" si="232"/>
        <v>0</v>
      </c>
      <c r="BS372" s="4284">
        <f t="shared" si="233"/>
        <v>0</v>
      </c>
      <c r="BT372" s="4285">
        <f t="shared" si="234"/>
        <v>0</v>
      </c>
    </row>
    <row r="373" spans="1:72">
      <c r="A373" s="4278"/>
      <c r="B373" s="4279"/>
      <c r="C373" s="4279"/>
      <c r="D373" s="4280"/>
      <c r="E373" s="1188">
        <f t="shared" si="235"/>
        <v>0</v>
      </c>
      <c r="F373" s="1680"/>
      <c r="G373" s="4281">
        <f t="shared" si="210"/>
        <v>0</v>
      </c>
      <c r="H373" s="3457">
        <f t="shared" si="211"/>
        <v>0</v>
      </c>
      <c r="I373" s="4282"/>
      <c r="J373" s="4282"/>
      <c r="K373" s="4282"/>
      <c r="L373" s="4282"/>
      <c r="M373" s="4282"/>
      <c r="N373" s="4282"/>
      <c r="O373" s="4282"/>
      <c r="P373" s="4282"/>
      <c r="Q373" s="4282"/>
      <c r="R373" s="4282"/>
      <c r="S373" s="4282"/>
      <c r="T373" s="4282"/>
      <c r="U373" s="4282"/>
      <c r="V373" s="4282"/>
      <c r="W373" s="4282"/>
      <c r="X373" s="4282"/>
      <c r="Y373" s="4282"/>
      <c r="Z373" s="4282"/>
      <c r="AA373" s="4282"/>
      <c r="AB373" s="4282"/>
      <c r="AC373" s="1188">
        <f t="shared" si="212"/>
        <v>0</v>
      </c>
      <c r="AD373" s="4278"/>
      <c r="AE373" s="4278"/>
      <c r="AF373" s="4278"/>
      <c r="AG373" s="4278"/>
      <c r="AH373" s="4278"/>
      <c r="AI373" s="4278"/>
      <c r="AJ373" s="4278"/>
      <c r="AK373" s="4278"/>
      <c r="AL373" s="4278"/>
      <c r="AM373" s="4278"/>
      <c r="AN373" s="4278"/>
      <c r="AO373" s="4278"/>
      <c r="AP373" s="4278"/>
      <c r="AQ373" s="4278"/>
      <c r="AR373" s="4278"/>
      <c r="AS373" s="4278"/>
      <c r="AT373" s="4279"/>
      <c r="AU373" s="4283"/>
      <c r="AV373" s="1188">
        <f t="shared" si="236"/>
        <v>0</v>
      </c>
      <c r="AW373" s="1188">
        <f t="shared" si="237"/>
        <v>0</v>
      </c>
      <c r="AX373" s="1188">
        <f t="shared" si="238"/>
        <v>0</v>
      </c>
      <c r="AY373" s="1452">
        <f t="shared" si="213"/>
        <v>0</v>
      </c>
      <c r="AZ373" s="4284">
        <f t="shared" si="214"/>
        <v>0</v>
      </c>
      <c r="BA373" s="4284">
        <f t="shared" si="215"/>
        <v>0</v>
      </c>
      <c r="BB373" s="4284">
        <f t="shared" si="216"/>
        <v>0</v>
      </c>
      <c r="BC373" s="4284">
        <f t="shared" si="217"/>
        <v>0</v>
      </c>
      <c r="BD373" s="4284">
        <f t="shared" si="218"/>
        <v>0</v>
      </c>
      <c r="BE373" s="4284">
        <f t="shared" si="219"/>
        <v>0</v>
      </c>
      <c r="BF373" s="4284">
        <f t="shared" si="220"/>
        <v>0</v>
      </c>
      <c r="BG373" s="4284">
        <f t="shared" si="221"/>
        <v>0</v>
      </c>
      <c r="BH373" s="4284">
        <f t="shared" si="222"/>
        <v>0</v>
      </c>
      <c r="BI373" s="4284">
        <f t="shared" si="223"/>
        <v>0</v>
      </c>
      <c r="BJ373" s="4284">
        <f t="shared" si="224"/>
        <v>0</v>
      </c>
      <c r="BK373" s="4284">
        <f t="shared" si="225"/>
        <v>0</v>
      </c>
      <c r="BL373" s="4284">
        <f t="shared" si="226"/>
        <v>0</v>
      </c>
      <c r="BM373" s="4284">
        <f t="shared" si="227"/>
        <v>0</v>
      </c>
      <c r="BN373" s="4284">
        <f t="shared" si="228"/>
        <v>0</v>
      </c>
      <c r="BO373" s="4284">
        <f t="shared" si="229"/>
        <v>0</v>
      </c>
      <c r="BP373" s="4284">
        <f t="shared" si="230"/>
        <v>0</v>
      </c>
      <c r="BQ373" s="4284">
        <f t="shared" si="231"/>
        <v>0</v>
      </c>
      <c r="BR373" s="4284">
        <f t="shared" si="232"/>
        <v>0</v>
      </c>
      <c r="BS373" s="4284">
        <f t="shared" si="233"/>
        <v>0</v>
      </c>
      <c r="BT373" s="4285">
        <f t="shared" si="234"/>
        <v>0</v>
      </c>
    </row>
    <row r="374" spans="1:72">
      <c r="A374" s="4278"/>
      <c r="B374" s="4279"/>
      <c r="C374" s="4279"/>
      <c r="D374" s="4280"/>
      <c r="E374" s="1188">
        <f t="shared" si="235"/>
        <v>0</v>
      </c>
      <c r="F374" s="1680"/>
      <c r="G374" s="4281">
        <f t="shared" si="210"/>
        <v>0</v>
      </c>
      <c r="H374" s="3457">
        <f t="shared" si="211"/>
        <v>0</v>
      </c>
      <c r="I374" s="4282"/>
      <c r="J374" s="4282"/>
      <c r="K374" s="4282"/>
      <c r="L374" s="4282"/>
      <c r="M374" s="4282"/>
      <c r="N374" s="4282"/>
      <c r="O374" s="4282"/>
      <c r="P374" s="4282"/>
      <c r="Q374" s="4282"/>
      <c r="R374" s="4282"/>
      <c r="S374" s="4282"/>
      <c r="T374" s="4282"/>
      <c r="U374" s="4282"/>
      <c r="V374" s="4282"/>
      <c r="W374" s="4282"/>
      <c r="X374" s="4282"/>
      <c r="Y374" s="4282"/>
      <c r="Z374" s="4282"/>
      <c r="AA374" s="4282"/>
      <c r="AB374" s="4282"/>
      <c r="AC374" s="1188">
        <f t="shared" si="212"/>
        <v>0</v>
      </c>
      <c r="AD374" s="4278"/>
      <c r="AE374" s="4278"/>
      <c r="AF374" s="4278"/>
      <c r="AG374" s="4278"/>
      <c r="AH374" s="4278"/>
      <c r="AI374" s="4278"/>
      <c r="AJ374" s="4278"/>
      <c r="AK374" s="4278"/>
      <c r="AL374" s="4278"/>
      <c r="AM374" s="4278"/>
      <c r="AN374" s="4278"/>
      <c r="AO374" s="4278"/>
      <c r="AP374" s="4278"/>
      <c r="AQ374" s="4278"/>
      <c r="AR374" s="4278"/>
      <c r="AS374" s="4278"/>
      <c r="AT374" s="4279"/>
      <c r="AU374" s="4283"/>
      <c r="AV374" s="1188">
        <f t="shared" si="236"/>
        <v>0</v>
      </c>
      <c r="AW374" s="1188">
        <f t="shared" si="237"/>
        <v>0</v>
      </c>
      <c r="AX374" s="1188">
        <f t="shared" si="238"/>
        <v>0</v>
      </c>
      <c r="AY374" s="1452">
        <f t="shared" si="213"/>
        <v>0</v>
      </c>
      <c r="AZ374" s="4284">
        <f t="shared" si="214"/>
        <v>0</v>
      </c>
      <c r="BA374" s="4284">
        <f t="shared" si="215"/>
        <v>0</v>
      </c>
      <c r="BB374" s="4284">
        <f t="shared" si="216"/>
        <v>0</v>
      </c>
      <c r="BC374" s="4284">
        <f t="shared" si="217"/>
        <v>0</v>
      </c>
      <c r="BD374" s="4284">
        <f t="shared" si="218"/>
        <v>0</v>
      </c>
      <c r="BE374" s="4284">
        <f t="shared" si="219"/>
        <v>0</v>
      </c>
      <c r="BF374" s="4284">
        <f t="shared" si="220"/>
        <v>0</v>
      </c>
      <c r="BG374" s="4284">
        <f t="shared" si="221"/>
        <v>0</v>
      </c>
      <c r="BH374" s="4284">
        <f t="shared" si="222"/>
        <v>0</v>
      </c>
      <c r="BI374" s="4284">
        <f t="shared" si="223"/>
        <v>0</v>
      </c>
      <c r="BJ374" s="4284">
        <f t="shared" si="224"/>
        <v>0</v>
      </c>
      <c r="BK374" s="4284">
        <f t="shared" si="225"/>
        <v>0</v>
      </c>
      <c r="BL374" s="4284">
        <f t="shared" si="226"/>
        <v>0</v>
      </c>
      <c r="BM374" s="4284">
        <f t="shared" si="227"/>
        <v>0</v>
      </c>
      <c r="BN374" s="4284">
        <f t="shared" si="228"/>
        <v>0</v>
      </c>
      <c r="BO374" s="4284">
        <f t="shared" si="229"/>
        <v>0</v>
      </c>
      <c r="BP374" s="4284">
        <f t="shared" si="230"/>
        <v>0</v>
      </c>
      <c r="BQ374" s="4284">
        <f t="shared" si="231"/>
        <v>0</v>
      </c>
      <c r="BR374" s="4284">
        <f t="shared" si="232"/>
        <v>0</v>
      </c>
      <c r="BS374" s="4284">
        <f t="shared" si="233"/>
        <v>0</v>
      </c>
      <c r="BT374" s="4285">
        <f t="shared" si="234"/>
        <v>0</v>
      </c>
    </row>
    <row r="375" spans="1:72">
      <c r="A375" s="4278"/>
      <c r="B375" s="4279"/>
      <c r="C375" s="4279"/>
      <c r="D375" s="4280"/>
      <c r="E375" s="1188">
        <f t="shared" si="235"/>
        <v>0</v>
      </c>
      <c r="F375" s="1680"/>
      <c r="G375" s="4281">
        <f t="shared" si="210"/>
        <v>0</v>
      </c>
      <c r="H375" s="3457">
        <f t="shared" si="211"/>
        <v>0</v>
      </c>
      <c r="I375" s="4282"/>
      <c r="J375" s="4282"/>
      <c r="K375" s="4282"/>
      <c r="L375" s="4282"/>
      <c r="M375" s="4282"/>
      <c r="N375" s="4282"/>
      <c r="O375" s="4282"/>
      <c r="P375" s="4282"/>
      <c r="Q375" s="4282"/>
      <c r="R375" s="4282"/>
      <c r="S375" s="4282"/>
      <c r="T375" s="4282"/>
      <c r="U375" s="4282"/>
      <c r="V375" s="4282"/>
      <c r="W375" s="4282"/>
      <c r="X375" s="4282"/>
      <c r="Y375" s="4282"/>
      <c r="Z375" s="4282"/>
      <c r="AA375" s="4282"/>
      <c r="AB375" s="4282"/>
      <c r="AC375" s="1188">
        <f t="shared" si="212"/>
        <v>0</v>
      </c>
      <c r="AD375" s="4278"/>
      <c r="AE375" s="4278"/>
      <c r="AF375" s="4278"/>
      <c r="AG375" s="4278"/>
      <c r="AH375" s="4278"/>
      <c r="AI375" s="4278"/>
      <c r="AJ375" s="4278"/>
      <c r="AK375" s="4278"/>
      <c r="AL375" s="4278"/>
      <c r="AM375" s="4278"/>
      <c r="AN375" s="4278"/>
      <c r="AO375" s="4278"/>
      <c r="AP375" s="4278"/>
      <c r="AQ375" s="4278"/>
      <c r="AR375" s="4278"/>
      <c r="AS375" s="4278"/>
      <c r="AT375" s="4279"/>
      <c r="AU375" s="4283"/>
      <c r="AV375" s="1188">
        <f t="shared" si="236"/>
        <v>0</v>
      </c>
      <c r="AW375" s="1188">
        <f t="shared" si="237"/>
        <v>0</v>
      </c>
      <c r="AX375" s="1188">
        <f t="shared" si="238"/>
        <v>0</v>
      </c>
      <c r="AY375" s="1452">
        <f t="shared" si="213"/>
        <v>0</v>
      </c>
      <c r="AZ375" s="4284">
        <f t="shared" si="214"/>
        <v>0</v>
      </c>
      <c r="BA375" s="4284">
        <f t="shared" si="215"/>
        <v>0</v>
      </c>
      <c r="BB375" s="4284">
        <f t="shared" si="216"/>
        <v>0</v>
      </c>
      <c r="BC375" s="4284">
        <f t="shared" si="217"/>
        <v>0</v>
      </c>
      <c r="BD375" s="4284">
        <f t="shared" si="218"/>
        <v>0</v>
      </c>
      <c r="BE375" s="4284">
        <f t="shared" si="219"/>
        <v>0</v>
      </c>
      <c r="BF375" s="4284">
        <f t="shared" si="220"/>
        <v>0</v>
      </c>
      <c r="BG375" s="4284">
        <f t="shared" si="221"/>
        <v>0</v>
      </c>
      <c r="BH375" s="4284">
        <f t="shared" si="222"/>
        <v>0</v>
      </c>
      <c r="BI375" s="4284">
        <f t="shared" si="223"/>
        <v>0</v>
      </c>
      <c r="BJ375" s="4284">
        <f t="shared" si="224"/>
        <v>0</v>
      </c>
      <c r="BK375" s="4284">
        <f t="shared" si="225"/>
        <v>0</v>
      </c>
      <c r="BL375" s="4284">
        <f t="shared" si="226"/>
        <v>0</v>
      </c>
      <c r="BM375" s="4284">
        <f t="shared" si="227"/>
        <v>0</v>
      </c>
      <c r="BN375" s="4284">
        <f t="shared" si="228"/>
        <v>0</v>
      </c>
      <c r="BO375" s="4284">
        <f t="shared" si="229"/>
        <v>0</v>
      </c>
      <c r="BP375" s="4284">
        <f t="shared" si="230"/>
        <v>0</v>
      </c>
      <c r="BQ375" s="4284">
        <f t="shared" si="231"/>
        <v>0</v>
      </c>
      <c r="BR375" s="4284">
        <f t="shared" si="232"/>
        <v>0</v>
      </c>
      <c r="BS375" s="4284">
        <f t="shared" si="233"/>
        <v>0</v>
      </c>
      <c r="BT375" s="4285">
        <f t="shared" si="234"/>
        <v>0</v>
      </c>
    </row>
    <row r="376" spans="1:72">
      <c r="A376" s="4278"/>
      <c r="B376" s="4279"/>
      <c r="C376" s="4279"/>
      <c r="D376" s="4280"/>
      <c r="E376" s="1188">
        <f t="shared" si="235"/>
        <v>0</v>
      </c>
      <c r="F376" s="1680"/>
      <c r="G376" s="4281">
        <f t="shared" si="210"/>
        <v>0</v>
      </c>
      <c r="H376" s="3457">
        <f t="shared" si="211"/>
        <v>0</v>
      </c>
      <c r="I376" s="4282"/>
      <c r="J376" s="4282"/>
      <c r="K376" s="4282"/>
      <c r="L376" s="4282"/>
      <c r="M376" s="4282"/>
      <c r="N376" s="4282"/>
      <c r="O376" s="4282"/>
      <c r="P376" s="4282"/>
      <c r="Q376" s="4282"/>
      <c r="R376" s="4282"/>
      <c r="S376" s="4282"/>
      <c r="T376" s="4282"/>
      <c r="U376" s="4282"/>
      <c r="V376" s="4282"/>
      <c r="W376" s="4282"/>
      <c r="X376" s="4282"/>
      <c r="Y376" s="4282"/>
      <c r="Z376" s="4282"/>
      <c r="AA376" s="4282"/>
      <c r="AB376" s="4282"/>
      <c r="AC376" s="1188">
        <f t="shared" si="212"/>
        <v>0</v>
      </c>
      <c r="AD376" s="4278"/>
      <c r="AE376" s="4278"/>
      <c r="AF376" s="4278"/>
      <c r="AG376" s="4278"/>
      <c r="AH376" s="4278"/>
      <c r="AI376" s="4278"/>
      <c r="AJ376" s="4278"/>
      <c r="AK376" s="4278"/>
      <c r="AL376" s="4278"/>
      <c r="AM376" s="4278"/>
      <c r="AN376" s="4278"/>
      <c r="AO376" s="4278"/>
      <c r="AP376" s="4278"/>
      <c r="AQ376" s="4278"/>
      <c r="AR376" s="4278"/>
      <c r="AS376" s="4278"/>
      <c r="AT376" s="4279"/>
      <c r="AU376" s="4283"/>
      <c r="AV376" s="1188">
        <f t="shared" si="236"/>
        <v>0</v>
      </c>
      <c r="AW376" s="1188">
        <f t="shared" si="237"/>
        <v>0</v>
      </c>
      <c r="AX376" s="1188">
        <f t="shared" si="238"/>
        <v>0</v>
      </c>
      <c r="AY376" s="1452">
        <f t="shared" si="213"/>
        <v>0</v>
      </c>
      <c r="AZ376" s="4284">
        <f t="shared" si="214"/>
        <v>0</v>
      </c>
      <c r="BA376" s="4284">
        <f t="shared" si="215"/>
        <v>0</v>
      </c>
      <c r="BB376" s="4284">
        <f t="shared" si="216"/>
        <v>0</v>
      </c>
      <c r="BC376" s="4284">
        <f t="shared" si="217"/>
        <v>0</v>
      </c>
      <c r="BD376" s="4284">
        <f t="shared" si="218"/>
        <v>0</v>
      </c>
      <c r="BE376" s="4284">
        <f t="shared" si="219"/>
        <v>0</v>
      </c>
      <c r="BF376" s="4284">
        <f t="shared" si="220"/>
        <v>0</v>
      </c>
      <c r="BG376" s="4284">
        <f t="shared" si="221"/>
        <v>0</v>
      </c>
      <c r="BH376" s="4284">
        <f t="shared" si="222"/>
        <v>0</v>
      </c>
      <c r="BI376" s="4284">
        <f t="shared" si="223"/>
        <v>0</v>
      </c>
      <c r="BJ376" s="4284">
        <f t="shared" si="224"/>
        <v>0</v>
      </c>
      <c r="BK376" s="4284">
        <f t="shared" si="225"/>
        <v>0</v>
      </c>
      <c r="BL376" s="4284">
        <f t="shared" si="226"/>
        <v>0</v>
      </c>
      <c r="BM376" s="4284">
        <f t="shared" si="227"/>
        <v>0</v>
      </c>
      <c r="BN376" s="4284">
        <f t="shared" si="228"/>
        <v>0</v>
      </c>
      <c r="BO376" s="4284">
        <f t="shared" si="229"/>
        <v>0</v>
      </c>
      <c r="BP376" s="4284">
        <f t="shared" si="230"/>
        <v>0</v>
      </c>
      <c r="BQ376" s="4284">
        <f t="shared" si="231"/>
        <v>0</v>
      </c>
      <c r="BR376" s="4284">
        <f t="shared" si="232"/>
        <v>0</v>
      </c>
      <c r="BS376" s="4284">
        <f t="shared" si="233"/>
        <v>0</v>
      </c>
      <c r="BT376" s="4285">
        <f t="shared" si="234"/>
        <v>0</v>
      </c>
    </row>
    <row r="377" spans="1:72">
      <c r="A377" s="4278"/>
      <c r="B377" s="4279"/>
      <c r="C377" s="4279"/>
      <c r="D377" s="4280"/>
      <c r="E377" s="1188">
        <f t="shared" si="235"/>
        <v>0</v>
      </c>
      <c r="F377" s="1680"/>
      <c r="G377" s="4281">
        <f t="shared" si="210"/>
        <v>0</v>
      </c>
      <c r="H377" s="3457">
        <f t="shared" si="211"/>
        <v>0</v>
      </c>
      <c r="I377" s="4282"/>
      <c r="J377" s="4282"/>
      <c r="K377" s="4282"/>
      <c r="L377" s="4282"/>
      <c r="M377" s="4282"/>
      <c r="N377" s="4282"/>
      <c r="O377" s="4282"/>
      <c r="P377" s="4282"/>
      <c r="Q377" s="4282"/>
      <c r="R377" s="4282"/>
      <c r="S377" s="4282"/>
      <c r="T377" s="4282"/>
      <c r="U377" s="4282"/>
      <c r="V377" s="4282"/>
      <c r="W377" s="4282"/>
      <c r="X377" s="4282"/>
      <c r="Y377" s="4282"/>
      <c r="Z377" s="4282"/>
      <c r="AA377" s="4282"/>
      <c r="AB377" s="4282"/>
      <c r="AC377" s="1188">
        <f t="shared" si="212"/>
        <v>0</v>
      </c>
      <c r="AD377" s="4278"/>
      <c r="AE377" s="4278"/>
      <c r="AF377" s="4278"/>
      <c r="AG377" s="4278"/>
      <c r="AH377" s="4278"/>
      <c r="AI377" s="4278"/>
      <c r="AJ377" s="4278"/>
      <c r="AK377" s="4278"/>
      <c r="AL377" s="4278"/>
      <c r="AM377" s="4278"/>
      <c r="AN377" s="4278"/>
      <c r="AO377" s="4278"/>
      <c r="AP377" s="4278"/>
      <c r="AQ377" s="4278"/>
      <c r="AR377" s="4278"/>
      <c r="AS377" s="4278"/>
      <c r="AT377" s="4279"/>
      <c r="AU377" s="4283"/>
      <c r="AV377" s="1188">
        <f t="shared" si="236"/>
        <v>0</v>
      </c>
      <c r="AW377" s="1188">
        <f t="shared" si="237"/>
        <v>0</v>
      </c>
      <c r="AX377" s="1188">
        <f t="shared" si="238"/>
        <v>0</v>
      </c>
      <c r="AY377" s="1452">
        <f t="shared" si="213"/>
        <v>0</v>
      </c>
      <c r="AZ377" s="4284">
        <f t="shared" si="214"/>
        <v>0</v>
      </c>
      <c r="BA377" s="4284">
        <f t="shared" si="215"/>
        <v>0</v>
      </c>
      <c r="BB377" s="4284">
        <f t="shared" si="216"/>
        <v>0</v>
      </c>
      <c r="BC377" s="4284">
        <f t="shared" si="217"/>
        <v>0</v>
      </c>
      <c r="BD377" s="4284">
        <f t="shared" si="218"/>
        <v>0</v>
      </c>
      <c r="BE377" s="4284">
        <f t="shared" si="219"/>
        <v>0</v>
      </c>
      <c r="BF377" s="4284">
        <f t="shared" si="220"/>
        <v>0</v>
      </c>
      <c r="BG377" s="4284">
        <f t="shared" si="221"/>
        <v>0</v>
      </c>
      <c r="BH377" s="4284">
        <f t="shared" si="222"/>
        <v>0</v>
      </c>
      <c r="BI377" s="4284">
        <f t="shared" si="223"/>
        <v>0</v>
      </c>
      <c r="BJ377" s="4284">
        <f t="shared" si="224"/>
        <v>0</v>
      </c>
      <c r="BK377" s="4284">
        <f t="shared" si="225"/>
        <v>0</v>
      </c>
      <c r="BL377" s="4284">
        <f t="shared" si="226"/>
        <v>0</v>
      </c>
      <c r="BM377" s="4284">
        <f t="shared" si="227"/>
        <v>0</v>
      </c>
      <c r="BN377" s="4284">
        <f t="shared" si="228"/>
        <v>0</v>
      </c>
      <c r="BO377" s="4284">
        <f t="shared" si="229"/>
        <v>0</v>
      </c>
      <c r="BP377" s="4284">
        <f t="shared" si="230"/>
        <v>0</v>
      </c>
      <c r="BQ377" s="4284">
        <f t="shared" si="231"/>
        <v>0</v>
      </c>
      <c r="BR377" s="4284">
        <f t="shared" si="232"/>
        <v>0</v>
      </c>
      <c r="BS377" s="4284">
        <f t="shared" si="233"/>
        <v>0</v>
      </c>
      <c r="BT377" s="4285">
        <f t="shared" si="234"/>
        <v>0</v>
      </c>
    </row>
    <row r="378" spans="1:72">
      <c r="A378" s="4278"/>
      <c r="B378" s="4279"/>
      <c r="C378" s="4279"/>
      <c r="D378" s="4280"/>
      <c r="E378" s="1188">
        <f t="shared" si="235"/>
        <v>0</v>
      </c>
      <c r="F378" s="1680"/>
      <c r="G378" s="4281">
        <f t="shared" si="210"/>
        <v>0</v>
      </c>
      <c r="H378" s="3457">
        <f t="shared" si="211"/>
        <v>0</v>
      </c>
      <c r="I378" s="4282"/>
      <c r="J378" s="4282"/>
      <c r="K378" s="4282"/>
      <c r="L378" s="4282"/>
      <c r="M378" s="4282"/>
      <c r="N378" s="4282"/>
      <c r="O378" s="4282"/>
      <c r="P378" s="4282"/>
      <c r="Q378" s="4282"/>
      <c r="R378" s="4282"/>
      <c r="S378" s="4282"/>
      <c r="T378" s="4282"/>
      <c r="U378" s="4282"/>
      <c r="V378" s="4282"/>
      <c r="W378" s="4282"/>
      <c r="X378" s="4282"/>
      <c r="Y378" s="4282"/>
      <c r="Z378" s="4282"/>
      <c r="AA378" s="4282"/>
      <c r="AB378" s="4282"/>
      <c r="AC378" s="1188">
        <f t="shared" si="212"/>
        <v>0</v>
      </c>
      <c r="AD378" s="4278"/>
      <c r="AE378" s="4278"/>
      <c r="AF378" s="4278"/>
      <c r="AG378" s="4278"/>
      <c r="AH378" s="4278"/>
      <c r="AI378" s="4278"/>
      <c r="AJ378" s="4278"/>
      <c r="AK378" s="4278"/>
      <c r="AL378" s="4278"/>
      <c r="AM378" s="4278"/>
      <c r="AN378" s="4278"/>
      <c r="AO378" s="4278"/>
      <c r="AP378" s="4278"/>
      <c r="AQ378" s="4278"/>
      <c r="AR378" s="4278"/>
      <c r="AS378" s="4278"/>
      <c r="AT378" s="4279"/>
      <c r="AU378" s="4283"/>
      <c r="AV378" s="1188">
        <f t="shared" si="236"/>
        <v>0</v>
      </c>
      <c r="AW378" s="1188">
        <f t="shared" si="237"/>
        <v>0</v>
      </c>
      <c r="AX378" s="1188">
        <f t="shared" si="238"/>
        <v>0</v>
      </c>
      <c r="AY378" s="1452">
        <f t="shared" si="213"/>
        <v>0</v>
      </c>
      <c r="AZ378" s="4284">
        <f t="shared" si="214"/>
        <v>0</v>
      </c>
      <c r="BA378" s="4284">
        <f t="shared" si="215"/>
        <v>0</v>
      </c>
      <c r="BB378" s="4284">
        <f t="shared" si="216"/>
        <v>0</v>
      </c>
      <c r="BC378" s="4284">
        <f t="shared" si="217"/>
        <v>0</v>
      </c>
      <c r="BD378" s="4284">
        <f t="shared" si="218"/>
        <v>0</v>
      </c>
      <c r="BE378" s="4284">
        <f t="shared" si="219"/>
        <v>0</v>
      </c>
      <c r="BF378" s="4284">
        <f t="shared" si="220"/>
        <v>0</v>
      </c>
      <c r="BG378" s="4284">
        <f t="shared" si="221"/>
        <v>0</v>
      </c>
      <c r="BH378" s="4284">
        <f t="shared" si="222"/>
        <v>0</v>
      </c>
      <c r="BI378" s="4284">
        <f t="shared" si="223"/>
        <v>0</v>
      </c>
      <c r="BJ378" s="4284">
        <f t="shared" si="224"/>
        <v>0</v>
      </c>
      <c r="BK378" s="4284">
        <f t="shared" si="225"/>
        <v>0</v>
      </c>
      <c r="BL378" s="4284">
        <f t="shared" si="226"/>
        <v>0</v>
      </c>
      <c r="BM378" s="4284">
        <f t="shared" si="227"/>
        <v>0</v>
      </c>
      <c r="BN378" s="4284">
        <f t="shared" si="228"/>
        <v>0</v>
      </c>
      <c r="BO378" s="4284">
        <f t="shared" si="229"/>
        <v>0</v>
      </c>
      <c r="BP378" s="4284">
        <f t="shared" si="230"/>
        <v>0</v>
      </c>
      <c r="BQ378" s="4284">
        <f t="shared" si="231"/>
        <v>0</v>
      </c>
      <c r="BR378" s="4284">
        <f t="shared" si="232"/>
        <v>0</v>
      </c>
      <c r="BS378" s="4284">
        <f t="shared" si="233"/>
        <v>0</v>
      </c>
      <c r="BT378" s="4285">
        <f t="shared" si="234"/>
        <v>0</v>
      </c>
    </row>
    <row r="379" spans="1:72">
      <c r="A379" s="4278"/>
      <c r="B379" s="4279"/>
      <c r="C379" s="4279"/>
      <c r="D379" s="4280"/>
      <c r="E379" s="1188">
        <f t="shared" si="235"/>
        <v>0</v>
      </c>
      <c r="F379" s="1680"/>
      <c r="G379" s="4281">
        <f t="shared" si="210"/>
        <v>0</v>
      </c>
      <c r="H379" s="3457">
        <f t="shared" si="211"/>
        <v>0</v>
      </c>
      <c r="I379" s="4282"/>
      <c r="J379" s="4282"/>
      <c r="K379" s="4282"/>
      <c r="L379" s="4282"/>
      <c r="M379" s="4282"/>
      <c r="N379" s="4282"/>
      <c r="O379" s="4282"/>
      <c r="P379" s="4282"/>
      <c r="Q379" s="4282"/>
      <c r="R379" s="4282"/>
      <c r="S379" s="4282"/>
      <c r="T379" s="4282"/>
      <c r="U379" s="4282"/>
      <c r="V379" s="4282"/>
      <c r="W379" s="4282"/>
      <c r="X379" s="4282"/>
      <c r="Y379" s="4282"/>
      <c r="Z379" s="4282"/>
      <c r="AA379" s="4282"/>
      <c r="AB379" s="4282"/>
      <c r="AC379" s="1188">
        <f t="shared" si="212"/>
        <v>0</v>
      </c>
      <c r="AD379" s="4278"/>
      <c r="AE379" s="4278"/>
      <c r="AF379" s="4278"/>
      <c r="AG379" s="4278"/>
      <c r="AH379" s="4278"/>
      <c r="AI379" s="4278"/>
      <c r="AJ379" s="4278"/>
      <c r="AK379" s="4278"/>
      <c r="AL379" s="4278"/>
      <c r="AM379" s="4278"/>
      <c r="AN379" s="4278"/>
      <c r="AO379" s="4278"/>
      <c r="AP379" s="4278"/>
      <c r="AQ379" s="4278"/>
      <c r="AR379" s="4278"/>
      <c r="AS379" s="4278"/>
      <c r="AT379" s="4279"/>
      <c r="AU379" s="4283"/>
      <c r="AV379" s="1188">
        <f t="shared" si="236"/>
        <v>0</v>
      </c>
      <c r="AW379" s="1188">
        <f t="shared" si="237"/>
        <v>0</v>
      </c>
      <c r="AX379" s="1188">
        <f t="shared" si="238"/>
        <v>0</v>
      </c>
      <c r="AY379" s="1452">
        <f t="shared" si="213"/>
        <v>0</v>
      </c>
      <c r="AZ379" s="4284">
        <f t="shared" si="214"/>
        <v>0</v>
      </c>
      <c r="BA379" s="4284">
        <f t="shared" si="215"/>
        <v>0</v>
      </c>
      <c r="BB379" s="4284">
        <f t="shared" si="216"/>
        <v>0</v>
      </c>
      <c r="BC379" s="4284">
        <f t="shared" si="217"/>
        <v>0</v>
      </c>
      <c r="BD379" s="4284">
        <f t="shared" si="218"/>
        <v>0</v>
      </c>
      <c r="BE379" s="4284">
        <f t="shared" si="219"/>
        <v>0</v>
      </c>
      <c r="BF379" s="4284">
        <f t="shared" si="220"/>
        <v>0</v>
      </c>
      <c r="BG379" s="4284">
        <f t="shared" si="221"/>
        <v>0</v>
      </c>
      <c r="BH379" s="4284">
        <f t="shared" si="222"/>
        <v>0</v>
      </c>
      <c r="BI379" s="4284">
        <f t="shared" si="223"/>
        <v>0</v>
      </c>
      <c r="BJ379" s="4284">
        <f t="shared" si="224"/>
        <v>0</v>
      </c>
      <c r="BK379" s="4284">
        <f t="shared" si="225"/>
        <v>0</v>
      </c>
      <c r="BL379" s="4284">
        <f t="shared" si="226"/>
        <v>0</v>
      </c>
      <c r="BM379" s="4284">
        <f t="shared" si="227"/>
        <v>0</v>
      </c>
      <c r="BN379" s="4284">
        <f t="shared" si="228"/>
        <v>0</v>
      </c>
      <c r="BO379" s="4284">
        <f t="shared" si="229"/>
        <v>0</v>
      </c>
      <c r="BP379" s="4284">
        <f t="shared" si="230"/>
        <v>0</v>
      </c>
      <c r="BQ379" s="4284">
        <f t="shared" si="231"/>
        <v>0</v>
      </c>
      <c r="BR379" s="4284">
        <f t="shared" si="232"/>
        <v>0</v>
      </c>
      <c r="BS379" s="4284">
        <f t="shared" si="233"/>
        <v>0</v>
      </c>
      <c r="BT379" s="4285">
        <f t="shared" si="234"/>
        <v>0</v>
      </c>
    </row>
    <row r="380" spans="1:72">
      <c r="A380" s="4278"/>
      <c r="B380" s="4279"/>
      <c r="C380" s="4279"/>
      <c r="D380" s="4280"/>
      <c r="E380" s="1188">
        <f t="shared" si="235"/>
        <v>0</v>
      </c>
      <c r="F380" s="1680"/>
      <c r="G380" s="4281">
        <f t="shared" si="210"/>
        <v>0</v>
      </c>
      <c r="H380" s="3457">
        <f t="shared" si="211"/>
        <v>0</v>
      </c>
      <c r="I380" s="4282"/>
      <c r="J380" s="4282"/>
      <c r="K380" s="4282"/>
      <c r="L380" s="4282"/>
      <c r="M380" s="4282"/>
      <c r="N380" s="4282"/>
      <c r="O380" s="4282"/>
      <c r="P380" s="4282"/>
      <c r="Q380" s="4282"/>
      <c r="R380" s="4282"/>
      <c r="S380" s="4282"/>
      <c r="T380" s="4282"/>
      <c r="U380" s="4282"/>
      <c r="V380" s="4282"/>
      <c r="W380" s="4282"/>
      <c r="X380" s="4282"/>
      <c r="Y380" s="4282"/>
      <c r="Z380" s="4282"/>
      <c r="AA380" s="4282"/>
      <c r="AB380" s="4282"/>
      <c r="AC380" s="1188">
        <f t="shared" si="212"/>
        <v>0</v>
      </c>
      <c r="AD380" s="4278"/>
      <c r="AE380" s="4278"/>
      <c r="AF380" s="4278"/>
      <c r="AG380" s="4278"/>
      <c r="AH380" s="4278"/>
      <c r="AI380" s="4278"/>
      <c r="AJ380" s="4278"/>
      <c r="AK380" s="4278"/>
      <c r="AL380" s="4278"/>
      <c r="AM380" s="4278"/>
      <c r="AN380" s="4278"/>
      <c r="AO380" s="4278"/>
      <c r="AP380" s="4278"/>
      <c r="AQ380" s="4278"/>
      <c r="AR380" s="4278"/>
      <c r="AS380" s="4278"/>
      <c r="AT380" s="4279"/>
      <c r="AU380" s="4283"/>
      <c r="AV380" s="1188">
        <f t="shared" si="236"/>
        <v>0</v>
      </c>
      <c r="AW380" s="1188">
        <f t="shared" si="237"/>
        <v>0</v>
      </c>
      <c r="AX380" s="1188">
        <f t="shared" si="238"/>
        <v>0</v>
      </c>
      <c r="AY380" s="1452">
        <f t="shared" si="213"/>
        <v>0</v>
      </c>
      <c r="AZ380" s="4284">
        <f t="shared" si="214"/>
        <v>0</v>
      </c>
      <c r="BA380" s="4284">
        <f t="shared" si="215"/>
        <v>0</v>
      </c>
      <c r="BB380" s="4284">
        <f t="shared" si="216"/>
        <v>0</v>
      </c>
      <c r="BC380" s="4284">
        <f t="shared" si="217"/>
        <v>0</v>
      </c>
      <c r="BD380" s="4284">
        <f t="shared" si="218"/>
        <v>0</v>
      </c>
      <c r="BE380" s="4284">
        <f t="shared" si="219"/>
        <v>0</v>
      </c>
      <c r="BF380" s="4284">
        <f t="shared" si="220"/>
        <v>0</v>
      </c>
      <c r="BG380" s="4284">
        <f t="shared" si="221"/>
        <v>0</v>
      </c>
      <c r="BH380" s="4284">
        <f t="shared" si="222"/>
        <v>0</v>
      </c>
      <c r="BI380" s="4284">
        <f t="shared" si="223"/>
        <v>0</v>
      </c>
      <c r="BJ380" s="4284">
        <f t="shared" si="224"/>
        <v>0</v>
      </c>
      <c r="BK380" s="4284">
        <f t="shared" si="225"/>
        <v>0</v>
      </c>
      <c r="BL380" s="4284">
        <f t="shared" si="226"/>
        <v>0</v>
      </c>
      <c r="BM380" s="4284">
        <f t="shared" si="227"/>
        <v>0</v>
      </c>
      <c r="BN380" s="4284">
        <f t="shared" si="228"/>
        <v>0</v>
      </c>
      <c r="BO380" s="4284">
        <f t="shared" si="229"/>
        <v>0</v>
      </c>
      <c r="BP380" s="4284">
        <f t="shared" si="230"/>
        <v>0</v>
      </c>
      <c r="BQ380" s="4284">
        <f t="shared" si="231"/>
        <v>0</v>
      </c>
      <c r="BR380" s="4284">
        <f t="shared" si="232"/>
        <v>0</v>
      </c>
      <c r="BS380" s="4284">
        <f t="shared" si="233"/>
        <v>0</v>
      </c>
      <c r="BT380" s="4285">
        <f t="shared" si="234"/>
        <v>0</v>
      </c>
    </row>
    <row r="381" spans="1:72">
      <c r="A381" s="4278"/>
      <c r="B381" s="4279"/>
      <c r="C381" s="4279"/>
      <c r="D381" s="4280"/>
      <c r="E381" s="1188">
        <f t="shared" si="235"/>
        <v>0</v>
      </c>
      <c r="F381" s="1680"/>
      <c r="G381" s="4281">
        <f t="shared" si="210"/>
        <v>0</v>
      </c>
      <c r="H381" s="3457">
        <f t="shared" si="211"/>
        <v>0</v>
      </c>
      <c r="I381" s="4282"/>
      <c r="J381" s="4282"/>
      <c r="K381" s="4282"/>
      <c r="L381" s="4282"/>
      <c r="M381" s="4282"/>
      <c r="N381" s="4282"/>
      <c r="O381" s="4282"/>
      <c r="P381" s="4282"/>
      <c r="Q381" s="4282"/>
      <c r="R381" s="4282"/>
      <c r="S381" s="4282"/>
      <c r="T381" s="4282"/>
      <c r="U381" s="4282"/>
      <c r="V381" s="4282"/>
      <c r="W381" s="4282"/>
      <c r="X381" s="4282"/>
      <c r="Y381" s="4282"/>
      <c r="Z381" s="4282"/>
      <c r="AA381" s="4282"/>
      <c r="AB381" s="4282"/>
      <c r="AC381" s="1188">
        <f t="shared" si="212"/>
        <v>0</v>
      </c>
      <c r="AD381" s="4278"/>
      <c r="AE381" s="4278"/>
      <c r="AF381" s="4278"/>
      <c r="AG381" s="4278"/>
      <c r="AH381" s="4278"/>
      <c r="AI381" s="4278"/>
      <c r="AJ381" s="4278"/>
      <c r="AK381" s="4278"/>
      <c r="AL381" s="4278"/>
      <c r="AM381" s="4278"/>
      <c r="AN381" s="4278"/>
      <c r="AO381" s="4278"/>
      <c r="AP381" s="4278"/>
      <c r="AQ381" s="4278"/>
      <c r="AR381" s="4278"/>
      <c r="AS381" s="4278"/>
      <c r="AT381" s="4279"/>
      <c r="AU381" s="4283"/>
      <c r="AV381" s="1188">
        <f t="shared" si="236"/>
        <v>0</v>
      </c>
      <c r="AW381" s="1188">
        <f t="shared" si="237"/>
        <v>0</v>
      </c>
      <c r="AX381" s="1188">
        <f t="shared" si="238"/>
        <v>0</v>
      </c>
      <c r="AY381" s="1452">
        <f t="shared" si="213"/>
        <v>0</v>
      </c>
      <c r="AZ381" s="4284">
        <f t="shared" si="214"/>
        <v>0</v>
      </c>
      <c r="BA381" s="4284">
        <f t="shared" si="215"/>
        <v>0</v>
      </c>
      <c r="BB381" s="4284">
        <f t="shared" si="216"/>
        <v>0</v>
      </c>
      <c r="BC381" s="4284">
        <f t="shared" si="217"/>
        <v>0</v>
      </c>
      <c r="BD381" s="4284">
        <f t="shared" si="218"/>
        <v>0</v>
      </c>
      <c r="BE381" s="4284">
        <f t="shared" si="219"/>
        <v>0</v>
      </c>
      <c r="BF381" s="4284">
        <f t="shared" si="220"/>
        <v>0</v>
      </c>
      <c r="BG381" s="4284">
        <f t="shared" si="221"/>
        <v>0</v>
      </c>
      <c r="BH381" s="4284">
        <f t="shared" si="222"/>
        <v>0</v>
      </c>
      <c r="BI381" s="4284">
        <f t="shared" si="223"/>
        <v>0</v>
      </c>
      <c r="BJ381" s="4284">
        <f t="shared" si="224"/>
        <v>0</v>
      </c>
      <c r="BK381" s="4284">
        <f t="shared" si="225"/>
        <v>0</v>
      </c>
      <c r="BL381" s="4284">
        <f t="shared" si="226"/>
        <v>0</v>
      </c>
      <c r="BM381" s="4284">
        <f t="shared" si="227"/>
        <v>0</v>
      </c>
      <c r="BN381" s="4284">
        <f t="shared" si="228"/>
        <v>0</v>
      </c>
      <c r="BO381" s="4284">
        <f t="shared" si="229"/>
        <v>0</v>
      </c>
      <c r="BP381" s="4284">
        <f t="shared" si="230"/>
        <v>0</v>
      </c>
      <c r="BQ381" s="4284">
        <f t="shared" si="231"/>
        <v>0</v>
      </c>
      <c r="BR381" s="4284">
        <f t="shared" si="232"/>
        <v>0</v>
      </c>
      <c r="BS381" s="4284">
        <f t="shared" si="233"/>
        <v>0</v>
      </c>
      <c r="BT381" s="4285">
        <f t="shared" si="234"/>
        <v>0</v>
      </c>
    </row>
    <row r="382" spans="1:72">
      <c r="A382" s="4278"/>
      <c r="B382" s="4279"/>
      <c r="C382" s="4279"/>
      <c r="D382" s="4280"/>
      <c r="E382" s="1188">
        <f t="shared" si="235"/>
        <v>0</v>
      </c>
      <c r="F382" s="1680"/>
      <c r="G382" s="4281">
        <f t="shared" si="210"/>
        <v>0</v>
      </c>
      <c r="H382" s="3457">
        <f t="shared" si="211"/>
        <v>0</v>
      </c>
      <c r="I382" s="4282"/>
      <c r="J382" s="4282"/>
      <c r="K382" s="4282"/>
      <c r="L382" s="4282"/>
      <c r="M382" s="4282"/>
      <c r="N382" s="4282"/>
      <c r="O382" s="4282"/>
      <c r="P382" s="4282"/>
      <c r="Q382" s="4282"/>
      <c r="R382" s="4282"/>
      <c r="S382" s="4282"/>
      <c r="T382" s="4282"/>
      <c r="U382" s="4282"/>
      <c r="V382" s="4282"/>
      <c r="W382" s="4282"/>
      <c r="X382" s="4282"/>
      <c r="Y382" s="4282"/>
      <c r="Z382" s="4282"/>
      <c r="AA382" s="4282"/>
      <c r="AB382" s="4282"/>
      <c r="AC382" s="1188">
        <f t="shared" si="212"/>
        <v>0</v>
      </c>
      <c r="AD382" s="4278"/>
      <c r="AE382" s="4278"/>
      <c r="AF382" s="4278"/>
      <c r="AG382" s="4278"/>
      <c r="AH382" s="4278"/>
      <c r="AI382" s="4278"/>
      <c r="AJ382" s="4278"/>
      <c r="AK382" s="4278"/>
      <c r="AL382" s="4278"/>
      <c r="AM382" s="4278"/>
      <c r="AN382" s="4278"/>
      <c r="AO382" s="4278"/>
      <c r="AP382" s="4278"/>
      <c r="AQ382" s="4278"/>
      <c r="AR382" s="4278"/>
      <c r="AS382" s="4278"/>
      <c r="AT382" s="4279"/>
      <c r="AU382" s="4283"/>
      <c r="AV382" s="1188">
        <f t="shared" si="236"/>
        <v>0</v>
      </c>
      <c r="AW382" s="1188">
        <f t="shared" si="237"/>
        <v>0</v>
      </c>
      <c r="AX382" s="1188">
        <f t="shared" si="238"/>
        <v>0</v>
      </c>
      <c r="AY382" s="1452">
        <f t="shared" si="213"/>
        <v>0</v>
      </c>
      <c r="AZ382" s="4284">
        <f t="shared" si="214"/>
        <v>0</v>
      </c>
      <c r="BA382" s="4284">
        <f t="shared" si="215"/>
        <v>0</v>
      </c>
      <c r="BB382" s="4284">
        <f t="shared" si="216"/>
        <v>0</v>
      </c>
      <c r="BC382" s="4284">
        <f t="shared" si="217"/>
        <v>0</v>
      </c>
      <c r="BD382" s="4284">
        <f t="shared" si="218"/>
        <v>0</v>
      </c>
      <c r="BE382" s="4284">
        <f t="shared" si="219"/>
        <v>0</v>
      </c>
      <c r="BF382" s="4284">
        <f t="shared" si="220"/>
        <v>0</v>
      </c>
      <c r="BG382" s="4284">
        <f t="shared" si="221"/>
        <v>0</v>
      </c>
      <c r="BH382" s="4284">
        <f t="shared" si="222"/>
        <v>0</v>
      </c>
      <c r="BI382" s="4284">
        <f t="shared" si="223"/>
        <v>0</v>
      </c>
      <c r="BJ382" s="4284">
        <f t="shared" si="224"/>
        <v>0</v>
      </c>
      <c r="BK382" s="4284">
        <f t="shared" si="225"/>
        <v>0</v>
      </c>
      <c r="BL382" s="4284">
        <f t="shared" si="226"/>
        <v>0</v>
      </c>
      <c r="BM382" s="4284">
        <f t="shared" si="227"/>
        <v>0</v>
      </c>
      <c r="BN382" s="4284">
        <f t="shared" si="228"/>
        <v>0</v>
      </c>
      <c r="BO382" s="4284">
        <f t="shared" si="229"/>
        <v>0</v>
      </c>
      <c r="BP382" s="4284">
        <f t="shared" si="230"/>
        <v>0</v>
      </c>
      <c r="BQ382" s="4284">
        <f t="shared" si="231"/>
        <v>0</v>
      </c>
      <c r="BR382" s="4284">
        <f t="shared" si="232"/>
        <v>0</v>
      </c>
      <c r="BS382" s="4284">
        <f t="shared" si="233"/>
        <v>0</v>
      </c>
      <c r="BT382" s="4285">
        <f t="shared" si="234"/>
        <v>0</v>
      </c>
    </row>
    <row r="383" spans="1:72">
      <c r="A383" s="4278"/>
      <c r="B383" s="4279"/>
      <c r="C383" s="4279"/>
      <c r="D383" s="4280"/>
      <c r="E383" s="1188">
        <f t="shared" si="235"/>
        <v>0</v>
      </c>
      <c r="F383" s="1680"/>
      <c r="G383" s="4281">
        <f t="shared" si="210"/>
        <v>0</v>
      </c>
      <c r="H383" s="3457">
        <f t="shared" si="211"/>
        <v>0</v>
      </c>
      <c r="I383" s="4282"/>
      <c r="J383" s="4282"/>
      <c r="K383" s="4282"/>
      <c r="L383" s="4282"/>
      <c r="M383" s="4282"/>
      <c r="N383" s="4282"/>
      <c r="O383" s="4282"/>
      <c r="P383" s="4282"/>
      <c r="Q383" s="4282"/>
      <c r="R383" s="4282"/>
      <c r="S383" s="4282"/>
      <c r="T383" s="4282"/>
      <c r="U383" s="4282"/>
      <c r="V383" s="4282"/>
      <c r="W383" s="4282"/>
      <c r="X383" s="4282"/>
      <c r="Y383" s="4282"/>
      <c r="Z383" s="4282"/>
      <c r="AA383" s="4282"/>
      <c r="AB383" s="4282"/>
      <c r="AC383" s="1188">
        <f t="shared" si="212"/>
        <v>0</v>
      </c>
      <c r="AD383" s="4278"/>
      <c r="AE383" s="4278"/>
      <c r="AF383" s="4278"/>
      <c r="AG383" s="4278"/>
      <c r="AH383" s="4278"/>
      <c r="AI383" s="4278"/>
      <c r="AJ383" s="4278"/>
      <c r="AK383" s="4278"/>
      <c r="AL383" s="4278"/>
      <c r="AM383" s="4278"/>
      <c r="AN383" s="4278"/>
      <c r="AO383" s="4278"/>
      <c r="AP383" s="4278"/>
      <c r="AQ383" s="4278"/>
      <c r="AR383" s="4278"/>
      <c r="AS383" s="4278"/>
      <c r="AT383" s="4279"/>
      <c r="AU383" s="4283"/>
      <c r="AV383" s="1188">
        <f t="shared" si="236"/>
        <v>0</v>
      </c>
      <c r="AW383" s="1188">
        <f t="shared" si="237"/>
        <v>0</v>
      </c>
      <c r="AX383" s="1188">
        <f t="shared" si="238"/>
        <v>0</v>
      </c>
      <c r="AY383" s="1452">
        <f t="shared" si="213"/>
        <v>0</v>
      </c>
      <c r="AZ383" s="4284">
        <f t="shared" si="214"/>
        <v>0</v>
      </c>
      <c r="BA383" s="4284">
        <f t="shared" si="215"/>
        <v>0</v>
      </c>
      <c r="BB383" s="4284">
        <f t="shared" si="216"/>
        <v>0</v>
      </c>
      <c r="BC383" s="4284">
        <f t="shared" si="217"/>
        <v>0</v>
      </c>
      <c r="BD383" s="4284">
        <f t="shared" si="218"/>
        <v>0</v>
      </c>
      <c r="BE383" s="4284">
        <f t="shared" si="219"/>
        <v>0</v>
      </c>
      <c r="BF383" s="4284">
        <f t="shared" si="220"/>
        <v>0</v>
      </c>
      <c r="BG383" s="4284">
        <f t="shared" si="221"/>
        <v>0</v>
      </c>
      <c r="BH383" s="4284">
        <f t="shared" si="222"/>
        <v>0</v>
      </c>
      <c r="BI383" s="4284">
        <f t="shared" si="223"/>
        <v>0</v>
      </c>
      <c r="BJ383" s="4284">
        <f t="shared" si="224"/>
        <v>0</v>
      </c>
      <c r="BK383" s="4284">
        <f t="shared" si="225"/>
        <v>0</v>
      </c>
      <c r="BL383" s="4284">
        <f t="shared" si="226"/>
        <v>0</v>
      </c>
      <c r="BM383" s="4284">
        <f t="shared" si="227"/>
        <v>0</v>
      </c>
      <c r="BN383" s="4284">
        <f t="shared" si="228"/>
        <v>0</v>
      </c>
      <c r="BO383" s="4284">
        <f t="shared" si="229"/>
        <v>0</v>
      </c>
      <c r="BP383" s="4284">
        <f t="shared" si="230"/>
        <v>0</v>
      </c>
      <c r="BQ383" s="4284">
        <f t="shared" si="231"/>
        <v>0</v>
      </c>
      <c r="BR383" s="4284">
        <f t="shared" si="232"/>
        <v>0</v>
      </c>
      <c r="BS383" s="4284">
        <f t="shared" si="233"/>
        <v>0</v>
      </c>
      <c r="BT383" s="4285">
        <f t="shared" si="234"/>
        <v>0</v>
      </c>
    </row>
    <row r="384" spans="1:72">
      <c r="A384" s="4278"/>
      <c r="B384" s="4279"/>
      <c r="C384" s="4279"/>
      <c r="D384" s="4280"/>
      <c r="E384" s="1188">
        <f t="shared" si="235"/>
        <v>0</v>
      </c>
      <c r="F384" s="1680"/>
      <c r="G384" s="4281">
        <f t="shared" si="210"/>
        <v>0</v>
      </c>
      <c r="H384" s="3457">
        <f t="shared" si="211"/>
        <v>0</v>
      </c>
      <c r="I384" s="4282"/>
      <c r="J384" s="4282"/>
      <c r="K384" s="4282"/>
      <c r="L384" s="4282"/>
      <c r="M384" s="4282"/>
      <c r="N384" s="4282"/>
      <c r="O384" s="4282"/>
      <c r="P384" s="4282"/>
      <c r="Q384" s="4282"/>
      <c r="R384" s="4282"/>
      <c r="S384" s="4282"/>
      <c r="T384" s="4282"/>
      <c r="U384" s="4282"/>
      <c r="V384" s="4282"/>
      <c r="W384" s="4282"/>
      <c r="X384" s="4282"/>
      <c r="Y384" s="4282"/>
      <c r="Z384" s="4282"/>
      <c r="AA384" s="4282"/>
      <c r="AB384" s="4282"/>
      <c r="AC384" s="1188">
        <f t="shared" si="212"/>
        <v>0</v>
      </c>
      <c r="AD384" s="4278"/>
      <c r="AE384" s="4278"/>
      <c r="AF384" s="4278"/>
      <c r="AG384" s="4278"/>
      <c r="AH384" s="4278"/>
      <c r="AI384" s="4278"/>
      <c r="AJ384" s="4278"/>
      <c r="AK384" s="4278"/>
      <c r="AL384" s="4278"/>
      <c r="AM384" s="4278"/>
      <c r="AN384" s="4278"/>
      <c r="AO384" s="4278"/>
      <c r="AP384" s="4278"/>
      <c r="AQ384" s="4278"/>
      <c r="AR384" s="4278"/>
      <c r="AS384" s="4278"/>
      <c r="AT384" s="4279"/>
      <c r="AU384" s="4283"/>
      <c r="AV384" s="1188">
        <f t="shared" si="236"/>
        <v>0</v>
      </c>
      <c r="AW384" s="1188">
        <f t="shared" si="237"/>
        <v>0</v>
      </c>
      <c r="AX384" s="1188">
        <f t="shared" si="238"/>
        <v>0</v>
      </c>
      <c r="AY384" s="1452">
        <f t="shared" si="213"/>
        <v>0</v>
      </c>
      <c r="AZ384" s="4284">
        <f t="shared" si="214"/>
        <v>0</v>
      </c>
      <c r="BA384" s="4284">
        <f t="shared" si="215"/>
        <v>0</v>
      </c>
      <c r="BB384" s="4284">
        <f t="shared" si="216"/>
        <v>0</v>
      </c>
      <c r="BC384" s="4284">
        <f t="shared" si="217"/>
        <v>0</v>
      </c>
      <c r="BD384" s="4284">
        <f t="shared" si="218"/>
        <v>0</v>
      </c>
      <c r="BE384" s="4284">
        <f t="shared" si="219"/>
        <v>0</v>
      </c>
      <c r="BF384" s="4284">
        <f t="shared" si="220"/>
        <v>0</v>
      </c>
      <c r="BG384" s="4284">
        <f t="shared" si="221"/>
        <v>0</v>
      </c>
      <c r="BH384" s="4284">
        <f t="shared" si="222"/>
        <v>0</v>
      </c>
      <c r="BI384" s="4284">
        <f t="shared" si="223"/>
        <v>0</v>
      </c>
      <c r="BJ384" s="4284">
        <f t="shared" si="224"/>
        <v>0</v>
      </c>
      <c r="BK384" s="4284">
        <f t="shared" si="225"/>
        <v>0</v>
      </c>
      <c r="BL384" s="4284">
        <f t="shared" si="226"/>
        <v>0</v>
      </c>
      <c r="BM384" s="4284">
        <f t="shared" si="227"/>
        <v>0</v>
      </c>
      <c r="BN384" s="4284">
        <f t="shared" si="228"/>
        <v>0</v>
      </c>
      <c r="BO384" s="4284">
        <f t="shared" si="229"/>
        <v>0</v>
      </c>
      <c r="BP384" s="4284">
        <f t="shared" si="230"/>
        <v>0</v>
      </c>
      <c r="BQ384" s="4284">
        <f t="shared" si="231"/>
        <v>0</v>
      </c>
      <c r="BR384" s="4284">
        <f t="shared" si="232"/>
        <v>0</v>
      </c>
      <c r="BS384" s="4284">
        <f t="shared" si="233"/>
        <v>0</v>
      </c>
      <c r="BT384" s="4285">
        <f t="shared" si="234"/>
        <v>0</v>
      </c>
    </row>
    <row r="385" spans="1:72">
      <c r="A385" s="4278"/>
      <c r="B385" s="4279"/>
      <c r="C385" s="4279"/>
      <c r="D385" s="4280"/>
      <c r="E385" s="1188">
        <f t="shared" si="235"/>
        <v>0</v>
      </c>
      <c r="F385" s="1680"/>
      <c r="G385" s="4281">
        <f t="shared" si="210"/>
        <v>0</v>
      </c>
      <c r="H385" s="3457">
        <f t="shared" si="211"/>
        <v>0</v>
      </c>
      <c r="I385" s="4282"/>
      <c r="J385" s="4282"/>
      <c r="K385" s="4282"/>
      <c r="L385" s="4282"/>
      <c r="M385" s="4282"/>
      <c r="N385" s="4282"/>
      <c r="O385" s="4282"/>
      <c r="P385" s="4282"/>
      <c r="Q385" s="4282"/>
      <c r="R385" s="4282"/>
      <c r="S385" s="4282"/>
      <c r="T385" s="4282"/>
      <c r="U385" s="4282"/>
      <c r="V385" s="4282"/>
      <c r="W385" s="4282"/>
      <c r="X385" s="4282"/>
      <c r="Y385" s="4282"/>
      <c r="Z385" s="4282"/>
      <c r="AA385" s="4282"/>
      <c r="AB385" s="4282"/>
      <c r="AC385" s="1188">
        <f t="shared" si="212"/>
        <v>0</v>
      </c>
      <c r="AD385" s="4278"/>
      <c r="AE385" s="4278"/>
      <c r="AF385" s="4278"/>
      <c r="AG385" s="4278"/>
      <c r="AH385" s="4278"/>
      <c r="AI385" s="4278"/>
      <c r="AJ385" s="4278"/>
      <c r="AK385" s="4278"/>
      <c r="AL385" s="4278"/>
      <c r="AM385" s="4278"/>
      <c r="AN385" s="4278"/>
      <c r="AO385" s="4278"/>
      <c r="AP385" s="4278"/>
      <c r="AQ385" s="4278"/>
      <c r="AR385" s="4278"/>
      <c r="AS385" s="4278"/>
      <c r="AT385" s="4279"/>
      <c r="AU385" s="4283"/>
      <c r="AV385" s="1188">
        <f t="shared" si="236"/>
        <v>0</v>
      </c>
      <c r="AW385" s="1188">
        <f t="shared" si="237"/>
        <v>0</v>
      </c>
      <c r="AX385" s="1188">
        <f t="shared" si="238"/>
        <v>0</v>
      </c>
      <c r="AY385" s="1452">
        <f t="shared" si="213"/>
        <v>0</v>
      </c>
      <c r="AZ385" s="4284">
        <f t="shared" si="214"/>
        <v>0</v>
      </c>
      <c r="BA385" s="4284">
        <f t="shared" si="215"/>
        <v>0</v>
      </c>
      <c r="BB385" s="4284">
        <f t="shared" si="216"/>
        <v>0</v>
      </c>
      <c r="BC385" s="4284">
        <f t="shared" si="217"/>
        <v>0</v>
      </c>
      <c r="BD385" s="4284">
        <f t="shared" si="218"/>
        <v>0</v>
      </c>
      <c r="BE385" s="4284">
        <f t="shared" si="219"/>
        <v>0</v>
      </c>
      <c r="BF385" s="4284">
        <f t="shared" si="220"/>
        <v>0</v>
      </c>
      <c r="BG385" s="4284">
        <f t="shared" si="221"/>
        <v>0</v>
      </c>
      <c r="BH385" s="4284">
        <f t="shared" si="222"/>
        <v>0</v>
      </c>
      <c r="BI385" s="4284">
        <f t="shared" si="223"/>
        <v>0</v>
      </c>
      <c r="BJ385" s="4284">
        <f t="shared" si="224"/>
        <v>0</v>
      </c>
      <c r="BK385" s="4284">
        <f t="shared" si="225"/>
        <v>0</v>
      </c>
      <c r="BL385" s="4284">
        <f t="shared" si="226"/>
        <v>0</v>
      </c>
      <c r="BM385" s="4284">
        <f t="shared" si="227"/>
        <v>0</v>
      </c>
      <c r="BN385" s="4284">
        <f t="shared" si="228"/>
        <v>0</v>
      </c>
      <c r="BO385" s="4284">
        <f t="shared" si="229"/>
        <v>0</v>
      </c>
      <c r="BP385" s="4284">
        <f t="shared" si="230"/>
        <v>0</v>
      </c>
      <c r="BQ385" s="4284">
        <f t="shared" si="231"/>
        <v>0</v>
      </c>
      <c r="BR385" s="4284">
        <f t="shared" si="232"/>
        <v>0</v>
      </c>
      <c r="BS385" s="4284">
        <f t="shared" si="233"/>
        <v>0</v>
      </c>
      <c r="BT385" s="4285">
        <f t="shared" si="234"/>
        <v>0</v>
      </c>
    </row>
    <row r="386" spans="1:72">
      <c r="A386" s="4278"/>
      <c r="B386" s="4279"/>
      <c r="C386" s="4279"/>
      <c r="D386" s="4280"/>
      <c r="E386" s="1188">
        <f t="shared" si="235"/>
        <v>0</v>
      </c>
      <c r="F386" s="1680"/>
      <c r="G386" s="4281">
        <f t="shared" si="210"/>
        <v>0</v>
      </c>
      <c r="H386" s="3457">
        <f t="shared" si="211"/>
        <v>0</v>
      </c>
      <c r="I386" s="4282"/>
      <c r="J386" s="4282"/>
      <c r="K386" s="4282"/>
      <c r="L386" s="4282"/>
      <c r="M386" s="4282"/>
      <c r="N386" s="4282"/>
      <c r="O386" s="4282"/>
      <c r="P386" s="4282"/>
      <c r="Q386" s="4282"/>
      <c r="R386" s="4282"/>
      <c r="S386" s="4282"/>
      <c r="T386" s="4282"/>
      <c r="U386" s="4282"/>
      <c r="V386" s="4282"/>
      <c r="W386" s="4282"/>
      <c r="X386" s="4282"/>
      <c r="Y386" s="4282"/>
      <c r="Z386" s="4282"/>
      <c r="AA386" s="4282"/>
      <c r="AB386" s="4282"/>
      <c r="AC386" s="1188">
        <f t="shared" si="212"/>
        <v>0</v>
      </c>
      <c r="AD386" s="4278"/>
      <c r="AE386" s="4278"/>
      <c r="AF386" s="4278"/>
      <c r="AG386" s="4278"/>
      <c r="AH386" s="4278"/>
      <c r="AI386" s="4278"/>
      <c r="AJ386" s="4278"/>
      <c r="AK386" s="4278"/>
      <c r="AL386" s="4278"/>
      <c r="AM386" s="4278"/>
      <c r="AN386" s="4278"/>
      <c r="AO386" s="4278"/>
      <c r="AP386" s="4278"/>
      <c r="AQ386" s="4278"/>
      <c r="AR386" s="4278"/>
      <c r="AS386" s="4278"/>
      <c r="AT386" s="4279"/>
      <c r="AU386" s="4283"/>
      <c r="AV386" s="1188">
        <f t="shared" si="236"/>
        <v>0</v>
      </c>
      <c r="AW386" s="1188">
        <f t="shared" si="237"/>
        <v>0</v>
      </c>
      <c r="AX386" s="1188">
        <f t="shared" si="238"/>
        <v>0</v>
      </c>
      <c r="AY386" s="1452">
        <f t="shared" si="213"/>
        <v>0</v>
      </c>
      <c r="AZ386" s="4284">
        <f t="shared" si="214"/>
        <v>0</v>
      </c>
      <c r="BA386" s="4284">
        <f t="shared" si="215"/>
        <v>0</v>
      </c>
      <c r="BB386" s="4284">
        <f t="shared" si="216"/>
        <v>0</v>
      </c>
      <c r="BC386" s="4284">
        <f t="shared" si="217"/>
        <v>0</v>
      </c>
      <c r="BD386" s="4284">
        <f t="shared" si="218"/>
        <v>0</v>
      </c>
      <c r="BE386" s="4284">
        <f t="shared" si="219"/>
        <v>0</v>
      </c>
      <c r="BF386" s="4284">
        <f t="shared" si="220"/>
        <v>0</v>
      </c>
      <c r="BG386" s="4284">
        <f t="shared" si="221"/>
        <v>0</v>
      </c>
      <c r="BH386" s="4284">
        <f t="shared" si="222"/>
        <v>0</v>
      </c>
      <c r="BI386" s="4284">
        <f t="shared" si="223"/>
        <v>0</v>
      </c>
      <c r="BJ386" s="4284">
        <f t="shared" si="224"/>
        <v>0</v>
      </c>
      <c r="BK386" s="4284">
        <f t="shared" si="225"/>
        <v>0</v>
      </c>
      <c r="BL386" s="4284">
        <f t="shared" si="226"/>
        <v>0</v>
      </c>
      <c r="BM386" s="4284">
        <f t="shared" si="227"/>
        <v>0</v>
      </c>
      <c r="BN386" s="4284">
        <f t="shared" si="228"/>
        <v>0</v>
      </c>
      <c r="BO386" s="4284">
        <f t="shared" si="229"/>
        <v>0</v>
      </c>
      <c r="BP386" s="4284">
        <f t="shared" si="230"/>
        <v>0</v>
      </c>
      <c r="BQ386" s="4284">
        <f t="shared" si="231"/>
        <v>0</v>
      </c>
      <c r="BR386" s="4284">
        <f t="shared" si="232"/>
        <v>0</v>
      </c>
      <c r="BS386" s="4284">
        <f t="shared" si="233"/>
        <v>0</v>
      </c>
      <c r="BT386" s="4285">
        <f t="shared" si="234"/>
        <v>0</v>
      </c>
    </row>
    <row r="387" spans="1:72">
      <c r="A387" s="4278"/>
      <c r="B387" s="4279"/>
      <c r="C387" s="4279"/>
      <c r="D387" s="4280"/>
      <c r="E387" s="1188">
        <f t="shared" si="235"/>
        <v>0</v>
      </c>
      <c r="F387" s="1680"/>
      <c r="G387" s="4281">
        <f t="shared" si="210"/>
        <v>0</v>
      </c>
      <c r="H387" s="3457">
        <f t="shared" si="211"/>
        <v>0</v>
      </c>
      <c r="I387" s="4282"/>
      <c r="J387" s="4282"/>
      <c r="K387" s="4282"/>
      <c r="L387" s="4282"/>
      <c r="M387" s="4282"/>
      <c r="N387" s="4282"/>
      <c r="O387" s="4282"/>
      <c r="P387" s="4282"/>
      <c r="Q387" s="4282"/>
      <c r="R387" s="4282"/>
      <c r="S387" s="4282"/>
      <c r="T387" s="4282"/>
      <c r="U387" s="4282"/>
      <c r="V387" s="4282"/>
      <c r="W387" s="4282"/>
      <c r="X387" s="4282"/>
      <c r="Y387" s="4282"/>
      <c r="Z387" s="4282"/>
      <c r="AA387" s="4282"/>
      <c r="AB387" s="4282"/>
      <c r="AC387" s="1188">
        <f t="shared" si="212"/>
        <v>0</v>
      </c>
      <c r="AD387" s="4278"/>
      <c r="AE387" s="4278"/>
      <c r="AF387" s="4278"/>
      <c r="AG387" s="4278"/>
      <c r="AH387" s="4278"/>
      <c r="AI387" s="4278"/>
      <c r="AJ387" s="4278"/>
      <c r="AK387" s="4278"/>
      <c r="AL387" s="4278"/>
      <c r="AM387" s="4278"/>
      <c r="AN387" s="4278"/>
      <c r="AO387" s="4278"/>
      <c r="AP387" s="4278"/>
      <c r="AQ387" s="4278"/>
      <c r="AR387" s="4278"/>
      <c r="AS387" s="4278"/>
      <c r="AT387" s="4279"/>
      <c r="AU387" s="4283"/>
      <c r="AV387" s="1188">
        <f t="shared" si="236"/>
        <v>0</v>
      </c>
      <c r="AW387" s="1188">
        <f t="shared" si="237"/>
        <v>0</v>
      </c>
      <c r="AX387" s="1188">
        <f t="shared" si="238"/>
        <v>0</v>
      </c>
      <c r="AY387" s="1452">
        <f t="shared" si="213"/>
        <v>0</v>
      </c>
      <c r="AZ387" s="4284">
        <f t="shared" si="214"/>
        <v>0</v>
      </c>
      <c r="BA387" s="4284">
        <f t="shared" si="215"/>
        <v>0</v>
      </c>
      <c r="BB387" s="4284">
        <f t="shared" si="216"/>
        <v>0</v>
      </c>
      <c r="BC387" s="4284">
        <f t="shared" si="217"/>
        <v>0</v>
      </c>
      <c r="BD387" s="4284">
        <f t="shared" si="218"/>
        <v>0</v>
      </c>
      <c r="BE387" s="4284">
        <f t="shared" si="219"/>
        <v>0</v>
      </c>
      <c r="BF387" s="4284">
        <f t="shared" si="220"/>
        <v>0</v>
      </c>
      <c r="BG387" s="4284">
        <f t="shared" si="221"/>
        <v>0</v>
      </c>
      <c r="BH387" s="4284">
        <f t="shared" si="222"/>
        <v>0</v>
      </c>
      <c r="BI387" s="4284">
        <f t="shared" si="223"/>
        <v>0</v>
      </c>
      <c r="BJ387" s="4284">
        <f t="shared" si="224"/>
        <v>0</v>
      </c>
      <c r="BK387" s="4284">
        <f t="shared" si="225"/>
        <v>0</v>
      </c>
      <c r="BL387" s="4284">
        <f t="shared" si="226"/>
        <v>0</v>
      </c>
      <c r="BM387" s="4284">
        <f t="shared" si="227"/>
        <v>0</v>
      </c>
      <c r="BN387" s="4284">
        <f t="shared" si="228"/>
        <v>0</v>
      </c>
      <c r="BO387" s="4284">
        <f t="shared" si="229"/>
        <v>0</v>
      </c>
      <c r="BP387" s="4284">
        <f t="shared" si="230"/>
        <v>0</v>
      </c>
      <c r="BQ387" s="4284">
        <f t="shared" si="231"/>
        <v>0</v>
      </c>
      <c r="BR387" s="4284">
        <f t="shared" si="232"/>
        <v>0</v>
      </c>
      <c r="BS387" s="4284">
        <f t="shared" si="233"/>
        <v>0</v>
      </c>
      <c r="BT387" s="4285">
        <f t="shared" si="234"/>
        <v>0</v>
      </c>
    </row>
    <row r="388" spans="1:72">
      <c r="A388" s="4278"/>
      <c r="B388" s="4279"/>
      <c r="C388" s="4279"/>
      <c r="D388" s="4280"/>
      <c r="E388" s="1188">
        <f t="shared" si="235"/>
        <v>0</v>
      </c>
      <c r="F388" s="1680"/>
      <c r="G388" s="4281">
        <f t="shared" si="210"/>
        <v>0</v>
      </c>
      <c r="H388" s="3457">
        <f t="shared" si="211"/>
        <v>0</v>
      </c>
      <c r="I388" s="4282"/>
      <c r="J388" s="4282"/>
      <c r="K388" s="4282"/>
      <c r="L388" s="4282"/>
      <c r="M388" s="4282"/>
      <c r="N388" s="4282"/>
      <c r="O388" s="4282"/>
      <c r="P388" s="4282"/>
      <c r="Q388" s="4282"/>
      <c r="R388" s="4282"/>
      <c r="S388" s="4282"/>
      <c r="T388" s="4282"/>
      <c r="U388" s="4282"/>
      <c r="V388" s="4282"/>
      <c r="W388" s="4282"/>
      <c r="X388" s="4282"/>
      <c r="Y388" s="4282"/>
      <c r="Z388" s="4282"/>
      <c r="AA388" s="4282"/>
      <c r="AB388" s="4282"/>
      <c r="AC388" s="1188">
        <f t="shared" si="212"/>
        <v>0</v>
      </c>
      <c r="AD388" s="4278"/>
      <c r="AE388" s="4278"/>
      <c r="AF388" s="4278"/>
      <c r="AG388" s="4278"/>
      <c r="AH388" s="4278"/>
      <c r="AI388" s="4278"/>
      <c r="AJ388" s="4278"/>
      <c r="AK388" s="4278"/>
      <c r="AL388" s="4278"/>
      <c r="AM388" s="4278"/>
      <c r="AN388" s="4278"/>
      <c r="AO388" s="4278"/>
      <c r="AP388" s="4278"/>
      <c r="AQ388" s="4278"/>
      <c r="AR388" s="4278"/>
      <c r="AS388" s="4278"/>
      <c r="AT388" s="4279"/>
      <c r="AU388" s="4283"/>
      <c r="AV388" s="1188">
        <f t="shared" si="236"/>
        <v>0</v>
      </c>
      <c r="AW388" s="1188">
        <f t="shared" si="237"/>
        <v>0</v>
      </c>
      <c r="AX388" s="1188">
        <f t="shared" si="238"/>
        <v>0</v>
      </c>
      <c r="AY388" s="1452">
        <f t="shared" si="213"/>
        <v>0</v>
      </c>
      <c r="AZ388" s="4284">
        <f t="shared" si="214"/>
        <v>0</v>
      </c>
      <c r="BA388" s="4284">
        <f t="shared" si="215"/>
        <v>0</v>
      </c>
      <c r="BB388" s="4284">
        <f t="shared" si="216"/>
        <v>0</v>
      </c>
      <c r="BC388" s="4284">
        <f t="shared" si="217"/>
        <v>0</v>
      </c>
      <c r="BD388" s="4284">
        <f t="shared" si="218"/>
        <v>0</v>
      </c>
      <c r="BE388" s="4284">
        <f t="shared" si="219"/>
        <v>0</v>
      </c>
      <c r="BF388" s="4284">
        <f t="shared" si="220"/>
        <v>0</v>
      </c>
      <c r="BG388" s="4284">
        <f t="shared" si="221"/>
        <v>0</v>
      </c>
      <c r="BH388" s="4284">
        <f t="shared" si="222"/>
        <v>0</v>
      </c>
      <c r="BI388" s="4284">
        <f t="shared" si="223"/>
        <v>0</v>
      </c>
      <c r="BJ388" s="4284">
        <f t="shared" si="224"/>
        <v>0</v>
      </c>
      <c r="BK388" s="4284">
        <f t="shared" si="225"/>
        <v>0</v>
      </c>
      <c r="BL388" s="4284">
        <f t="shared" si="226"/>
        <v>0</v>
      </c>
      <c r="BM388" s="4284">
        <f t="shared" si="227"/>
        <v>0</v>
      </c>
      <c r="BN388" s="4284">
        <f t="shared" si="228"/>
        <v>0</v>
      </c>
      <c r="BO388" s="4284">
        <f t="shared" si="229"/>
        <v>0</v>
      </c>
      <c r="BP388" s="4284">
        <f t="shared" si="230"/>
        <v>0</v>
      </c>
      <c r="BQ388" s="4284">
        <f t="shared" si="231"/>
        <v>0</v>
      </c>
      <c r="BR388" s="4284">
        <f t="shared" si="232"/>
        <v>0</v>
      </c>
      <c r="BS388" s="4284">
        <f t="shared" si="233"/>
        <v>0</v>
      </c>
      <c r="BT388" s="4285">
        <f t="shared" si="234"/>
        <v>0</v>
      </c>
    </row>
    <row r="389" spans="1:72">
      <c r="A389" s="4278"/>
      <c r="B389" s="4279"/>
      <c r="C389" s="4279"/>
      <c r="D389" s="4280"/>
      <c r="E389" s="1188">
        <f t="shared" si="235"/>
        <v>0</v>
      </c>
      <c r="F389" s="1680"/>
      <c r="G389" s="4281">
        <f t="shared" si="210"/>
        <v>0</v>
      </c>
      <c r="H389" s="3457">
        <f t="shared" si="211"/>
        <v>0</v>
      </c>
      <c r="I389" s="4282"/>
      <c r="J389" s="4282"/>
      <c r="K389" s="4282"/>
      <c r="L389" s="4282"/>
      <c r="M389" s="4282"/>
      <c r="N389" s="4282"/>
      <c r="O389" s="4282"/>
      <c r="P389" s="4282"/>
      <c r="Q389" s="4282"/>
      <c r="R389" s="4282"/>
      <c r="S389" s="4282"/>
      <c r="T389" s="4282"/>
      <c r="U389" s="4282"/>
      <c r="V389" s="4282"/>
      <c r="W389" s="4282"/>
      <c r="X389" s="4282"/>
      <c r="Y389" s="4282"/>
      <c r="Z389" s="4282"/>
      <c r="AA389" s="4282"/>
      <c r="AB389" s="4282"/>
      <c r="AC389" s="1188">
        <f t="shared" si="212"/>
        <v>0</v>
      </c>
      <c r="AD389" s="4278"/>
      <c r="AE389" s="4278"/>
      <c r="AF389" s="4278"/>
      <c r="AG389" s="4278"/>
      <c r="AH389" s="4278"/>
      <c r="AI389" s="4278"/>
      <c r="AJ389" s="4278"/>
      <c r="AK389" s="4278"/>
      <c r="AL389" s="4278"/>
      <c r="AM389" s="4278"/>
      <c r="AN389" s="4278"/>
      <c r="AO389" s="4278"/>
      <c r="AP389" s="4278"/>
      <c r="AQ389" s="4278"/>
      <c r="AR389" s="4278"/>
      <c r="AS389" s="4278"/>
      <c r="AT389" s="4279"/>
      <c r="AU389" s="4283"/>
      <c r="AV389" s="1188">
        <f t="shared" si="236"/>
        <v>0</v>
      </c>
      <c r="AW389" s="1188">
        <f t="shared" si="237"/>
        <v>0</v>
      </c>
      <c r="AX389" s="1188">
        <f t="shared" si="238"/>
        <v>0</v>
      </c>
      <c r="AY389" s="1452">
        <f t="shared" si="213"/>
        <v>0</v>
      </c>
      <c r="AZ389" s="4284">
        <f t="shared" si="214"/>
        <v>0</v>
      </c>
      <c r="BA389" s="4284">
        <f t="shared" si="215"/>
        <v>0</v>
      </c>
      <c r="BB389" s="4284">
        <f t="shared" si="216"/>
        <v>0</v>
      </c>
      <c r="BC389" s="4284">
        <f t="shared" si="217"/>
        <v>0</v>
      </c>
      <c r="BD389" s="4284">
        <f t="shared" si="218"/>
        <v>0</v>
      </c>
      <c r="BE389" s="4284">
        <f t="shared" si="219"/>
        <v>0</v>
      </c>
      <c r="BF389" s="4284">
        <f t="shared" si="220"/>
        <v>0</v>
      </c>
      <c r="BG389" s="4284">
        <f t="shared" si="221"/>
        <v>0</v>
      </c>
      <c r="BH389" s="4284">
        <f t="shared" si="222"/>
        <v>0</v>
      </c>
      <c r="BI389" s="4284">
        <f t="shared" si="223"/>
        <v>0</v>
      </c>
      <c r="BJ389" s="4284">
        <f t="shared" si="224"/>
        <v>0</v>
      </c>
      <c r="BK389" s="4284">
        <f t="shared" si="225"/>
        <v>0</v>
      </c>
      <c r="BL389" s="4284">
        <f t="shared" si="226"/>
        <v>0</v>
      </c>
      <c r="BM389" s="4284">
        <f t="shared" si="227"/>
        <v>0</v>
      </c>
      <c r="BN389" s="4284">
        <f t="shared" si="228"/>
        <v>0</v>
      </c>
      <c r="BO389" s="4284">
        <f t="shared" si="229"/>
        <v>0</v>
      </c>
      <c r="BP389" s="4284">
        <f t="shared" si="230"/>
        <v>0</v>
      </c>
      <c r="BQ389" s="4284">
        <f t="shared" si="231"/>
        <v>0</v>
      </c>
      <c r="BR389" s="4284">
        <f t="shared" si="232"/>
        <v>0</v>
      </c>
      <c r="BS389" s="4284">
        <f t="shared" si="233"/>
        <v>0</v>
      </c>
      <c r="BT389" s="4285">
        <f t="shared" si="234"/>
        <v>0</v>
      </c>
    </row>
    <row r="390" spans="1:72">
      <c r="A390" s="4278"/>
      <c r="B390" s="4279"/>
      <c r="C390" s="4279"/>
      <c r="D390" s="4280"/>
      <c r="E390" s="1188">
        <f t="shared" si="235"/>
        <v>0</v>
      </c>
      <c r="F390" s="1680"/>
      <c r="G390" s="4281">
        <f t="shared" si="210"/>
        <v>0</v>
      </c>
      <c r="H390" s="3457">
        <f t="shared" si="211"/>
        <v>0</v>
      </c>
      <c r="I390" s="4282"/>
      <c r="J390" s="4282"/>
      <c r="K390" s="4282"/>
      <c r="L390" s="4282"/>
      <c r="M390" s="4282"/>
      <c r="N390" s="4282"/>
      <c r="O390" s="4282"/>
      <c r="P390" s="4282"/>
      <c r="Q390" s="4282"/>
      <c r="R390" s="4282"/>
      <c r="S390" s="4282"/>
      <c r="T390" s="4282"/>
      <c r="U390" s="4282"/>
      <c r="V390" s="4282"/>
      <c r="W390" s="4282"/>
      <c r="X390" s="4282"/>
      <c r="Y390" s="4282"/>
      <c r="Z390" s="4282"/>
      <c r="AA390" s="4282"/>
      <c r="AB390" s="4282"/>
      <c r="AC390" s="1188">
        <f t="shared" si="212"/>
        <v>0</v>
      </c>
      <c r="AD390" s="4278"/>
      <c r="AE390" s="4278"/>
      <c r="AF390" s="4278"/>
      <c r="AG390" s="4278"/>
      <c r="AH390" s="4278"/>
      <c r="AI390" s="4278"/>
      <c r="AJ390" s="4278"/>
      <c r="AK390" s="4278"/>
      <c r="AL390" s="4278"/>
      <c r="AM390" s="4278"/>
      <c r="AN390" s="4278"/>
      <c r="AO390" s="4278"/>
      <c r="AP390" s="4278"/>
      <c r="AQ390" s="4278"/>
      <c r="AR390" s="4278"/>
      <c r="AS390" s="4278"/>
      <c r="AT390" s="4279"/>
      <c r="AU390" s="4283"/>
      <c r="AV390" s="1188">
        <f t="shared" si="236"/>
        <v>0</v>
      </c>
      <c r="AW390" s="1188">
        <f t="shared" si="237"/>
        <v>0</v>
      </c>
      <c r="AX390" s="1188">
        <f t="shared" si="238"/>
        <v>0</v>
      </c>
      <c r="AY390" s="1452">
        <f t="shared" si="213"/>
        <v>0</v>
      </c>
      <c r="AZ390" s="4284">
        <f t="shared" si="214"/>
        <v>0</v>
      </c>
      <c r="BA390" s="4284">
        <f t="shared" si="215"/>
        <v>0</v>
      </c>
      <c r="BB390" s="4284">
        <f t="shared" si="216"/>
        <v>0</v>
      </c>
      <c r="BC390" s="4284">
        <f t="shared" si="217"/>
        <v>0</v>
      </c>
      <c r="BD390" s="4284">
        <f t="shared" si="218"/>
        <v>0</v>
      </c>
      <c r="BE390" s="4284">
        <f t="shared" si="219"/>
        <v>0</v>
      </c>
      <c r="BF390" s="4284">
        <f t="shared" si="220"/>
        <v>0</v>
      </c>
      <c r="BG390" s="4284">
        <f t="shared" si="221"/>
        <v>0</v>
      </c>
      <c r="BH390" s="4284">
        <f t="shared" si="222"/>
        <v>0</v>
      </c>
      <c r="BI390" s="4284">
        <f t="shared" si="223"/>
        <v>0</v>
      </c>
      <c r="BJ390" s="4284">
        <f t="shared" si="224"/>
        <v>0</v>
      </c>
      <c r="BK390" s="4284">
        <f t="shared" si="225"/>
        <v>0</v>
      </c>
      <c r="BL390" s="4284">
        <f t="shared" si="226"/>
        <v>0</v>
      </c>
      <c r="BM390" s="4284">
        <f t="shared" si="227"/>
        <v>0</v>
      </c>
      <c r="BN390" s="4284">
        <f t="shared" si="228"/>
        <v>0</v>
      </c>
      <c r="BO390" s="4284">
        <f t="shared" si="229"/>
        <v>0</v>
      </c>
      <c r="BP390" s="4284">
        <f t="shared" si="230"/>
        <v>0</v>
      </c>
      <c r="BQ390" s="4284">
        <f t="shared" si="231"/>
        <v>0</v>
      </c>
      <c r="BR390" s="4284">
        <f t="shared" si="232"/>
        <v>0</v>
      </c>
      <c r="BS390" s="4284">
        <f t="shared" si="233"/>
        <v>0</v>
      </c>
      <c r="BT390" s="4285">
        <f t="shared" si="234"/>
        <v>0</v>
      </c>
    </row>
    <row r="391" spans="1:72">
      <c r="A391" s="4278"/>
      <c r="B391" s="4279"/>
      <c r="C391" s="4279"/>
      <c r="D391" s="4280"/>
      <c r="E391" s="1188">
        <f t="shared" si="235"/>
        <v>0</v>
      </c>
      <c r="F391" s="1680"/>
      <c r="G391" s="4281">
        <f t="shared" si="210"/>
        <v>0</v>
      </c>
      <c r="H391" s="3457">
        <f t="shared" si="211"/>
        <v>0</v>
      </c>
      <c r="I391" s="4282"/>
      <c r="J391" s="4282"/>
      <c r="K391" s="4282"/>
      <c r="L391" s="4282"/>
      <c r="M391" s="4282"/>
      <c r="N391" s="4282"/>
      <c r="O391" s="4282"/>
      <c r="P391" s="4282"/>
      <c r="Q391" s="4282"/>
      <c r="R391" s="4282"/>
      <c r="S391" s="4282"/>
      <c r="T391" s="4282"/>
      <c r="U391" s="4282"/>
      <c r="V391" s="4282"/>
      <c r="W391" s="4282"/>
      <c r="X391" s="4282"/>
      <c r="Y391" s="4282"/>
      <c r="Z391" s="4282"/>
      <c r="AA391" s="4282"/>
      <c r="AB391" s="4282"/>
      <c r="AC391" s="1188">
        <f t="shared" si="212"/>
        <v>0</v>
      </c>
      <c r="AD391" s="4278"/>
      <c r="AE391" s="4278"/>
      <c r="AF391" s="4278"/>
      <c r="AG391" s="4278"/>
      <c r="AH391" s="4278"/>
      <c r="AI391" s="4278"/>
      <c r="AJ391" s="4278"/>
      <c r="AK391" s="4278"/>
      <c r="AL391" s="4278"/>
      <c r="AM391" s="4278"/>
      <c r="AN391" s="4278"/>
      <c r="AO391" s="4278"/>
      <c r="AP391" s="4278"/>
      <c r="AQ391" s="4278"/>
      <c r="AR391" s="4278"/>
      <c r="AS391" s="4278"/>
      <c r="AT391" s="4279"/>
      <c r="AU391" s="4283"/>
      <c r="AV391" s="1188">
        <f t="shared" si="236"/>
        <v>0</v>
      </c>
      <c r="AW391" s="1188">
        <f t="shared" si="237"/>
        <v>0</v>
      </c>
      <c r="AX391" s="1188">
        <f t="shared" si="238"/>
        <v>0</v>
      </c>
      <c r="AY391" s="1452">
        <f t="shared" si="213"/>
        <v>0</v>
      </c>
      <c r="AZ391" s="4284">
        <f t="shared" si="214"/>
        <v>0</v>
      </c>
      <c r="BA391" s="4284">
        <f t="shared" si="215"/>
        <v>0</v>
      </c>
      <c r="BB391" s="4284">
        <f t="shared" si="216"/>
        <v>0</v>
      </c>
      <c r="BC391" s="4284">
        <f t="shared" si="217"/>
        <v>0</v>
      </c>
      <c r="BD391" s="4284">
        <f t="shared" si="218"/>
        <v>0</v>
      </c>
      <c r="BE391" s="4284">
        <f t="shared" si="219"/>
        <v>0</v>
      </c>
      <c r="BF391" s="4284">
        <f t="shared" si="220"/>
        <v>0</v>
      </c>
      <c r="BG391" s="4284">
        <f t="shared" si="221"/>
        <v>0</v>
      </c>
      <c r="BH391" s="4284">
        <f t="shared" si="222"/>
        <v>0</v>
      </c>
      <c r="BI391" s="4284">
        <f t="shared" si="223"/>
        <v>0</v>
      </c>
      <c r="BJ391" s="4284">
        <f t="shared" si="224"/>
        <v>0</v>
      </c>
      <c r="BK391" s="4284">
        <f t="shared" si="225"/>
        <v>0</v>
      </c>
      <c r="BL391" s="4284">
        <f t="shared" si="226"/>
        <v>0</v>
      </c>
      <c r="BM391" s="4284">
        <f t="shared" si="227"/>
        <v>0</v>
      </c>
      <c r="BN391" s="4284">
        <f t="shared" si="228"/>
        <v>0</v>
      </c>
      <c r="BO391" s="4284">
        <f t="shared" si="229"/>
        <v>0</v>
      </c>
      <c r="BP391" s="4284">
        <f t="shared" si="230"/>
        <v>0</v>
      </c>
      <c r="BQ391" s="4284">
        <f t="shared" si="231"/>
        <v>0</v>
      </c>
      <c r="BR391" s="4284">
        <f t="shared" si="232"/>
        <v>0</v>
      </c>
      <c r="BS391" s="4284">
        <f t="shared" si="233"/>
        <v>0</v>
      </c>
      <c r="BT391" s="4285">
        <f t="shared" si="234"/>
        <v>0</v>
      </c>
    </row>
    <row r="392" spans="1:72">
      <c r="A392" s="4278"/>
      <c r="B392" s="4279"/>
      <c r="C392" s="4279"/>
      <c r="D392" s="4280"/>
      <c r="E392" s="1188">
        <f t="shared" si="235"/>
        <v>0</v>
      </c>
      <c r="F392" s="1680"/>
      <c r="G392" s="4281">
        <f t="shared" si="210"/>
        <v>0</v>
      </c>
      <c r="H392" s="3457">
        <f t="shared" si="211"/>
        <v>0</v>
      </c>
      <c r="I392" s="4282"/>
      <c r="J392" s="4282"/>
      <c r="K392" s="4282"/>
      <c r="L392" s="4282"/>
      <c r="M392" s="4282"/>
      <c r="N392" s="4282"/>
      <c r="O392" s="4282"/>
      <c r="P392" s="4282"/>
      <c r="Q392" s="4282"/>
      <c r="R392" s="4282"/>
      <c r="S392" s="4282"/>
      <c r="T392" s="4282"/>
      <c r="U392" s="4282"/>
      <c r="V392" s="4282"/>
      <c r="W392" s="4282"/>
      <c r="X392" s="4282"/>
      <c r="Y392" s="4282"/>
      <c r="Z392" s="4282"/>
      <c r="AA392" s="4282"/>
      <c r="AB392" s="4282"/>
      <c r="AC392" s="1188">
        <f t="shared" si="212"/>
        <v>0</v>
      </c>
      <c r="AD392" s="4278"/>
      <c r="AE392" s="4278"/>
      <c r="AF392" s="4278"/>
      <c r="AG392" s="4278"/>
      <c r="AH392" s="4278"/>
      <c r="AI392" s="4278"/>
      <c r="AJ392" s="4278"/>
      <c r="AK392" s="4278"/>
      <c r="AL392" s="4278"/>
      <c r="AM392" s="4278"/>
      <c r="AN392" s="4278"/>
      <c r="AO392" s="4278"/>
      <c r="AP392" s="4278"/>
      <c r="AQ392" s="4278"/>
      <c r="AR392" s="4278"/>
      <c r="AS392" s="4278"/>
      <c r="AT392" s="4279"/>
      <c r="AU392" s="4283"/>
      <c r="AV392" s="1188">
        <f t="shared" si="236"/>
        <v>0</v>
      </c>
      <c r="AW392" s="1188">
        <f t="shared" si="237"/>
        <v>0</v>
      </c>
      <c r="AX392" s="1188">
        <f t="shared" si="238"/>
        <v>0</v>
      </c>
      <c r="AY392" s="1452">
        <f t="shared" si="213"/>
        <v>0</v>
      </c>
      <c r="AZ392" s="4284">
        <f t="shared" si="214"/>
        <v>0</v>
      </c>
      <c r="BA392" s="4284">
        <f t="shared" si="215"/>
        <v>0</v>
      </c>
      <c r="BB392" s="4284">
        <f t="shared" si="216"/>
        <v>0</v>
      </c>
      <c r="BC392" s="4284">
        <f t="shared" si="217"/>
        <v>0</v>
      </c>
      <c r="BD392" s="4284">
        <f t="shared" si="218"/>
        <v>0</v>
      </c>
      <c r="BE392" s="4284">
        <f t="shared" si="219"/>
        <v>0</v>
      </c>
      <c r="BF392" s="4284">
        <f t="shared" si="220"/>
        <v>0</v>
      </c>
      <c r="BG392" s="4284">
        <f t="shared" si="221"/>
        <v>0</v>
      </c>
      <c r="BH392" s="4284">
        <f t="shared" si="222"/>
        <v>0</v>
      </c>
      <c r="BI392" s="4284">
        <f t="shared" si="223"/>
        <v>0</v>
      </c>
      <c r="BJ392" s="4284">
        <f t="shared" si="224"/>
        <v>0</v>
      </c>
      <c r="BK392" s="4284">
        <f t="shared" si="225"/>
        <v>0</v>
      </c>
      <c r="BL392" s="4284">
        <f t="shared" si="226"/>
        <v>0</v>
      </c>
      <c r="BM392" s="4284">
        <f t="shared" si="227"/>
        <v>0</v>
      </c>
      <c r="BN392" s="4284">
        <f t="shared" si="228"/>
        <v>0</v>
      </c>
      <c r="BO392" s="4284">
        <f t="shared" si="229"/>
        <v>0</v>
      </c>
      <c r="BP392" s="4284">
        <f t="shared" si="230"/>
        <v>0</v>
      </c>
      <c r="BQ392" s="4284">
        <f t="shared" si="231"/>
        <v>0</v>
      </c>
      <c r="BR392" s="4284">
        <f t="shared" si="232"/>
        <v>0</v>
      </c>
      <c r="BS392" s="4284">
        <f t="shared" si="233"/>
        <v>0</v>
      </c>
      <c r="BT392" s="4285">
        <f t="shared" si="234"/>
        <v>0</v>
      </c>
    </row>
    <row r="393" spans="1:72">
      <c r="A393" s="4278"/>
      <c r="B393" s="4279"/>
      <c r="C393" s="4279"/>
      <c r="D393" s="4280"/>
      <c r="E393" s="1188">
        <f t="shared" si="235"/>
        <v>0</v>
      </c>
      <c r="F393" s="1680"/>
      <c r="G393" s="4281">
        <f t="shared" si="210"/>
        <v>0</v>
      </c>
      <c r="H393" s="3457">
        <f t="shared" si="211"/>
        <v>0</v>
      </c>
      <c r="I393" s="4282"/>
      <c r="J393" s="4282"/>
      <c r="K393" s="4282"/>
      <c r="L393" s="4282"/>
      <c r="M393" s="4282"/>
      <c r="N393" s="4282"/>
      <c r="O393" s="4282"/>
      <c r="P393" s="4282"/>
      <c r="Q393" s="4282"/>
      <c r="R393" s="4282"/>
      <c r="S393" s="4282"/>
      <c r="T393" s="4282"/>
      <c r="U393" s="4282"/>
      <c r="V393" s="4282"/>
      <c r="W393" s="4282"/>
      <c r="X393" s="4282"/>
      <c r="Y393" s="4282"/>
      <c r="Z393" s="4282"/>
      <c r="AA393" s="4282"/>
      <c r="AB393" s="4282"/>
      <c r="AC393" s="1188">
        <f t="shared" si="212"/>
        <v>0</v>
      </c>
      <c r="AD393" s="4278"/>
      <c r="AE393" s="4278"/>
      <c r="AF393" s="4278"/>
      <c r="AG393" s="4278"/>
      <c r="AH393" s="4278"/>
      <c r="AI393" s="4278"/>
      <c r="AJ393" s="4278"/>
      <c r="AK393" s="4278"/>
      <c r="AL393" s="4278"/>
      <c r="AM393" s="4278"/>
      <c r="AN393" s="4278"/>
      <c r="AO393" s="4278"/>
      <c r="AP393" s="4278"/>
      <c r="AQ393" s="4278"/>
      <c r="AR393" s="4278"/>
      <c r="AS393" s="4278"/>
      <c r="AT393" s="4279"/>
      <c r="AU393" s="4283"/>
      <c r="AV393" s="1188">
        <f t="shared" si="236"/>
        <v>0</v>
      </c>
      <c r="AW393" s="1188">
        <f t="shared" si="237"/>
        <v>0</v>
      </c>
      <c r="AX393" s="1188">
        <f t="shared" si="238"/>
        <v>0</v>
      </c>
      <c r="AY393" s="1452">
        <f t="shared" si="213"/>
        <v>0</v>
      </c>
      <c r="AZ393" s="4284">
        <f t="shared" si="214"/>
        <v>0</v>
      </c>
      <c r="BA393" s="4284">
        <f t="shared" si="215"/>
        <v>0</v>
      </c>
      <c r="BB393" s="4284">
        <f t="shared" si="216"/>
        <v>0</v>
      </c>
      <c r="BC393" s="4284">
        <f t="shared" si="217"/>
        <v>0</v>
      </c>
      <c r="BD393" s="4284">
        <f t="shared" si="218"/>
        <v>0</v>
      </c>
      <c r="BE393" s="4284">
        <f t="shared" si="219"/>
        <v>0</v>
      </c>
      <c r="BF393" s="4284">
        <f t="shared" si="220"/>
        <v>0</v>
      </c>
      <c r="BG393" s="4284">
        <f t="shared" si="221"/>
        <v>0</v>
      </c>
      <c r="BH393" s="4284">
        <f t="shared" si="222"/>
        <v>0</v>
      </c>
      <c r="BI393" s="4284">
        <f t="shared" si="223"/>
        <v>0</v>
      </c>
      <c r="BJ393" s="4284">
        <f t="shared" si="224"/>
        <v>0</v>
      </c>
      <c r="BK393" s="4284">
        <f t="shared" si="225"/>
        <v>0</v>
      </c>
      <c r="BL393" s="4284">
        <f t="shared" si="226"/>
        <v>0</v>
      </c>
      <c r="BM393" s="4284">
        <f t="shared" si="227"/>
        <v>0</v>
      </c>
      <c r="BN393" s="4284">
        <f t="shared" si="228"/>
        <v>0</v>
      </c>
      <c r="BO393" s="4284">
        <f t="shared" si="229"/>
        <v>0</v>
      </c>
      <c r="BP393" s="4284">
        <f t="shared" si="230"/>
        <v>0</v>
      </c>
      <c r="BQ393" s="4284">
        <f t="shared" si="231"/>
        <v>0</v>
      </c>
      <c r="BR393" s="4284">
        <f t="shared" si="232"/>
        <v>0</v>
      </c>
      <c r="BS393" s="4284">
        <f t="shared" si="233"/>
        <v>0</v>
      </c>
      <c r="BT393" s="4285">
        <f t="shared" si="234"/>
        <v>0</v>
      </c>
    </row>
    <row r="394" spans="1:72">
      <c r="A394" s="4278"/>
      <c r="B394" s="4279"/>
      <c r="C394" s="4279"/>
      <c r="D394" s="4280"/>
      <c r="E394" s="1188">
        <f t="shared" si="235"/>
        <v>0</v>
      </c>
      <c r="F394" s="1680"/>
      <c r="G394" s="4281">
        <f t="shared" si="210"/>
        <v>0</v>
      </c>
      <c r="H394" s="3457">
        <f t="shared" si="211"/>
        <v>0</v>
      </c>
      <c r="I394" s="4282"/>
      <c r="J394" s="4282"/>
      <c r="K394" s="4282"/>
      <c r="L394" s="4282"/>
      <c r="M394" s="4282"/>
      <c r="N394" s="4282"/>
      <c r="O394" s="4282"/>
      <c r="P394" s="4282"/>
      <c r="Q394" s="4282"/>
      <c r="R394" s="4282"/>
      <c r="S394" s="4282"/>
      <c r="T394" s="4282"/>
      <c r="U394" s="4282"/>
      <c r="V394" s="4282"/>
      <c r="W394" s="4282"/>
      <c r="X394" s="4282"/>
      <c r="Y394" s="4282"/>
      <c r="Z394" s="4282"/>
      <c r="AA394" s="4282"/>
      <c r="AB394" s="4282"/>
      <c r="AC394" s="1188">
        <f t="shared" si="212"/>
        <v>0</v>
      </c>
      <c r="AD394" s="4278"/>
      <c r="AE394" s="4278"/>
      <c r="AF394" s="4278"/>
      <c r="AG394" s="4278"/>
      <c r="AH394" s="4278"/>
      <c r="AI394" s="4278"/>
      <c r="AJ394" s="4278"/>
      <c r="AK394" s="4278"/>
      <c r="AL394" s="4278"/>
      <c r="AM394" s="4278"/>
      <c r="AN394" s="4278"/>
      <c r="AO394" s="4278"/>
      <c r="AP394" s="4278"/>
      <c r="AQ394" s="4278"/>
      <c r="AR394" s="4278"/>
      <c r="AS394" s="4278"/>
      <c r="AT394" s="4279"/>
      <c r="AU394" s="4283"/>
      <c r="AV394" s="1188">
        <f t="shared" si="236"/>
        <v>0</v>
      </c>
      <c r="AW394" s="1188">
        <f t="shared" si="237"/>
        <v>0</v>
      </c>
      <c r="AX394" s="1188">
        <f t="shared" si="238"/>
        <v>0</v>
      </c>
      <c r="AY394" s="1452">
        <f t="shared" si="213"/>
        <v>0</v>
      </c>
      <c r="AZ394" s="4284">
        <f t="shared" si="214"/>
        <v>0</v>
      </c>
      <c r="BA394" s="4284">
        <f t="shared" si="215"/>
        <v>0</v>
      </c>
      <c r="BB394" s="4284">
        <f t="shared" si="216"/>
        <v>0</v>
      </c>
      <c r="BC394" s="4284">
        <f t="shared" si="217"/>
        <v>0</v>
      </c>
      <c r="BD394" s="4284">
        <f t="shared" si="218"/>
        <v>0</v>
      </c>
      <c r="BE394" s="4284">
        <f t="shared" si="219"/>
        <v>0</v>
      </c>
      <c r="BF394" s="4284">
        <f t="shared" si="220"/>
        <v>0</v>
      </c>
      <c r="BG394" s="4284">
        <f t="shared" si="221"/>
        <v>0</v>
      </c>
      <c r="BH394" s="4284">
        <f t="shared" si="222"/>
        <v>0</v>
      </c>
      <c r="BI394" s="4284">
        <f t="shared" si="223"/>
        <v>0</v>
      </c>
      <c r="BJ394" s="4284">
        <f t="shared" si="224"/>
        <v>0</v>
      </c>
      <c r="BK394" s="4284">
        <f t="shared" si="225"/>
        <v>0</v>
      </c>
      <c r="BL394" s="4284">
        <f t="shared" si="226"/>
        <v>0</v>
      </c>
      <c r="BM394" s="4284">
        <f t="shared" si="227"/>
        <v>0</v>
      </c>
      <c r="BN394" s="4284">
        <f t="shared" si="228"/>
        <v>0</v>
      </c>
      <c r="BO394" s="4284">
        <f t="shared" si="229"/>
        <v>0</v>
      </c>
      <c r="BP394" s="4284">
        <f t="shared" si="230"/>
        <v>0</v>
      </c>
      <c r="BQ394" s="4284">
        <f t="shared" si="231"/>
        <v>0</v>
      </c>
      <c r="BR394" s="4284">
        <f t="shared" si="232"/>
        <v>0</v>
      </c>
      <c r="BS394" s="4284">
        <f t="shared" si="233"/>
        <v>0</v>
      </c>
      <c r="BT394" s="4285">
        <f t="shared" si="234"/>
        <v>0</v>
      </c>
    </row>
    <row r="395" spans="1:72">
      <c r="A395" s="4278"/>
      <c r="B395" s="4278"/>
      <c r="C395" s="4278"/>
      <c r="D395" s="4280"/>
      <c r="E395" s="1188">
        <f t="shared" si="235"/>
        <v>0</v>
      </c>
      <c r="F395" s="1667"/>
      <c r="G395" s="4281">
        <f t="shared" si="210"/>
        <v>0</v>
      </c>
      <c r="H395" s="3457">
        <f t="shared" si="211"/>
        <v>0</v>
      </c>
      <c r="I395" s="4282"/>
      <c r="J395" s="4282"/>
      <c r="K395" s="4282"/>
      <c r="L395" s="4282"/>
      <c r="M395" s="4282"/>
      <c r="N395" s="4282"/>
      <c r="O395" s="4282"/>
      <c r="P395" s="4282"/>
      <c r="Q395" s="4282"/>
      <c r="R395" s="4282"/>
      <c r="S395" s="4282"/>
      <c r="T395" s="4282"/>
      <c r="U395" s="4282"/>
      <c r="V395" s="4282"/>
      <c r="W395" s="4282"/>
      <c r="X395" s="4282"/>
      <c r="Y395" s="4282"/>
      <c r="Z395" s="4282"/>
      <c r="AA395" s="4282"/>
      <c r="AB395" s="4282"/>
      <c r="AC395" s="1188">
        <f t="shared" si="212"/>
        <v>0</v>
      </c>
      <c r="AD395" s="4278"/>
      <c r="AE395" s="4278"/>
      <c r="AF395" s="4278"/>
      <c r="AG395" s="4278"/>
      <c r="AH395" s="4278"/>
      <c r="AI395" s="4278"/>
      <c r="AJ395" s="4278"/>
      <c r="AK395" s="4278"/>
      <c r="AL395" s="4278"/>
      <c r="AM395" s="4278"/>
      <c r="AN395" s="4278"/>
      <c r="AO395" s="4278"/>
      <c r="AP395" s="4278"/>
      <c r="AQ395" s="4278"/>
      <c r="AR395" s="4278"/>
      <c r="AS395" s="4278"/>
      <c r="AT395" s="4278"/>
      <c r="AU395" s="4286"/>
      <c r="AV395" s="1188">
        <f t="shared" si="236"/>
        <v>0</v>
      </c>
      <c r="AW395" s="1188">
        <f t="shared" si="237"/>
        <v>0</v>
      </c>
      <c r="AX395" s="1188">
        <f t="shared" si="238"/>
        <v>0</v>
      </c>
      <c r="AY395" s="1452">
        <f t="shared" si="213"/>
        <v>0</v>
      </c>
      <c r="AZ395" s="4284">
        <f t="shared" si="214"/>
        <v>0</v>
      </c>
      <c r="BA395" s="4284">
        <f t="shared" si="215"/>
        <v>0</v>
      </c>
      <c r="BB395" s="4284">
        <f t="shared" si="216"/>
        <v>0</v>
      </c>
      <c r="BC395" s="4284">
        <f t="shared" si="217"/>
        <v>0</v>
      </c>
      <c r="BD395" s="4284">
        <f t="shared" si="218"/>
        <v>0</v>
      </c>
      <c r="BE395" s="4284">
        <f t="shared" si="219"/>
        <v>0</v>
      </c>
      <c r="BF395" s="4284">
        <f t="shared" si="220"/>
        <v>0</v>
      </c>
      <c r="BG395" s="4284">
        <f t="shared" si="221"/>
        <v>0</v>
      </c>
      <c r="BH395" s="4284">
        <f t="shared" si="222"/>
        <v>0</v>
      </c>
      <c r="BI395" s="4284">
        <f t="shared" si="223"/>
        <v>0</v>
      </c>
      <c r="BJ395" s="4284">
        <f t="shared" si="224"/>
        <v>0</v>
      </c>
      <c r="BK395" s="4284">
        <f t="shared" si="225"/>
        <v>0</v>
      </c>
      <c r="BL395" s="4284">
        <f t="shared" si="226"/>
        <v>0</v>
      </c>
      <c r="BM395" s="4284">
        <f t="shared" si="227"/>
        <v>0</v>
      </c>
      <c r="BN395" s="4284">
        <f t="shared" si="228"/>
        <v>0</v>
      </c>
      <c r="BO395" s="4284">
        <f t="shared" si="229"/>
        <v>0</v>
      </c>
      <c r="BP395" s="4284">
        <f t="shared" si="230"/>
        <v>0</v>
      </c>
      <c r="BQ395" s="4284">
        <f t="shared" si="231"/>
        <v>0</v>
      </c>
      <c r="BR395" s="4284">
        <f t="shared" si="232"/>
        <v>0</v>
      </c>
      <c r="BS395" s="4284">
        <f t="shared" si="233"/>
        <v>0</v>
      </c>
      <c r="BT395" s="4285">
        <f t="shared" si="234"/>
        <v>0</v>
      </c>
    </row>
    <row r="396" spans="1:72">
      <c r="A396" s="4278"/>
      <c r="B396" s="4278"/>
      <c r="C396" s="4278"/>
      <c r="D396" s="4280"/>
      <c r="E396" s="1188">
        <f t="shared" si="235"/>
        <v>0</v>
      </c>
      <c r="F396" s="1667"/>
      <c r="G396" s="4281">
        <f t="shared" si="210"/>
        <v>0</v>
      </c>
      <c r="H396" s="3457">
        <f t="shared" si="211"/>
        <v>0</v>
      </c>
      <c r="I396" s="4282"/>
      <c r="J396" s="4282"/>
      <c r="K396" s="4282"/>
      <c r="L396" s="4282"/>
      <c r="M396" s="4282"/>
      <c r="N396" s="4282"/>
      <c r="O396" s="4282"/>
      <c r="P396" s="4282"/>
      <c r="Q396" s="4282"/>
      <c r="R396" s="4282"/>
      <c r="S396" s="4282"/>
      <c r="T396" s="4282"/>
      <c r="U396" s="4282"/>
      <c r="V396" s="4282"/>
      <c r="W396" s="4282"/>
      <c r="X396" s="4282"/>
      <c r="Y396" s="4282"/>
      <c r="Z396" s="4282"/>
      <c r="AA396" s="4282"/>
      <c r="AB396" s="4282"/>
      <c r="AC396" s="1188">
        <f t="shared" si="212"/>
        <v>0</v>
      </c>
      <c r="AD396" s="4278"/>
      <c r="AE396" s="4278"/>
      <c r="AF396" s="4278"/>
      <c r="AG396" s="4278"/>
      <c r="AH396" s="4278"/>
      <c r="AI396" s="4278"/>
      <c r="AJ396" s="4278"/>
      <c r="AK396" s="4278"/>
      <c r="AL396" s="4278"/>
      <c r="AM396" s="4278"/>
      <c r="AN396" s="4278"/>
      <c r="AO396" s="4278"/>
      <c r="AP396" s="4278"/>
      <c r="AQ396" s="4278"/>
      <c r="AR396" s="4278"/>
      <c r="AS396" s="4278"/>
      <c r="AT396" s="4278"/>
      <c r="AU396" s="4286"/>
      <c r="AV396" s="1188">
        <f t="shared" si="236"/>
        <v>0</v>
      </c>
      <c r="AW396" s="1188">
        <f t="shared" si="237"/>
        <v>0</v>
      </c>
      <c r="AX396" s="1188">
        <f t="shared" si="238"/>
        <v>0</v>
      </c>
      <c r="AY396" s="1452">
        <f t="shared" si="213"/>
        <v>0</v>
      </c>
      <c r="AZ396" s="4284">
        <f t="shared" si="214"/>
        <v>0</v>
      </c>
      <c r="BA396" s="4284">
        <f t="shared" si="215"/>
        <v>0</v>
      </c>
      <c r="BB396" s="4284">
        <f t="shared" si="216"/>
        <v>0</v>
      </c>
      <c r="BC396" s="4284">
        <f t="shared" si="217"/>
        <v>0</v>
      </c>
      <c r="BD396" s="4284">
        <f t="shared" si="218"/>
        <v>0</v>
      </c>
      <c r="BE396" s="4284">
        <f t="shared" si="219"/>
        <v>0</v>
      </c>
      <c r="BF396" s="4284">
        <f t="shared" si="220"/>
        <v>0</v>
      </c>
      <c r="BG396" s="4284">
        <f t="shared" si="221"/>
        <v>0</v>
      </c>
      <c r="BH396" s="4284">
        <f t="shared" si="222"/>
        <v>0</v>
      </c>
      <c r="BI396" s="4284">
        <f t="shared" si="223"/>
        <v>0</v>
      </c>
      <c r="BJ396" s="4284">
        <f t="shared" si="224"/>
        <v>0</v>
      </c>
      <c r="BK396" s="4284">
        <f t="shared" si="225"/>
        <v>0</v>
      </c>
      <c r="BL396" s="4284">
        <f t="shared" si="226"/>
        <v>0</v>
      </c>
      <c r="BM396" s="4284">
        <f t="shared" si="227"/>
        <v>0</v>
      </c>
      <c r="BN396" s="4284">
        <f t="shared" si="228"/>
        <v>0</v>
      </c>
      <c r="BO396" s="4284">
        <f t="shared" si="229"/>
        <v>0</v>
      </c>
      <c r="BP396" s="4284">
        <f t="shared" si="230"/>
        <v>0</v>
      </c>
      <c r="BQ396" s="4284">
        <f t="shared" si="231"/>
        <v>0</v>
      </c>
      <c r="BR396" s="4284">
        <f t="shared" si="232"/>
        <v>0</v>
      </c>
      <c r="BS396" s="4284">
        <f t="shared" si="233"/>
        <v>0</v>
      </c>
      <c r="BT396" s="4285">
        <f t="shared" si="234"/>
        <v>0</v>
      </c>
    </row>
    <row r="397" spans="1:72">
      <c r="A397" s="4278"/>
      <c r="B397" s="4278"/>
      <c r="C397" s="4278"/>
      <c r="D397" s="4280"/>
      <c r="E397" s="1188">
        <f t="shared" si="235"/>
        <v>0</v>
      </c>
      <c r="F397" s="1667"/>
      <c r="G397" s="4281">
        <f t="shared" si="210"/>
        <v>0</v>
      </c>
      <c r="H397" s="3457">
        <f t="shared" si="211"/>
        <v>0</v>
      </c>
      <c r="I397" s="4282"/>
      <c r="J397" s="4282"/>
      <c r="K397" s="4282"/>
      <c r="L397" s="4282"/>
      <c r="M397" s="4282"/>
      <c r="N397" s="4282"/>
      <c r="O397" s="4282"/>
      <c r="P397" s="4282"/>
      <c r="Q397" s="4282"/>
      <c r="R397" s="4282"/>
      <c r="S397" s="4282"/>
      <c r="T397" s="4282"/>
      <c r="U397" s="4282"/>
      <c r="V397" s="4282"/>
      <c r="W397" s="4282"/>
      <c r="X397" s="4282"/>
      <c r="Y397" s="4282"/>
      <c r="Z397" s="4282"/>
      <c r="AA397" s="4282"/>
      <c r="AB397" s="4282"/>
      <c r="AC397" s="1188">
        <f t="shared" si="212"/>
        <v>0</v>
      </c>
      <c r="AD397" s="4278"/>
      <c r="AE397" s="4278"/>
      <c r="AF397" s="4278"/>
      <c r="AG397" s="4278"/>
      <c r="AH397" s="4278"/>
      <c r="AI397" s="4278"/>
      <c r="AJ397" s="4278"/>
      <c r="AK397" s="4278"/>
      <c r="AL397" s="4278"/>
      <c r="AM397" s="4278"/>
      <c r="AN397" s="4278"/>
      <c r="AO397" s="4278"/>
      <c r="AP397" s="4278"/>
      <c r="AQ397" s="4278"/>
      <c r="AR397" s="4278"/>
      <c r="AS397" s="4278"/>
      <c r="AT397" s="4278"/>
      <c r="AU397" s="4286"/>
      <c r="AV397" s="1188">
        <f t="shared" si="236"/>
        <v>0</v>
      </c>
      <c r="AW397" s="1188">
        <f t="shared" si="237"/>
        <v>0</v>
      </c>
      <c r="AX397" s="1188">
        <f t="shared" si="238"/>
        <v>0</v>
      </c>
      <c r="AY397" s="1452">
        <f t="shared" si="213"/>
        <v>0</v>
      </c>
      <c r="AZ397" s="4284">
        <f t="shared" si="214"/>
        <v>0</v>
      </c>
      <c r="BA397" s="4284">
        <f t="shared" si="215"/>
        <v>0</v>
      </c>
      <c r="BB397" s="4284">
        <f t="shared" si="216"/>
        <v>0</v>
      </c>
      <c r="BC397" s="4284">
        <f t="shared" si="217"/>
        <v>0</v>
      </c>
      <c r="BD397" s="4284">
        <f t="shared" si="218"/>
        <v>0</v>
      </c>
      <c r="BE397" s="4284">
        <f t="shared" si="219"/>
        <v>0</v>
      </c>
      <c r="BF397" s="4284">
        <f t="shared" si="220"/>
        <v>0</v>
      </c>
      <c r="BG397" s="4284">
        <f t="shared" si="221"/>
        <v>0</v>
      </c>
      <c r="BH397" s="4284">
        <f t="shared" si="222"/>
        <v>0</v>
      </c>
      <c r="BI397" s="4284">
        <f t="shared" si="223"/>
        <v>0</v>
      </c>
      <c r="BJ397" s="4284">
        <f t="shared" si="224"/>
        <v>0</v>
      </c>
      <c r="BK397" s="4284">
        <f t="shared" si="225"/>
        <v>0</v>
      </c>
      <c r="BL397" s="4284">
        <f t="shared" si="226"/>
        <v>0</v>
      </c>
      <c r="BM397" s="4284">
        <f t="shared" si="227"/>
        <v>0</v>
      </c>
      <c r="BN397" s="4284">
        <f t="shared" si="228"/>
        <v>0</v>
      </c>
      <c r="BO397" s="4284">
        <f t="shared" si="229"/>
        <v>0</v>
      </c>
      <c r="BP397" s="4284">
        <f t="shared" si="230"/>
        <v>0</v>
      </c>
      <c r="BQ397" s="4284">
        <f t="shared" si="231"/>
        <v>0</v>
      </c>
      <c r="BR397" s="4284">
        <f t="shared" si="232"/>
        <v>0</v>
      </c>
      <c r="BS397" s="4284">
        <f t="shared" si="233"/>
        <v>0</v>
      </c>
      <c r="BT397" s="4285">
        <f t="shared" si="234"/>
        <v>0</v>
      </c>
    </row>
    <row r="398" spans="1:72">
      <c r="A398" s="4278"/>
      <c r="B398" s="4279"/>
      <c r="C398" s="4279"/>
      <c r="D398" s="4280"/>
      <c r="E398" s="1188">
        <f t="shared" ref="E398:E492" si="239">IF($C$3="是",ROUND($A$3*G398/$B$3,2),ROUND($A$3*(G398-AT398)/$B$3,2))</f>
        <v>0</v>
      </c>
      <c r="F398" s="1680"/>
      <c r="G398" s="4281">
        <f t="shared" ref="G398:G489" si="240">H398+AC398+AT398</f>
        <v>0</v>
      </c>
      <c r="H398" s="3457">
        <f t="shared" ref="H398:H489" si="241">SUMIF(I$12:AB$12,"总值",I398:AB398)</f>
        <v>0</v>
      </c>
      <c r="I398" s="4282"/>
      <c r="J398" s="4282"/>
      <c r="K398" s="4282"/>
      <c r="L398" s="4282"/>
      <c r="M398" s="4282"/>
      <c r="N398" s="4282"/>
      <c r="O398" s="4282"/>
      <c r="P398" s="4282"/>
      <c r="Q398" s="4282"/>
      <c r="R398" s="4282"/>
      <c r="S398" s="4282"/>
      <c r="T398" s="4282"/>
      <c r="U398" s="4282"/>
      <c r="V398" s="4282"/>
      <c r="W398" s="4282"/>
      <c r="X398" s="4282"/>
      <c r="Y398" s="4282"/>
      <c r="Z398" s="4282"/>
      <c r="AA398" s="4282"/>
      <c r="AB398" s="4282"/>
      <c r="AC398" s="1188">
        <f t="shared" ref="AC398:AC489" si="242">SUMIF(AD$12:AS$12,"总值",AD398:AS398)</f>
        <v>0</v>
      </c>
      <c r="AD398" s="4278"/>
      <c r="AE398" s="4278"/>
      <c r="AF398" s="4278"/>
      <c r="AG398" s="4278"/>
      <c r="AH398" s="4278"/>
      <c r="AI398" s="4278"/>
      <c r="AJ398" s="4278"/>
      <c r="AK398" s="4278"/>
      <c r="AL398" s="4278"/>
      <c r="AM398" s="4278"/>
      <c r="AN398" s="4278"/>
      <c r="AO398" s="4278"/>
      <c r="AP398" s="4278"/>
      <c r="AQ398" s="4278"/>
      <c r="AR398" s="4278"/>
      <c r="AS398" s="4278"/>
      <c r="AT398" s="4279"/>
      <c r="AU398" s="4283"/>
      <c r="AV398" s="1188">
        <f t="shared" ref="AV398:AV492" si="243">A398</f>
        <v>0</v>
      </c>
      <c r="AW398" s="1188">
        <f t="shared" ref="AW398:AW492" si="244">B398</f>
        <v>0</v>
      </c>
      <c r="AX398" s="1188">
        <f t="shared" ref="AX398:AX492" si="245">C398</f>
        <v>0</v>
      </c>
      <c r="AY398" s="1452">
        <f t="shared" ref="AY398:AY489" si="246">ROUND($AY$6*AZ398/$AZ$5,2)</f>
        <v>0</v>
      </c>
      <c r="AZ398" s="4284">
        <f t="shared" ref="AZ398:AZ489" si="247">BA398+BL398</f>
        <v>0</v>
      </c>
      <c r="BA398" s="4284">
        <f t="shared" ref="BA398:BA489" si="248">SUM(BB398:BK398)</f>
        <v>0</v>
      </c>
      <c r="BB398" s="4284">
        <f t="shared" ref="BB398:BB489" si="249">IF($D398="是",I398-J398,0)</f>
        <v>0</v>
      </c>
      <c r="BC398" s="4284">
        <f t="shared" ref="BC398:BC489" si="250">IF($D398="是",K398-L398,0)</f>
        <v>0</v>
      </c>
      <c r="BD398" s="4284">
        <f t="shared" ref="BD398:BD489" si="251">IF($D398="是",M398-N398,0)</f>
        <v>0</v>
      </c>
      <c r="BE398" s="4284">
        <f t="shared" ref="BE398:BE489" si="252">IF($D398="是",O398-P398,0)</f>
        <v>0</v>
      </c>
      <c r="BF398" s="4284">
        <f t="shared" ref="BF398:BF489" si="253">IF($D398="是",Q398-R398,0)</f>
        <v>0</v>
      </c>
      <c r="BG398" s="4284">
        <f t="shared" ref="BG398:BG489" si="254">IF($D398="是",S398-T398,0)</f>
        <v>0</v>
      </c>
      <c r="BH398" s="4284">
        <f t="shared" ref="BH398:BH489" si="255">IF($D398="是",U398-V398,0)</f>
        <v>0</v>
      </c>
      <c r="BI398" s="4284">
        <f t="shared" ref="BI398:BI489" si="256">IF($D398="是",W398-X398,0)</f>
        <v>0</v>
      </c>
      <c r="BJ398" s="4284">
        <f t="shared" ref="BJ398:BJ489" si="257">IF($D398="是",Y398-Z398,0)</f>
        <v>0</v>
      </c>
      <c r="BK398" s="4284">
        <f t="shared" ref="BK398:BK489" si="258">IF($D398="是",AA398-AB398,0)</f>
        <v>0</v>
      </c>
      <c r="BL398" s="4284">
        <f t="shared" ref="BL398:BL489" si="259">SUM(BM398:BT398)</f>
        <v>0</v>
      </c>
      <c r="BM398" s="4284">
        <f t="shared" ref="BM398:BM489" si="260">IF($D398="是",AD398-AE398,0)</f>
        <v>0</v>
      </c>
      <c r="BN398" s="4284">
        <f t="shared" ref="BN398:BN489" si="261">IF($D398="是",AF398-AG398,0)</f>
        <v>0</v>
      </c>
      <c r="BO398" s="4284">
        <f t="shared" ref="BO398:BO489" si="262">IF($D398="是",AH398-AI398,0)</f>
        <v>0</v>
      </c>
      <c r="BP398" s="4284">
        <f t="shared" ref="BP398:BP489" si="263">IF($D398="是",AJ398-AK398,0)</f>
        <v>0</v>
      </c>
      <c r="BQ398" s="4284">
        <f t="shared" ref="BQ398:BQ489" si="264">IF($D398="是",AL398-AM398,0)</f>
        <v>0</v>
      </c>
      <c r="BR398" s="4284">
        <f t="shared" ref="BR398:BR489" si="265">IF($D398="是",AN398-AO398,0)</f>
        <v>0</v>
      </c>
      <c r="BS398" s="4284">
        <f t="shared" ref="BS398:BS489" si="266">IF($D398="是",AP398-AQ398,0)</f>
        <v>0</v>
      </c>
      <c r="BT398" s="4285">
        <f t="shared" ref="BT398:BT489" si="267">IF($D398="是",AR398-AS398,0)</f>
        <v>0</v>
      </c>
    </row>
    <row r="399" spans="1:72">
      <c r="A399" s="4278"/>
      <c r="B399" s="4279"/>
      <c r="C399" s="4279"/>
      <c r="D399" s="4280"/>
      <c r="E399" s="1188">
        <f t="shared" si="239"/>
        <v>0</v>
      </c>
      <c r="F399" s="1680"/>
      <c r="G399" s="4281">
        <f t="shared" si="240"/>
        <v>0</v>
      </c>
      <c r="H399" s="3457">
        <f t="shared" si="241"/>
        <v>0</v>
      </c>
      <c r="I399" s="4282"/>
      <c r="J399" s="4282"/>
      <c r="K399" s="4282"/>
      <c r="L399" s="4282"/>
      <c r="M399" s="4282"/>
      <c r="N399" s="4282"/>
      <c r="O399" s="4282"/>
      <c r="P399" s="4282"/>
      <c r="Q399" s="4282"/>
      <c r="R399" s="4282"/>
      <c r="S399" s="4282"/>
      <c r="T399" s="4282"/>
      <c r="U399" s="4282"/>
      <c r="V399" s="4282"/>
      <c r="W399" s="4282"/>
      <c r="X399" s="4282"/>
      <c r="Y399" s="4282"/>
      <c r="Z399" s="4282"/>
      <c r="AA399" s="4282"/>
      <c r="AB399" s="4282"/>
      <c r="AC399" s="1188">
        <f t="shared" si="242"/>
        <v>0</v>
      </c>
      <c r="AD399" s="4278"/>
      <c r="AE399" s="4278"/>
      <c r="AF399" s="4278"/>
      <c r="AG399" s="4278"/>
      <c r="AH399" s="4278"/>
      <c r="AI399" s="4278"/>
      <c r="AJ399" s="4278"/>
      <c r="AK399" s="4278"/>
      <c r="AL399" s="4278"/>
      <c r="AM399" s="4278"/>
      <c r="AN399" s="4278"/>
      <c r="AO399" s="4278"/>
      <c r="AP399" s="4278"/>
      <c r="AQ399" s="4278"/>
      <c r="AR399" s="4278"/>
      <c r="AS399" s="4278"/>
      <c r="AT399" s="4279"/>
      <c r="AU399" s="4283"/>
      <c r="AV399" s="1188">
        <f t="shared" si="243"/>
        <v>0</v>
      </c>
      <c r="AW399" s="1188">
        <f t="shared" si="244"/>
        <v>0</v>
      </c>
      <c r="AX399" s="1188">
        <f t="shared" si="245"/>
        <v>0</v>
      </c>
      <c r="AY399" s="1452">
        <f t="shared" si="246"/>
        <v>0</v>
      </c>
      <c r="AZ399" s="4284">
        <f t="shared" si="247"/>
        <v>0</v>
      </c>
      <c r="BA399" s="4284">
        <f t="shared" si="248"/>
        <v>0</v>
      </c>
      <c r="BB399" s="4284">
        <f t="shared" si="249"/>
        <v>0</v>
      </c>
      <c r="BC399" s="4284">
        <f t="shared" si="250"/>
        <v>0</v>
      </c>
      <c r="BD399" s="4284">
        <f t="shared" si="251"/>
        <v>0</v>
      </c>
      <c r="BE399" s="4284">
        <f t="shared" si="252"/>
        <v>0</v>
      </c>
      <c r="BF399" s="4284">
        <f t="shared" si="253"/>
        <v>0</v>
      </c>
      <c r="BG399" s="4284">
        <f t="shared" si="254"/>
        <v>0</v>
      </c>
      <c r="BH399" s="4284">
        <f t="shared" si="255"/>
        <v>0</v>
      </c>
      <c r="BI399" s="4284">
        <f t="shared" si="256"/>
        <v>0</v>
      </c>
      <c r="BJ399" s="4284">
        <f t="shared" si="257"/>
        <v>0</v>
      </c>
      <c r="BK399" s="4284">
        <f t="shared" si="258"/>
        <v>0</v>
      </c>
      <c r="BL399" s="4284">
        <f t="shared" si="259"/>
        <v>0</v>
      </c>
      <c r="BM399" s="4284">
        <f t="shared" si="260"/>
        <v>0</v>
      </c>
      <c r="BN399" s="4284">
        <f t="shared" si="261"/>
        <v>0</v>
      </c>
      <c r="BO399" s="4284">
        <f t="shared" si="262"/>
        <v>0</v>
      </c>
      <c r="BP399" s="4284">
        <f t="shared" si="263"/>
        <v>0</v>
      </c>
      <c r="BQ399" s="4284">
        <f t="shared" si="264"/>
        <v>0</v>
      </c>
      <c r="BR399" s="4284">
        <f t="shared" si="265"/>
        <v>0</v>
      </c>
      <c r="BS399" s="4284">
        <f t="shared" si="266"/>
        <v>0</v>
      </c>
      <c r="BT399" s="4285">
        <f t="shared" si="267"/>
        <v>0</v>
      </c>
    </row>
    <row r="400" spans="1:72">
      <c r="A400" s="4278"/>
      <c r="B400" s="4279"/>
      <c r="C400" s="4279"/>
      <c r="D400" s="4280"/>
      <c r="E400" s="1188">
        <f t="shared" si="239"/>
        <v>0</v>
      </c>
      <c r="F400" s="1680"/>
      <c r="G400" s="4281">
        <f t="shared" si="240"/>
        <v>0</v>
      </c>
      <c r="H400" s="3457">
        <f t="shared" si="241"/>
        <v>0</v>
      </c>
      <c r="I400" s="4282"/>
      <c r="J400" s="4282"/>
      <c r="K400" s="4282"/>
      <c r="L400" s="4282"/>
      <c r="M400" s="4282"/>
      <c r="N400" s="4282"/>
      <c r="O400" s="4282"/>
      <c r="P400" s="4282"/>
      <c r="Q400" s="4282"/>
      <c r="R400" s="4282"/>
      <c r="S400" s="4282"/>
      <c r="T400" s="4282"/>
      <c r="U400" s="4282"/>
      <c r="V400" s="4282"/>
      <c r="W400" s="4282"/>
      <c r="X400" s="4282"/>
      <c r="Y400" s="4282"/>
      <c r="Z400" s="4282"/>
      <c r="AA400" s="4282"/>
      <c r="AB400" s="4282"/>
      <c r="AC400" s="1188">
        <f t="shared" si="242"/>
        <v>0</v>
      </c>
      <c r="AD400" s="4278"/>
      <c r="AE400" s="4278"/>
      <c r="AF400" s="4278"/>
      <c r="AG400" s="4278"/>
      <c r="AH400" s="4278"/>
      <c r="AI400" s="4278"/>
      <c r="AJ400" s="4278"/>
      <c r="AK400" s="4278"/>
      <c r="AL400" s="4278"/>
      <c r="AM400" s="4278"/>
      <c r="AN400" s="4278"/>
      <c r="AO400" s="4278"/>
      <c r="AP400" s="4278"/>
      <c r="AQ400" s="4278"/>
      <c r="AR400" s="4278"/>
      <c r="AS400" s="4278"/>
      <c r="AT400" s="4279"/>
      <c r="AU400" s="4283"/>
      <c r="AV400" s="1188">
        <f t="shared" si="243"/>
        <v>0</v>
      </c>
      <c r="AW400" s="1188">
        <f t="shared" si="244"/>
        <v>0</v>
      </c>
      <c r="AX400" s="1188">
        <f t="shared" si="245"/>
        <v>0</v>
      </c>
      <c r="AY400" s="1452">
        <f t="shared" si="246"/>
        <v>0</v>
      </c>
      <c r="AZ400" s="4284">
        <f t="shared" si="247"/>
        <v>0</v>
      </c>
      <c r="BA400" s="4284">
        <f t="shared" si="248"/>
        <v>0</v>
      </c>
      <c r="BB400" s="4284">
        <f t="shared" si="249"/>
        <v>0</v>
      </c>
      <c r="BC400" s="4284">
        <f t="shared" si="250"/>
        <v>0</v>
      </c>
      <c r="BD400" s="4284">
        <f t="shared" si="251"/>
        <v>0</v>
      </c>
      <c r="BE400" s="4284">
        <f t="shared" si="252"/>
        <v>0</v>
      </c>
      <c r="BF400" s="4284">
        <f t="shared" si="253"/>
        <v>0</v>
      </c>
      <c r="BG400" s="4284">
        <f t="shared" si="254"/>
        <v>0</v>
      </c>
      <c r="BH400" s="4284">
        <f t="shared" si="255"/>
        <v>0</v>
      </c>
      <c r="BI400" s="4284">
        <f t="shared" si="256"/>
        <v>0</v>
      </c>
      <c r="BJ400" s="4284">
        <f t="shared" si="257"/>
        <v>0</v>
      </c>
      <c r="BK400" s="4284">
        <f t="shared" si="258"/>
        <v>0</v>
      </c>
      <c r="BL400" s="4284">
        <f t="shared" si="259"/>
        <v>0</v>
      </c>
      <c r="BM400" s="4284">
        <f t="shared" si="260"/>
        <v>0</v>
      </c>
      <c r="BN400" s="4284">
        <f t="shared" si="261"/>
        <v>0</v>
      </c>
      <c r="BO400" s="4284">
        <f t="shared" si="262"/>
        <v>0</v>
      </c>
      <c r="BP400" s="4284">
        <f t="shared" si="263"/>
        <v>0</v>
      </c>
      <c r="BQ400" s="4284">
        <f t="shared" si="264"/>
        <v>0</v>
      </c>
      <c r="BR400" s="4284">
        <f t="shared" si="265"/>
        <v>0</v>
      </c>
      <c r="BS400" s="4284">
        <f t="shared" si="266"/>
        <v>0</v>
      </c>
      <c r="BT400" s="4285">
        <f t="shared" si="267"/>
        <v>0</v>
      </c>
    </row>
    <row r="401" spans="1:72">
      <c r="A401" s="4278"/>
      <c r="B401" s="4279"/>
      <c r="C401" s="4279"/>
      <c r="D401" s="4280"/>
      <c r="E401" s="1188">
        <f t="shared" si="239"/>
        <v>0</v>
      </c>
      <c r="F401" s="1680"/>
      <c r="G401" s="4281">
        <f t="shared" si="240"/>
        <v>0</v>
      </c>
      <c r="H401" s="3457">
        <f t="shared" si="241"/>
        <v>0</v>
      </c>
      <c r="I401" s="4282"/>
      <c r="J401" s="4282"/>
      <c r="K401" s="4282"/>
      <c r="L401" s="4282"/>
      <c r="M401" s="4282"/>
      <c r="N401" s="4282"/>
      <c r="O401" s="4282"/>
      <c r="P401" s="4282"/>
      <c r="Q401" s="4282"/>
      <c r="R401" s="4282"/>
      <c r="S401" s="4282"/>
      <c r="T401" s="4282"/>
      <c r="U401" s="4282"/>
      <c r="V401" s="4282"/>
      <c r="W401" s="4282"/>
      <c r="X401" s="4282"/>
      <c r="Y401" s="4282"/>
      <c r="Z401" s="4282"/>
      <c r="AA401" s="4282"/>
      <c r="AB401" s="4282"/>
      <c r="AC401" s="1188">
        <f t="shared" si="242"/>
        <v>0</v>
      </c>
      <c r="AD401" s="4278"/>
      <c r="AE401" s="4278"/>
      <c r="AF401" s="4278"/>
      <c r="AG401" s="4278"/>
      <c r="AH401" s="4278"/>
      <c r="AI401" s="4278"/>
      <c r="AJ401" s="4278"/>
      <c r="AK401" s="4278"/>
      <c r="AL401" s="4278"/>
      <c r="AM401" s="4278"/>
      <c r="AN401" s="4278"/>
      <c r="AO401" s="4278"/>
      <c r="AP401" s="4278"/>
      <c r="AQ401" s="4278"/>
      <c r="AR401" s="4278"/>
      <c r="AS401" s="4278"/>
      <c r="AT401" s="4279"/>
      <c r="AU401" s="4283"/>
      <c r="AV401" s="1188">
        <f t="shared" si="243"/>
        <v>0</v>
      </c>
      <c r="AW401" s="1188">
        <f t="shared" si="244"/>
        <v>0</v>
      </c>
      <c r="AX401" s="1188">
        <f t="shared" si="245"/>
        <v>0</v>
      </c>
      <c r="AY401" s="1452">
        <f t="shared" si="246"/>
        <v>0</v>
      </c>
      <c r="AZ401" s="4284">
        <f t="shared" si="247"/>
        <v>0</v>
      </c>
      <c r="BA401" s="4284">
        <f t="shared" si="248"/>
        <v>0</v>
      </c>
      <c r="BB401" s="4284">
        <f t="shared" si="249"/>
        <v>0</v>
      </c>
      <c r="BC401" s="4284">
        <f t="shared" si="250"/>
        <v>0</v>
      </c>
      <c r="BD401" s="4284">
        <f t="shared" si="251"/>
        <v>0</v>
      </c>
      <c r="BE401" s="4284">
        <f t="shared" si="252"/>
        <v>0</v>
      </c>
      <c r="BF401" s="4284">
        <f t="shared" si="253"/>
        <v>0</v>
      </c>
      <c r="BG401" s="4284">
        <f t="shared" si="254"/>
        <v>0</v>
      </c>
      <c r="BH401" s="4284">
        <f t="shared" si="255"/>
        <v>0</v>
      </c>
      <c r="BI401" s="4284">
        <f t="shared" si="256"/>
        <v>0</v>
      </c>
      <c r="BJ401" s="4284">
        <f t="shared" si="257"/>
        <v>0</v>
      </c>
      <c r="BK401" s="4284">
        <f t="shared" si="258"/>
        <v>0</v>
      </c>
      <c r="BL401" s="4284">
        <f t="shared" si="259"/>
        <v>0</v>
      </c>
      <c r="BM401" s="4284">
        <f t="shared" si="260"/>
        <v>0</v>
      </c>
      <c r="BN401" s="4284">
        <f t="shared" si="261"/>
        <v>0</v>
      </c>
      <c r="BO401" s="4284">
        <f t="shared" si="262"/>
        <v>0</v>
      </c>
      <c r="BP401" s="4284">
        <f t="shared" si="263"/>
        <v>0</v>
      </c>
      <c r="BQ401" s="4284">
        <f t="shared" si="264"/>
        <v>0</v>
      </c>
      <c r="BR401" s="4284">
        <f t="shared" si="265"/>
        <v>0</v>
      </c>
      <c r="BS401" s="4284">
        <f t="shared" si="266"/>
        <v>0</v>
      </c>
      <c r="BT401" s="4285">
        <f t="shared" si="267"/>
        <v>0</v>
      </c>
    </row>
    <row r="402" spans="1:72">
      <c r="A402" s="4278"/>
      <c r="B402" s="4279"/>
      <c r="C402" s="4279"/>
      <c r="D402" s="4280"/>
      <c r="E402" s="1188">
        <f t="shared" si="239"/>
        <v>0</v>
      </c>
      <c r="F402" s="1680"/>
      <c r="G402" s="4281">
        <f t="shared" si="240"/>
        <v>0</v>
      </c>
      <c r="H402" s="3457">
        <f t="shared" si="241"/>
        <v>0</v>
      </c>
      <c r="I402" s="4282"/>
      <c r="J402" s="4282"/>
      <c r="K402" s="4282"/>
      <c r="L402" s="4282"/>
      <c r="M402" s="4282"/>
      <c r="N402" s="4282"/>
      <c r="O402" s="4282"/>
      <c r="P402" s="4282"/>
      <c r="Q402" s="4282"/>
      <c r="R402" s="4282"/>
      <c r="S402" s="4282"/>
      <c r="T402" s="4282"/>
      <c r="U402" s="4282"/>
      <c r="V402" s="4282"/>
      <c r="W402" s="4282"/>
      <c r="X402" s="4282"/>
      <c r="Y402" s="4282"/>
      <c r="Z402" s="4282"/>
      <c r="AA402" s="4282"/>
      <c r="AB402" s="4282"/>
      <c r="AC402" s="1188">
        <f t="shared" si="242"/>
        <v>0</v>
      </c>
      <c r="AD402" s="4278"/>
      <c r="AE402" s="4278"/>
      <c r="AF402" s="4278"/>
      <c r="AG402" s="4278"/>
      <c r="AH402" s="4278"/>
      <c r="AI402" s="4278"/>
      <c r="AJ402" s="4278"/>
      <c r="AK402" s="4278"/>
      <c r="AL402" s="4278"/>
      <c r="AM402" s="4278"/>
      <c r="AN402" s="4278"/>
      <c r="AO402" s="4278"/>
      <c r="AP402" s="4278"/>
      <c r="AQ402" s="4278"/>
      <c r="AR402" s="4278"/>
      <c r="AS402" s="4278"/>
      <c r="AT402" s="4279"/>
      <c r="AU402" s="4283"/>
      <c r="AV402" s="1188">
        <f t="shared" si="243"/>
        <v>0</v>
      </c>
      <c r="AW402" s="1188">
        <f t="shared" si="244"/>
        <v>0</v>
      </c>
      <c r="AX402" s="1188">
        <f t="shared" si="245"/>
        <v>0</v>
      </c>
      <c r="AY402" s="1452">
        <f t="shared" si="246"/>
        <v>0</v>
      </c>
      <c r="AZ402" s="4284">
        <f t="shared" si="247"/>
        <v>0</v>
      </c>
      <c r="BA402" s="4284">
        <f t="shared" si="248"/>
        <v>0</v>
      </c>
      <c r="BB402" s="4284">
        <f t="shared" si="249"/>
        <v>0</v>
      </c>
      <c r="BC402" s="4284">
        <f t="shared" si="250"/>
        <v>0</v>
      </c>
      <c r="BD402" s="4284">
        <f t="shared" si="251"/>
        <v>0</v>
      </c>
      <c r="BE402" s="4284">
        <f t="shared" si="252"/>
        <v>0</v>
      </c>
      <c r="BF402" s="4284">
        <f t="shared" si="253"/>
        <v>0</v>
      </c>
      <c r="BG402" s="4284">
        <f t="shared" si="254"/>
        <v>0</v>
      </c>
      <c r="BH402" s="4284">
        <f t="shared" si="255"/>
        <v>0</v>
      </c>
      <c r="BI402" s="4284">
        <f t="shared" si="256"/>
        <v>0</v>
      </c>
      <c r="BJ402" s="4284">
        <f t="shared" si="257"/>
        <v>0</v>
      </c>
      <c r="BK402" s="4284">
        <f t="shared" si="258"/>
        <v>0</v>
      </c>
      <c r="BL402" s="4284">
        <f t="shared" si="259"/>
        <v>0</v>
      </c>
      <c r="BM402" s="4284">
        <f t="shared" si="260"/>
        <v>0</v>
      </c>
      <c r="BN402" s="4284">
        <f t="shared" si="261"/>
        <v>0</v>
      </c>
      <c r="BO402" s="4284">
        <f t="shared" si="262"/>
        <v>0</v>
      </c>
      <c r="BP402" s="4284">
        <f t="shared" si="263"/>
        <v>0</v>
      </c>
      <c r="BQ402" s="4284">
        <f t="shared" si="264"/>
        <v>0</v>
      </c>
      <c r="BR402" s="4284">
        <f t="shared" si="265"/>
        <v>0</v>
      </c>
      <c r="BS402" s="4284">
        <f t="shared" si="266"/>
        <v>0</v>
      </c>
      <c r="BT402" s="4285">
        <f t="shared" si="267"/>
        <v>0</v>
      </c>
    </row>
    <row r="403" spans="1:72">
      <c r="A403" s="4278"/>
      <c r="B403" s="4279"/>
      <c r="C403" s="4279"/>
      <c r="D403" s="4280"/>
      <c r="E403" s="1188">
        <f t="shared" si="239"/>
        <v>0</v>
      </c>
      <c r="F403" s="1680"/>
      <c r="G403" s="4281">
        <f t="shared" si="240"/>
        <v>0</v>
      </c>
      <c r="H403" s="3457">
        <f t="shared" si="241"/>
        <v>0</v>
      </c>
      <c r="I403" s="4282"/>
      <c r="J403" s="4282"/>
      <c r="K403" s="4282"/>
      <c r="L403" s="4282"/>
      <c r="M403" s="4282"/>
      <c r="N403" s="4282"/>
      <c r="O403" s="4282"/>
      <c r="P403" s="4282"/>
      <c r="Q403" s="4282"/>
      <c r="R403" s="4282"/>
      <c r="S403" s="4282"/>
      <c r="T403" s="4282"/>
      <c r="U403" s="4282"/>
      <c r="V403" s="4282"/>
      <c r="W403" s="4282"/>
      <c r="X403" s="4282"/>
      <c r="Y403" s="4282"/>
      <c r="Z403" s="4282"/>
      <c r="AA403" s="4282"/>
      <c r="AB403" s="4282"/>
      <c r="AC403" s="1188">
        <f t="shared" si="242"/>
        <v>0</v>
      </c>
      <c r="AD403" s="4278"/>
      <c r="AE403" s="4278"/>
      <c r="AF403" s="4278"/>
      <c r="AG403" s="4278"/>
      <c r="AH403" s="4278"/>
      <c r="AI403" s="4278"/>
      <c r="AJ403" s="4278"/>
      <c r="AK403" s="4278"/>
      <c r="AL403" s="4278"/>
      <c r="AM403" s="4278"/>
      <c r="AN403" s="4278"/>
      <c r="AO403" s="4278"/>
      <c r="AP403" s="4278"/>
      <c r="AQ403" s="4278"/>
      <c r="AR403" s="4278"/>
      <c r="AS403" s="4278"/>
      <c r="AT403" s="4279"/>
      <c r="AU403" s="4283"/>
      <c r="AV403" s="1188">
        <f t="shared" si="243"/>
        <v>0</v>
      </c>
      <c r="AW403" s="1188">
        <f t="shared" si="244"/>
        <v>0</v>
      </c>
      <c r="AX403" s="1188">
        <f t="shared" si="245"/>
        <v>0</v>
      </c>
      <c r="AY403" s="1452">
        <f t="shared" si="246"/>
        <v>0</v>
      </c>
      <c r="AZ403" s="4284">
        <f t="shared" si="247"/>
        <v>0</v>
      </c>
      <c r="BA403" s="4284">
        <f t="shared" si="248"/>
        <v>0</v>
      </c>
      <c r="BB403" s="4284">
        <f t="shared" si="249"/>
        <v>0</v>
      </c>
      <c r="BC403" s="4284">
        <f t="shared" si="250"/>
        <v>0</v>
      </c>
      <c r="BD403" s="4284">
        <f t="shared" si="251"/>
        <v>0</v>
      </c>
      <c r="BE403" s="4284">
        <f t="shared" si="252"/>
        <v>0</v>
      </c>
      <c r="BF403" s="4284">
        <f t="shared" si="253"/>
        <v>0</v>
      </c>
      <c r="BG403" s="4284">
        <f t="shared" si="254"/>
        <v>0</v>
      </c>
      <c r="BH403" s="4284">
        <f t="shared" si="255"/>
        <v>0</v>
      </c>
      <c r="BI403" s="4284">
        <f t="shared" si="256"/>
        <v>0</v>
      </c>
      <c r="BJ403" s="4284">
        <f t="shared" si="257"/>
        <v>0</v>
      </c>
      <c r="BK403" s="4284">
        <f t="shared" si="258"/>
        <v>0</v>
      </c>
      <c r="BL403" s="4284">
        <f t="shared" si="259"/>
        <v>0</v>
      </c>
      <c r="BM403" s="4284">
        <f t="shared" si="260"/>
        <v>0</v>
      </c>
      <c r="BN403" s="4284">
        <f t="shared" si="261"/>
        <v>0</v>
      </c>
      <c r="BO403" s="4284">
        <f t="shared" si="262"/>
        <v>0</v>
      </c>
      <c r="BP403" s="4284">
        <f t="shared" si="263"/>
        <v>0</v>
      </c>
      <c r="BQ403" s="4284">
        <f t="shared" si="264"/>
        <v>0</v>
      </c>
      <c r="BR403" s="4284">
        <f t="shared" si="265"/>
        <v>0</v>
      </c>
      <c r="BS403" s="4284">
        <f t="shared" si="266"/>
        <v>0</v>
      </c>
      <c r="BT403" s="4285">
        <f t="shared" si="267"/>
        <v>0</v>
      </c>
    </row>
    <row r="404" spans="1:72">
      <c r="A404" s="4278"/>
      <c r="B404" s="4279"/>
      <c r="C404" s="4279"/>
      <c r="D404" s="4280"/>
      <c r="E404" s="1188">
        <f t="shared" si="239"/>
        <v>0</v>
      </c>
      <c r="F404" s="1680"/>
      <c r="G404" s="4281">
        <f t="shared" si="240"/>
        <v>0</v>
      </c>
      <c r="H404" s="3457">
        <f t="shared" si="241"/>
        <v>0</v>
      </c>
      <c r="I404" s="4282"/>
      <c r="J404" s="4282"/>
      <c r="K404" s="4282"/>
      <c r="L404" s="4282"/>
      <c r="M404" s="4282"/>
      <c r="N404" s="4282"/>
      <c r="O404" s="4282"/>
      <c r="P404" s="4282"/>
      <c r="Q404" s="4282"/>
      <c r="R404" s="4282"/>
      <c r="S404" s="4282"/>
      <c r="T404" s="4282"/>
      <c r="U404" s="4282"/>
      <c r="V404" s="4282"/>
      <c r="W404" s="4282"/>
      <c r="X404" s="4282"/>
      <c r="Y404" s="4282"/>
      <c r="Z404" s="4282"/>
      <c r="AA404" s="4282"/>
      <c r="AB404" s="4282"/>
      <c r="AC404" s="1188">
        <f t="shared" si="242"/>
        <v>0</v>
      </c>
      <c r="AD404" s="4278"/>
      <c r="AE404" s="4278"/>
      <c r="AF404" s="4278"/>
      <c r="AG404" s="4278"/>
      <c r="AH404" s="4278"/>
      <c r="AI404" s="4278"/>
      <c r="AJ404" s="4278"/>
      <c r="AK404" s="4278"/>
      <c r="AL404" s="4278"/>
      <c r="AM404" s="4278"/>
      <c r="AN404" s="4278"/>
      <c r="AO404" s="4278"/>
      <c r="AP404" s="4278"/>
      <c r="AQ404" s="4278"/>
      <c r="AR404" s="4278"/>
      <c r="AS404" s="4278"/>
      <c r="AT404" s="4279"/>
      <c r="AU404" s="4283"/>
      <c r="AV404" s="1188">
        <f t="shared" si="243"/>
        <v>0</v>
      </c>
      <c r="AW404" s="1188">
        <f t="shared" si="244"/>
        <v>0</v>
      </c>
      <c r="AX404" s="1188">
        <f t="shared" si="245"/>
        <v>0</v>
      </c>
      <c r="AY404" s="1452">
        <f t="shared" si="246"/>
        <v>0</v>
      </c>
      <c r="AZ404" s="4284">
        <f t="shared" si="247"/>
        <v>0</v>
      </c>
      <c r="BA404" s="4284">
        <f t="shared" si="248"/>
        <v>0</v>
      </c>
      <c r="BB404" s="4284">
        <f t="shared" si="249"/>
        <v>0</v>
      </c>
      <c r="BC404" s="4284">
        <f t="shared" si="250"/>
        <v>0</v>
      </c>
      <c r="BD404" s="4284">
        <f t="shared" si="251"/>
        <v>0</v>
      </c>
      <c r="BE404" s="4284">
        <f t="shared" si="252"/>
        <v>0</v>
      </c>
      <c r="BF404" s="4284">
        <f t="shared" si="253"/>
        <v>0</v>
      </c>
      <c r="BG404" s="4284">
        <f t="shared" si="254"/>
        <v>0</v>
      </c>
      <c r="BH404" s="4284">
        <f t="shared" si="255"/>
        <v>0</v>
      </c>
      <c r="BI404" s="4284">
        <f t="shared" si="256"/>
        <v>0</v>
      </c>
      <c r="BJ404" s="4284">
        <f t="shared" si="257"/>
        <v>0</v>
      </c>
      <c r="BK404" s="4284">
        <f t="shared" si="258"/>
        <v>0</v>
      </c>
      <c r="BL404" s="4284">
        <f t="shared" si="259"/>
        <v>0</v>
      </c>
      <c r="BM404" s="4284">
        <f t="shared" si="260"/>
        <v>0</v>
      </c>
      <c r="BN404" s="4284">
        <f t="shared" si="261"/>
        <v>0</v>
      </c>
      <c r="BO404" s="4284">
        <f t="shared" si="262"/>
        <v>0</v>
      </c>
      <c r="BP404" s="4284">
        <f t="shared" si="263"/>
        <v>0</v>
      </c>
      <c r="BQ404" s="4284">
        <f t="shared" si="264"/>
        <v>0</v>
      </c>
      <c r="BR404" s="4284">
        <f t="shared" si="265"/>
        <v>0</v>
      </c>
      <c r="BS404" s="4284">
        <f t="shared" si="266"/>
        <v>0</v>
      </c>
      <c r="BT404" s="4285">
        <f t="shared" si="267"/>
        <v>0</v>
      </c>
    </row>
    <row r="405" spans="1:72">
      <c r="A405" s="4278"/>
      <c r="B405" s="4279"/>
      <c r="C405" s="4279"/>
      <c r="D405" s="4280"/>
      <c r="E405" s="1188">
        <f t="shared" si="239"/>
        <v>0</v>
      </c>
      <c r="F405" s="1680"/>
      <c r="G405" s="4281">
        <f t="shared" si="240"/>
        <v>0</v>
      </c>
      <c r="H405" s="3457">
        <f t="shared" si="241"/>
        <v>0</v>
      </c>
      <c r="I405" s="4282"/>
      <c r="J405" s="4282"/>
      <c r="K405" s="4282"/>
      <c r="L405" s="4282"/>
      <c r="M405" s="4282"/>
      <c r="N405" s="4282"/>
      <c r="O405" s="4282"/>
      <c r="P405" s="4282"/>
      <c r="Q405" s="4282"/>
      <c r="R405" s="4282"/>
      <c r="S405" s="4282"/>
      <c r="T405" s="4282"/>
      <c r="U405" s="4282"/>
      <c r="V405" s="4282"/>
      <c r="W405" s="4282"/>
      <c r="X405" s="4282"/>
      <c r="Y405" s="4282"/>
      <c r="Z405" s="4282"/>
      <c r="AA405" s="4282"/>
      <c r="AB405" s="4282"/>
      <c r="AC405" s="1188">
        <f t="shared" si="242"/>
        <v>0</v>
      </c>
      <c r="AD405" s="4278"/>
      <c r="AE405" s="4278"/>
      <c r="AF405" s="4278"/>
      <c r="AG405" s="4278"/>
      <c r="AH405" s="4278"/>
      <c r="AI405" s="4278"/>
      <c r="AJ405" s="4278"/>
      <c r="AK405" s="4278"/>
      <c r="AL405" s="4278"/>
      <c r="AM405" s="4278"/>
      <c r="AN405" s="4278"/>
      <c r="AO405" s="4278"/>
      <c r="AP405" s="4278"/>
      <c r="AQ405" s="4278"/>
      <c r="AR405" s="4278"/>
      <c r="AS405" s="4278"/>
      <c r="AT405" s="4279"/>
      <c r="AU405" s="4283"/>
      <c r="AV405" s="1188">
        <f t="shared" si="243"/>
        <v>0</v>
      </c>
      <c r="AW405" s="1188">
        <f t="shared" si="244"/>
        <v>0</v>
      </c>
      <c r="AX405" s="1188">
        <f t="shared" si="245"/>
        <v>0</v>
      </c>
      <c r="AY405" s="1452">
        <f t="shared" si="246"/>
        <v>0</v>
      </c>
      <c r="AZ405" s="4284">
        <f t="shared" si="247"/>
        <v>0</v>
      </c>
      <c r="BA405" s="4284">
        <f t="shared" si="248"/>
        <v>0</v>
      </c>
      <c r="BB405" s="4284">
        <f t="shared" si="249"/>
        <v>0</v>
      </c>
      <c r="BC405" s="4284">
        <f t="shared" si="250"/>
        <v>0</v>
      </c>
      <c r="BD405" s="4284">
        <f t="shared" si="251"/>
        <v>0</v>
      </c>
      <c r="BE405" s="4284">
        <f t="shared" si="252"/>
        <v>0</v>
      </c>
      <c r="BF405" s="4284">
        <f t="shared" si="253"/>
        <v>0</v>
      </c>
      <c r="BG405" s="4284">
        <f t="shared" si="254"/>
        <v>0</v>
      </c>
      <c r="BH405" s="4284">
        <f t="shared" si="255"/>
        <v>0</v>
      </c>
      <c r="BI405" s="4284">
        <f t="shared" si="256"/>
        <v>0</v>
      </c>
      <c r="BJ405" s="4284">
        <f t="shared" si="257"/>
        <v>0</v>
      </c>
      <c r="BK405" s="4284">
        <f t="shared" si="258"/>
        <v>0</v>
      </c>
      <c r="BL405" s="4284">
        <f t="shared" si="259"/>
        <v>0</v>
      </c>
      <c r="BM405" s="4284">
        <f t="shared" si="260"/>
        <v>0</v>
      </c>
      <c r="BN405" s="4284">
        <f t="shared" si="261"/>
        <v>0</v>
      </c>
      <c r="BO405" s="4284">
        <f t="shared" si="262"/>
        <v>0</v>
      </c>
      <c r="BP405" s="4284">
        <f t="shared" si="263"/>
        <v>0</v>
      </c>
      <c r="BQ405" s="4284">
        <f t="shared" si="264"/>
        <v>0</v>
      </c>
      <c r="BR405" s="4284">
        <f t="shared" si="265"/>
        <v>0</v>
      </c>
      <c r="BS405" s="4284">
        <f t="shared" si="266"/>
        <v>0</v>
      </c>
      <c r="BT405" s="4285">
        <f t="shared" si="267"/>
        <v>0</v>
      </c>
    </row>
    <row r="406" spans="1:72">
      <c r="A406" s="4278"/>
      <c r="B406" s="4279"/>
      <c r="C406" s="4279"/>
      <c r="D406" s="4280"/>
      <c r="E406" s="1188">
        <f t="shared" si="239"/>
        <v>0</v>
      </c>
      <c r="F406" s="1680"/>
      <c r="G406" s="4281">
        <f t="shared" si="240"/>
        <v>0</v>
      </c>
      <c r="H406" s="3457">
        <f t="shared" si="241"/>
        <v>0</v>
      </c>
      <c r="I406" s="4282"/>
      <c r="J406" s="4282"/>
      <c r="K406" s="4282"/>
      <c r="L406" s="4282"/>
      <c r="M406" s="4282"/>
      <c r="N406" s="4282"/>
      <c r="O406" s="4282"/>
      <c r="P406" s="4282"/>
      <c r="Q406" s="4282"/>
      <c r="R406" s="4282"/>
      <c r="S406" s="4282"/>
      <c r="T406" s="4282"/>
      <c r="U406" s="4282"/>
      <c r="V406" s="4282"/>
      <c r="W406" s="4282"/>
      <c r="X406" s="4282"/>
      <c r="Y406" s="4282"/>
      <c r="Z406" s="4282"/>
      <c r="AA406" s="4282"/>
      <c r="AB406" s="4282"/>
      <c r="AC406" s="1188">
        <f t="shared" si="242"/>
        <v>0</v>
      </c>
      <c r="AD406" s="4278"/>
      <c r="AE406" s="4278"/>
      <c r="AF406" s="4278"/>
      <c r="AG406" s="4278"/>
      <c r="AH406" s="4278"/>
      <c r="AI406" s="4278"/>
      <c r="AJ406" s="4278"/>
      <c r="AK406" s="4278"/>
      <c r="AL406" s="4278"/>
      <c r="AM406" s="4278"/>
      <c r="AN406" s="4278"/>
      <c r="AO406" s="4278"/>
      <c r="AP406" s="4278"/>
      <c r="AQ406" s="4278"/>
      <c r="AR406" s="4278"/>
      <c r="AS406" s="4278"/>
      <c r="AT406" s="4279"/>
      <c r="AU406" s="4283"/>
      <c r="AV406" s="1188">
        <f t="shared" si="243"/>
        <v>0</v>
      </c>
      <c r="AW406" s="1188">
        <f t="shared" si="244"/>
        <v>0</v>
      </c>
      <c r="AX406" s="1188">
        <f t="shared" si="245"/>
        <v>0</v>
      </c>
      <c r="AY406" s="1452">
        <f t="shared" si="246"/>
        <v>0</v>
      </c>
      <c r="AZ406" s="4284">
        <f t="shared" si="247"/>
        <v>0</v>
      </c>
      <c r="BA406" s="4284">
        <f t="shared" si="248"/>
        <v>0</v>
      </c>
      <c r="BB406" s="4284">
        <f t="shared" si="249"/>
        <v>0</v>
      </c>
      <c r="BC406" s="4284">
        <f t="shared" si="250"/>
        <v>0</v>
      </c>
      <c r="BD406" s="4284">
        <f t="shared" si="251"/>
        <v>0</v>
      </c>
      <c r="BE406" s="4284">
        <f t="shared" si="252"/>
        <v>0</v>
      </c>
      <c r="BF406" s="4284">
        <f t="shared" si="253"/>
        <v>0</v>
      </c>
      <c r="BG406" s="4284">
        <f t="shared" si="254"/>
        <v>0</v>
      </c>
      <c r="BH406" s="4284">
        <f t="shared" si="255"/>
        <v>0</v>
      </c>
      <c r="BI406" s="4284">
        <f t="shared" si="256"/>
        <v>0</v>
      </c>
      <c r="BJ406" s="4284">
        <f t="shared" si="257"/>
        <v>0</v>
      </c>
      <c r="BK406" s="4284">
        <f t="shared" si="258"/>
        <v>0</v>
      </c>
      <c r="BL406" s="4284">
        <f t="shared" si="259"/>
        <v>0</v>
      </c>
      <c r="BM406" s="4284">
        <f t="shared" si="260"/>
        <v>0</v>
      </c>
      <c r="BN406" s="4284">
        <f t="shared" si="261"/>
        <v>0</v>
      </c>
      <c r="BO406" s="4284">
        <f t="shared" si="262"/>
        <v>0</v>
      </c>
      <c r="BP406" s="4284">
        <f t="shared" si="263"/>
        <v>0</v>
      </c>
      <c r="BQ406" s="4284">
        <f t="shared" si="264"/>
        <v>0</v>
      </c>
      <c r="BR406" s="4284">
        <f t="shared" si="265"/>
        <v>0</v>
      </c>
      <c r="BS406" s="4284">
        <f t="shared" si="266"/>
        <v>0</v>
      </c>
      <c r="BT406" s="4285">
        <f t="shared" si="267"/>
        <v>0</v>
      </c>
    </row>
    <row r="407" spans="1:72">
      <c r="A407" s="4278"/>
      <c r="B407" s="4279"/>
      <c r="C407" s="4279"/>
      <c r="D407" s="4280"/>
      <c r="E407" s="1188">
        <f t="shared" si="239"/>
        <v>0</v>
      </c>
      <c r="F407" s="1680"/>
      <c r="G407" s="4281">
        <f t="shared" si="240"/>
        <v>0</v>
      </c>
      <c r="H407" s="3457">
        <f t="shared" si="241"/>
        <v>0</v>
      </c>
      <c r="I407" s="4282"/>
      <c r="J407" s="4282"/>
      <c r="K407" s="4282"/>
      <c r="L407" s="4282"/>
      <c r="M407" s="4282"/>
      <c r="N407" s="4282"/>
      <c r="O407" s="4282"/>
      <c r="P407" s="4282"/>
      <c r="Q407" s="4282"/>
      <c r="R407" s="4282"/>
      <c r="S407" s="4282"/>
      <c r="T407" s="4282"/>
      <c r="U407" s="4282"/>
      <c r="V407" s="4282"/>
      <c r="W407" s="4282"/>
      <c r="X407" s="4282"/>
      <c r="Y407" s="4282"/>
      <c r="Z407" s="4282"/>
      <c r="AA407" s="4282"/>
      <c r="AB407" s="4282"/>
      <c r="AC407" s="1188">
        <f t="shared" si="242"/>
        <v>0</v>
      </c>
      <c r="AD407" s="4278"/>
      <c r="AE407" s="4278"/>
      <c r="AF407" s="4278"/>
      <c r="AG407" s="4278"/>
      <c r="AH407" s="4278"/>
      <c r="AI407" s="4278"/>
      <c r="AJ407" s="4278"/>
      <c r="AK407" s="4278"/>
      <c r="AL407" s="4278"/>
      <c r="AM407" s="4278"/>
      <c r="AN407" s="4278"/>
      <c r="AO407" s="4278"/>
      <c r="AP407" s="4278"/>
      <c r="AQ407" s="4278"/>
      <c r="AR407" s="4278"/>
      <c r="AS407" s="4278"/>
      <c r="AT407" s="4279"/>
      <c r="AU407" s="4283"/>
      <c r="AV407" s="1188">
        <f t="shared" si="243"/>
        <v>0</v>
      </c>
      <c r="AW407" s="1188">
        <f t="shared" si="244"/>
        <v>0</v>
      </c>
      <c r="AX407" s="1188">
        <f t="shared" si="245"/>
        <v>0</v>
      </c>
      <c r="AY407" s="1452">
        <f t="shared" si="246"/>
        <v>0</v>
      </c>
      <c r="AZ407" s="4284">
        <f t="shared" si="247"/>
        <v>0</v>
      </c>
      <c r="BA407" s="4284">
        <f t="shared" si="248"/>
        <v>0</v>
      </c>
      <c r="BB407" s="4284">
        <f t="shared" si="249"/>
        <v>0</v>
      </c>
      <c r="BC407" s="4284">
        <f t="shared" si="250"/>
        <v>0</v>
      </c>
      <c r="BD407" s="4284">
        <f t="shared" si="251"/>
        <v>0</v>
      </c>
      <c r="BE407" s="4284">
        <f t="shared" si="252"/>
        <v>0</v>
      </c>
      <c r="BF407" s="4284">
        <f t="shared" si="253"/>
        <v>0</v>
      </c>
      <c r="BG407" s="4284">
        <f t="shared" si="254"/>
        <v>0</v>
      </c>
      <c r="BH407" s="4284">
        <f t="shared" si="255"/>
        <v>0</v>
      </c>
      <c r="BI407" s="4284">
        <f t="shared" si="256"/>
        <v>0</v>
      </c>
      <c r="BJ407" s="4284">
        <f t="shared" si="257"/>
        <v>0</v>
      </c>
      <c r="BK407" s="4284">
        <f t="shared" si="258"/>
        <v>0</v>
      </c>
      <c r="BL407" s="4284">
        <f t="shared" si="259"/>
        <v>0</v>
      </c>
      <c r="BM407" s="4284">
        <f t="shared" si="260"/>
        <v>0</v>
      </c>
      <c r="BN407" s="4284">
        <f t="shared" si="261"/>
        <v>0</v>
      </c>
      <c r="BO407" s="4284">
        <f t="shared" si="262"/>
        <v>0</v>
      </c>
      <c r="BP407" s="4284">
        <f t="shared" si="263"/>
        <v>0</v>
      </c>
      <c r="BQ407" s="4284">
        <f t="shared" si="264"/>
        <v>0</v>
      </c>
      <c r="BR407" s="4284">
        <f t="shared" si="265"/>
        <v>0</v>
      </c>
      <c r="BS407" s="4284">
        <f t="shared" si="266"/>
        <v>0</v>
      </c>
      <c r="BT407" s="4285">
        <f t="shared" si="267"/>
        <v>0</v>
      </c>
    </row>
    <row r="408" spans="1:72">
      <c r="A408" s="4278"/>
      <c r="B408" s="4279"/>
      <c r="C408" s="4279"/>
      <c r="D408" s="4280"/>
      <c r="E408" s="1188">
        <f t="shared" si="239"/>
        <v>0</v>
      </c>
      <c r="F408" s="1680"/>
      <c r="G408" s="4281">
        <f t="shared" si="240"/>
        <v>0</v>
      </c>
      <c r="H408" s="3457">
        <f t="shared" si="241"/>
        <v>0</v>
      </c>
      <c r="I408" s="4282"/>
      <c r="J408" s="4282"/>
      <c r="K408" s="4282"/>
      <c r="L408" s="4282"/>
      <c r="M408" s="4282"/>
      <c r="N408" s="4282"/>
      <c r="O408" s="4282"/>
      <c r="P408" s="4282"/>
      <c r="Q408" s="4282"/>
      <c r="R408" s="4282"/>
      <c r="S408" s="4282"/>
      <c r="T408" s="4282"/>
      <c r="U408" s="4282"/>
      <c r="V408" s="4282"/>
      <c r="W408" s="4282"/>
      <c r="X408" s="4282"/>
      <c r="Y408" s="4282"/>
      <c r="Z408" s="4282"/>
      <c r="AA408" s="4282"/>
      <c r="AB408" s="4282"/>
      <c r="AC408" s="1188">
        <f t="shared" si="242"/>
        <v>0</v>
      </c>
      <c r="AD408" s="4278"/>
      <c r="AE408" s="4278"/>
      <c r="AF408" s="4278"/>
      <c r="AG408" s="4278"/>
      <c r="AH408" s="4278"/>
      <c r="AI408" s="4278"/>
      <c r="AJ408" s="4278"/>
      <c r="AK408" s="4278"/>
      <c r="AL408" s="4278"/>
      <c r="AM408" s="4278"/>
      <c r="AN408" s="4278"/>
      <c r="AO408" s="4278"/>
      <c r="AP408" s="4278"/>
      <c r="AQ408" s="4278"/>
      <c r="AR408" s="4278"/>
      <c r="AS408" s="4278"/>
      <c r="AT408" s="4279"/>
      <c r="AU408" s="4283"/>
      <c r="AV408" s="1188">
        <f t="shared" si="243"/>
        <v>0</v>
      </c>
      <c r="AW408" s="1188">
        <f t="shared" si="244"/>
        <v>0</v>
      </c>
      <c r="AX408" s="1188">
        <f t="shared" si="245"/>
        <v>0</v>
      </c>
      <c r="AY408" s="1452">
        <f t="shared" si="246"/>
        <v>0</v>
      </c>
      <c r="AZ408" s="4284">
        <f t="shared" si="247"/>
        <v>0</v>
      </c>
      <c r="BA408" s="4284">
        <f t="shared" si="248"/>
        <v>0</v>
      </c>
      <c r="BB408" s="4284">
        <f t="shared" si="249"/>
        <v>0</v>
      </c>
      <c r="BC408" s="4284">
        <f t="shared" si="250"/>
        <v>0</v>
      </c>
      <c r="BD408" s="4284">
        <f t="shared" si="251"/>
        <v>0</v>
      </c>
      <c r="BE408" s="4284">
        <f t="shared" si="252"/>
        <v>0</v>
      </c>
      <c r="BF408" s="4284">
        <f t="shared" si="253"/>
        <v>0</v>
      </c>
      <c r="BG408" s="4284">
        <f t="shared" si="254"/>
        <v>0</v>
      </c>
      <c r="BH408" s="4284">
        <f t="shared" si="255"/>
        <v>0</v>
      </c>
      <c r="BI408" s="4284">
        <f t="shared" si="256"/>
        <v>0</v>
      </c>
      <c r="BJ408" s="4284">
        <f t="shared" si="257"/>
        <v>0</v>
      </c>
      <c r="BK408" s="4284">
        <f t="shared" si="258"/>
        <v>0</v>
      </c>
      <c r="BL408" s="4284">
        <f t="shared" si="259"/>
        <v>0</v>
      </c>
      <c r="BM408" s="4284">
        <f t="shared" si="260"/>
        <v>0</v>
      </c>
      <c r="BN408" s="4284">
        <f t="shared" si="261"/>
        <v>0</v>
      </c>
      <c r="BO408" s="4284">
        <f t="shared" si="262"/>
        <v>0</v>
      </c>
      <c r="BP408" s="4284">
        <f t="shared" si="263"/>
        <v>0</v>
      </c>
      <c r="BQ408" s="4284">
        <f t="shared" si="264"/>
        <v>0</v>
      </c>
      <c r="BR408" s="4284">
        <f t="shared" si="265"/>
        <v>0</v>
      </c>
      <c r="BS408" s="4284">
        <f t="shared" si="266"/>
        <v>0</v>
      </c>
      <c r="BT408" s="4285">
        <f t="shared" si="267"/>
        <v>0</v>
      </c>
    </row>
    <row r="409" spans="1:72">
      <c r="A409" s="4278"/>
      <c r="B409" s="4279"/>
      <c r="C409" s="4279"/>
      <c r="D409" s="4280"/>
      <c r="E409" s="1188">
        <f t="shared" si="239"/>
        <v>0</v>
      </c>
      <c r="F409" s="1680"/>
      <c r="G409" s="4281">
        <f t="shared" si="240"/>
        <v>0</v>
      </c>
      <c r="H409" s="3457">
        <f t="shared" si="241"/>
        <v>0</v>
      </c>
      <c r="I409" s="4282"/>
      <c r="J409" s="4282"/>
      <c r="K409" s="4282"/>
      <c r="L409" s="4282"/>
      <c r="M409" s="4282"/>
      <c r="N409" s="4282"/>
      <c r="O409" s="4282"/>
      <c r="P409" s="4282"/>
      <c r="Q409" s="4282"/>
      <c r="R409" s="4282"/>
      <c r="S409" s="4282"/>
      <c r="T409" s="4282"/>
      <c r="U409" s="4282"/>
      <c r="V409" s="4282"/>
      <c r="W409" s="4282"/>
      <c r="X409" s="4282"/>
      <c r="Y409" s="4282"/>
      <c r="Z409" s="4282"/>
      <c r="AA409" s="4282"/>
      <c r="AB409" s="4282"/>
      <c r="AC409" s="1188">
        <f t="shared" si="242"/>
        <v>0</v>
      </c>
      <c r="AD409" s="4278"/>
      <c r="AE409" s="4278"/>
      <c r="AF409" s="4278"/>
      <c r="AG409" s="4278"/>
      <c r="AH409" s="4278"/>
      <c r="AI409" s="4278"/>
      <c r="AJ409" s="4278"/>
      <c r="AK409" s="4278"/>
      <c r="AL409" s="4278"/>
      <c r="AM409" s="4278"/>
      <c r="AN409" s="4278"/>
      <c r="AO409" s="4278"/>
      <c r="AP409" s="4278"/>
      <c r="AQ409" s="4278"/>
      <c r="AR409" s="4278"/>
      <c r="AS409" s="4278"/>
      <c r="AT409" s="4279"/>
      <c r="AU409" s="4283"/>
      <c r="AV409" s="1188">
        <f t="shared" si="243"/>
        <v>0</v>
      </c>
      <c r="AW409" s="1188">
        <f t="shared" si="244"/>
        <v>0</v>
      </c>
      <c r="AX409" s="1188">
        <f t="shared" si="245"/>
        <v>0</v>
      </c>
      <c r="AY409" s="1452">
        <f t="shared" si="246"/>
        <v>0</v>
      </c>
      <c r="AZ409" s="4284">
        <f t="shared" si="247"/>
        <v>0</v>
      </c>
      <c r="BA409" s="4284">
        <f t="shared" si="248"/>
        <v>0</v>
      </c>
      <c r="BB409" s="4284">
        <f t="shared" si="249"/>
        <v>0</v>
      </c>
      <c r="BC409" s="4284">
        <f t="shared" si="250"/>
        <v>0</v>
      </c>
      <c r="BD409" s="4284">
        <f t="shared" si="251"/>
        <v>0</v>
      </c>
      <c r="BE409" s="4284">
        <f t="shared" si="252"/>
        <v>0</v>
      </c>
      <c r="BF409" s="4284">
        <f t="shared" si="253"/>
        <v>0</v>
      </c>
      <c r="BG409" s="4284">
        <f t="shared" si="254"/>
        <v>0</v>
      </c>
      <c r="BH409" s="4284">
        <f t="shared" si="255"/>
        <v>0</v>
      </c>
      <c r="BI409" s="4284">
        <f t="shared" si="256"/>
        <v>0</v>
      </c>
      <c r="BJ409" s="4284">
        <f t="shared" si="257"/>
        <v>0</v>
      </c>
      <c r="BK409" s="4284">
        <f t="shared" si="258"/>
        <v>0</v>
      </c>
      <c r="BL409" s="4284">
        <f t="shared" si="259"/>
        <v>0</v>
      </c>
      <c r="BM409" s="4284">
        <f t="shared" si="260"/>
        <v>0</v>
      </c>
      <c r="BN409" s="4284">
        <f t="shared" si="261"/>
        <v>0</v>
      </c>
      <c r="BO409" s="4284">
        <f t="shared" si="262"/>
        <v>0</v>
      </c>
      <c r="BP409" s="4284">
        <f t="shared" si="263"/>
        <v>0</v>
      </c>
      <c r="BQ409" s="4284">
        <f t="shared" si="264"/>
        <v>0</v>
      </c>
      <c r="BR409" s="4284">
        <f t="shared" si="265"/>
        <v>0</v>
      </c>
      <c r="BS409" s="4284">
        <f t="shared" si="266"/>
        <v>0</v>
      </c>
      <c r="BT409" s="4285">
        <f t="shared" si="267"/>
        <v>0</v>
      </c>
    </row>
    <row r="410" spans="1:72">
      <c r="A410" s="4278"/>
      <c r="B410" s="4279"/>
      <c r="C410" s="4279"/>
      <c r="D410" s="4280"/>
      <c r="E410" s="1188">
        <f t="shared" si="239"/>
        <v>0</v>
      </c>
      <c r="F410" s="1680"/>
      <c r="G410" s="4281">
        <f t="shared" si="240"/>
        <v>0</v>
      </c>
      <c r="H410" s="3457">
        <f t="shared" si="241"/>
        <v>0</v>
      </c>
      <c r="I410" s="4282"/>
      <c r="J410" s="4282"/>
      <c r="K410" s="4282"/>
      <c r="L410" s="4282"/>
      <c r="M410" s="4282"/>
      <c r="N410" s="4282"/>
      <c r="O410" s="4282"/>
      <c r="P410" s="4282"/>
      <c r="Q410" s="4282"/>
      <c r="R410" s="4282"/>
      <c r="S410" s="4282"/>
      <c r="T410" s="4282"/>
      <c r="U410" s="4282"/>
      <c r="V410" s="4282"/>
      <c r="W410" s="4282"/>
      <c r="X410" s="4282"/>
      <c r="Y410" s="4282"/>
      <c r="Z410" s="4282"/>
      <c r="AA410" s="4282"/>
      <c r="AB410" s="4282"/>
      <c r="AC410" s="1188">
        <f t="shared" si="242"/>
        <v>0</v>
      </c>
      <c r="AD410" s="4278"/>
      <c r="AE410" s="4278"/>
      <c r="AF410" s="4278"/>
      <c r="AG410" s="4278"/>
      <c r="AH410" s="4278"/>
      <c r="AI410" s="4278"/>
      <c r="AJ410" s="4278"/>
      <c r="AK410" s="4278"/>
      <c r="AL410" s="4278"/>
      <c r="AM410" s="4278"/>
      <c r="AN410" s="4278"/>
      <c r="AO410" s="4278"/>
      <c r="AP410" s="4278"/>
      <c r="AQ410" s="4278"/>
      <c r="AR410" s="4278"/>
      <c r="AS410" s="4278"/>
      <c r="AT410" s="4279"/>
      <c r="AU410" s="4283"/>
      <c r="AV410" s="1188">
        <f t="shared" si="243"/>
        <v>0</v>
      </c>
      <c r="AW410" s="1188">
        <f t="shared" si="244"/>
        <v>0</v>
      </c>
      <c r="AX410" s="1188">
        <f t="shared" si="245"/>
        <v>0</v>
      </c>
      <c r="AY410" s="1452">
        <f t="shared" si="246"/>
        <v>0</v>
      </c>
      <c r="AZ410" s="4284">
        <f t="shared" si="247"/>
        <v>0</v>
      </c>
      <c r="BA410" s="4284">
        <f t="shared" si="248"/>
        <v>0</v>
      </c>
      <c r="BB410" s="4284">
        <f t="shared" si="249"/>
        <v>0</v>
      </c>
      <c r="BC410" s="4284">
        <f t="shared" si="250"/>
        <v>0</v>
      </c>
      <c r="BD410" s="4284">
        <f t="shared" si="251"/>
        <v>0</v>
      </c>
      <c r="BE410" s="4284">
        <f t="shared" si="252"/>
        <v>0</v>
      </c>
      <c r="BF410" s="4284">
        <f t="shared" si="253"/>
        <v>0</v>
      </c>
      <c r="BG410" s="4284">
        <f t="shared" si="254"/>
        <v>0</v>
      </c>
      <c r="BH410" s="4284">
        <f t="shared" si="255"/>
        <v>0</v>
      </c>
      <c r="BI410" s="4284">
        <f t="shared" si="256"/>
        <v>0</v>
      </c>
      <c r="BJ410" s="4284">
        <f t="shared" si="257"/>
        <v>0</v>
      </c>
      <c r="BK410" s="4284">
        <f t="shared" si="258"/>
        <v>0</v>
      </c>
      <c r="BL410" s="4284">
        <f t="shared" si="259"/>
        <v>0</v>
      </c>
      <c r="BM410" s="4284">
        <f t="shared" si="260"/>
        <v>0</v>
      </c>
      <c r="BN410" s="4284">
        <f t="shared" si="261"/>
        <v>0</v>
      </c>
      <c r="BO410" s="4284">
        <f t="shared" si="262"/>
        <v>0</v>
      </c>
      <c r="BP410" s="4284">
        <f t="shared" si="263"/>
        <v>0</v>
      </c>
      <c r="BQ410" s="4284">
        <f t="shared" si="264"/>
        <v>0</v>
      </c>
      <c r="BR410" s="4284">
        <f t="shared" si="265"/>
        <v>0</v>
      </c>
      <c r="BS410" s="4284">
        <f t="shared" si="266"/>
        <v>0</v>
      </c>
      <c r="BT410" s="4285">
        <f t="shared" si="267"/>
        <v>0</v>
      </c>
    </row>
    <row r="411" spans="1:72">
      <c r="A411" s="4278"/>
      <c r="B411" s="4279"/>
      <c r="C411" s="4279"/>
      <c r="D411" s="4280"/>
      <c r="E411" s="1188">
        <f t="shared" si="239"/>
        <v>0</v>
      </c>
      <c r="F411" s="1680"/>
      <c r="G411" s="4281">
        <f t="shared" si="240"/>
        <v>0</v>
      </c>
      <c r="H411" s="3457">
        <f t="shared" si="241"/>
        <v>0</v>
      </c>
      <c r="I411" s="4282"/>
      <c r="J411" s="4282"/>
      <c r="K411" s="4282"/>
      <c r="L411" s="4282"/>
      <c r="M411" s="4282"/>
      <c r="N411" s="4282"/>
      <c r="O411" s="4282"/>
      <c r="P411" s="4282"/>
      <c r="Q411" s="4282"/>
      <c r="R411" s="4282"/>
      <c r="S411" s="4282"/>
      <c r="T411" s="4282"/>
      <c r="U411" s="4282"/>
      <c r="V411" s="4282"/>
      <c r="W411" s="4282"/>
      <c r="X411" s="4282"/>
      <c r="Y411" s="4282"/>
      <c r="Z411" s="4282"/>
      <c r="AA411" s="4282"/>
      <c r="AB411" s="4282"/>
      <c r="AC411" s="1188">
        <f t="shared" si="242"/>
        <v>0</v>
      </c>
      <c r="AD411" s="4278"/>
      <c r="AE411" s="4278"/>
      <c r="AF411" s="4278"/>
      <c r="AG411" s="4278"/>
      <c r="AH411" s="4278"/>
      <c r="AI411" s="4278"/>
      <c r="AJ411" s="4278"/>
      <c r="AK411" s="4278"/>
      <c r="AL411" s="4278"/>
      <c r="AM411" s="4278"/>
      <c r="AN411" s="4278"/>
      <c r="AO411" s="4278"/>
      <c r="AP411" s="4278"/>
      <c r="AQ411" s="4278"/>
      <c r="AR411" s="4278"/>
      <c r="AS411" s="4278"/>
      <c r="AT411" s="4279"/>
      <c r="AU411" s="4283"/>
      <c r="AV411" s="1188">
        <f t="shared" si="243"/>
        <v>0</v>
      </c>
      <c r="AW411" s="1188">
        <f t="shared" si="244"/>
        <v>0</v>
      </c>
      <c r="AX411" s="1188">
        <f t="shared" si="245"/>
        <v>0</v>
      </c>
      <c r="AY411" s="1452">
        <f t="shared" si="246"/>
        <v>0</v>
      </c>
      <c r="AZ411" s="4284">
        <f t="shared" si="247"/>
        <v>0</v>
      </c>
      <c r="BA411" s="4284">
        <f t="shared" si="248"/>
        <v>0</v>
      </c>
      <c r="BB411" s="4284">
        <f t="shared" si="249"/>
        <v>0</v>
      </c>
      <c r="BC411" s="4284">
        <f t="shared" si="250"/>
        <v>0</v>
      </c>
      <c r="BD411" s="4284">
        <f t="shared" si="251"/>
        <v>0</v>
      </c>
      <c r="BE411" s="4284">
        <f t="shared" si="252"/>
        <v>0</v>
      </c>
      <c r="BF411" s="4284">
        <f t="shared" si="253"/>
        <v>0</v>
      </c>
      <c r="BG411" s="4284">
        <f t="shared" si="254"/>
        <v>0</v>
      </c>
      <c r="BH411" s="4284">
        <f t="shared" si="255"/>
        <v>0</v>
      </c>
      <c r="BI411" s="4284">
        <f t="shared" si="256"/>
        <v>0</v>
      </c>
      <c r="BJ411" s="4284">
        <f t="shared" si="257"/>
        <v>0</v>
      </c>
      <c r="BK411" s="4284">
        <f t="shared" si="258"/>
        <v>0</v>
      </c>
      <c r="BL411" s="4284">
        <f t="shared" si="259"/>
        <v>0</v>
      </c>
      <c r="BM411" s="4284">
        <f t="shared" si="260"/>
        <v>0</v>
      </c>
      <c r="BN411" s="4284">
        <f t="shared" si="261"/>
        <v>0</v>
      </c>
      <c r="BO411" s="4284">
        <f t="shared" si="262"/>
        <v>0</v>
      </c>
      <c r="BP411" s="4284">
        <f t="shared" si="263"/>
        <v>0</v>
      </c>
      <c r="BQ411" s="4284">
        <f t="shared" si="264"/>
        <v>0</v>
      </c>
      <c r="BR411" s="4284">
        <f t="shared" si="265"/>
        <v>0</v>
      </c>
      <c r="BS411" s="4284">
        <f t="shared" si="266"/>
        <v>0</v>
      </c>
      <c r="BT411" s="4285">
        <f t="shared" si="267"/>
        <v>0</v>
      </c>
    </row>
    <row r="412" spans="1:72">
      <c r="A412" s="4278"/>
      <c r="B412" s="4279"/>
      <c r="C412" s="4279"/>
      <c r="D412" s="4280"/>
      <c r="E412" s="1188">
        <f t="shared" si="239"/>
        <v>0</v>
      </c>
      <c r="F412" s="1680"/>
      <c r="G412" s="4281">
        <f t="shared" si="240"/>
        <v>0</v>
      </c>
      <c r="H412" s="3457">
        <f t="shared" si="241"/>
        <v>0</v>
      </c>
      <c r="I412" s="4282"/>
      <c r="J412" s="4282"/>
      <c r="K412" s="4282"/>
      <c r="L412" s="4282"/>
      <c r="M412" s="4282"/>
      <c r="N412" s="4282"/>
      <c r="O412" s="4282"/>
      <c r="P412" s="4282"/>
      <c r="Q412" s="4282"/>
      <c r="R412" s="4282"/>
      <c r="S412" s="4282"/>
      <c r="T412" s="4282"/>
      <c r="U412" s="4282"/>
      <c r="V412" s="4282"/>
      <c r="W412" s="4282"/>
      <c r="X412" s="4282"/>
      <c r="Y412" s="4282"/>
      <c r="Z412" s="4282"/>
      <c r="AA412" s="4282"/>
      <c r="AB412" s="4282"/>
      <c r="AC412" s="1188">
        <f t="shared" si="242"/>
        <v>0</v>
      </c>
      <c r="AD412" s="4278"/>
      <c r="AE412" s="4278"/>
      <c r="AF412" s="4278"/>
      <c r="AG412" s="4278"/>
      <c r="AH412" s="4278"/>
      <c r="AI412" s="4278"/>
      <c r="AJ412" s="4278"/>
      <c r="AK412" s="4278"/>
      <c r="AL412" s="4278"/>
      <c r="AM412" s="4278"/>
      <c r="AN412" s="4278"/>
      <c r="AO412" s="4278"/>
      <c r="AP412" s="4278"/>
      <c r="AQ412" s="4278"/>
      <c r="AR412" s="4278"/>
      <c r="AS412" s="4278"/>
      <c r="AT412" s="4279"/>
      <c r="AU412" s="4283"/>
      <c r="AV412" s="1188">
        <f t="shared" si="243"/>
        <v>0</v>
      </c>
      <c r="AW412" s="1188">
        <f t="shared" si="244"/>
        <v>0</v>
      </c>
      <c r="AX412" s="1188">
        <f t="shared" si="245"/>
        <v>0</v>
      </c>
      <c r="AY412" s="1452">
        <f t="shared" si="246"/>
        <v>0</v>
      </c>
      <c r="AZ412" s="4284">
        <f t="shared" si="247"/>
        <v>0</v>
      </c>
      <c r="BA412" s="4284">
        <f t="shared" si="248"/>
        <v>0</v>
      </c>
      <c r="BB412" s="4284">
        <f t="shared" si="249"/>
        <v>0</v>
      </c>
      <c r="BC412" s="4284">
        <f t="shared" si="250"/>
        <v>0</v>
      </c>
      <c r="BD412" s="4284">
        <f t="shared" si="251"/>
        <v>0</v>
      </c>
      <c r="BE412" s="4284">
        <f t="shared" si="252"/>
        <v>0</v>
      </c>
      <c r="BF412" s="4284">
        <f t="shared" si="253"/>
        <v>0</v>
      </c>
      <c r="BG412" s="4284">
        <f t="shared" si="254"/>
        <v>0</v>
      </c>
      <c r="BH412" s="4284">
        <f t="shared" si="255"/>
        <v>0</v>
      </c>
      <c r="BI412" s="4284">
        <f t="shared" si="256"/>
        <v>0</v>
      </c>
      <c r="BJ412" s="4284">
        <f t="shared" si="257"/>
        <v>0</v>
      </c>
      <c r="BK412" s="4284">
        <f t="shared" si="258"/>
        <v>0</v>
      </c>
      <c r="BL412" s="4284">
        <f t="shared" si="259"/>
        <v>0</v>
      </c>
      <c r="BM412" s="4284">
        <f t="shared" si="260"/>
        <v>0</v>
      </c>
      <c r="BN412" s="4284">
        <f t="shared" si="261"/>
        <v>0</v>
      </c>
      <c r="BO412" s="4284">
        <f t="shared" si="262"/>
        <v>0</v>
      </c>
      <c r="BP412" s="4284">
        <f t="shared" si="263"/>
        <v>0</v>
      </c>
      <c r="BQ412" s="4284">
        <f t="shared" si="264"/>
        <v>0</v>
      </c>
      <c r="BR412" s="4284">
        <f t="shared" si="265"/>
        <v>0</v>
      </c>
      <c r="BS412" s="4284">
        <f t="shared" si="266"/>
        <v>0</v>
      </c>
      <c r="BT412" s="4285">
        <f t="shared" si="267"/>
        <v>0</v>
      </c>
    </row>
    <row r="413" spans="1:72">
      <c r="A413" s="4278"/>
      <c r="B413" s="4279"/>
      <c r="C413" s="4279"/>
      <c r="D413" s="4280"/>
      <c r="E413" s="1188">
        <f t="shared" si="239"/>
        <v>0</v>
      </c>
      <c r="F413" s="1680"/>
      <c r="G413" s="4281">
        <f t="shared" si="240"/>
        <v>0</v>
      </c>
      <c r="H413" s="3457">
        <f t="shared" si="241"/>
        <v>0</v>
      </c>
      <c r="I413" s="4282"/>
      <c r="J413" s="4282"/>
      <c r="K413" s="4282"/>
      <c r="L413" s="4282"/>
      <c r="M413" s="4282"/>
      <c r="N413" s="4282"/>
      <c r="O413" s="4282"/>
      <c r="P413" s="4282"/>
      <c r="Q413" s="4282"/>
      <c r="R413" s="4282"/>
      <c r="S413" s="4282"/>
      <c r="T413" s="4282"/>
      <c r="U413" s="4282"/>
      <c r="V413" s="4282"/>
      <c r="W413" s="4282"/>
      <c r="X413" s="4282"/>
      <c r="Y413" s="4282"/>
      <c r="Z413" s="4282"/>
      <c r="AA413" s="4282"/>
      <c r="AB413" s="4282"/>
      <c r="AC413" s="1188">
        <f t="shared" si="242"/>
        <v>0</v>
      </c>
      <c r="AD413" s="4278"/>
      <c r="AE413" s="4278"/>
      <c r="AF413" s="4278"/>
      <c r="AG413" s="4278"/>
      <c r="AH413" s="4278"/>
      <c r="AI413" s="4278"/>
      <c r="AJ413" s="4278"/>
      <c r="AK413" s="4278"/>
      <c r="AL413" s="4278"/>
      <c r="AM413" s="4278"/>
      <c r="AN413" s="4278"/>
      <c r="AO413" s="4278"/>
      <c r="AP413" s="4278"/>
      <c r="AQ413" s="4278"/>
      <c r="AR413" s="4278"/>
      <c r="AS413" s="4278"/>
      <c r="AT413" s="4279"/>
      <c r="AU413" s="4283"/>
      <c r="AV413" s="1188">
        <f t="shared" si="243"/>
        <v>0</v>
      </c>
      <c r="AW413" s="1188">
        <f t="shared" si="244"/>
        <v>0</v>
      </c>
      <c r="AX413" s="1188">
        <f t="shared" si="245"/>
        <v>0</v>
      </c>
      <c r="AY413" s="1452">
        <f t="shared" si="246"/>
        <v>0</v>
      </c>
      <c r="AZ413" s="4284">
        <f t="shared" si="247"/>
        <v>0</v>
      </c>
      <c r="BA413" s="4284">
        <f t="shared" si="248"/>
        <v>0</v>
      </c>
      <c r="BB413" s="4284">
        <f t="shared" si="249"/>
        <v>0</v>
      </c>
      <c r="BC413" s="4284">
        <f t="shared" si="250"/>
        <v>0</v>
      </c>
      <c r="BD413" s="4284">
        <f t="shared" si="251"/>
        <v>0</v>
      </c>
      <c r="BE413" s="4284">
        <f t="shared" si="252"/>
        <v>0</v>
      </c>
      <c r="BF413" s="4284">
        <f t="shared" si="253"/>
        <v>0</v>
      </c>
      <c r="BG413" s="4284">
        <f t="shared" si="254"/>
        <v>0</v>
      </c>
      <c r="BH413" s="4284">
        <f t="shared" si="255"/>
        <v>0</v>
      </c>
      <c r="BI413" s="4284">
        <f t="shared" si="256"/>
        <v>0</v>
      </c>
      <c r="BJ413" s="4284">
        <f t="shared" si="257"/>
        <v>0</v>
      </c>
      <c r="BK413" s="4284">
        <f t="shared" si="258"/>
        <v>0</v>
      </c>
      <c r="BL413" s="4284">
        <f t="shared" si="259"/>
        <v>0</v>
      </c>
      <c r="BM413" s="4284">
        <f t="shared" si="260"/>
        <v>0</v>
      </c>
      <c r="BN413" s="4284">
        <f t="shared" si="261"/>
        <v>0</v>
      </c>
      <c r="BO413" s="4284">
        <f t="shared" si="262"/>
        <v>0</v>
      </c>
      <c r="BP413" s="4284">
        <f t="shared" si="263"/>
        <v>0</v>
      </c>
      <c r="BQ413" s="4284">
        <f t="shared" si="264"/>
        <v>0</v>
      </c>
      <c r="BR413" s="4284">
        <f t="shared" si="265"/>
        <v>0</v>
      </c>
      <c r="BS413" s="4284">
        <f t="shared" si="266"/>
        <v>0</v>
      </c>
      <c r="BT413" s="4285">
        <f t="shared" si="267"/>
        <v>0</v>
      </c>
    </row>
    <row r="414" spans="1:72">
      <c r="A414" s="4278"/>
      <c r="B414" s="4279"/>
      <c r="C414" s="4279"/>
      <c r="D414" s="4280"/>
      <c r="E414" s="1188">
        <f t="shared" si="239"/>
        <v>0</v>
      </c>
      <c r="F414" s="1680"/>
      <c r="G414" s="4281">
        <f t="shared" si="240"/>
        <v>0</v>
      </c>
      <c r="H414" s="3457">
        <f t="shared" si="241"/>
        <v>0</v>
      </c>
      <c r="I414" s="4282"/>
      <c r="J414" s="4282"/>
      <c r="K414" s="4282"/>
      <c r="L414" s="4282"/>
      <c r="M414" s="4282"/>
      <c r="N414" s="4282"/>
      <c r="O414" s="4282"/>
      <c r="P414" s="4282"/>
      <c r="Q414" s="4282"/>
      <c r="R414" s="4282"/>
      <c r="S414" s="4282"/>
      <c r="T414" s="4282"/>
      <c r="U414" s="4282"/>
      <c r="V414" s="4282"/>
      <c r="W414" s="4282"/>
      <c r="X414" s="4282"/>
      <c r="Y414" s="4282"/>
      <c r="Z414" s="4282"/>
      <c r="AA414" s="4282"/>
      <c r="AB414" s="4282"/>
      <c r="AC414" s="1188">
        <f t="shared" si="242"/>
        <v>0</v>
      </c>
      <c r="AD414" s="4278"/>
      <c r="AE414" s="4278"/>
      <c r="AF414" s="4278"/>
      <c r="AG414" s="4278"/>
      <c r="AH414" s="4278"/>
      <c r="AI414" s="4278"/>
      <c r="AJ414" s="4278"/>
      <c r="AK414" s="4278"/>
      <c r="AL414" s="4278"/>
      <c r="AM414" s="4278"/>
      <c r="AN414" s="4278"/>
      <c r="AO414" s="4278"/>
      <c r="AP414" s="4278"/>
      <c r="AQ414" s="4278"/>
      <c r="AR414" s="4278"/>
      <c r="AS414" s="4278"/>
      <c r="AT414" s="4279"/>
      <c r="AU414" s="4283"/>
      <c r="AV414" s="1188">
        <f t="shared" si="243"/>
        <v>0</v>
      </c>
      <c r="AW414" s="1188">
        <f t="shared" si="244"/>
        <v>0</v>
      </c>
      <c r="AX414" s="1188">
        <f t="shared" si="245"/>
        <v>0</v>
      </c>
      <c r="AY414" s="1452">
        <f t="shared" si="246"/>
        <v>0</v>
      </c>
      <c r="AZ414" s="4284">
        <f t="shared" si="247"/>
        <v>0</v>
      </c>
      <c r="BA414" s="4284">
        <f t="shared" si="248"/>
        <v>0</v>
      </c>
      <c r="BB414" s="4284">
        <f t="shared" si="249"/>
        <v>0</v>
      </c>
      <c r="BC414" s="4284">
        <f t="shared" si="250"/>
        <v>0</v>
      </c>
      <c r="BD414" s="4284">
        <f t="shared" si="251"/>
        <v>0</v>
      </c>
      <c r="BE414" s="4284">
        <f t="shared" si="252"/>
        <v>0</v>
      </c>
      <c r="BF414" s="4284">
        <f t="shared" si="253"/>
        <v>0</v>
      </c>
      <c r="BG414" s="4284">
        <f t="shared" si="254"/>
        <v>0</v>
      </c>
      <c r="BH414" s="4284">
        <f t="shared" si="255"/>
        <v>0</v>
      </c>
      <c r="BI414" s="4284">
        <f t="shared" si="256"/>
        <v>0</v>
      </c>
      <c r="BJ414" s="4284">
        <f t="shared" si="257"/>
        <v>0</v>
      </c>
      <c r="BK414" s="4284">
        <f t="shared" si="258"/>
        <v>0</v>
      </c>
      <c r="BL414" s="4284">
        <f t="shared" si="259"/>
        <v>0</v>
      </c>
      <c r="BM414" s="4284">
        <f t="shared" si="260"/>
        <v>0</v>
      </c>
      <c r="BN414" s="4284">
        <f t="shared" si="261"/>
        <v>0</v>
      </c>
      <c r="BO414" s="4284">
        <f t="shared" si="262"/>
        <v>0</v>
      </c>
      <c r="BP414" s="4284">
        <f t="shared" si="263"/>
        <v>0</v>
      </c>
      <c r="BQ414" s="4284">
        <f t="shared" si="264"/>
        <v>0</v>
      </c>
      <c r="BR414" s="4284">
        <f t="shared" si="265"/>
        <v>0</v>
      </c>
      <c r="BS414" s="4284">
        <f t="shared" si="266"/>
        <v>0</v>
      </c>
      <c r="BT414" s="4285">
        <f t="shared" si="267"/>
        <v>0</v>
      </c>
    </row>
    <row r="415" spans="1:72">
      <c r="A415" s="4278"/>
      <c r="B415" s="4279"/>
      <c r="C415" s="4279"/>
      <c r="D415" s="4280"/>
      <c r="E415" s="1188">
        <f t="shared" si="239"/>
        <v>0</v>
      </c>
      <c r="F415" s="1680"/>
      <c r="G415" s="4281">
        <f t="shared" si="240"/>
        <v>0</v>
      </c>
      <c r="H415" s="3457">
        <f t="shared" si="241"/>
        <v>0</v>
      </c>
      <c r="I415" s="4282"/>
      <c r="J415" s="4282"/>
      <c r="K415" s="4282"/>
      <c r="L415" s="4282"/>
      <c r="M415" s="4282"/>
      <c r="N415" s="4282"/>
      <c r="O415" s="4282"/>
      <c r="P415" s="4282"/>
      <c r="Q415" s="4282"/>
      <c r="R415" s="4282"/>
      <c r="S415" s="4282"/>
      <c r="T415" s="4282"/>
      <c r="U415" s="4282"/>
      <c r="V415" s="4282"/>
      <c r="W415" s="4282"/>
      <c r="X415" s="4282"/>
      <c r="Y415" s="4282"/>
      <c r="Z415" s="4282"/>
      <c r="AA415" s="4282"/>
      <c r="AB415" s="4282"/>
      <c r="AC415" s="1188">
        <f t="shared" si="242"/>
        <v>0</v>
      </c>
      <c r="AD415" s="4278"/>
      <c r="AE415" s="4278"/>
      <c r="AF415" s="4278"/>
      <c r="AG415" s="4278"/>
      <c r="AH415" s="4278"/>
      <c r="AI415" s="4278"/>
      <c r="AJ415" s="4278"/>
      <c r="AK415" s="4278"/>
      <c r="AL415" s="4278"/>
      <c r="AM415" s="4278"/>
      <c r="AN415" s="4278"/>
      <c r="AO415" s="4278"/>
      <c r="AP415" s="4278"/>
      <c r="AQ415" s="4278"/>
      <c r="AR415" s="4278"/>
      <c r="AS415" s="4278"/>
      <c r="AT415" s="4279"/>
      <c r="AU415" s="4283"/>
      <c r="AV415" s="1188">
        <f t="shared" si="243"/>
        <v>0</v>
      </c>
      <c r="AW415" s="1188">
        <f t="shared" si="244"/>
        <v>0</v>
      </c>
      <c r="AX415" s="1188">
        <f t="shared" si="245"/>
        <v>0</v>
      </c>
      <c r="AY415" s="1452">
        <f t="shared" si="246"/>
        <v>0</v>
      </c>
      <c r="AZ415" s="4284">
        <f t="shared" si="247"/>
        <v>0</v>
      </c>
      <c r="BA415" s="4284">
        <f t="shared" si="248"/>
        <v>0</v>
      </c>
      <c r="BB415" s="4284">
        <f t="shared" si="249"/>
        <v>0</v>
      </c>
      <c r="BC415" s="4284">
        <f t="shared" si="250"/>
        <v>0</v>
      </c>
      <c r="BD415" s="4284">
        <f t="shared" si="251"/>
        <v>0</v>
      </c>
      <c r="BE415" s="4284">
        <f t="shared" si="252"/>
        <v>0</v>
      </c>
      <c r="BF415" s="4284">
        <f t="shared" si="253"/>
        <v>0</v>
      </c>
      <c r="BG415" s="4284">
        <f t="shared" si="254"/>
        <v>0</v>
      </c>
      <c r="BH415" s="4284">
        <f t="shared" si="255"/>
        <v>0</v>
      </c>
      <c r="BI415" s="4284">
        <f t="shared" si="256"/>
        <v>0</v>
      </c>
      <c r="BJ415" s="4284">
        <f t="shared" si="257"/>
        <v>0</v>
      </c>
      <c r="BK415" s="4284">
        <f t="shared" si="258"/>
        <v>0</v>
      </c>
      <c r="BL415" s="4284">
        <f t="shared" si="259"/>
        <v>0</v>
      </c>
      <c r="BM415" s="4284">
        <f t="shared" si="260"/>
        <v>0</v>
      </c>
      <c r="BN415" s="4284">
        <f t="shared" si="261"/>
        <v>0</v>
      </c>
      <c r="BO415" s="4284">
        <f t="shared" si="262"/>
        <v>0</v>
      </c>
      <c r="BP415" s="4284">
        <f t="shared" si="263"/>
        <v>0</v>
      </c>
      <c r="BQ415" s="4284">
        <f t="shared" si="264"/>
        <v>0</v>
      </c>
      <c r="BR415" s="4284">
        <f t="shared" si="265"/>
        <v>0</v>
      </c>
      <c r="BS415" s="4284">
        <f t="shared" si="266"/>
        <v>0</v>
      </c>
      <c r="BT415" s="4285">
        <f t="shared" si="267"/>
        <v>0</v>
      </c>
    </row>
    <row r="416" spans="1:72">
      <c r="A416" s="4278"/>
      <c r="B416" s="4279"/>
      <c r="C416" s="4279"/>
      <c r="D416" s="4280"/>
      <c r="E416" s="1188">
        <f t="shared" si="239"/>
        <v>0</v>
      </c>
      <c r="F416" s="1680"/>
      <c r="G416" s="4281">
        <f t="shared" si="240"/>
        <v>0</v>
      </c>
      <c r="H416" s="3457">
        <f t="shared" si="241"/>
        <v>0</v>
      </c>
      <c r="I416" s="4282"/>
      <c r="J416" s="4282"/>
      <c r="K416" s="4282"/>
      <c r="L416" s="4282"/>
      <c r="M416" s="4282"/>
      <c r="N416" s="4282"/>
      <c r="O416" s="4282"/>
      <c r="P416" s="4282"/>
      <c r="Q416" s="4282"/>
      <c r="R416" s="4282"/>
      <c r="S416" s="4282"/>
      <c r="T416" s="4282"/>
      <c r="U416" s="4282"/>
      <c r="V416" s="4282"/>
      <c r="W416" s="4282"/>
      <c r="X416" s="4282"/>
      <c r="Y416" s="4282"/>
      <c r="Z416" s="4282"/>
      <c r="AA416" s="4282"/>
      <c r="AB416" s="4282"/>
      <c r="AC416" s="1188">
        <f t="shared" si="242"/>
        <v>0</v>
      </c>
      <c r="AD416" s="4278"/>
      <c r="AE416" s="4278"/>
      <c r="AF416" s="4278"/>
      <c r="AG416" s="4278"/>
      <c r="AH416" s="4278"/>
      <c r="AI416" s="4278"/>
      <c r="AJ416" s="4278"/>
      <c r="AK416" s="4278"/>
      <c r="AL416" s="4278"/>
      <c r="AM416" s="4278"/>
      <c r="AN416" s="4278"/>
      <c r="AO416" s="4278"/>
      <c r="AP416" s="4278"/>
      <c r="AQ416" s="4278"/>
      <c r="AR416" s="4278"/>
      <c r="AS416" s="4278"/>
      <c r="AT416" s="4279"/>
      <c r="AU416" s="4283"/>
      <c r="AV416" s="1188">
        <f t="shared" si="243"/>
        <v>0</v>
      </c>
      <c r="AW416" s="1188">
        <f t="shared" si="244"/>
        <v>0</v>
      </c>
      <c r="AX416" s="1188">
        <f t="shared" si="245"/>
        <v>0</v>
      </c>
      <c r="AY416" s="1452">
        <f t="shared" si="246"/>
        <v>0</v>
      </c>
      <c r="AZ416" s="4284">
        <f t="shared" si="247"/>
        <v>0</v>
      </c>
      <c r="BA416" s="4284">
        <f t="shared" si="248"/>
        <v>0</v>
      </c>
      <c r="BB416" s="4284">
        <f t="shared" si="249"/>
        <v>0</v>
      </c>
      <c r="BC416" s="4284">
        <f t="shared" si="250"/>
        <v>0</v>
      </c>
      <c r="BD416" s="4284">
        <f t="shared" si="251"/>
        <v>0</v>
      </c>
      <c r="BE416" s="4284">
        <f t="shared" si="252"/>
        <v>0</v>
      </c>
      <c r="BF416" s="4284">
        <f t="shared" si="253"/>
        <v>0</v>
      </c>
      <c r="BG416" s="4284">
        <f t="shared" si="254"/>
        <v>0</v>
      </c>
      <c r="BH416" s="4284">
        <f t="shared" si="255"/>
        <v>0</v>
      </c>
      <c r="BI416" s="4284">
        <f t="shared" si="256"/>
        <v>0</v>
      </c>
      <c r="BJ416" s="4284">
        <f t="shared" si="257"/>
        <v>0</v>
      </c>
      <c r="BK416" s="4284">
        <f t="shared" si="258"/>
        <v>0</v>
      </c>
      <c r="BL416" s="4284">
        <f t="shared" si="259"/>
        <v>0</v>
      </c>
      <c r="BM416" s="4284">
        <f t="shared" si="260"/>
        <v>0</v>
      </c>
      <c r="BN416" s="4284">
        <f t="shared" si="261"/>
        <v>0</v>
      </c>
      <c r="BO416" s="4284">
        <f t="shared" si="262"/>
        <v>0</v>
      </c>
      <c r="BP416" s="4284">
        <f t="shared" si="263"/>
        <v>0</v>
      </c>
      <c r="BQ416" s="4284">
        <f t="shared" si="264"/>
        <v>0</v>
      </c>
      <c r="BR416" s="4284">
        <f t="shared" si="265"/>
        <v>0</v>
      </c>
      <c r="BS416" s="4284">
        <f t="shared" si="266"/>
        <v>0</v>
      </c>
      <c r="BT416" s="4285">
        <f t="shared" si="267"/>
        <v>0</v>
      </c>
    </row>
    <row r="417" spans="1:72">
      <c r="A417" s="4278"/>
      <c r="B417" s="4279"/>
      <c r="C417" s="4279"/>
      <c r="D417" s="4280"/>
      <c r="E417" s="1188">
        <f t="shared" si="239"/>
        <v>0</v>
      </c>
      <c r="F417" s="1680"/>
      <c r="G417" s="4281">
        <f t="shared" si="240"/>
        <v>0</v>
      </c>
      <c r="H417" s="3457">
        <f t="shared" si="241"/>
        <v>0</v>
      </c>
      <c r="I417" s="4282"/>
      <c r="J417" s="4282"/>
      <c r="K417" s="4282"/>
      <c r="L417" s="4282"/>
      <c r="M417" s="4282"/>
      <c r="N417" s="4282"/>
      <c r="O417" s="4282"/>
      <c r="P417" s="4282"/>
      <c r="Q417" s="4282"/>
      <c r="R417" s="4282"/>
      <c r="S417" s="4282"/>
      <c r="T417" s="4282"/>
      <c r="U417" s="4282"/>
      <c r="V417" s="4282"/>
      <c r="W417" s="4282"/>
      <c r="X417" s="4282"/>
      <c r="Y417" s="4282"/>
      <c r="Z417" s="4282"/>
      <c r="AA417" s="4282"/>
      <c r="AB417" s="4282"/>
      <c r="AC417" s="1188">
        <f t="shared" si="242"/>
        <v>0</v>
      </c>
      <c r="AD417" s="4278"/>
      <c r="AE417" s="4278"/>
      <c r="AF417" s="4278"/>
      <c r="AG417" s="4278"/>
      <c r="AH417" s="4278"/>
      <c r="AI417" s="4278"/>
      <c r="AJ417" s="4278"/>
      <c r="AK417" s="4278"/>
      <c r="AL417" s="4278"/>
      <c r="AM417" s="4278"/>
      <c r="AN417" s="4278"/>
      <c r="AO417" s="4278"/>
      <c r="AP417" s="4278"/>
      <c r="AQ417" s="4278"/>
      <c r="AR417" s="4278"/>
      <c r="AS417" s="4278"/>
      <c r="AT417" s="4279"/>
      <c r="AU417" s="4283"/>
      <c r="AV417" s="1188">
        <f t="shared" si="243"/>
        <v>0</v>
      </c>
      <c r="AW417" s="1188">
        <f t="shared" si="244"/>
        <v>0</v>
      </c>
      <c r="AX417" s="1188">
        <f t="shared" si="245"/>
        <v>0</v>
      </c>
      <c r="AY417" s="1452">
        <f t="shared" si="246"/>
        <v>0</v>
      </c>
      <c r="AZ417" s="4284">
        <f t="shared" si="247"/>
        <v>0</v>
      </c>
      <c r="BA417" s="4284">
        <f t="shared" si="248"/>
        <v>0</v>
      </c>
      <c r="BB417" s="4284">
        <f t="shared" si="249"/>
        <v>0</v>
      </c>
      <c r="BC417" s="4284">
        <f t="shared" si="250"/>
        <v>0</v>
      </c>
      <c r="BD417" s="4284">
        <f t="shared" si="251"/>
        <v>0</v>
      </c>
      <c r="BE417" s="4284">
        <f t="shared" si="252"/>
        <v>0</v>
      </c>
      <c r="BF417" s="4284">
        <f t="shared" si="253"/>
        <v>0</v>
      </c>
      <c r="BG417" s="4284">
        <f t="shared" si="254"/>
        <v>0</v>
      </c>
      <c r="BH417" s="4284">
        <f t="shared" si="255"/>
        <v>0</v>
      </c>
      <c r="BI417" s="4284">
        <f t="shared" si="256"/>
        <v>0</v>
      </c>
      <c r="BJ417" s="4284">
        <f t="shared" si="257"/>
        <v>0</v>
      </c>
      <c r="BK417" s="4284">
        <f t="shared" si="258"/>
        <v>0</v>
      </c>
      <c r="BL417" s="4284">
        <f t="shared" si="259"/>
        <v>0</v>
      </c>
      <c r="BM417" s="4284">
        <f t="shared" si="260"/>
        <v>0</v>
      </c>
      <c r="BN417" s="4284">
        <f t="shared" si="261"/>
        <v>0</v>
      </c>
      <c r="BO417" s="4284">
        <f t="shared" si="262"/>
        <v>0</v>
      </c>
      <c r="BP417" s="4284">
        <f t="shared" si="263"/>
        <v>0</v>
      </c>
      <c r="BQ417" s="4284">
        <f t="shared" si="264"/>
        <v>0</v>
      </c>
      <c r="BR417" s="4284">
        <f t="shared" si="265"/>
        <v>0</v>
      </c>
      <c r="BS417" s="4284">
        <f t="shared" si="266"/>
        <v>0</v>
      </c>
      <c r="BT417" s="4285">
        <f t="shared" si="267"/>
        <v>0</v>
      </c>
    </row>
    <row r="418" spans="1:72">
      <c r="A418" s="4278"/>
      <c r="B418" s="4279"/>
      <c r="C418" s="4279"/>
      <c r="D418" s="4280"/>
      <c r="E418" s="1188">
        <f t="shared" si="239"/>
        <v>0</v>
      </c>
      <c r="F418" s="1680"/>
      <c r="G418" s="4281">
        <f t="shared" si="240"/>
        <v>0</v>
      </c>
      <c r="H418" s="3457">
        <f t="shared" si="241"/>
        <v>0</v>
      </c>
      <c r="I418" s="4282"/>
      <c r="J418" s="4282"/>
      <c r="K418" s="4282"/>
      <c r="L418" s="4282"/>
      <c r="M418" s="4282"/>
      <c r="N418" s="4282"/>
      <c r="O418" s="4282"/>
      <c r="P418" s="4282"/>
      <c r="Q418" s="4282"/>
      <c r="R418" s="4282"/>
      <c r="S418" s="4282"/>
      <c r="T418" s="4282"/>
      <c r="U418" s="4282"/>
      <c r="V418" s="4282"/>
      <c r="W418" s="4282"/>
      <c r="X418" s="4282"/>
      <c r="Y418" s="4282"/>
      <c r="Z418" s="4282"/>
      <c r="AA418" s="4282"/>
      <c r="AB418" s="4282"/>
      <c r="AC418" s="1188">
        <f t="shared" si="242"/>
        <v>0</v>
      </c>
      <c r="AD418" s="4278"/>
      <c r="AE418" s="4278"/>
      <c r="AF418" s="4278"/>
      <c r="AG418" s="4278"/>
      <c r="AH418" s="4278"/>
      <c r="AI418" s="4278"/>
      <c r="AJ418" s="4278"/>
      <c r="AK418" s="4278"/>
      <c r="AL418" s="4278"/>
      <c r="AM418" s="4278"/>
      <c r="AN418" s="4278"/>
      <c r="AO418" s="4278"/>
      <c r="AP418" s="4278"/>
      <c r="AQ418" s="4278"/>
      <c r="AR418" s="4278"/>
      <c r="AS418" s="4278"/>
      <c r="AT418" s="4279"/>
      <c r="AU418" s="4283"/>
      <c r="AV418" s="1188">
        <f t="shared" si="243"/>
        <v>0</v>
      </c>
      <c r="AW418" s="1188">
        <f t="shared" si="244"/>
        <v>0</v>
      </c>
      <c r="AX418" s="1188">
        <f t="shared" si="245"/>
        <v>0</v>
      </c>
      <c r="AY418" s="1452">
        <f t="shared" si="246"/>
        <v>0</v>
      </c>
      <c r="AZ418" s="4284">
        <f t="shared" si="247"/>
        <v>0</v>
      </c>
      <c r="BA418" s="4284">
        <f t="shared" si="248"/>
        <v>0</v>
      </c>
      <c r="BB418" s="4284">
        <f t="shared" si="249"/>
        <v>0</v>
      </c>
      <c r="BC418" s="4284">
        <f t="shared" si="250"/>
        <v>0</v>
      </c>
      <c r="BD418" s="4284">
        <f t="shared" si="251"/>
        <v>0</v>
      </c>
      <c r="BE418" s="4284">
        <f t="shared" si="252"/>
        <v>0</v>
      </c>
      <c r="BF418" s="4284">
        <f t="shared" si="253"/>
        <v>0</v>
      </c>
      <c r="BG418" s="4284">
        <f t="shared" si="254"/>
        <v>0</v>
      </c>
      <c r="BH418" s="4284">
        <f t="shared" si="255"/>
        <v>0</v>
      </c>
      <c r="BI418" s="4284">
        <f t="shared" si="256"/>
        <v>0</v>
      </c>
      <c r="BJ418" s="4284">
        <f t="shared" si="257"/>
        <v>0</v>
      </c>
      <c r="BK418" s="4284">
        <f t="shared" si="258"/>
        <v>0</v>
      </c>
      <c r="BL418" s="4284">
        <f t="shared" si="259"/>
        <v>0</v>
      </c>
      <c r="BM418" s="4284">
        <f t="shared" si="260"/>
        <v>0</v>
      </c>
      <c r="BN418" s="4284">
        <f t="shared" si="261"/>
        <v>0</v>
      </c>
      <c r="BO418" s="4284">
        <f t="shared" si="262"/>
        <v>0</v>
      </c>
      <c r="BP418" s="4284">
        <f t="shared" si="263"/>
        <v>0</v>
      </c>
      <c r="BQ418" s="4284">
        <f t="shared" si="264"/>
        <v>0</v>
      </c>
      <c r="BR418" s="4284">
        <f t="shared" si="265"/>
        <v>0</v>
      </c>
      <c r="BS418" s="4284">
        <f t="shared" si="266"/>
        <v>0</v>
      </c>
      <c r="BT418" s="4285">
        <f t="shared" si="267"/>
        <v>0</v>
      </c>
    </row>
    <row r="419" spans="1:72">
      <c r="A419" s="4278"/>
      <c r="B419" s="4279"/>
      <c r="C419" s="4279"/>
      <c r="D419" s="4280"/>
      <c r="E419" s="1188">
        <f t="shared" si="239"/>
        <v>0</v>
      </c>
      <c r="F419" s="1680"/>
      <c r="G419" s="4281">
        <f t="shared" si="240"/>
        <v>0</v>
      </c>
      <c r="H419" s="3457">
        <f t="shared" si="241"/>
        <v>0</v>
      </c>
      <c r="I419" s="4282"/>
      <c r="J419" s="4282"/>
      <c r="K419" s="4282"/>
      <c r="L419" s="4282"/>
      <c r="M419" s="4282"/>
      <c r="N419" s="4282"/>
      <c r="O419" s="4282"/>
      <c r="P419" s="4282"/>
      <c r="Q419" s="4282"/>
      <c r="R419" s="4282"/>
      <c r="S419" s="4282"/>
      <c r="T419" s="4282"/>
      <c r="U419" s="4282"/>
      <c r="V419" s="4282"/>
      <c r="W419" s="4282"/>
      <c r="X419" s="4282"/>
      <c r="Y419" s="4282"/>
      <c r="Z419" s="4282"/>
      <c r="AA419" s="4282"/>
      <c r="AB419" s="4282"/>
      <c r="AC419" s="1188">
        <f t="shared" si="242"/>
        <v>0</v>
      </c>
      <c r="AD419" s="4278"/>
      <c r="AE419" s="4278"/>
      <c r="AF419" s="4278"/>
      <c r="AG419" s="4278"/>
      <c r="AH419" s="4278"/>
      <c r="AI419" s="4278"/>
      <c r="AJ419" s="4278"/>
      <c r="AK419" s="4278"/>
      <c r="AL419" s="4278"/>
      <c r="AM419" s="4278"/>
      <c r="AN419" s="4278"/>
      <c r="AO419" s="4278"/>
      <c r="AP419" s="4278"/>
      <c r="AQ419" s="4278"/>
      <c r="AR419" s="4278"/>
      <c r="AS419" s="4278"/>
      <c r="AT419" s="4279"/>
      <c r="AU419" s="4283"/>
      <c r="AV419" s="1188">
        <f t="shared" si="243"/>
        <v>0</v>
      </c>
      <c r="AW419" s="1188">
        <f t="shared" si="244"/>
        <v>0</v>
      </c>
      <c r="AX419" s="1188">
        <f t="shared" si="245"/>
        <v>0</v>
      </c>
      <c r="AY419" s="1452">
        <f t="shared" si="246"/>
        <v>0</v>
      </c>
      <c r="AZ419" s="4284">
        <f t="shared" si="247"/>
        <v>0</v>
      </c>
      <c r="BA419" s="4284">
        <f t="shared" si="248"/>
        <v>0</v>
      </c>
      <c r="BB419" s="4284">
        <f t="shared" si="249"/>
        <v>0</v>
      </c>
      <c r="BC419" s="4284">
        <f t="shared" si="250"/>
        <v>0</v>
      </c>
      <c r="BD419" s="4284">
        <f t="shared" si="251"/>
        <v>0</v>
      </c>
      <c r="BE419" s="4284">
        <f t="shared" si="252"/>
        <v>0</v>
      </c>
      <c r="BF419" s="4284">
        <f t="shared" si="253"/>
        <v>0</v>
      </c>
      <c r="BG419" s="4284">
        <f t="shared" si="254"/>
        <v>0</v>
      </c>
      <c r="BH419" s="4284">
        <f t="shared" si="255"/>
        <v>0</v>
      </c>
      <c r="BI419" s="4284">
        <f t="shared" si="256"/>
        <v>0</v>
      </c>
      <c r="BJ419" s="4284">
        <f t="shared" si="257"/>
        <v>0</v>
      </c>
      <c r="BK419" s="4284">
        <f t="shared" si="258"/>
        <v>0</v>
      </c>
      <c r="BL419" s="4284">
        <f t="shared" si="259"/>
        <v>0</v>
      </c>
      <c r="BM419" s="4284">
        <f t="shared" si="260"/>
        <v>0</v>
      </c>
      <c r="BN419" s="4284">
        <f t="shared" si="261"/>
        <v>0</v>
      </c>
      <c r="BO419" s="4284">
        <f t="shared" si="262"/>
        <v>0</v>
      </c>
      <c r="BP419" s="4284">
        <f t="shared" si="263"/>
        <v>0</v>
      </c>
      <c r="BQ419" s="4284">
        <f t="shared" si="264"/>
        <v>0</v>
      </c>
      <c r="BR419" s="4284">
        <f t="shared" si="265"/>
        <v>0</v>
      </c>
      <c r="BS419" s="4284">
        <f t="shared" si="266"/>
        <v>0</v>
      </c>
      <c r="BT419" s="4285">
        <f t="shared" si="267"/>
        <v>0</v>
      </c>
    </row>
    <row r="420" spans="1:72">
      <c r="A420" s="4278"/>
      <c r="B420" s="4279"/>
      <c r="C420" s="4279"/>
      <c r="D420" s="4280"/>
      <c r="E420" s="1188">
        <f t="shared" si="239"/>
        <v>0</v>
      </c>
      <c r="F420" s="1680"/>
      <c r="G420" s="4281">
        <f t="shared" si="240"/>
        <v>0</v>
      </c>
      <c r="H420" s="3457">
        <f t="shared" si="241"/>
        <v>0</v>
      </c>
      <c r="I420" s="4282"/>
      <c r="J420" s="4282"/>
      <c r="K420" s="4282"/>
      <c r="L420" s="4282"/>
      <c r="M420" s="4282"/>
      <c r="N420" s="4282"/>
      <c r="O420" s="4282"/>
      <c r="P420" s="4282"/>
      <c r="Q420" s="4282"/>
      <c r="R420" s="4282"/>
      <c r="S420" s="4282"/>
      <c r="T420" s="4282"/>
      <c r="U420" s="4282"/>
      <c r="V420" s="4282"/>
      <c r="W420" s="4282"/>
      <c r="X420" s="4282"/>
      <c r="Y420" s="4282"/>
      <c r="Z420" s="4282"/>
      <c r="AA420" s="4282"/>
      <c r="AB420" s="4282"/>
      <c r="AC420" s="1188">
        <f t="shared" si="242"/>
        <v>0</v>
      </c>
      <c r="AD420" s="4278"/>
      <c r="AE420" s="4278"/>
      <c r="AF420" s="4278"/>
      <c r="AG420" s="4278"/>
      <c r="AH420" s="4278"/>
      <c r="AI420" s="4278"/>
      <c r="AJ420" s="4278"/>
      <c r="AK420" s="4278"/>
      <c r="AL420" s="4278"/>
      <c r="AM420" s="4278"/>
      <c r="AN420" s="4278"/>
      <c r="AO420" s="4278"/>
      <c r="AP420" s="4278"/>
      <c r="AQ420" s="4278"/>
      <c r="AR420" s="4278"/>
      <c r="AS420" s="4278"/>
      <c r="AT420" s="4279"/>
      <c r="AU420" s="4283"/>
      <c r="AV420" s="1188">
        <f t="shared" si="243"/>
        <v>0</v>
      </c>
      <c r="AW420" s="1188">
        <f t="shared" si="244"/>
        <v>0</v>
      </c>
      <c r="AX420" s="1188">
        <f t="shared" si="245"/>
        <v>0</v>
      </c>
      <c r="AY420" s="1452">
        <f t="shared" si="246"/>
        <v>0</v>
      </c>
      <c r="AZ420" s="4284">
        <f t="shared" si="247"/>
        <v>0</v>
      </c>
      <c r="BA420" s="4284">
        <f t="shared" si="248"/>
        <v>0</v>
      </c>
      <c r="BB420" s="4284">
        <f t="shared" si="249"/>
        <v>0</v>
      </c>
      <c r="BC420" s="4284">
        <f t="shared" si="250"/>
        <v>0</v>
      </c>
      <c r="BD420" s="4284">
        <f t="shared" si="251"/>
        <v>0</v>
      </c>
      <c r="BE420" s="4284">
        <f t="shared" si="252"/>
        <v>0</v>
      </c>
      <c r="BF420" s="4284">
        <f t="shared" si="253"/>
        <v>0</v>
      </c>
      <c r="BG420" s="4284">
        <f t="shared" si="254"/>
        <v>0</v>
      </c>
      <c r="BH420" s="4284">
        <f t="shared" si="255"/>
        <v>0</v>
      </c>
      <c r="BI420" s="4284">
        <f t="shared" si="256"/>
        <v>0</v>
      </c>
      <c r="BJ420" s="4284">
        <f t="shared" si="257"/>
        <v>0</v>
      </c>
      <c r="BK420" s="4284">
        <f t="shared" si="258"/>
        <v>0</v>
      </c>
      <c r="BL420" s="4284">
        <f t="shared" si="259"/>
        <v>0</v>
      </c>
      <c r="BM420" s="4284">
        <f t="shared" si="260"/>
        <v>0</v>
      </c>
      <c r="BN420" s="4284">
        <f t="shared" si="261"/>
        <v>0</v>
      </c>
      <c r="BO420" s="4284">
        <f t="shared" si="262"/>
        <v>0</v>
      </c>
      <c r="BP420" s="4284">
        <f t="shared" si="263"/>
        <v>0</v>
      </c>
      <c r="BQ420" s="4284">
        <f t="shared" si="264"/>
        <v>0</v>
      </c>
      <c r="BR420" s="4284">
        <f t="shared" si="265"/>
        <v>0</v>
      </c>
      <c r="BS420" s="4284">
        <f t="shared" si="266"/>
        <v>0</v>
      </c>
      <c r="BT420" s="4285">
        <f t="shared" si="267"/>
        <v>0</v>
      </c>
    </row>
    <row r="421" spans="1:72">
      <c r="A421" s="4278"/>
      <c r="B421" s="4279"/>
      <c r="C421" s="4279"/>
      <c r="D421" s="4280"/>
      <c r="E421" s="1188">
        <f t="shared" si="239"/>
        <v>0</v>
      </c>
      <c r="F421" s="1680"/>
      <c r="G421" s="4281">
        <f t="shared" si="240"/>
        <v>0</v>
      </c>
      <c r="H421" s="3457">
        <f t="shared" si="241"/>
        <v>0</v>
      </c>
      <c r="I421" s="4282"/>
      <c r="J421" s="4282"/>
      <c r="K421" s="4282"/>
      <c r="L421" s="4282"/>
      <c r="M421" s="4282"/>
      <c r="N421" s="4282"/>
      <c r="O421" s="4282"/>
      <c r="P421" s="4282"/>
      <c r="Q421" s="4282"/>
      <c r="R421" s="4282"/>
      <c r="S421" s="4282"/>
      <c r="T421" s="4282"/>
      <c r="U421" s="4282"/>
      <c r="V421" s="4282"/>
      <c r="W421" s="4282"/>
      <c r="X421" s="4282"/>
      <c r="Y421" s="4282"/>
      <c r="Z421" s="4282"/>
      <c r="AA421" s="4282"/>
      <c r="AB421" s="4282"/>
      <c r="AC421" s="1188">
        <f t="shared" si="242"/>
        <v>0</v>
      </c>
      <c r="AD421" s="4278"/>
      <c r="AE421" s="4278"/>
      <c r="AF421" s="4278"/>
      <c r="AG421" s="4278"/>
      <c r="AH421" s="4278"/>
      <c r="AI421" s="4278"/>
      <c r="AJ421" s="4278"/>
      <c r="AK421" s="4278"/>
      <c r="AL421" s="4278"/>
      <c r="AM421" s="4278"/>
      <c r="AN421" s="4278"/>
      <c r="AO421" s="4278"/>
      <c r="AP421" s="4278"/>
      <c r="AQ421" s="4278"/>
      <c r="AR421" s="4278"/>
      <c r="AS421" s="4278"/>
      <c r="AT421" s="4279"/>
      <c r="AU421" s="4283"/>
      <c r="AV421" s="1188">
        <f t="shared" si="243"/>
        <v>0</v>
      </c>
      <c r="AW421" s="1188">
        <f t="shared" si="244"/>
        <v>0</v>
      </c>
      <c r="AX421" s="1188">
        <f t="shared" si="245"/>
        <v>0</v>
      </c>
      <c r="AY421" s="1452">
        <f t="shared" si="246"/>
        <v>0</v>
      </c>
      <c r="AZ421" s="4284">
        <f t="shared" si="247"/>
        <v>0</v>
      </c>
      <c r="BA421" s="4284">
        <f t="shared" si="248"/>
        <v>0</v>
      </c>
      <c r="BB421" s="4284">
        <f t="shared" si="249"/>
        <v>0</v>
      </c>
      <c r="BC421" s="4284">
        <f t="shared" si="250"/>
        <v>0</v>
      </c>
      <c r="BD421" s="4284">
        <f t="shared" si="251"/>
        <v>0</v>
      </c>
      <c r="BE421" s="4284">
        <f t="shared" si="252"/>
        <v>0</v>
      </c>
      <c r="BF421" s="4284">
        <f t="shared" si="253"/>
        <v>0</v>
      </c>
      <c r="BG421" s="4284">
        <f t="shared" si="254"/>
        <v>0</v>
      </c>
      <c r="BH421" s="4284">
        <f t="shared" si="255"/>
        <v>0</v>
      </c>
      <c r="BI421" s="4284">
        <f t="shared" si="256"/>
        <v>0</v>
      </c>
      <c r="BJ421" s="4284">
        <f t="shared" si="257"/>
        <v>0</v>
      </c>
      <c r="BK421" s="4284">
        <f t="shared" si="258"/>
        <v>0</v>
      </c>
      <c r="BL421" s="4284">
        <f t="shared" si="259"/>
        <v>0</v>
      </c>
      <c r="BM421" s="4284">
        <f t="shared" si="260"/>
        <v>0</v>
      </c>
      <c r="BN421" s="4284">
        <f t="shared" si="261"/>
        <v>0</v>
      </c>
      <c r="BO421" s="4284">
        <f t="shared" si="262"/>
        <v>0</v>
      </c>
      <c r="BP421" s="4284">
        <f t="shared" si="263"/>
        <v>0</v>
      </c>
      <c r="BQ421" s="4284">
        <f t="shared" si="264"/>
        <v>0</v>
      </c>
      <c r="BR421" s="4284">
        <f t="shared" si="265"/>
        <v>0</v>
      </c>
      <c r="BS421" s="4284">
        <f t="shared" si="266"/>
        <v>0</v>
      </c>
      <c r="BT421" s="4285">
        <f t="shared" si="267"/>
        <v>0</v>
      </c>
    </row>
    <row r="422" spans="1:72">
      <c r="A422" s="4278"/>
      <c r="B422" s="4279"/>
      <c r="C422" s="4279"/>
      <c r="D422" s="4280"/>
      <c r="E422" s="1188">
        <f t="shared" si="239"/>
        <v>0</v>
      </c>
      <c r="F422" s="1680"/>
      <c r="G422" s="4281">
        <f t="shared" si="240"/>
        <v>0</v>
      </c>
      <c r="H422" s="3457">
        <f t="shared" si="241"/>
        <v>0</v>
      </c>
      <c r="I422" s="4282"/>
      <c r="J422" s="4282"/>
      <c r="K422" s="4282"/>
      <c r="L422" s="4282"/>
      <c r="M422" s="4282"/>
      <c r="N422" s="4282"/>
      <c r="O422" s="4282"/>
      <c r="P422" s="4282"/>
      <c r="Q422" s="4282"/>
      <c r="R422" s="4282"/>
      <c r="S422" s="4282"/>
      <c r="T422" s="4282"/>
      <c r="U422" s="4282"/>
      <c r="V422" s="4282"/>
      <c r="W422" s="4282"/>
      <c r="X422" s="4282"/>
      <c r="Y422" s="4282"/>
      <c r="Z422" s="4282"/>
      <c r="AA422" s="4282"/>
      <c r="AB422" s="4282"/>
      <c r="AC422" s="1188">
        <f t="shared" si="242"/>
        <v>0</v>
      </c>
      <c r="AD422" s="4278"/>
      <c r="AE422" s="4278"/>
      <c r="AF422" s="4278"/>
      <c r="AG422" s="4278"/>
      <c r="AH422" s="4278"/>
      <c r="AI422" s="4278"/>
      <c r="AJ422" s="4278"/>
      <c r="AK422" s="4278"/>
      <c r="AL422" s="4278"/>
      <c r="AM422" s="4278"/>
      <c r="AN422" s="4278"/>
      <c r="AO422" s="4278"/>
      <c r="AP422" s="4278"/>
      <c r="AQ422" s="4278"/>
      <c r="AR422" s="4278"/>
      <c r="AS422" s="4278"/>
      <c r="AT422" s="4279"/>
      <c r="AU422" s="4283"/>
      <c r="AV422" s="1188">
        <f t="shared" si="243"/>
        <v>0</v>
      </c>
      <c r="AW422" s="1188">
        <f t="shared" si="244"/>
        <v>0</v>
      </c>
      <c r="AX422" s="1188">
        <f t="shared" si="245"/>
        <v>0</v>
      </c>
      <c r="AY422" s="1452">
        <f t="shared" si="246"/>
        <v>0</v>
      </c>
      <c r="AZ422" s="4284">
        <f t="shared" si="247"/>
        <v>0</v>
      </c>
      <c r="BA422" s="4284">
        <f t="shared" si="248"/>
        <v>0</v>
      </c>
      <c r="BB422" s="4284">
        <f t="shared" si="249"/>
        <v>0</v>
      </c>
      <c r="BC422" s="4284">
        <f t="shared" si="250"/>
        <v>0</v>
      </c>
      <c r="BD422" s="4284">
        <f t="shared" si="251"/>
        <v>0</v>
      </c>
      <c r="BE422" s="4284">
        <f t="shared" si="252"/>
        <v>0</v>
      </c>
      <c r="BF422" s="4284">
        <f t="shared" si="253"/>
        <v>0</v>
      </c>
      <c r="BG422" s="4284">
        <f t="shared" si="254"/>
        <v>0</v>
      </c>
      <c r="BH422" s="4284">
        <f t="shared" si="255"/>
        <v>0</v>
      </c>
      <c r="BI422" s="4284">
        <f t="shared" si="256"/>
        <v>0</v>
      </c>
      <c r="BJ422" s="4284">
        <f t="shared" si="257"/>
        <v>0</v>
      </c>
      <c r="BK422" s="4284">
        <f t="shared" si="258"/>
        <v>0</v>
      </c>
      <c r="BL422" s="4284">
        <f t="shared" si="259"/>
        <v>0</v>
      </c>
      <c r="BM422" s="4284">
        <f t="shared" si="260"/>
        <v>0</v>
      </c>
      <c r="BN422" s="4284">
        <f t="shared" si="261"/>
        <v>0</v>
      </c>
      <c r="BO422" s="4284">
        <f t="shared" si="262"/>
        <v>0</v>
      </c>
      <c r="BP422" s="4284">
        <f t="shared" si="263"/>
        <v>0</v>
      </c>
      <c r="BQ422" s="4284">
        <f t="shared" si="264"/>
        <v>0</v>
      </c>
      <c r="BR422" s="4284">
        <f t="shared" si="265"/>
        <v>0</v>
      </c>
      <c r="BS422" s="4284">
        <f t="shared" si="266"/>
        <v>0</v>
      </c>
      <c r="BT422" s="4285">
        <f t="shared" si="267"/>
        <v>0</v>
      </c>
    </row>
    <row r="423" spans="1:72">
      <c r="A423" s="4278"/>
      <c r="B423" s="4279"/>
      <c r="C423" s="4279"/>
      <c r="D423" s="4280"/>
      <c r="E423" s="1188">
        <f t="shared" si="239"/>
        <v>0</v>
      </c>
      <c r="F423" s="1680"/>
      <c r="G423" s="4281">
        <f t="shared" si="240"/>
        <v>0</v>
      </c>
      <c r="H423" s="3457">
        <f t="shared" si="241"/>
        <v>0</v>
      </c>
      <c r="I423" s="4282"/>
      <c r="J423" s="4282"/>
      <c r="K423" s="4282"/>
      <c r="L423" s="4282"/>
      <c r="M423" s="4282"/>
      <c r="N423" s="4282"/>
      <c r="O423" s="4282"/>
      <c r="P423" s="4282"/>
      <c r="Q423" s="4282"/>
      <c r="R423" s="4282"/>
      <c r="S423" s="4282"/>
      <c r="T423" s="4282"/>
      <c r="U423" s="4282"/>
      <c r="V423" s="4282"/>
      <c r="W423" s="4282"/>
      <c r="X423" s="4282"/>
      <c r="Y423" s="4282"/>
      <c r="Z423" s="4282"/>
      <c r="AA423" s="4282"/>
      <c r="AB423" s="4282"/>
      <c r="AC423" s="1188">
        <f t="shared" si="242"/>
        <v>0</v>
      </c>
      <c r="AD423" s="4278"/>
      <c r="AE423" s="4278"/>
      <c r="AF423" s="4278"/>
      <c r="AG423" s="4278"/>
      <c r="AH423" s="4278"/>
      <c r="AI423" s="4278"/>
      <c r="AJ423" s="4278"/>
      <c r="AK423" s="4278"/>
      <c r="AL423" s="4278"/>
      <c r="AM423" s="4278"/>
      <c r="AN423" s="4278"/>
      <c r="AO423" s="4278"/>
      <c r="AP423" s="4278"/>
      <c r="AQ423" s="4278"/>
      <c r="AR423" s="4278"/>
      <c r="AS423" s="4278"/>
      <c r="AT423" s="4279"/>
      <c r="AU423" s="4283"/>
      <c r="AV423" s="1188">
        <f t="shared" si="243"/>
        <v>0</v>
      </c>
      <c r="AW423" s="1188">
        <f t="shared" si="244"/>
        <v>0</v>
      </c>
      <c r="AX423" s="1188">
        <f t="shared" si="245"/>
        <v>0</v>
      </c>
      <c r="AY423" s="1452">
        <f t="shared" si="246"/>
        <v>0</v>
      </c>
      <c r="AZ423" s="4284">
        <f t="shared" si="247"/>
        <v>0</v>
      </c>
      <c r="BA423" s="4284">
        <f t="shared" si="248"/>
        <v>0</v>
      </c>
      <c r="BB423" s="4284">
        <f t="shared" si="249"/>
        <v>0</v>
      </c>
      <c r="BC423" s="4284">
        <f t="shared" si="250"/>
        <v>0</v>
      </c>
      <c r="BD423" s="4284">
        <f t="shared" si="251"/>
        <v>0</v>
      </c>
      <c r="BE423" s="4284">
        <f t="shared" si="252"/>
        <v>0</v>
      </c>
      <c r="BF423" s="4284">
        <f t="shared" si="253"/>
        <v>0</v>
      </c>
      <c r="BG423" s="4284">
        <f t="shared" si="254"/>
        <v>0</v>
      </c>
      <c r="BH423" s="4284">
        <f t="shared" si="255"/>
        <v>0</v>
      </c>
      <c r="BI423" s="4284">
        <f t="shared" si="256"/>
        <v>0</v>
      </c>
      <c r="BJ423" s="4284">
        <f t="shared" si="257"/>
        <v>0</v>
      </c>
      <c r="BK423" s="4284">
        <f t="shared" si="258"/>
        <v>0</v>
      </c>
      <c r="BL423" s="4284">
        <f t="shared" si="259"/>
        <v>0</v>
      </c>
      <c r="BM423" s="4284">
        <f t="shared" si="260"/>
        <v>0</v>
      </c>
      <c r="BN423" s="4284">
        <f t="shared" si="261"/>
        <v>0</v>
      </c>
      <c r="BO423" s="4284">
        <f t="shared" si="262"/>
        <v>0</v>
      </c>
      <c r="BP423" s="4284">
        <f t="shared" si="263"/>
        <v>0</v>
      </c>
      <c r="BQ423" s="4284">
        <f t="shared" si="264"/>
        <v>0</v>
      </c>
      <c r="BR423" s="4284">
        <f t="shared" si="265"/>
        <v>0</v>
      </c>
      <c r="BS423" s="4284">
        <f t="shared" si="266"/>
        <v>0</v>
      </c>
      <c r="BT423" s="4285">
        <f t="shared" si="267"/>
        <v>0</v>
      </c>
    </row>
    <row r="424" spans="1:72">
      <c r="A424" s="4278"/>
      <c r="B424" s="4279"/>
      <c r="C424" s="4279"/>
      <c r="D424" s="4280"/>
      <c r="E424" s="1188">
        <f t="shared" si="239"/>
        <v>0</v>
      </c>
      <c r="F424" s="1680"/>
      <c r="G424" s="4281">
        <f t="shared" si="240"/>
        <v>0</v>
      </c>
      <c r="H424" s="3457">
        <f t="shared" si="241"/>
        <v>0</v>
      </c>
      <c r="I424" s="4282"/>
      <c r="J424" s="4282"/>
      <c r="K424" s="4282"/>
      <c r="L424" s="4282"/>
      <c r="M424" s="4282"/>
      <c r="N424" s="4282"/>
      <c r="O424" s="4282"/>
      <c r="P424" s="4282"/>
      <c r="Q424" s="4282"/>
      <c r="R424" s="4282"/>
      <c r="S424" s="4282"/>
      <c r="T424" s="4282"/>
      <c r="U424" s="4282"/>
      <c r="V424" s="4282"/>
      <c r="W424" s="4282"/>
      <c r="X424" s="4282"/>
      <c r="Y424" s="4282"/>
      <c r="Z424" s="4282"/>
      <c r="AA424" s="4282"/>
      <c r="AB424" s="4282"/>
      <c r="AC424" s="1188">
        <f t="shared" si="242"/>
        <v>0</v>
      </c>
      <c r="AD424" s="4278"/>
      <c r="AE424" s="4278"/>
      <c r="AF424" s="4278"/>
      <c r="AG424" s="4278"/>
      <c r="AH424" s="4278"/>
      <c r="AI424" s="4278"/>
      <c r="AJ424" s="4278"/>
      <c r="AK424" s="4278"/>
      <c r="AL424" s="4278"/>
      <c r="AM424" s="4278"/>
      <c r="AN424" s="4278"/>
      <c r="AO424" s="4278"/>
      <c r="AP424" s="4278"/>
      <c r="AQ424" s="4278"/>
      <c r="AR424" s="4278"/>
      <c r="AS424" s="4278"/>
      <c r="AT424" s="4279"/>
      <c r="AU424" s="4283"/>
      <c r="AV424" s="1188">
        <f t="shared" si="243"/>
        <v>0</v>
      </c>
      <c r="AW424" s="1188">
        <f t="shared" si="244"/>
        <v>0</v>
      </c>
      <c r="AX424" s="1188">
        <f t="shared" si="245"/>
        <v>0</v>
      </c>
      <c r="AY424" s="1452">
        <f t="shared" si="246"/>
        <v>0</v>
      </c>
      <c r="AZ424" s="4284">
        <f t="shared" si="247"/>
        <v>0</v>
      </c>
      <c r="BA424" s="4284">
        <f t="shared" si="248"/>
        <v>0</v>
      </c>
      <c r="BB424" s="4284">
        <f t="shared" si="249"/>
        <v>0</v>
      </c>
      <c r="BC424" s="4284">
        <f t="shared" si="250"/>
        <v>0</v>
      </c>
      <c r="BD424" s="4284">
        <f t="shared" si="251"/>
        <v>0</v>
      </c>
      <c r="BE424" s="4284">
        <f t="shared" si="252"/>
        <v>0</v>
      </c>
      <c r="BF424" s="4284">
        <f t="shared" si="253"/>
        <v>0</v>
      </c>
      <c r="BG424" s="4284">
        <f t="shared" si="254"/>
        <v>0</v>
      </c>
      <c r="BH424" s="4284">
        <f t="shared" si="255"/>
        <v>0</v>
      </c>
      <c r="BI424" s="4284">
        <f t="shared" si="256"/>
        <v>0</v>
      </c>
      <c r="BJ424" s="4284">
        <f t="shared" si="257"/>
        <v>0</v>
      </c>
      <c r="BK424" s="4284">
        <f t="shared" si="258"/>
        <v>0</v>
      </c>
      <c r="BL424" s="4284">
        <f t="shared" si="259"/>
        <v>0</v>
      </c>
      <c r="BM424" s="4284">
        <f t="shared" si="260"/>
        <v>0</v>
      </c>
      <c r="BN424" s="4284">
        <f t="shared" si="261"/>
        <v>0</v>
      </c>
      <c r="BO424" s="4284">
        <f t="shared" si="262"/>
        <v>0</v>
      </c>
      <c r="BP424" s="4284">
        <f t="shared" si="263"/>
        <v>0</v>
      </c>
      <c r="BQ424" s="4284">
        <f t="shared" si="264"/>
        <v>0</v>
      </c>
      <c r="BR424" s="4284">
        <f t="shared" si="265"/>
        <v>0</v>
      </c>
      <c r="BS424" s="4284">
        <f t="shared" si="266"/>
        <v>0</v>
      </c>
      <c r="BT424" s="4285">
        <f t="shared" si="267"/>
        <v>0</v>
      </c>
    </row>
    <row r="425" spans="1:72">
      <c r="A425" s="4278"/>
      <c r="B425" s="4279"/>
      <c r="C425" s="4279"/>
      <c r="D425" s="4280"/>
      <c r="E425" s="1188">
        <f t="shared" si="239"/>
        <v>0</v>
      </c>
      <c r="F425" s="1680"/>
      <c r="G425" s="4281">
        <f t="shared" si="240"/>
        <v>0</v>
      </c>
      <c r="H425" s="3457">
        <f t="shared" si="241"/>
        <v>0</v>
      </c>
      <c r="I425" s="4282"/>
      <c r="J425" s="4282"/>
      <c r="K425" s="4282"/>
      <c r="L425" s="4282"/>
      <c r="M425" s="4282"/>
      <c r="N425" s="4282"/>
      <c r="O425" s="4282"/>
      <c r="P425" s="4282"/>
      <c r="Q425" s="4282"/>
      <c r="R425" s="4282"/>
      <c r="S425" s="4282"/>
      <c r="T425" s="4282"/>
      <c r="U425" s="4282"/>
      <c r="V425" s="4282"/>
      <c r="W425" s="4282"/>
      <c r="X425" s="4282"/>
      <c r="Y425" s="4282"/>
      <c r="Z425" s="4282"/>
      <c r="AA425" s="4282"/>
      <c r="AB425" s="4282"/>
      <c r="AC425" s="1188">
        <f t="shared" si="242"/>
        <v>0</v>
      </c>
      <c r="AD425" s="4278"/>
      <c r="AE425" s="4278"/>
      <c r="AF425" s="4278"/>
      <c r="AG425" s="4278"/>
      <c r="AH425" s="4278"/>
      <c r="AI425" s="4278"/>
      <c r="AJ425" s="4278"/>
      <c r="AK425" s="4278"/>
      <c r="AL425" s="4278"/>
      <c r="AM425" s="4278"/>
      <c r="AN425" s="4278"/>
      <c r="AO425" s="4278"/>
      <c r="AP425" s="4278"/>
      <c r="AQ425" s="4278"/>
      <c r="AR425" s="4278"/>
      <c r="AS425" s="4278"/>
      <c r="AT425" s="4279"/>
      <c r="AU425" s="4283"/>
      <c r="AV425" s="1188">
        <f t="shared" si="243"/>
        <v>0</v>
      </c>
      <c r="AW425" s="1188">
        <f t="shared" si="244"/>
        <v>0</v>
      </c>
      <c r="AX425" s="1188">
        <f t="shared" si="245"/>
        <v>0</v>
      </c>
      <c r="AY425" s="1452">
        <f t="shared" si="246"/>
        <v>0</v>
      </c>
      <c r="AZ425" s="4284">
        <f t="shared" si="247"/>
        <v>0</v>
      </c>
      <c r="BA425" s="4284">
        <f t="shared" si="248"/>
        <v>0</v>
      </c>
      <c r="BB425" s="4284">
        <f t="shared" si="249"/>
        <v>0</v>
      </c>
      <c r="BC425" s="4284">
        <f t="shared" si="250"/>
        <v>0</v>
      </c>
      <c r="BD425" s="4284">
        <f t="shared" si="251"/>
        <v>0</v>
      </c>
      <c r="BE425" s="4284">
        <f t="shared" si="252"/>
        <v>0</v>
      </c>
      <c r="BF425" s="4284">
        <f t="shared" si="253"/>
        <v>0</v>
      </c>
      <c r="BG425" s="4284">
        <f t="shared" si="254"/>
        <v>0</v>
      </c>
      <c r="BH425" s="4284">
        <f t="shared" si="255"/>
        <v>0</v>
      </c>
      <c r="BI425" s="4284">
        <f t="shared" si="256"/>
        <v>0</v>
      </c>
      <c r="BJ425" s="4284">
        <f t="shared" si="257"/>
        <v>0</v>
      </c>
      <c r="BK425" s="4284">
        <f t="shared" si="258"/>
        <v>0</v>
      </c>
      <c r="BL425" s="4284">
        <f t="shared" si="259"/>
        <v>0</v>
      </c>
      <c r="BM425" s="4284">
        <f t="shared" si="260"/>
        <v>0</v>
      </c>
      <c r="BN425" s="4284">
        <f t="shared" si="261"/>
        <v>0</v>
      </c>
      <c r="BO425" s="4284">
        <f t="shared" si="262"/>
        <v>0</v>
      </c>
      <c r="BP425" s="4284">
        <f t="shared" si="263"/>
        <v>0</v>
      </c>
      <c r="BQ425" s="4284">
        <f t="shared" si="264"/>
        <v>0</v>
      </c>
      <c r="BR425" s="4284">
        <f t="shared" si="265"/>
        <v>0</v>
      </c>
      <c r="BS425" s="4284">
        <f t="shared" si="266"/>
        <v>0</v>
      </c>
      <c r="BT425" s="4285">
        <f t="shared" si="267"/>
        <v>0</v>
      </c>
    </row>
    <row r="426" spans="1:72">
      <c r="A426" s="4278"/>
      <c r="B426" s="4279"/>
      <c r="C426" s="4279"/>
      <c r="D426" s="4280"/>
      <c r="E426" s="1188">
        <f t="shared" si="239"/>
        <v>0</v>
      </c>
      <c r="F426" s="1680"/>
      <c r="G426" s="4281">
        <f t="shared" si="240"/>
        <v>0</v>
      </c>
      <c r="H426" s="3457">
        <f t="shared" si="241"/>
        <v>0</v>
      </c>
      <c r="I426" s="4282"/>
      <c r="J426" s="4282"/>
      <c r="K426" s="4282"/>
      <c r="L426" s="4282"/>
      <c r="M426" s="4282"/>
      <c r="N426" s="4282"/>
      <c r="O426" s="4282"/>
      <c r="P426" s="4282"/>
      <c r="Q426" s="4282"/>
      <c r="R426" s="4282"/>
      <c r="S426" s="4282"/>
      <c r="T426" s="4282"/>
      <c r="U426" s="4282"/>
      <c r="V426" s="4282"/>
      <c r="W426" s="4282"/>
      <c r="X426" s="4282"/>
      <c r="Y426" s="4282"/>
      <c r="Z426" s="4282"/>
      <c r="AA426" s="4282"/>
      <c r="AB426" s="4282"/>
      <c r="AC426" s="1188">
        <f t="shared" si="242"/>
        <v>0</v>
      </c>
      <c r="AD426" s="4278"/>
      <c r="AE426" s="4278"/>
      <c r="AF426" s="4278"/>
      <c r="AG426" s="4278"/>
      <c r="AH426" s="4278"/>
      <c r="AI426" s="4278"/>
      <c r="AJ426" s="4278"/>
      <c r="AK426" s="4278"/>
      <c r="AL426" s="4278"/>
      <c r="AM426" s="4278"/>
      <c r="AN426" s="4278"/>
      <c r="AO426" s="4278"/>
      <c r="AP426" s="4278"/>
      <c r="AQ426" s="4278"/>
      <c r="AR426" s="4278"/>
      <c r="AS426" s="4278"/>
      <c r="AT426" s="4279"/>
      <c r="AU426" s="4283"/>
      <c r="AV426" s="1188">
        <f t="shared" si="243"/>
        <v>0</v>
      </c>
      <c r="AW426" s="1188">
        <f t="shared" si="244"/>
        <v>0</v>
      </c>
      <c r="AX426" s="1188">
        <f t="shared" si="245"/>
        <v>0</v>
      </c>
      <c r="AY426" s="1452">
        <f t="shared" si="246"/>
        <v>0</v>
      </c>
      <c r="AZ426" s="4284">
        <f t="shared" si="247"/>
        <v>0</v>
      </c>
      <c r="BA426" s="4284">
        <f t="shared" si="248"/>
        <v>0</v>
      </c>
      <c r="BB426" s="4284">
        <f t="shared" si="249"/>
        <v>0</v>
      </c>
      <c r="BC426" s="4284">
        <f t="shared" si="250"/>
        <v>0</v>
      </c>
      <c r="BD426" s="4284">
        <f t="shared" si="251"/>
        <v>0</v>
      </c>
      <c r="BE426" s="4284">
        <f t="shared" si="252"/>
        <v>0</v>
      </c>
      <c r="BF426" s="4284">
        <f t="shared" si="253"/>
        <v>0</v>
      </c>
      <c r="BG426" s="4284">
        <f t="shared" si="254"/>
        <v>0</v>
      </c>
      <c r="BH426" s="4284">
        <f t="shared" si="255"/>
        <v>0</v>
      </c>
      <c r="BI426" s="4284">
        <f t="shared" si="256"/>
        <v>0</v>
      </c>
      <c r="BJ426" s="4284">
        <f t="shared" si="257"/>
        <v>0</v>
      </c>
      <c r="BK426" s="4284">
        <f t="shared" si="258"/>
        <v>0</v>
      </c>
      <c r="BL426" s="4284">
        <f t="shared" si="259"/>
        <v>0</v>
      </c>
      <c r="BM426" s="4284">
        <f t="shared" si="260"/>
        <v>0</v>
      </c>
      <c r="BN426" s="4284">
        <f t="shared" si="261"/>
        <v>0</v>
      </c>
      <c r="BO426" s="4284">
        <f t="shared" si="262"/>
        <v>0</v>
      </c>
      <c r="BP426" s="4284">
        <f t="shared" si="263"/>
        <v>0</v>
      </c>
      <c r="BQ426" s="4284">
        <f t="shared" si="264"/>
        <v>0</v>
      </c>
      <c r="BR426" s="4284">
        <f t="shared" si="265"/>
        <v>0</v>
      </c>
      <c r="BS426" s="4284">
        <f t="shared" si="266"/>
        <v>0</v>
      </c>
      <c r="BT426" s="4285">
        <f t="shared" si="267"/>
        <v>0</v>
      </c>
    </row>
    <row r="427" spans="1:72">
      <c r="A427" s="4278"/>
      <c r="B427" s="4279"/>
      <c r="C427" s="4279"/>
      <c r="D427" s="4280"/>
      <c r="E427" s="1188">
        <f t="shared" si="239"/>
        <v>0</v>
      </c>
      <c r="F427" s="1680"/>
      <c r="G427" s="4281">
        <f t="shared" si="240"/>
        <v>0</v>
      </c>
      <c r="H427" s="3457">
        <f t="shared" si="241"/>
        <v>0</v>
      </c>
      <c r="I427" s="4282"/>
      <c r="J427" s="4282"/>
      <c r="K427" s="4282"/>
      <c r="L427" s="4282"/>
      <c r="M427" s="4282"/>
      <c r="N427" s="4282"/>
      <c r="O427" s="4282"/>
      <c r="P427" s="4282"/>
      <c r="Q427" s="4282"/>
      <c r="R427" s="4282"/>
      <c r="S427" s="4282"/>
      <c r="T427" s="4282"/>
      <c r="U427" s="4282"/>
      <c r="V427" s="4282"/>
      <c r="W427" s="4282"/>
      <c r="X427" s="4282"/>
      <c r="Y427" s="4282"/>
      <c r="Z427" s="4282"/>
      <c r="AA427" s="4282"/>
      <c r="AB427" s="4282"/>
      <c r="AC427" s="1188">
        <f t="shared" si="242"/>
        <v>0</v>
      </c>
      <c r="AD427" s="4278"/>
      <c r="AE427" s="4278"/>
      <c r="AF427" s="4278"/>
      <c r="AG427" s="4278"/>
      <c r="AH427" s="4278"/>
      <c r="AI427" s="4278"/>
      <c r="AJ427" s="4278"/>
      <c r="AK427" s="4278"/>
      <c r="AL427" s="4278"/>
      <c r="AM427" s="4278"/>
      <c r="AN427" s="4278"/>
      <c r="AO427" s="4278"/>
      <c r="AP427" s="4278"/>
      <c r="AQ427" s="4278"/>
      <c r="AR427" s="4278"/>
      <c r="AS427" s="4278"/>
      <c r="AT427" s="4279"/>
      <c r="AU427" s="4283"/>
      <c r="AV427" s="1188">
        <f t="shared" si="243"/>
        <v>0</v>
      </c>
      <c r="AW427" s="1188">
        <f t="shared" si="244"/>
        <v>0</v>
      </c>
      <c r="AX427" s="1188">
        <f t="shared" si="245"/>
        <v>0</v>
      </c>
      <c r="AY427" s="1452">
        <f t="shared" si="246"/>
        <v>0</v>
      </c>
      <c r="AZ427" s="4284">
        <f t="shared" si="247"/>
        <v>0</v>
      </c>
      <c r="BA427" s="4284">
        <f t="shared" si="248"/>
        <v>0</v>
      </c>
      <c r="BB427" s="4284">
        <f t="shared" si="249"/>
        <v>0</v>
      </c>
      <c r="BC427" s="4284">
        <f t="shared" si="250"/>
        <v>0</v>
      </c>
      <c r="BD427" s="4284">
        <f t="shared" si="251"/>
        <v>0</v>
      </c>
      <c r="BE427" s="4284">
        <f t="shared" si="252"/>
        <v>0</v>
      </c>
      <c r="BF427" s="4284">
        <f t="shared" si="253"/>
        <v>0</v>
      </c>
      <c r="BG427" s="4284">
        <f t="shared" si="254"/>
        <v>0</v>
      </c>
      <c r="BH427" s="4284">
        <f t="shared" si="255"/>
        <v>0</v>
      </c>
      <c r="BI427" s="4284">
        <f t="shared" si="256"/>
        <v>0</v>
      </c>
      <c r="BJ427" s="4284">
        <f t="shared" si="257"/>
        <v>0</v>
      </c>
      <c r="BK427" s="4284">
        <f t="shared" si="258"/>
        <v>0</v>
      </c>
      <c r="BL427" s="4284">
        <f t="shared" si="259"/>
        <v>0</v>
      </c>
      <c r="BM427" s="4284">
        <f t="shared" si="260"/>
        <v>0</v>
      </c>
      <c r="BN427" s="4284">
        <f t="shared" si="261"/>
        <v>0</v>
      </c>
      <c r="BO427" s="4284">
        <f t="shared" si="262"/>
        <v>0</v>
      </c>
      <c r="BP427" s="4284">
        <f t="shared" si="263"/>
        <v>0</v>
      </c>
      <c r="BQ427" s="4284">
        <f t="shared" si="264"/>
        <v>0</v>
      </c>
      <c r="BR427" s="4284">
        <f t="shared" si="265"/>
        <v>0</v>
      </c>
      <c r="BS427" s="4284">
        <f t="shared" si="266"/>
        <v>0</v>
      </c>
      <c r="BT427" s="4285">
        <f t="shared" si="267"/>
        <v>0</v>
      </c>
    </row>
    <row r="428" spans="1:72">
      <c r="A428" s="4278"/>
      <c r="B428" s="4279"/>
      <c r="C428" s="4279"/>
      <c r="D428" s="4280"/>
      <c r="E428" s="1188">
        <f t="shared" si="239"/>
        <v>0</v>
      </c>
      <c r="F428" s="1680"/>
      <c r="G428" s="4281">
        <f t="shared" si="240"/>
        <v>0</v>
      </c>
      <c r="H428" s="3457">
        <f t="shared" si="241"/>
        <v>0</v>
      </c>
      <c r="I428" s="4282"/>
      <c r="J428" s="4282"/>
      <c r="K428" s="4282"/>
      <c r="L428" s="4282"/>
      <c r="M428" s="4282"/>
      <c r="N428" s="4282"/>
      <c r="O428" s="4282"/>
      <c r="P428" s="4282"/>
      <c r="Q428" s="4282"/>
      <c r="R428" s="4282"/>
      <c r="S428" s="4282"/>
      <c r="T428" s="4282"/>
      <c r="U428" s="4282"/>
      <c r="V428" s="4282"/>
      <c r="W428" s="4282"/>
      <c r="X428" s="4282"/>
      <c r="Y428" s="4282"/>
      <c r="Z428" s="4282"/>
      <c r="AA428" s="4282"/>
      <c r="AB428" s="4282"/>
      <c r="AC428" s="1188">
        <f t="shared" si="242"/>
        <v>0</v>
      </c>
      <c r="AD428" s="4278"/>
      <c r="AE428" s="4278"/>
      <c r="AF428" s="4278"/>
      <c r="AG428" s="4278"/>
      <c r="AH428" s="4278"/>
      <c r="AI428" s="4278"/>
      <c r="AJ428" s="4278"/>
      <c r="AK428" s="4278"/>
      <c r="AL428" s="4278"/>
      <c r="AM428" s="4278"/>
      <c r="AN428" s="4278"/>
      <c r="AO428" s="4278"/>
      <c r="AP428" s="4278"/>
      <c r="AQ428" s="4278"/>
      <c r="AR428" s="4278"/>
      <c r="AS428" s="4278"/>
      <c r="AT428" s="4279"/>
      <c r="AU428" s="4283"/>
      <c r="AV428" s="1188">
        <f t="shared" si="243"/>
        <v>0</v>
      </c>
      <c r="AW428" s="1188">
        <f t="shared" si="244"/>
        <v>0</v>
      </c>
      <c r="AX428" s="1188">
        <f t="shared" si="245"/>
        <v>0</v>
      </c>
      <c r="AY428" s="1452">
        <f t="shared" si="246"/>
        <v>0</v>
      </c>
      <c r="AZ428" s="4284">
        <f t="shared" si="247"/>
        <v>0</v>
      </c>
      <c r="BA428" s="4284">
        <f t="shared" si="248"/>
        <v>0</v>
      </c>
      <c r="BB428" s="4284">
        <f t="shared" si="249"/>
        <v>0</v>
      </c>
      <c r="BC428" s="4284">
        <f t="shared" si="250"/>
        <v>0</v>
      </c>
      <c r="BD428" s="4284">
        <f t="shared" si="251"/>
        <v>0</v>
      </c>
      <c r="BE428" s="4284">
        <f t="shared" si="252"/>
        <v>0</v>
      </c>
      <c r="BF428" s="4284">
        <f t="shared" si="253"/>
        <v>0</v>
      </c>
      <c r="BG428" s="4284">
        <f t="shared" si="254"/>
        <v>0</v>
      </c>
      <c r="BH428" s="4284">
        <f t="shared" si="255"/>
        <v>0</v>
      </c>
      <c r="BI428" s="4284">
        <f t="shared" si="256"/>
        <v>0</v>
      </c>
      <c r="BJ428" s="4284">
        <f t="shared" si="257"/>
        <v>0</v>
      </c>
      <c r="BK428" s="4284">
        <f t="shared" si="258"/>
        <v>0</v>
      </c>
      <c r="BL428" s="4284">
        <f t="shared" si="259"/>
        <v>0</v>
      </c>
      <c r="BM428" s="4284">
        <f t="shared" si="260"/>
        <v>0</v>
      </c>
      <c r="BN428" s="4284">
        <f t="shared" si="261"/>
        <v>0</v>
      </c>
      <c r="BO428" s="4284">
        <f t="shared" si="262"/>
        <v>0</v>
      </c>
      <c r="BP428" s="4284">
        <f t="shared" si="263"/>
        <v>0</v>
      </c>
      <c r="BQ428" s="4284">
        <f t="shared" si="264"/>
        <v>0</v>
      </c>
      <c r="BR428" s="4284">
        <f t="shared" si="265"/>
        <v>0</v>
      </c>
      <c r="BS428" s="4284">
        <f t="shared" si="266"/>
        <v>0</v>
      </c>
      <c r="BT428" s="4285">
        <f t="shared" si="267"/>
        <v>0</v>
      </c>
    </row>
    <row r="429" spans="1:72">
      <c r="A429" s="4278"/>
      <c r="B429" s="4279"/>
      <c r="C429" s="4279"/>
      <c r="D429" s="4280"/>
      <c r="E429" s="1188">
        <f t="shared" si="239"/>
        <v>0</v>
      </c>
      <c r="F429" s="1680"/>
      <c r="G429" s="4281">
        <f t="shared" si="240"/>
        <v>0</v>
      </c>
      <c r="H429" s="3457">
        <f t="shared" si="241"/>
        <v>0</v>
      </c>
      <c r="I429" s="4282"/>
      <c r="J429" s="4282"/>
      <c r="K429" s="4282"/>
      <c r="L429" s="4282"/>
      <c r="M429" s="4282"/>
      <c r="N429" s="4282"/>
      <c r="O429" s="4282"/>
      <c r="P429" s="4282"/>
      <c r="Q429" s="4282"/>
      <c r="R429" s="4282"/>
      <c r="S429" s="4282"/>
      <c r="T429" s="4282"/>
      <c r="U429" s="4282"/>
      <c r="V429" s="4282"/>
      <c r="W429" s="4282"/>
      <c r="X429" s="4282"/>
      <c r="Y429" s="4282"/>
      <c r="Z429" s="4282"/>
      <c r="AA429" s="4282"/>
      <c r="AB429" s="4282"/>
      <c r="AC429" s="1188">
        <f t="shared" si="242"/>
        <v>0</v>
      </c>
      <c r="AD429" s="4278"/>
      <c r="AE429" s="4278"/>
      <c r="AF429" s="4278"/>
      <c r="AG429" s="4278"/>
      <c r="AH429" s="4278"/>
      <c r="AI429" s="4278"/>
      <c r="AJ429" s="4278"/>
      <c r="AK429" s="4278"/>
      <c r="AL429" s="4278"/>
      <c r="AM429" s="4278"/>
      <c r="AN429" s="4278"/>
      <c r="AO429" s="4278"/>
      <c r="AP429" s="4278"/>
      <c r="AQ429" s="4278"/>
      <c r="AR429" s="4278"/>
      <c r="AS429" s="4278"/>
      <c r="AT429" s="4279"/>
      <c r="AU429" s="4283"/>
      <c r="AV429" s="1188">
        <f t="shared" si="243"/>
        <v>0</v>
      </c>
      <c r="AW429" s="1188">
        <f t="shared" si="244"/>
        <v>0</v>
      </c>
      <c r="AX429" s="1188">
        <f t="shared" si="245"/>
        <v>0</v>
      </c>
      <c r="AY429" s="1452">
        <f t="shared" si="246"/>
        <v>0</v>
      </c>
      <c r="AZ429" s="4284">
        <f t="shared" si="247"/>
        <v>0</v>
      </c>
      <c r="BA429" s="4284">
        <f t="shared" si="248"/>
        <v>0</v>
      </c>
      <c r="BB429" s="4284">
        <f t="shared" si="249"/>
        <v>0</v>
      </c>
      <c r="BC429" s="4284">
        <f t="shared" si="250"/>
        <v>0</v>
      </c>
      <c r="BD429" s="4284">
        <f t="shared" si="251"/>
        <v>0</v>
      </c>
      <c r="BE429" s="4284">
        <f t="shared" si="252"/>
        <v>0</v>
      </c>
      <c r="BF429" s="4284">
        <f t="shared" si="253"/>
        <v>0</v>
      </c>
      <c r="BG429" s="4284">
        <f t="shared" si="254"/>
        <v>0</v>
      </c>
      <c r="BH429" s="4284">
        <f t="shared" si="255"/>
        <v>0</v>
      </c>
      <c r="BI429" s="4284">
        <f t="shared" si="256"/>
        <v>0</v>
      </c>
      <c r="BJ429" s="4284">
        <f t="shared" si="257"/>
        <v>0</v>
      </c>
      <c r="BK429" s="4284">
        <f t="shared" si="258"/>
        <v>0</v>
      </c>
      <c r="BL429" s="4284">
        <f t="shared" si="259"/>
        <v>0</v>
      </c>
      <c r="BM429" s="4284">
        <f t="shared" si="260"/>
        <v>0</v>
      </c>
      <c r="BN429" s="4284">
        <f t="shared" si="261"/>
        <v>0</v>
      </c>
      <c r="BO429" s="4284">
        <f t="shared" si="262"/>
        <v>0</v>
      </c>
      <c r="BP429" s="4284">
        <f t="shared" si="263"/>
        <v>0</v>
      </c>
      <c r="BQ429" s="4284">
        <f t="shared" si="264"/>
        <v>0</v>
      </c>
      <c r="BR429" s="4284">
        <f t="shared" si="265"/>
        <v>0</v>
      </c>
      <c r="BS429" s="4284">
        <f t="shared" si="266"/>
        <v>0</v>
      </c>
      <c r="BT429" s="4285">
        <f t="shared" si="267"/>
        <v>0</v>
      </c>
    </row>
    <row r="430" spans="1:72">
      <c r="A430" s="4278"/>
      <c r="B430" s="4279"/>
      <c r="C430" s="4279"/>
      <c r="D430" s="4280"/>
      <c r="E430" s="1188">
        <f t="shared" si="239"/>
        <v>0</v>
      </c>
      <c r="F430" s="1680"/>
      <c r="G430" s="4281">
        <f t="shared" si="240"/>
        <v>0</v>
      </c>
      <c r="H430" s="3457">
        <f t="shared" si="241"/>
        <v>0</v>
      </c>
      <c r="I430" s="4282"/>
      <c r="J430" s="4282"/>
      <c r="K430" s="4282"/>
      <c r="L430" s="4282"/>
      <c r="M430" s="4282"/>
      <c r="N430" s="4282"/>
      <c r="O430" s="4282"/>
      <c r="P430" s="4282"/>
      <c r="Q430" s="4282"/>
      <c r="R430" s="4282"/>
      <c r="S430" s="4282"/>
      <c r="T430" s="4282"/>
      <c r="U430" s="4282"/>
      <c r="V430" s="4282"/>
      <c r="W430" s="4282"/>
      <c r="X430" s="4282"/>
      <c r="Y430" s="4282"/>
      <c r="Z430" s="4282"/>
      <c r="AA430" s="4282"/>
      <c r="AB430" s="4282"/>
      <c r="AC430" s="1188">
        <f t="shared" si="242"/>
        <v>0</v>
      </c>
      <c r="AD430" s="4278"/>
      <c r="AE430" s="4278"/>
      <c r="AF430" s="4278"/>
      <c r="AG430" s="4278"/>
      <c r="AH430" s="4278"/>
      <c r="AI430" s="4278"/>
      <c r="AJ430" s="4278"/>
      <c r="AK430" s="4278"/>
      <c r="AL430" s="4278"/>
      <c r="AM430" s="4278"/>
      <c r="AN430" s="4278"/>
      <c r="AO430" s="4278"/>
      <c r="AP430" s="4278"/>
      <c r="AQ430" s="4278"/>
      <c r="AR430" s="4278"/>
      <c r="AS430" s="4278"/>
      <c r="AT430" s="4279"/>
      <c r="AU430" s="4283"/>
      <c r="AV430" s="1188">
        <f t="shared" si="243"/>
        <v>0</v>
      </c>
      <c r="AW430" s="1188">
        <f t="shared" si="244"/>
        <v>0</v>
      </c>
      <c r="AX430" s="1188">
        <f t="shared" si="245"/>
        <v>0</v>
      </c>
      <c r="AY430" s="1452">
        <f t="shared" si="246"/>
        <v>0</v>
      </c>
      <c r="AZ430" s="4284">
        <f t="shared" si="247"/>
        <v>0</v>
      </c>
      <c r="BA430" s="4284">
        <f t="shared" si="248"/>
        <v>0</v>
      </c>
      <c r="BB430" s="4284">
        <f t="shared" si="249"/>
        <v>0</v>
      </c>
      <c r="BC430" s="4284">
        <f t="shared" si="250"/>
        <v>0</v>
      </c>
      <c r="BD430" s="4284">
        <f t="shared" si="251"/>
        <v>0</v>
      </c>
      <c r="BE430" s="4284">
        <f t="shared" si="252"/>
        <v>0</v>
      </c>
      <c r="BF430" s="4284">
        <f t="shared" si="253"/>
        <v>0</v>
      </c>
      <c r="BG430" s="4284">
        <f t="shared" si="254"/>
        <v>0</v>
      </c>
      <c r="BH430" s="4284">
        <f t="shared" si="255"/>
        <v>0</v>
      </c>
      <c r="BI430" s="4284">
        <f t="shared" si="256"/>
        <v>0</v>
      </c>
      <c r="BJ430" s="4284">
        <f t="shared" si="257"/>
        <v>0</v>
      </c>
      <c r="BK430" s="4284">
        <f t="shared" si="258"/>
        <v>0</v>
      </c>
      <c r="BL430" s="4284">
        <f t="shared" si="259"/>
        <v>0</v>
      </c>
      <c r="BM430" s="4284">
        <f t="shared" si="260"/>
        <v>0</v>
      </c>
      <c r="BN430" s="4284">
        <f t="shared" si="261"/>
        <v>0</v>
      </c>
      <c r="BO430" s="4284">
        <f t="shared" si="262"/>
        <v>0</v>
      </c>
      <c r="BP430" s="4284">
        <f t="shared" si="263"/>
        <v>0</v>
      </c>
      <c r="BQ430" s="4284">
        <f t="shared" si="264"/>
        <v>0</v>
      </c>
      <c r="BR430" s="4284">
        <f t="shared" si="265"/>
        <v>0</v>
      </c>
      <c r="BS430" s="4284">
        <f t="shared" si="266"/>
        <v>0</v>
      </c>
      <c r="BT430" s="4285">
        <f t="shared" si="267"/>
        <v>0</v>
      </c>
    </row>
    <row r="431" spans="1:72">
      <c r="A431" s="4278"/>
      <c r="B431" s="4279"/>
      <c r="C431" s="4279"/>
      <c r="D431" s="4280"/>
      <c r="E431" s="1188">
        <f t="shared" si="239"/>
        <v>0</v>
      </c>
      <c r="F431" s="1680"/>
      <c r="G431" s="4281">
        <f t="shared" si="240"/>
        <v>0</v>
      </c>
      <c r="H431" s="3457">
        <f t="shared" si="241"/>
        <v>0</v>
      </c>
      <c r="I431" s="4282"/>
      <c r="J431" s="4282"/>
      <c r="K431" s="4282"/>
      <c r="L431" s="4282"/>
      <c r="M431" s="4282"/>
      <c r="N431" s="4282"/>
      <c r="O431" s="4282"/>
      <c r="P431" s="4282"/>
      <c r="Q431" s="4282"/>
      <c r="R431" s="4282"/>
      <c r="S431" s="4282"/>
      <c r="T431" s="4282"/>
      <c r="U431" s="4282"/>
      <c r="V431" s="4282"/>
      <c r="W431" s="4282"/>
      <c r="X431" s="4282"/>
      <c r="Y431" s="4282"/>
      <c r="Z431" s="4282"/>
      <c r="AA431" s="4282"/>
      <c r="AB431" s="4282"/>
      <c r="AC431" s="1188">
        <f t="shared" si="242"/>
        <v>0</v>
      </c>
      <c r="AD431" s="4278"/>
      <c r="AE431" s="4278"/>
      <c r="AF431" s="4278"/>
      <c r="AG431" s="4278"/>
      <c r="AH431" s="4278"/>
      <c r="AI431" s="4278"/>
      <c r="AJ431" s="4278"/>
      <c r="AK431" s="4278"/>
      <c r="AL431" s="4278"/>
      <c r="AM431" s="4278"/>
      <c r="AN431" s="4278"/>
      <c r="AO431" s="4278"/>
      <c r="AP431" s="4278"/>
      <c r="AQ431" s="4278"/>
      <c r="AR431" s="4278"/>
      <c r="AS431" s="4278"/>
      <c r="AT431" s="4279"/>
      <c r="AU431" s="4283"/>
      <c r="AV431" s="1188">
        <f t="shared" si="243"/>
        <v>0</v>
      </c>
      <c r="AW431" s="1188">
        <f t="shared" si="244"/>
        <v>0</v>
      </c>
      <c r="AX431" s="1188">
        <f t="shared" si="245"/>
        <v>0</v>
      </c>
      <c r="AY431" s="1452">
        <f t="shared" si="246"/>
        <v>0</v>
      </c>
      <c r="AZ431" s="4284">
        <f t="shared" si="247"/>
        <v>0</v>
      </c>
      <c r="BA431" s="4284">
        <f t="shared" si="248"/>
        <v>0</v>
      </c>
      <c r="BB431" s="4284">
        <f t="shared" si="249"/>
        <v>0</v>
      </c>
      <c r="BC431" s="4284">
        <f t="shared" si="250"/>
        <v>0</v>
      </c>
      <c r="BD431" s="4284">
        <f t="shared" si="251"/>
        <v>0</v>
      </c>
      <c r="BE431" s="4284">
        <f t="shared" si="252"/>
        <v>0</v>
      </c>
      <c r="BF431" s="4284">
        <f t="shared" si="253"/>
        <v>0</v>
      </c>
      <c r="BG431" s="4284">
        <f t="shared" si="254"/>
        <v>0</v>
      </c>
      <c r="BH431" s="4284">
        <f t="shared" si="255"/>
        <v>0</v>
      </c>
      <c r="BI431" s="4284">
        <f t="shared" si="256"/>
        <v>0</v>
      </c>
      <c r="BJ431" s="4284">
        <f t="shared" si="257"/>
        <v>0</v>
      </c>
      <c r="BK431" s="4284">
        <f t="shared" si="258"/>
        <v>0</v>
      </c>
      <c r="BL431" s="4284">
        <f t="shared" si="259"/>
        <v>0</v>
      </c>
      <c r="BM431" s="4284">
        <f t="shared" si="260"/>
        <v>0</v>
      </c>
      <c r="BN431" s="4284">
        <f t="shared" si="261"/>
        <v>0</v>
      </c>
      <c r="BO431" s="4284">
        <f t="shared" si="262"/>
        <v>0</v>
      </c>
      <c r="BP431" s="4284">
        <f t="shared" si="263"/>
        <v>0</v>
      </c>
      <c r="BQ431" s="4284">
        <f t="shared" si="264"/>
        <v>0</v>
      </c>
      <c r="BR431" s="4284">
        <f t="shared" si="265"/>
        <v>0</v>
      </c>
      <c r="BS431" s="4284">
        <f t="shared" si="266"/>
        <v>0</v>
      </c>
      <c r="BT431" s="4285">
        <f t="shared" si="267"/>
        <v>0</v>
      </c>
    </row>
    <row r="432" spans="1:72">
      <c r="A432" s="4278"/>
      <c r="B432" s="4279"/>
      <c r="C432" s="4279"/>
      <c r="D432" s="4280"/>
      <c r="E432" s="1188">
        <f t="shared" si="239"/>
        <v>0</v>
      </c>
      <c r="F432" s="1680"/>
      <c r="G432" s="4281">
        <f t="shared" si="240"/>
        <v>0</v>
      </c>
      <c r="H432" s="3457">
        <f t="shared" si="241"/>
        <v>0</v>
      </c>
      <c r="I432" s="4282"/>
      <c r="J432" s="4282"/>
      <c r="K432" s="4282"/>
      <c r="L432" s="4282"/>
      <c r="M432" s="4282"/>
      <c r="N432" s="4282"/>
      <c r="O432" s="4282"/>
      <c r="P432" s="4282"/>
      <c r="Q432" s="4282"/>
      <c r="R432" s="4282"/>
      <c r="S432" s="4282"/>
      <c r="T432" s="4282"/>
      <c r="U432" s="4282"/>
      <c r="V432" s="4282"/>
      <c r="W432" s="4282"/>
      <c r="X432" s="4282"/>
      <c r="Y432" s="4282"/>
      <c r="Z432" s="4282"/>
      <c r="AA432" s="4282"/>
      <c r="AB432" s="4282"/>
      <c r="AC432" s="1188">
        <f t="shared" si="242"/>
        <v>0</v>
      </c>
      <c r="AD432" s="4278"/>
      <c r="AE432" s="4278"/>
      <c r="AF432" s="4278"/>
      <c r="AG432" s="4278"/>
      <c r="AH432" s="4278"/>
      <c r="AI432" s="4278"/>
      <c r="AJ432" s="4278"/>
      <c r="AK432" s="4278"/>
      <c r="AL432" s="4278"/>
      <c r="AM432" s="4278"/>
      <c r="AN432" s="4278"/>
      <c r="AO432" s="4278"/>
      <c r="AP432" s="4278"/>
      <c r="AQ432" s="4278"/>
      <c r="AR432" s="4278"/>
      <c r="AS432" s="4278"/>
      <c r="AT432" s="4279"/>
      <c r="AU432" s="4283"/>
      <c r="AV432" s="1188">
        <f t="shared" si="243"/>
        <v>0</v>
      </c>
      <c r="AW432" s="1188">
        <f t="shared" si="244"/>
        <v>0</v>
      </c>
      <c r="AX432" s="1188">
        <f t="shared" si="245"/>
        <v>0</v>
      </c>
      <c r="AY432" s="1452">
        <f t="shared" si="246"/>
        <v>0</v>
      </c>
      <c r="AZ432" s="4284">
        <f t="shared" si="247"/>
        <v>0</v>
      </c>
      <c r="BA432" s="4284">
        <f t="shared" si="248"/>
        <v>0</v>
      </c>
      <c r="BB432" s="4284">
        <f t="shared" si="249"/>
        <v>0</v>
      </c>
      <c r="BC432" s="4284">
        <f t="shared" si="250"/>
        <v>0</v>
      </c>
      <c r="BD432" s="4284">
        <f t="shared" si="251"/>
        <v>0</v>
      </c>
      <c r="BE432" s="4284">
        <f t="shared" si="252"/>
        <v>0</v>
      </c>
      <c r="BF432" s="4284">
        <f t="shared" si="253"/>
        <v>0</v>
      </c>
      <c r="BG432" s="4284">
        <f t="shared" si="254"/>
        <v>0</v>
      </c>
      <c r="BH432" s="4284">
        <f t="shared" si="255"/>
        <v>0</v>
      </c>
      <c r="BI432" s="4284">
        <f t="shared" si="256"/>
        <v>0</v>
      </c>
      <c r="BJ432" s="4284">
        <f t="shared" si="257"/>
        <v>0</v>
      </c>
      <c r="BK432" s="4284">
        <f t="shared" si="258"/>
        <v>0</v>
      </c>
      <c r="BL432" s="4284">
        <f t="shared" si="259"/>
        <v>0</v>
      </c>
      <c r="BM432" s="4284">
        <f t="shared" si="260"/>
        <v>0</v>
      </c>
      <c r="BN432" s="4284">
        <f t="shared" si="261"/>
        <v>0</v>
      </c>
      <c r="BO432" s="4284">
        <f t="shared" si="262"/>
        <v>0</v>
      </c>
      <c r="BP432" s="4284">
        <f t="shared" si="263"/>
        <v>0</v>
      </c>
      <c r="BQ432" s="4284">
        <f t="shared" si="264"/>
        <v>0</v>
      </c>
      <c r="BR432" s="4284">
        <f t="shared" si="265"/>
        <v>0</v>
      </c>
      <c r="BS432" s="4284">
        <f t="shared" si="266"/>
        <v>0</v>
      </c>
      <c r="BT432" s="4285">
        <f t="shared" si="267"/>
        <v>0</v>
      </c>
    </row>
    <row r="433" spans="1:72">
      <c r="A433" s="4278"/>
      <c r="B433" s="4279"/>
      <c r="C433" s="4279"/>
      <c r="D433" s="4280"/>
      <c r="E433" s="1188">
        <f t="shared" si="239"/>
        <v>0</v>
      </c>
      <c r="F433" s="1680"/>
      <c r="G433" s="4281">
        <f t="shared" si="240"/>
        <v>0</v>
      </c>
      <c r="H433" s="3457">
        <f t="shared" si="241"/>
        <v>0</v>
      </c>
      <c r="I433" s="4282"/>
      <c r="J433" s="4282"/>
      <c r="K433" s="4282"/>
      <c r="L433" s="4282"/>
      <c r="M433" s="4282"/>
      <c r="N433" s="4282"/>
      <c r="O433" s="4282"/>
      <c r="P433" s="4282"/>
      <c r="Q433" s="4282"/>
      <c r="R433" s="4282"/>
      <c r="S433" s="4282"/>
      <c r="T433" s="4282"/>
      <c r="U433" s="4282"/>
      <c r="V433" s="4282"/>
      <c r="W433" s="4282"/>
      <c r="X433" s="4282"/>
      <c r="Y433" s="4282"/>
      <c r="Z433" s="4282"/>
      <c r="AA433" s="4282"/>
      <c r="AB433" s="4282"/>
      <c r="AC433" s="1188">
        <f t="shared" si="242"/>
        <v>0</v>
      </c>
      <c r="AD433" s="4278"/>
      <c r="AE433" s="4278"/>
      <c r="AF433" s="4278"/>
      <c r="AG433" s="4278"/>
      <c r="AH433" s="4278"/>
      <c r="AI433" s="4278"/>
      <c r="AJ433" s="4278"/>
      <c r="AK433" s="4278"/>
      <c r="AL433" s="4278"/>
      <c r="AM433" s="4278"/>
      <c r="AN433" s="4278"/>
      <c r="AO433" s="4278"/>
      <c r="AP433" s="4278"/>
      <c r="AQ433" s="4278"/>
      <c r="AR433" s="4278"/>
      <c r="AS433" s="4278"/>
      <c r="AT433" s="4279"/>
      <c r="AU433" s="4283"/>
      <c r="AV433" s="1188">
        <f t="shared" si="243"/>
        <v>0</v>
      </c>
      <c r="AW433" s="1188">
        <f t="shared" si="244"/>
        <v>0</v>
      </c>
      <c r="AX433" s="1188">
        <f t="shared" si="245"/>
        <v>0</v>
      </c>
      <c r="AY433" s="1452">
        <f t="shared" si="246"/>
        <v>0</v>
      </c>
      <c r="AZ433" s="4284">
        <f t="shared" si="247"/>
        <v>0</v>
      </c>
      <c r="BA433" s="4284">
        <f t="shared" si="248"/>
        <v>0</v>
      </c>
      <c r="BB433" s="4284">
        <f t="shared" si="249"/>
        <v>0</v>
      </c>
      <c r="BC433" s="4284">
        <f t="shared" si="250"/>
        <v>0</v>
      </c>
      <c r="BD433" s="4284">
        <f t="shared" si="251"/>
        <v>0</v>
      </c>
      <c r="BE433" s="4284">
        <f t="shared" si="252"/>
        <v>0</v>
      </c>
      <c r="BF433" s="4284">
        <f t="shared" si="253"/>
        <v>0</v>
      </c>
      <c r="BG433" s="4284">
        <f t="shared" si="254"/>
        <v>0</v>
      </c>
      <c r="BH433" s="4284">
        <f t="shared" si="255"/>
        <v>0</v>
      </c>
      <c r="BI433" s="4284">
        <f t="shared" si="256"/>
        <v>0</v>
      </c>
      <c r="BJ433" s="4284">
        <f t="shared" si="257"/>
        <v>0</v>
      </c>
      <c r="BK433" s="4284">
        <f t="shared" si="258"/>
        <v>0</v>
      </c>
      <c r="BL433" s="4284">
        <f t="shared" si="259"/>
        <v>0</v>
      </c>
      <c r="BM433" s="4284">
        <f t="shared" si="260"/>
        <v>0</v>
      </c>
      <c r="BN433" s="4284">
        <f t="shared" si="261"/>
        <v>0</v>
      </c>
      <c r="BO433" s="4284">
        <f t="shared" si="262"/>
        <v>0</v>
      </c>
      <c r="BP433" s="4284">
        <f t="shared" si="263"/>
        <v>0</v>
      </c>
      <c r="BQ433" s="4284">
        <f t="shared" si="264"/>
        <v>0</v>
      </c>
      <c r="BR433" s="4284">
        <f t="shared" si="265"/>
        <v>0</v>
      </c>
      <c r="BS433" s="4284">
        <f t="shared" si="266"/>
        <v>0</v>
      </c>
      <c r="BT433" s="4285">
        <f t="shared" si="267"/>
        <v>0</v>
      </c>
    </row>
    <row r="434" spans="1:72">
      <c r="A434" s="4278"/>
      <c r="B434" s="4279"/>
      <c r="C434" s="4279"/>
      <c r="D434" s="4280"/>
      <c r="E434" s="1188">
        <f t="shared" si="239"/>
        <v>0</v>
      </c>
      <c r="F434" s="1680"/>
      <c r="G434" s="4281">
        <f t="shared" si="240"/>
        <v>0</v>
      </c>
      <c r="H434" s="3457">
        <f t="shared" si="241"/>
        <v>0</v>
      </c>
      <c r="I434" s="4282"/>
      <c r="J434" s="4282"/>
      <c r="K434" s="4282"/>
      <c r="L434" s="4282"/>
      <c r="M434" s="4282"/>
      <c r="N434" s="4282"/>
      <c r="O434" s="4282"/>
      <c r="P434" s="4282"/>
      <c r="Q434" s="4282"/>
      <c r="R434" s="4282"/>
      <c r="S434" s="4282"/>
      <c r="T434" s="4282"/>
      <c r="U434" s="4282"/>
      <c r="V434" s="4282"/>
      <c r="W434" s="4282"/>
      <c r="X434" s="4282"/>
      <c r="Y434" s="4282"/>
      <c r="Z434" s="4282"/>
      <c r="AA434" s="4282"/>
      <c r="AB434" s="4282"/>
      <c r="AC434" s="1188">
        <f t="shared" si="242"/>
        <v>0</v>
      </c>
      <c r="AD434" s="4278"/>
      <c r="AE434" s="4278"/>
      <c r="AF434" s="4278"/>
      <c r="AG434" s="4278"/>
      <c r="AH434" s="4278"/>
      <c r="AI434" s="4278"/>
      <c r="AJ434" s="4278"/>
      <c r="AK434" s="4278"/>
      <c r="AL434" s="4278"/>
      <c r="AM434" s="4278"/>
      <c r="AN434" s="4278"/>
      <c r="AO434" s="4278"/>
      <c r="AP434" s="4278"/>
      <c r="AQ434" s="4278"/>
      <c r="AR434" s="4278"/>
      <c r="AS434" s="4278"/>
      <c r="AT434" s="4279"/>
      <c r="AU434" s="4283"/>
      <c r="AV434" s="1188">
        <f t="shared" si="243"/>
        <v>0</v>
      </c>
      <c r="AW434" s="1188">
        <f t="shared" si="244"/>
        <v>0</v>
      </c>
      <c r="AX434" s="1188">
        <f t="shared" si="245"/>
        <v>0</v>
      </c>
      <c r="AY434" s="1452">
        <f t="shared" si="246"/>
        <v>0</v>
      </c>
      <c r="AZ434" s="4284">
        <f t="shared" si="247"/>
        <v>0</v>
      </c>
      <c r="BA434" s="4284">
        <f t="shared" si="248"/>
        <v>0</v>
      </c>
      <c r="BB434" s="4284">
        <f t="shared" si="249"/>
        <v>0</v>
      </c>
      <c r="BC434" s="4284">
        <f t="shared" si="250"/>
        <v>0</v>
      </c>
      <c r="BD434" s="4284">
        <f t="shared" si="251"/>
        <v>0</v>
      </c>
      <c r="BE434" s="4284">
        <f t="shared" si="252"/>
        <v>0</v>
      </c>
      <c r="BF434" s="4284">
        <f t="shared" si="253"/>
        <v>0</v>
      </c>
      <c r="BG434" s="4284">
        <f t="shared" si="254"/>
        <v>0</v>
      </c>
      <c r="BH434" s="4284">
        <f t="shared" si="255"/>
        <v>0</v>
      </c>
      <c r="BI434" s="4284">
        <f t="shared" si="256"/>
        <v>0</v>
      </c>
      <c r="BJ434" s="4284">
        <f t="shared" si="257"/>
        <v>0</v>
      </c>
      <c r="BK434" s="4284">
        <f t="shared" si="258"/>
        <v>0</v>
      </c>
      <c r="BL434" s="4284">
        <f t="shared" si="259"/>
        <v>0</v>
      </c>
      <c r="BM434" s="4284">
        <f t="shared" si="260"/>
        <v>0</v>
      </c>
      <c r="BN434" s="4284">
        <f t="shared" si="261"/>
        <v>0</v>
      </c>
      <c r="BO434" s="4284">
        <f t="shared" si="262"/>
        <v>0</v>
      </c>
      <c r="BP434" s="4284">
        <f t="shared" si="263"/>
        <v>0</v>
      </c>
      <c r="BQ434" s="4284">
        <f t="shared" si="264"/>
        <v>0</v>
      </c>
      <c r="BR434" s="4284">
        <f t="shared" si="265"/>
        <v>0</v>
      </c>
      <c r="BS434" s="4284">
        <f t="shared" si="266"/>
        <v>0</v>
      </c>
      <c r="BT434" s="4285">
        <f t="shared" si="267"/>
        <v>0</v>
      </c>
    </row>
    <row r="435" spans="1:72">
      <c r="A435" s="4278"/>
      <c r="B435" s="4279"/>
      <c r="C435" s="4279"/>
      <c r="D435" s="4280"/>
      <c r="E435" s="1188">
        <f t="shared" si="239"/>
        <v>0</v>
      </c>
      <c r="F435" s="1680"/>
      <c r="G435" s="4281">
        <f t="shared" si="240"/>
        <v>0</v>
      </c>
      <c r="H435" s="3457">
        <f t="shared" si="241"/>
        <v>0</v>
      </c>
      <c r="I435" s="4282"/>
      <c r="J435" s="4282"/>
      <c r="K435" s="4282"/>
      <c r="L435" s="4282"/>
      <c r="M435" s="4282"/>
      <c r="N435" s="4282"/>
      <c r="O435" s="4282"/>
      <c r="P435" s="4282"/>
      <c r="Q435" s="4282"/>
      <c r="R435" s="4282"/>
      <c r="S435" s="4282"/>
      <c r="T435" s="4282"/>
      <c r="U435" s="4282"/>
      <c r="V435" s="4282"/>
      <c r="W435" s="4282"/>
      <c r="X435" s="4282"/>
      <c r="Y435" s="4282"/>
      <c r="Z435" s="4282"/>
      <c r="AA435" s="4282"/>
      <c r="AB435" s="4282"/>
      <c r="AC435" s="1188">
        <f t="shared" si="242"/>
        <v>0</v>
      </c>
      <c r="AD435" s="4278"/>
      <c r="AE435" s="4278"/>
      <c r="AF435" s="4278"/>
      <c r="AG435" s="4278"/>
      <c r="AH435" s="4278"/>
      <c r="AI435" s="4278"/>
      <c r="AJ435" s="4278"/>
      <c r="AK435" s="4278"/>
      <c r="AL435" s="4278"/>
      <c r="AM435" s="4278"/>
      <c r="AN435" s="4278"/>
      <c r="AO435" s="4278"/>
      <c r="AP435" s="4278"/>
      <c r="AQ435" s="4278"/>
      <c r="AR435" s="4278"/>
      <c r="AS435" s="4278"/>
      <c r="AT435" s="4279"/>
      <c r="AU435" s="4283"/>
      <c r="AV435" s="1188">
        <f t="shared" si="243"/>
        <v>0</v>
      </c>
      <c r="AW435" s="1188">
        <f t="shared" si="244"/>
        <v>0</v>
      </c>
      <c r="AX435" s="1188">
        <f t="shared" si="245"/>
        <v>0</v>
      </c>
      <c r="AY435" s="1452">
        <f t="shared" si="246"/>
        <v>0</v>
      </c>
      <c r="AZ435" s="4284">
        <f t="shared" si="247"/>
        <v>0</v>
      </c>
      <c r="BA435" s="4284">
        <f t="shared" si="248"/>
        <v>0</v>
      </c>
      <c r="BB435" s="4284">
        <f t="shared" si="249"/>
        <v>0</v>
      </c>
      <c r="BC435" s="4284">
        <f t="shared" si="250"/>
        <v>0</v>
      </c>
      <c r="BD435" s="4284">
        <f t="shared" si="251"/>
        <v>0</v>
      </c>
      <c r="BE435" s="4284">
        <f t="shared" si="252"/>
        <v>0</v>
      </c>
      <c r="BF435" s="4284">
        <f t="shared" si="253"/>
        <v>0</v>
      </c>
      <c r="BG435" s="4284">
        <f t="shared" si="254"/>
        <v>0</v>
      </c>
      <c r="BH435" s="4284">
        <f t="shared" si="255"/>
        <v>0</v>
      </c>
      <c r="BI435" s="4284">
        <f t="shared" si="256"/>
        <v>0</v>
      </c>
      <c r="BJ435" s="4284">
        <f t="shared" si="257"/>
        <v>0</v>
      </c>
      <c r="BK435" s="4284">
        <f t="shared" si="258"/>
        <v>0</v>
      </c>
      <c r="BL435" s="4284">
        <f t="shared" si="259"/>
        <v>0</v>
      </c>
      <c r="BM435" s="4284">
        <f t="shared" si="260"/>
        <v>0</v>
      </c>
      <c r="BN435" s="4284">
        <f t="shared" si="261"/>
        <v>0</v>
      </c>
      <c r="BO435" s="4284">
        <f t="shared" si="262"/>
        <v>0</v>
      </c>
      <c r="BP435" s="4284">
        <f t="shared" si="263"/>
        <v>0</v>
      </c>
      <c r="BQ435" s="4284">
        <f t="shared" si="264"/>
        <v>0</v>
      </c>
      <c r="BR435" s="4284">
        <f t="shared" si="265"/>
        <v>0</v>
      </c>
      <c r="BS435" s="4284">
        <f t="shared" si="266"/>
        <v>0</v>
      </c>
      <c r="BT435" s="4285">
        <f t="shared" si="267"/>
        <v>0</v>
      </c>
    </row>
    <row r="436" spans="1:72">
      <c r="A436" s="4278"/>
      <c r="B436" s="4279"/>
      <c r="C436" s="4279"/>
      <c r="D436" s="4280"/>
      <c r="E436" s="1188">
        <f t="shared" si="239"/>
        <v>0</v>
      </c>
      <c r="F436" s="1680"/>
      <c r="G436" s="4281">
        <f t="shared" si="240"/>
        <v>0</v>
      </c>
      <c r="H436" s="3457">
        <f t="shared" si="241"/>
        <v>0</v>
      </c>
      <c r="I436" s="4282"/>
      <c r="J436" s="4282"/>
      <c r="K436" s="4282"/>
      <c r="L436" s="4282"/>
      <c r="M436" s="4282"/>
      <c r="N436" s="4282"/>
      <c r="O436" s="4282"/>
      <c r="P436" s="4282"/>
      <c r="Q436" s="4282"/>
      <c r="R436" s="4282"/>
      <c r="S436" s="4282"/>
      <c r="T436" s="4282"/>
      <c r="U436" s="4282"/>
      <c r="V436" s="4282"/>
      <c r="W436" s="4282"/>
      <c r="X436" s="4282"/>
      <c r="Y436" s="4282"/>
      <c r="Z436" s="4282"/>
      <c r="AA436" s="4282"/>
      <c r="AB436" s="4282"/>
      <c r="AC436" s="1188">
        <f t="shared" si="242"/>
        <v>0</v>
      </c>
      <c r="AD436" s="4278"/>
      <c r="AE436" s="4278"/>
      <c r="AF436" s="4278"/>
      <c r="AG436" s="4278"/>
      <c r="AH436" s="4278"/>
      <c r="AI436" s="4278"/>
      <c r="AJ436" s="4278"/>
      <c r="AK436" s="4278"/>
      <c r="AL436" s="4278"/>
      <c r="AM436" s="4278"/>
      <c r="AN436" s="4278"/>
      <c r="AO436" s="4278"/>
      <c r="AP436" s="4278"/>
      <c r="AQ436" s="4278"/>
      <c r="AR436" s="4278"/>
      <c r="AS436" s="4278"/>
      <c r="AT436" s="4279"/>
      <c r="AU436" s="4283"/>
      <c r="AV436" s="1188">
        <f t="shared" si="243"/>
        <v>0</v>
      </c>
      <c r="AW436" s="1188">
        <f t="shared" si="244"/>
        <v>0</v>
      </c>
      <c r="AX436" s="1188">
        <f t="shared" si="245"/>
        <v>0</v>
      </c>
      <c r="AY436" s="1452">
        <f t="shared" si="246"/>
        <v>0</v>
      </c>
      <c r="AZ436" s="4284">
        <f t="shared" si="247"/>
        <v>0</v>
      </c>
      <c r="BA436" s="4284">
        <f t="shared" si="248"/>
        <v>0</v>
      </c>
      <c r="BB436" s="4284">
        <f t="shared" si="249"/>
        <v>0</v>
      </c>
      <c r="BC436" s="4284">
        <f t="shared" si="250"/>
        <v>0</v>
      </c>
      <c r="BD436" s="4284">
        <f t="shared" si="251"/>
        <v>0</v>
      </c>
      <c r="BE436" s="4284">
        <f t="shared" si="252"/>
        <v>0</v>
      </c>
      <c r="BF436" s="4284">
        <f t="shared" si="253"/>
        <v>0</v>
      </c>
      <c r="BG436" s="4284">
        <f t="shared" si="254"/>
        <v>0</v>
      </c>
      <c r="BH436" s="4284">
        <f t="shared" si="255"/>
        <v>0</v>
      </c>
      <c r="BI436" s="4284">
        <f t="shared" si="256"/>
        <v>0</v>
      </c>
      <c r="BJ436" s="4284">
        <f t="shared" si="257"/>
        <v>0</v>
      </c>
      <c r="BK436" s="4284">
        <f t="shared" si="258"/>
        <v>0</v>
      </c>
      <c r="BL436" s="4284">
        <f t="shared" si="259"/>
        <v>0</v>
      </c>
      <c r="BM436" s="4284">
        <f t="shared" si="260"/>
        <v>0</v>
      </c>
      <c r="BN436" s="4284">
        <f t="shared" si="261"/>
        <v>0</v>
      </c>
      <c r="BO436" s="4284">
        <f t="shared" si="262"/>
        <v>0</v>
      </c>
      <c r="BP436" s="4284">
        <f t="shared" si="263"/>
        <v>0</v>
      </c>
      <c r="BQ436" s="4284">
        <f t="shared" si="264"/>
        <v>0</v>
      </c>
      <c r="BR436" s="4284">
        <f t="shared" si="265"/>
        <v>0</v>
      </c>
      <c r="BS436" s="4284">
        <f t="shared" si="266"/>
        <v>0</v>
      </c>
      <c r="BT436" s="4285">
        <f t="shared" si="267"/>
        <v>0</v>
      </c>
    </row>
    <row r="437" spans="1:72">
      <c r="A437" s="4278"/>
      <c r="B437" s="4279"/>
      <c r="C437" s="4279"/>
      <c r="D437" s="4280"/>
      <c r="E437" s="1188">
        <f t="shared" si="239"/>
        <v>0</v>
      </c>
      <c r="F437" s="1680"/>
      <c r="G437" s="4281">
        <f t="shared" si="240"/>
        <v>0</v>
      </c>
      <c r="H437" s="3457">
        <f t="shared" si="241"/>
        <v>0</v>
      </c>
      <c r="I437" s="4282"/>
      <c r="J437" s="4282"/>
      <c r="K437" s="4282"/>
      <c r="L437" s="4282"/>
      <c r="M437" s="4282"/>
      <c r="N437" s="4282"/>
      <c r="O437" s="4282"/>
      <c r="P437" s="4282"/>
      <c r="Q437" s="4282"/>
      <c r="R437" s="4282"/>
      <c r="S437" s="4282"/>
      <c r="T437" s="4282"/>
      <c r="U437" s="4282"/>
      <c r="V437" s="4282"/>
      <c r="W437" s="4282"/>
      <c r="X437" s="4282"/>
      <c r="Y437" s="4282"/>
      <c r="Z437" s="4282"/>
      <c r="AA437" s="4282"/>
      <c r="AB437" s="4282"/>
      <c r="AC437" s="1188">
        <f t="shared" si="242"/>
        <v>0</v>
      </c>
      <c r="AD437" s="4278"/>
      <c r="AE437" s="4278"/>
      <c r="AF437" s="4278"/>
      <c r="AG437" s="4278"/>
      <c r="AH437" s="4278"/>
      <c r="AI437" s="4278"/>
      <c r="AJ437" s="4278"/>
      <c r="AK437" s="4278"/>
      <c r="AL437" s="4278"/>
      <c r="AM437" s="4278"/>
      <c r="AN437" s="4278"/>
      <c r="AO437" s="4278"/>
      <c r="AP437" s="4278"/>
      <c r="AQ437" s="4278"/>
      <c r="AR437" s="4278"/>
      <c r="AS437" s="4278"/>
      <c r="AT437" s="4279"/>
      <c r="AU437" s="4283"/>
      <c r="AV437" s="1188">
        <f t="shared" si="243"/>
        <v>0</v>
      </c>
      <c r="AW437" s="1188">
        <f t="shared" si="244"/>
        <v>0</v>
      </c>
      <c r="AX437" s="1188">
        <f t="shared" si="245"/>
        <v>0</v>
      </c>
      <c r="AY437" s="1452">
        <f t="shared" si="246"/>
        <v>0</v>
      </c>
      <c r="AZ437" s="4284">
        <f t="shared" si="247"/>
        <v>0</v>
      </c>
      <c r="BA437" s="4284">
        <f t="shared" si="248"/>
        <v>0</v>
      </c>
      <c r="BB437" s="4284">
        <f t="shared" si="249"/>
        <v>0</v>
      </c>
      <c r="BC437" s="4284">
        <f t="shared" si="250"/>
        <v>0</v>
      </c>
      <c r="BD437" s="4284">
        <f t="shared" si="251"/>
        <v>0</v>
      </c>
      <c r="BE437" s="4284">
        <f t="shared" si="252"/>
        <v>0</v>
      </c>
      <c r="BF437" s="4284">
        <f t="shared" si="253"/>
        <v>0</v>
      </c>
      <c r="BG437" s="4284">
        <f t="shared" si="254"/>
        <v>0</v>
      </c>
      <c r="BH437" s="4284">
        <f t="shared" si="255"/>
        <v>0</v>
      </c>
      <c r="BI437" s="4284">
        <f t="shared" si="256"/>
        <v>0</v>
      </c>
      <c r="BJ437" s="4284">
        <f t="shared" si="257"/>
        <v>0</v>
      </c>
      <c r="BK437" s="4284">
        <f t="shared" si="258"/>
        <v>0</v>
      </c>
      <c r="BL437" s="4284">
        <f t="shared" si="259"/>
        <v>0</v>
      </c>
      <c r="BM437" s="4284">
        <f t="shared" si="260"/>
        <v>0</v>
      </c>
      <c r="BN437" s="4284">
        <f t="shared" si="261"/>
        <v>0</v>
      </c>
      <c r="BO437" s="4284">
        <f t="shared" si="262"/>
        <v>0</v>
      </c>
      <c r="BP437" s="4284">
        <f t="shared" si="263"/>
        <v>0</v>
      </c>
      <c r="BQ437" s="4284">
        <f t="shared" si="264"/>
        <v>0</v>
      </c>
      <c r="BR437" s="4284">
        <f t="shared" si="265"/>
        <v>0</v>
      </c>
      <c r="BS437" s="4284">
        <f t="shared" si="266"/>
        <v>0</v>
      </c>
      <c r="BT437" s="4285">
        <f t="shared" si="267"/>
        <v>0</v>
      </c>
    </row>
    <row r="438" spans="1:72">
      <c r="A438" s="4278"/>
      <c r="B438" s="4279"/>
      <c r="C438" s="4279"/>
      <c r="D438" s="4280"/>
      <c r="E438" s="1188">
        <f t="shared" si="239"/>
        <v>0</v>
      </c>
      <c r="F438" s="1680"/>
      <c r="G438" s="4281">
        <f t="shared" si="240"/>
        <v>0</v>
      </c>
      <c r="H438" s="3457">
        <f t="shared" si="241"/>
        <v>0</v>
      </c>
      <c r="I438" s="4282"/>
      <c r="J438" s="4282"/>
      <c r="K438" s="4282"/>
      <c r="L438" s="4282"/>
      <c r="M438" s="4282"/>
      <c r="N438" s="4282"/>
      <c r="O438" s="4282"/>
      <c r="P438" s="4282"/>
      <c r="Q438" s="4282"/>
      <c r="R438" s="4282"/>
      <c r="S438" s="4282"/>
      <c r="T438" s="4282"/>
      <c r="U438" s="4282"/>
      <c r="V438" s="4282"/>
      <c r="W438" s="4282"/>
      <c r="X438" s="4282"/>
      <c r="Y438" s="4282"/>
      <c r="Z438" s="4282"/>
      <c r="AA438" s="4282"/>
      <c r="AB438" s="4282"/>
      <c r="AC438" s="1188">
        <f t="shared" si="242"/>
        <v>0</v>
      </c>
      <c r="AD438" s="4278"/>
      <c r="AE438" s="4278"/>
      <c r="AF438" s="4278"/>
      <c r="AG438" s="4278"/>
      <c r="AH438" s="4278"/>
      <c r="AI438" s="4278"/>
      <c r="AJ438" s="4278"/>
      <c r="AK438" s="4278"/>
      <c r="AL438" s="4278"/>
      <c r="AM438" s="4278"/>
      <c r="AN438" s="4278"/>
      <c r="AO438" s="4278"/>
      <c r="AP438" s="4278"/>
      <c r="AQ438" s="4278"/>
      <c r="AR438" s="4278"/>
      <c r="AS438" s="4278"/>
      <c r="AT438" s="4279"/>
      <c r="AU438" s="4283"/>
      <c r="AV438" s="1188">
        <f t="shared" si="243"/>
        <v>0</v>
      </c>
      <c r="AW438" s="1188">
        <f t="shared" si="244"/>
        <v>0</v>
      </c>
      <c r="AX438" s="1188">
        <f t="shared" si="245"/>
        <v>0</v>
      </c>
      <c r="AY438" s="1452">
        <f t="shared" si="246"/>
        <v>0</v>
      </c>
      <c r="AZ438" s="4284">
        <f t="shared" si="247"/>
        <v>0</v>
      </c>
      <c r="BA438" s="4284">
        <f t="shared" si="248"/>
        <v>0</v>
      </c>
      <c r="BB438" s="4284">
        <f t="shared" si="249"/>
        <v>0</v>
      </c>
      <c r="BC438" s="4284">
        <f t="shared" si="250"/>
        <v>0</v>
      </c>
      <c r="BD438" s="4284">
        <f t="shared" si="251"/>
        <v>0</v>
      </c>
      <c r="BE438" s="4284">
        <f t="shared" si="252"/>
        <v>0</v>
      </c>
      <c r="BF438" s="4284">
        <f t="shared" si="253"/>
        <v>0</v>
      </c>
      <c r="BG438" s="4284">
        <f t="shared" si="254"/>
        <v>0</v>
      </c>
      <c r="BH438" s="4284">
        <f t="shared" si="255"/>
        <v>0</v>
      </c>
      <c r="BI438" s="4284">
        <f t="shared" si="256"/>
        <v>0</v>
      </c>
      <c r="BJ438" s="4284">
        <f t="shared" si="257"/>
        <v>0</v>
      </c>
      <c r="BK438" s="4284">
        <f t="shared" si="258"/>
        <v>0</v>
      </c>
      <c r="BL438" s="4284">
        <f t="shared" si="259"/>
        <v>0</v>
      </c>
      <c r="BM438" s="4284">
        <f t="shared" si="260"/>
        <v>0</v>
      </c>
      <c r="BN438" s="4284">
        <f t="shared" si="261"/>
        <v>0</v>
      </c>
      <c r="BO438" s="4284">
        <f t="shared" si="262"/>
        <v>0</v>
      </c>
      <c r="BP438" s="4284">
        <f t="shared" si="263"/>
        <v>0</v>
      </c>
      <c r="BQ438" s="4284">
        <f t="shared" si="264"/>
        <v>0</v>
      </c>
      <c r="BR438" s="4284">
        <f t="shared" si="265"/>
        <v>0</v>
      </c>
      <c r="BS438" s="4284">
        <f t="shared" si="266"/>
        <v>0</v>
      </c>
      <c r="BT438" s="4285">
        <f t="shared" si="267"/>
        <v>0</v>
      </c>
    </row>
    <row r="439" spans="1:72">
      <c r="A439" s="4278"/>
      <c r="B439" s="4279"/>
      <c r="C439" s="4279"/>
      <c r="D439" s="4280"/>
      <c r="E439" s="1188">
        <f t="shared" si="239"/>
        <v>0</v>
      </c>
      <c r="F439" s="1680"/>
      <c r="G439" s="4281">
        <f t="shared" si="240"/>
        <v>0</v>
      </c>
      <c r="H439" s="3457">
        <f t="shared" si="241"/>
        <v>0</v>
      </c>
      <c r="I439" s="4282"/>
      <c r="J439" s="4282"/>
      <c r="K439" s="4282"/>
      <c r="L439" s="4282"/>
      <c r="M439" s="4282"/>
      <c r="N439" s="4282"/>
      <c r="O439" s="4282"/>
      <c r="P439" s="4282"/>
      <c r="Q439" s="4282"/>
      <c r="R439" s="4282"/>
      <c r="S439" s="4282"/>
      <c r="T439" s="4282"/>
      <c r="U439" s="4282"/>
      <c r="V439" s="4282"/>
      <c r="W439" s="4282"/>
      <c r="X439" s="4282"/>
      <c r="Y439" s="4282"/>
      <c r="Z439" s="4282"/>
      <c r="AA439" s="4282"/>
      <c r="AB439" s="4282"/>
      <c r="AC439" s="1188">
        <f t="shared" si="242"/>
        <v>0</v>
      </c>
      <c r="AD439" s="4278"/>
      <c r="AE439" s="4278"/>
      <c r="AF439" s="4278"/>
      <c r="AG439" s="4278"/>
      <c r="AH439" s="4278"/>
      <c r="AI439" s="4278"/>
      <c r="AJ439" s="4278"/>
      <c r="AK439" s="4278"/>
      <c r="AL439" s="4278"/>
      <c r="AM439" s="4278"/>
      <c r="AN439" s="4278"/>
      <c r="AO439" s="4278"/>
      <c r="AP439" s="4278"/>
      <c r="AQ439" s="4278"/>
      <c r="AR439" s="4278"/>
      <c r="AS439" s="4278"/>
      <c r="AT439" s="4279"/>
      <c r="AU439" s="4283"/>
      <c r="AV439" s="1188">
        <f t="shared" si="243"/>
        <v>0</v>
      </c>
      <c r="AW439" s="1188">
        <f t="shared" si="244"/>
        <v>0</v>
      </c>
      <c r="AX439" s="1188">
        <f t="shared" si="245"/>
        <v>0</v>
      </c>
      <c r="AY439" s="1452">
        <f t="shared" si="246"/>
        <v>0</v>
      </c>
      <c r="AZ439" s="4284">
        <f t="shared" si="247"/>
        <v>0</v>
      </c>
      <c r="BA439" s="4284">
        <f t="shared" si="248"/>
        <v>0</v>
      </c>
      <c r="BB439" s="4284">
        <f t="shared" si="249"/>
        <v>0</v>
      </c>
      <c r="BC439" s="4284">
        <f t="shared" si="250"/>
        <v>0</v>
      </c>
      <c r="BD439" s="4284">
        <f t="shared" si="251"/>
        <v>0</v>
      </c>
      <c r="BE439" s="4284">
        <f t="shared" si="252"/>
        <v>0</v>
      </c>
      <c r="BF439" s="4284">
        <f t="shared" si="253"/>
        <v>0</v>
      </c>
      <c r="BG439" s="4284">
        <f t="shared" si="254"/>
        <v>0</v>
      </c>
      <c r="BH439" s="4284">
        <f t="shared" si="255"/>
        <v>0</v>
      </c>
      <c r="BI439" s="4284">
        <f t="shared" si="256"/>
        <v>0</v>
      </c>
      <c r="BJ439" s="4284">
        <f t="shared" si="257"/>
        <v>0</v>
      </c>
      <c r="BK439" s="4284">
        <f t="shared" si="258"/>
        <v>0</v>
      </c>
      <c r="BL439" s="4284">
        <f t="shared" si="259"/>
        <v>0</v>
      </c>
      <c r="BM439" s="4284">
        <f t="shared" si="260"/>
        <v>0</v>
      </c>
      <c r="BN439" s="4284">
        <f t="shared" si="261"/>
        <v>0</v>
      </c>
      <c r="BO439" s="4284">
        <f t="shared" si="262"/>
        <v>0</v>
      </c>
      <c r="BP439" s="4284">
        <f t="shared" si="263"/>
        <v>0</v>
      </c>
      <c r="BQ439" s="4284">
        <f t="shared" si="264"/>
        <v>0</v>
      </c>
      <c r="BR439" s="4284">
        <f t="shared" si="265"/>
        <v>0</v>
      </c>
      <c r="BS439" s="4284">
        <f t="shared" si="266"/>
        <v>0</v>
      </c>
      <c r="BT439" s="4285">
        <f t="shared" si="267"/>
        <v>0</v>
      </c>
    </row>
    <row r="440" spans="1:72">
      <c r="A440" s="4278"/>
      <c r="B440" s="4279"/>
      <c r="C440" s="4279"/>
      <c r="D440" s="4280"/>
      <c r="E440" s="1188">
        <f t="shared" si="239"/>
        <v>0</v>
      </c>
      <c r="F440" s="1680"/>
      <c r="G440" s="4281">
        <f t="shared" si="240"/>
        <v>0</v>
      </c>
      <c r="H440" s="3457">
        <f t="shared" si="241"/>
        <v>0</v>
      </c>
      <c r="I440" s="4282"/>
      <c r="J440" s="4282"/>
      <c r="K440" s="4282"/>
      <c r="L440" s="4282"/>
      <c r="M440" s="4282"/>
      <c r="N440" s="4282"/>
      <c r="O440" s="4282"/>
      <c r="P440" s="4282"/>
      <c r="Q440" s="4282"/>
      <c r="R440" s="4282"/>
      <c r="S440" s="4282"/>
      <c r="T440" s="4282"/>
      <c r="U440" s="4282"/>
      <c r="V440" s="4282"/>
      <c r="W440" s="4282"/>
      <c r="X440" s="4282"/>
      <c r="Y440" s="4282"/>
      <c r="Z440" s="4282"/>
      <c r="AA440" s="4282"/>
      <c r="AB440" s="4282"/>
      <c r="AC440" s="1188">
        <f t="shared" si="242"/>
        <v>0</v>
      </c>
      <c r="AD440" s="4278"/>
      <c r="AE440" s="4278"/>
      <c r="AF440" s="4278"/>
      <c r="AG440" s="4278"/>
      <c r="AH440" s="4278"/>
      <c r="AI440" s="4278"/>
      <c r="AJ440" s="4278"/>
      <c r="AK440" s="4278"/>
      <c r="AL440" s="4278"/>
      <c r="AM440" s="4278"/>
      <c r="AN440" s="4278"/>
      <c r="AO440" s="4278"/>
      <c r="AP440" s="4278"/>
      <c r="AQ440" s="4278"/>
      <c r="AR440" s="4278"/>
      <c r="AS440" s="4278"/>
      <c r="AT440" s="4279"/>
      <c r="AU440" s="4283"/>
      <c r="AV440" s="1188">
        <f t="shared" si="243"/>
        <v>0</v>
      </c>
      <c r="AW440" s="1188">
        <f t="shared" si="244"/>
        <v>0</v>
      </c>
      <c r="AX440" s="1188">
        <f t="shared" si="245"/>
        <v>0</v>
      </c>
      <c r="AY440" s="1452">
        <f t="shared" si="246"/>
        <v>0</v>
      </c>
      <c r="AZ440" s="4284">
        <f t="shared" si="247"/>
        <v>0</v>
      </c>
      <c r="BA440" s="4284">
        <f t="shared" si="248"/>
        <v>0</v>
      </c>
      <c r="BB440" s="4284">
        <f t="shared" si="249"/>
        <v>0</v>
      </c>
      <c r="BC440" s="4284">
        <f t="shared" si="250"/>
        <v>0</v>
      </c>
      <c r="BD440" s="4284">
        <f t="shared" si="251"/>
        <v>0</v>
      </c>
      <c r="BE440" s="4284">
        <f t="shared" si="252"/>
        <v>0</v>
      </c>
      <c r="BF440" s="4284">
        <f t="shared" si="253"/>
        <v>0</v>
      </c>
      <c r="BG440" s="4284">
        <f t="shared" si="254"/>
        <v>0</v>
      </c>
      <c r="BH440" s="4284">
        <f t="shared" si="255"/>
        <v>0</v>
      </c>
      <c r="BI440" s="4284">
        <f t="shared" si="256"/>
        <v>0</v>
      </c>
      <c r="BJ440" s="4284">
        <f t="shared" si="257"/>
        <v>0</v>
      </c>
      <c r="BK440" s="4284">
        <f t="shared" si="258"/>
        <v>0</v>
      </c>
      <c r="BL440" s="4284">
        <f t="shared" si="259"/>
        <v>0</v>
      </c>
      <c r="BM440" s="4284">
        <f t="shared" si="260"/>
        <v>0</v>
      </c>
      <c r="BN440" s="4284">
        <f t="shared" si="261"/>
        <v>0</v>
      </c>
      <c r="BO440" s="4284">
        <f t="shared" si="262"/>
        <v>0</v>
      </c>
      <c r="BP440" s="4284">
        <f t="shared" si="263"/>
        <v>0</v>
      </c>
      <c r="BQ440" s="4284">
        <f t="shared" si="264"/>
        <v>0</v>
      </c>
      <c r="BR440" s="4284">
        <f t="shared" si="265"/>
        <v>0</v>
      </c>
      <c r="BS440" s="4284">
        <f t="shared" si="266"/>
        <v>0</v>
      </c>
      <c r="BT440" s="4285">
        <f t="shared" si="267"/>
        <v>0</v>
      </c>
    </row>
    <row r="441" spans="1:72">
      <c r="A441" s="4278"/>
      <c r="B441" s="4279"/>
      <c r="C441" s="4279"/>
      <c r="D441" s="4280"/>
      <c r="E441" s="1188">
        <f t="shared" si="239"/>
        <v>0</v>
      </c>
      <c r="F441" s="1680"/>
      <c r="G441" s="4281">
        <f t="shared" si="240"/>
        <v>0</v>
      </c>
      <c r="H441" s="3457">
        <f t="shared" si="241"/>
        <v>0</v>
      </c>
      <c r="I441" s="4282"/>
      <c r="J441" s="4282"/>
      <c r="K441" s="4282"/>
      <c r="L441" s="4282"/>
      <c r="M441" s="4282"/>
      <c r="N441" s="4282"/>
      <c r="O441" s="4282"/>
      <c r="P441" s="4282"/>
      <c r="Q441" s="4282"/>
      <c r="R441" s="4282"/>
      <c r="S441" s="4282"/>
      <c r="T441" s="4282"/>
      <c r="U441" s="4282"/>
      <c r="V441" s="4282"/>
      <c r="W441" s="4282"/>
      <c r="X441" s="4282"/>
      <c r="Y441" s="4282"/>
      <c r="Z441" s="4282"/>
      <c r="AA441" s="4282"/>
      <c r="AB441" s="4282"/>
      <c r="AC441" s="1188">
        <f t="shared" si="242"/>
        <v>0</v>
      </c>
      <c r="AD441" s="4278"/>
      <c r="AE441" s="4278"/>
      <c r="AF441" s="4278"/>
      <c r="AG441" s="4278"/>
      <c r="AH441" s="4278"/>
      <c r="AI441" s="4278"/>
      <c r="AJ441" s="4278"/>
      <c r="AK441" s="4278"/>
      <c r="AL441" s="4278"/>
      <c r="AM441" s="4278"/>
      <c r="AN441" s="4278"/>
      <c r="AO441" s="4278"/>
      <c r="AP441" s="4278"/>
      <c r="AQ441" s="4278"/>
      <c r="AR441" s="4278"/>
      <c r="AS441" s="4278"/>
      <c r="AT441" s="4279"/>
      <c r="AU441" s="4283"/>
      <c r="AV441" s="1188">
        <f t="shared" si="243"/>
        <v>0</v>
      </c>
      <c r="AW441" s="1188">
        <f t="shared" si="244"/>
        <v>0</v>
      </c>
      <c r="AX441" s="1188">
        <f t="shared" si="245"/>
        <v>0</v>
      </c>
      <c r="AY441" s="1452">
        <f t="shared" si="246"/>
        <v>0</v>
      </c>
      <c r="AZ441" s="4284">
        <f t="shared" si="247"/>
        <v>0</v>
      </c>
      <c r="BA441" s="4284">
        <f t="shared" si="248"/>
        <v>0</v>
      </c>
      <c r="BB441" s="4284">
        <f t="shared" si="249"/>
        <v>0</v>
      </c>
      <c r="BC441" s="4284">
        <f t="shared" si="250"/>
        <v>0</v>
      </c>
      <c r="BD441" s="4284">
        <f t="shared" si="251"/>
        <v>0</v>
      </c>
      <c r="BE441" s="4284">
        <f t="shared" si="252"/>
        <v>0</v>
      </c>
      <c r="BF441" s="4284">
        <f t="shared" si="253"/>
        <v>0</v>
      </c>
      <c r="BG441" s="4284">
        <f t="shared" si="254"/>
        <v>0</v>
      </c>
      <c r="BH441" s="4284">
        <f t="shared" si="255"/>
        <v>0</v>
      </c>
      <c r="BI441" s="4284">
        <f t="shared" si="256"/>
        <v>0</v>
      </c>
      <c r="BJ441" s="4284">
        <f t="shared" si="257"/>
        <v>0</v>
      </c>
      <c r="BK441" s="4284">
        <f t="shared" si="258"/>
        <v>0</v>
      </c>
      <c r="BL441" s="4284">
        <f t="shared" si="259"/>
        <v>0</v>
      </c>
      <c r="BM441" s="4284">
        <f t="shared" si="260"/>
        <v>0</v>
      </c>
      <c r="BN441" s="4284">
        <f t="shared" si="261"/>
        <v>0</v>
      </c>
      <c r="BO441" s="4284">
        <f t="shared" si="262"/>
        <v>0</v>
      </c>
      <c r="BP441" s="4284">
        <f t="shared" si="263"/>
        <v>0</v>
      </c>
      <c r="BQ441" s="4284">
        <f t="shared" si="264"/>
        <v>0</v>
      </c>
      <c r="BR441" s="4284">
        <f t="shared" si="265"/>
        <v>0</v>
      </c>
      <c r="BS441" s="4284">
        <f t="shared" si="266"/>
        <v>0</v>
      </c>
      <c r="BT441" s="4285">
        <f t="shared" si="267"/>
        <v>0</v>
      </c>
    </row>
    <row r="442" spans="1:72">
      <c r="A442" s="4278"/>
      <c r="B442" s="4279"/>
      <c r="C442" s="4279"/>
      <c r="D442" s="4280"/>
      <c r="E442" s="1188">
        <f t="shared" si="239"/>
        <v>0</v>
      </c>
      <c r="F442" s="1680"/>
      <c r="G442" s="4281">
        <f t="shared" si="240"/>
        <v>0</v>
      </c>
      <c r="H442" s="3457">
        <f t="shared" si="241"/>
        <v>0</v>
      </c>
      <c r="I442" s="4282"/>
      <c r="J442" s="4282"/>
      <c r="K442" s="4282"/>
      <c r="L442" s="4282"/>
      <c r="M442" s="4282"/>
      <c r="N442" s="4282"/>
      <c r="O442" s="4282"/>
      <c r="P442" s="4282"/>
      <c r="Q442" s="4282"/>
      <c r="R442" s="4282"/>
      <c r="S442" s="4282"/>
      <c r="T442" s="4282"/>
      <c r="U442" s="4282"/>
      <c r="V442" s="4282"/>
      <c r="W442" s="4282"/>
      <c r="X442" s="4282"/>
      <c r="Y442" s="4282"/>
      <c r="Z442" s="4282"/>
      <c r="AA442" s="4282"/>
      <c r="AB442" s="4282"/>
      <c r="AC442" s="1188">
        <f t="shared" si="242"/>
        <v>0</v>
      </c>
      <c r="AD442" s="4278"/>
      <c r="AE442" s="4278"/>
      <c r="AF442" s="4278"/>
      <c r="AG442" s="4278"/>
      <c r="AH442" s="4278"/>
      <c r="AI442" s="4278"/>
      <c r="AJ442" s="4278"/>
      <c r="AK442" s="4278"/>
      <c r="AL442" s="4278"/>
      <c r="AM442" s="4278"/>
      <c r="AN442" s="4278"/>
      <c r="AO442" s="4278"/>
      <c r="AP442" s="4278"/>
      <c r="AQ442" s="4278"/>
      <c r="AR442" s="4278"/>
      <c r="AS442" s="4278"/>
      <c r="AT442" s="4279"/>
      <c r="AU442" s="4283"/>
      <c r="AV442" s="1188">
        <f t="shared" si="243"/>
        <v>0</v>
      </c>
      <c r="AW442" s="1188">
        <f t="shared" si="244"/>
        <v>0</v>
      </c>
      <c r="AX442" s="1188">
        <f t="shared" si="245"/>
        <v>0</v>
      </c>
      <c r="AY442" s="1452">
        <f t="shared" si="246"/>
        <v>0</v>
      </c>
      <c r="AZ442" s="4284">
        <f t="shared" si="247"/>
        <v>0</v>
      </c>
      <c r="BA442" s="4284">
        <f t="shared" si="248"/>
        <v>0</v>
      </c>
      <c r="BB442" s="4284">
        <f t="shared" si="249"/>
        <v>0</v>
      </c>
      <c r="BC442" s="4284">
        <f t="shared" si="250"/>
        <v>0</v>
      </c>
      <c r="BD442" s="4284">
        <f t="shared" si="251"/>
        <v>0</v>
      </c>
      <c r="BE442" s="4284">
        <f t="shared" si="252"/>
        <v>0</v>
      </c>
      <c r="BF442" s="4284">
        <f t="shared" si="253"/>
        <v>0</v>
      </c>
      <c r="BG442" s="4284">
        <f t="shared" si="254"/>
        <v>0</v>
      </c>
      <c r="BH442" s="4284">
        <f t="shared" si="255"/>
        <v>0</v>
      </c>
      <c r="BI442" s="4284">
        <f t="shared" si="256"/>
        <v>0</v>
      </c>
      <c r="BJ442" s="4284">
        <f t="shared" si="257"/>
        <v>0</v>
      </c>
      <c r="BK442" s="4284">
        <f t="shared" si="258"/>
        <v>0</v>
      </c>
      <c r="BL442" s="4284">
        <f t="shared" si="259"/>
        <v>0</v>
      </c>
      <c r="BM442" s="4284">
        <f t="shared" si="260"/>
        <v>0</v>
      </c>
      <c r="BN442" s="4284">
        <f t="shared" si="261"/>
        <v>0</v>
      </c>
      <c r="BO442" s="4284">
        <f t="shared" si="262"/>
        <v>0</v>
      </c>
      <c r="BP442" s="4284">
        <f t="shared" si="263"/>
        <v>0</v>
      </c>
      <c r="BQ442" s="4284">
        <f t="shared" si="264"/>
        <v>0</v>
      </c>
      <c r="BR442" s="4284">
        <f t="shared" si="265"/>
        <v>0</v>
      </c>
      <c r="BS442" s="4284">
        <f t="shared" si="266"/>
        <v>0</v>
      </c>
      <c r="BT442" s="4285">
        <f t="shared" si="267"/>
        <v>0</v>
      </c>
    </row>
    <row r="443" spans="1:72">
      <c r="A443" s="4278"/>
      <c r="B443" s="4279"/>
      <c r="C443" s="4279"/>
      <c r="D443" s="4280"/>
      <c r="E443" s="1188">
        <f t="shared" si="239"/>
        <v>0</v>
      </c>
      <c r="F443" s="1680"/>
      <c r="G443" s="4281">
        <f t="shared" si="240"/>
        <v>0</v>
      </c>
      <c r="H443" s="3457">
        <f t="shared" si="241"/>
        <v>0</v>
      </c>
      <c r="I443" s="4282"/>
      <c r="J443" s="4282"/>
      <c r="K443" s="4282"/>
      <c r="L443" s="4282"/>
      <c r="M443" s="4282"/>
      <c r="N443" s="4282"/>
      <c r="O443" s="4282"/>
      <c r="P443" s="4282"/>
      <c r="Q443" s="4282"/>
      <c r="R443" s="4282"/>
      <c r="S443" s="4282"/>
      <c r="T443" s="4282"/>
      <c r="U443" s="4282"/>
      <c r="V443" s="4282"/>
      <c r="W443" s="4282"/>
      <c r="X443" s="4282"/>
      <c r="Y443" s="4282"/>
      <c r="Z443" s="4282"/>
      <c r="AA443" s="4282"/>
      <c r="AB443" s="4282"/>
      <c r="AC443" s="1188">
        <f t="shared" si="242"/>
        <v>0</v>
      </c>
      <c r="AD443" s="4278"/>
      <c r="AE443" s="4278"/>
      <c r="AF443" s="4278"/>
      <c r="AG443" s="4278"/>
      <c r="AH443" s="4278"/>
      <c r="AI443" s="4278"/>
      <c r="AJ443" s="4278"/>
      <c r="AK443" s="4278"/>
      <c r="AL443" s="4278"/>
      <c r="AM443" s="4278"/>
      <c r="AN443" s="4278"/>
      <c r="AO443" s="4278"/>
      <c r="AP443" s="4278"/>
      <c r="AQ443" s="4278"/>
      <c r="AR443" s="4278"/>
      <c r="AS443" s="4278"/>
      <c r="AT443" s="4279"/>
      <c r="AU443" s="4283"/>
      <c r="AV443" s="1188">
        <f t="shared" si="243"/>
        <v>0</v>
      </c>
      <c r="AW443" s="1188">
        <f t="shared" si="244"/>
        <v>0</v>
      </c>
      <c r="AX443" s="1188">
        <f t="shared" si="245"/>
        <v>0</v>
      </c>
      <c r="AY443" s="1452">
        <f t="shared" si="246"/>
        <v>0</v>
      </c>
      <c r="AZ443" s="4284">
        <f t="shared" si="247"/>
        <v>0</v>
      </c>
      <c r="BA443" s="4284">
        <f t="shared" si="248"/>
        <v>0</v>
      </c>
      <c r="BB443" s="4284">
        <f t="shared" si="249"/>
        <v>0</v>
      </c>
      <c r="BC443" s="4284">
        <f t="shared" si="250"/>
        <v>0</v>
      </c>
      <c r="BD443" s="4284">
        <f t="shared" si="251"/>
        <v>0</v>
      </c>
      <c r="BE443" s="4284">
        <f t="shared" si="252"/>
        <v>0</v>
      </c>
      <c r="BF443" s="4284">
        <f t="shared" si="253"/>
        <v>0</v>
      </c>
      <c r="BG443" s="4284">
        <f t="shared" si="254"/>
        <v>0</v>
      </c>
      <c r="BH443" s="4284">
        <f t="shared" si="255"/>
        <v>0</v>
      </c>
      <c r="BI443" s="4284">
        <f t="shared" si="256"/>
        <v>0</v>
      </c>
      <c r="BJ443" s="4284">
        <f t="shared" si="257"/>
        <v>0</v>
      </c>
      <c r="BK443" s="4284">
        <f t="shared" si="258"/>
        <v>0</v>
      </c>
      <c r="BL443" s="4284">
        <f t="shared" si="259"/>
        <v>0</v>
      </c>
      <c r="BM443" s="4284">
        <f t="shared" si="260"/>
        <v>0</v>
      </c>
      <c r="BN443" s="4284">
        <f t="shared" si="261"/>
        <v>0</v>
      </c>
      <c r="BO443" s="4284">
        <f t="shared" si="262"/>
        <v>0</v>
      </c>
      <c r="BP443" s="4284">
        <f t="shared" si="263"/>
        <v>0</v>
      </c>
      <c r="BQ443" s="4284">
        <f t="shared" si="264"/>
        <v>0</v>
      </c>
      <c r="BR443" s="4284">
        <f t="shared" si="265"/>
        <v>0</v>
      </c>
      <c r="BS443" s="4284">
        <f t="shared" si="266"/>
        <v>0</v>
      </c>
      <c r="BT443" s="4285">
        <f t="shared" si="267"/>
        <v>0</v>
      </c>
    </row>
    <row r="444" spans="1:72">
      <c r="A444" s="4278"/>
      <c r="B444" s="4279"/>
      <c r="C444" s="4279"/>
      <c r="D444" s="4280"/>
      <c r="E444" s="1188">
        <f t="shared" si="239"/>
        <v>0</v>
      </c>
      <c r="F444" s="1680"/>
      <c r="G444" s="4281">
        <f t="shared" si="240"/>
        <v>0</v>
      </c>
      <c r="H444" s="3457">
        <f t="shared" si="241"/>
        <v>0</v>
      </c>
      <c r="I444" s="4282"/>
      <c r="J444" s="4282"/>
      <c r="K444" s="4282"/>
      <c r="L444" s="4282"/>
      <c r="M444" s="4282"/>
      <c r="N444" s="4282"/>
      <c r="O444" s="4282"/>
      <c r="P444" s="4282"/>
      <c r="Q444" s="4282"/>
      <c r="R444" s="4282"/>
      <c r="S444" s="4282"/>
      <c r="T444" s="4282"/>
      <c r="U444" s="4282"/>
      <c r="V444" s="4282"/>
      <c r="W444" s="4282"/>
      <c r="X444" s="4282"/>
      <c r="Y444" s="4282"/>
      <c r="Z444" s="4282"/>
      <c r="AA444" s="4282"/>
      <c r="AB444" s="4282"/>
      <c r="AC444" s="1188">
        <f t="shared" si="242"/>
        <v>0</v>
      </c>
      <c r="AD444" s="4278"/>
      <c r="AE444" s="4278"/>
      <c r="AF444" s="4278"/>
      <c r="AG444" s="4278"/>
      <c r="AH444" s="4278"/>
      <c r="AI444" s="4278"/>
      <c r="AJ444" s="4278"/>
      <c r="AK444" s="4278"/>
      <c r="AL444" s="4278"/>
      <c r="AM444" s="4278"/>
      <c r="AN444" s="4278"/>
      <c r="AO444" s="4278"/>
      <c r="AP444" s="4278"/>
      <c r="AQ444" s="4278"/>
      <c r="AR444" s="4278"/>
      <c r="AS444" s="4278"/>
      <c r="AT444" s="4279"/>
      <c r="AU444" s="4283"/>
      <c r="AV444" s="1188">
        <f t="shared" si="243"/>
        <v>0</v>
      </c>
      <c r="AW444" s="1188">
        <f t="shared" si="244"/>
        <v>0</v>
      </c>
      <c r="AX444" s="1188">
        <f t="shared" si="245"/>
        <v>0</v>
      </c>
      <c r="AY444" s="1452">
        <f t="shared" si="246"/>
        <v>0</v>
      </c>
      <c r="AZ444" s="4284">
        <f t="shared" si="247"/>
        <v>0</v>
      </c>
      <c r="BA444" s="4284">
        <f t="shared" si="248"/>
        <v>0</v>
      </c>
      <c r="BB444" s="4284">
        <f t="shared" si="249"/>
        <v>0</v>
      </c>
      <c r="BC444" s="4284">
        <f t="shared" si="250"/>
        <v>0</v>
      </c>
      <c r="BD444" s="4284">
        <f t="shared" si="251"/>
        <v>0</v>
      </c>
      <c r="BE444" s="4284">
        <f t="shared" si="252"/>
        <v>0</v>
      </c>
      <c r="BF444" s="4284">
        <f t="shared" si="253"/>
        <v>0</v>
      </c>
      <c r="BG444" s="4284">
        <f t="shared" si="254"/>
        <v>0</v>
      </c>
      <c r="BH444" s="4284">
        <f t="shared" si="255"/>
        <v>0</v>
      </c>
      <c r="BI444" s="4284">
        <f t="shared" si="256"/>
        <v>0</v>
      </c>
      <c r="BJ444" s="4284">
        <f t="shared" si="257"/>
        <v>0</v>
      </c>
      <c r="BK444" s="4284">
        <f t="shared" si="258"/>
        <v>0</v>
      </c>
      <c r="BL444" s="4284">
        <f t="shared" si="259"/>
        <v>0</v>
      </c>
      <c r="BM444" s="4284">
        <f t="shared" si="260"/>
        <v>0</v>
      </c>
      <c r="BN444" s="4284">
        <f t="shared" si="261"/>
        <v>0</v>
      </c>
      <c r="BO444" s="4284">
        <f t="shared" si="262"/>
        <v>0</v>
      </c>
      <c r="BP444" s="4284">
        <f t="shared" si="263"/>
        <v>0</v>
      </c>
      <c r="BQ444" s="4284">
        <f t="shared" si="264"/>
        <v>0</v>
      </c>
      <c r="BR444" s="4284">
        <f t="shared" si="265"/>
        <v>0</v>
      </c>
      <c r="BS444" s="4284">
        <f t="shared" si="266"/>
        <v>0</v>
      </c>
      <c r="BT444" s="4285">
        <f t="shared" si="267"/>
        <v>0</v>
      </c>
    </row>
    <row r="445" spans="1:72">
      <c r="A445" s="4278"/>
      <c r="B445" s="4279"/>
      <c r="C445" s="4279"/>
      <c r="D445" s="4280"/>
      <c r="E445" s="1188">
        <f t="shared" si="239"/>
        <v>0</v>
      </c>
      <c r="F445" s="1680"/>
      <c r="G445" s="4281">
        <f t="shared" si="240"/>
        <v>0</v>
      </c>
      <c r="H445" s="3457">
        <f t="shared" si="241"/>
        <v>0</v>
      </c>
      <c r="I445" s="4282"/>
      <c r="J445" s="4282"/>
      <c r="K445" s="4282"/>
      <c r="L445" s="4282"/>
      <c r="M445" s="4282"/>
      <c r="N445" s="4282"/>
      <c r="O445" s="4282"/>
      <c r="P445" s="4282"/>
      <c r="Q445" s="4282"/>
      <c r="R445" s="4282"/>
      <c r="S445" s="4282"/>
      <c r="T445" s="4282"/>
      <c r="U445" s="4282"/>
      <c r="V445" s="4282"/>
      <c r="W445" s="4282"/>
      <c r="X445" s="4282"/>
      <c r="Y445" s="4282"/>
      <c r="Z445" s="4282"/>
      <c r="AA445" s="4282"/>
      <c r="AB445" s="4282"/>
      <c r="AC445" s="1188">
        <f t="shared" si="242"/>
        <v>0</v>
      </c>
      <c r="AD445" s="4278"/>
      <c r="AE445" s="4278"/>
      <c r="AF445" s="4278"/>
      <c r="AG445" s="4278"/>
      <c r="AH445" s="4278"/>
      <c r="AI445" s="4278"/>
      <c r="AJ445" s="4278"/>
      <c r="AK445" s="4278"/>
      <c r="AL445" s="4278"/>
      <c r="AM445" s="4278"/>
      <c r="AN445" s="4278"/>
      <c r="AO445" s="4278"/>
      <c r="AP445" s="4278"/>
      <c r="AQ445" s="4278"/>
      <c r="AR445" s="4278"/>
      <c r="AS445" s="4278"/>
      <c r="AT445" s="4279"/>
      <c r="AU445" s="4283"/>
      <c r="AV445" s="1188">
        <f t="shared" si="243"/>
        <v>0</v>
      </c>
      <c r="AW445" s="1188">
        <f t="shared" si="244"/>
        <v>0</v>
      </c>
      <c r="AX445" s="1188">
        <f t="shared" si="245"/>
        <v>0</v>
      </c>
      <c r="AY445" s="1452">
        <f t="shared" si="246"/>
        <v>0</v>
      </c>
      <c r="AZ445" s="4284">
        <f t="shared" si="247"/>
        <v>0</v>
      </c>
      <c r="BA445" s="4284">
        <f t="shared" si="248"/>
        <v>0</v>
      </c>
      <c r="BB445" s="4284">
        <f t="shared" si="249"/>
        <v>0</v>
      </c>
      <c r="BC445" s="4284">
        <f t="shared" si="250"/>
        <v>0</v>
      </c>
      <c r="BD445" s="4284">
        <f t="shared" si="251"/>
        <v>0</v>
      </c>
      <c r="BE445" s="4284">
        <f t="shared" si="252"/>
        <v>0</v>
      </c>
      <c r="BF445" s="4284">
        <f t="shared" si="253"/>
        <v>0</v>
      </c>
      <c r="BG445" s="4284">
        <f t="shared" si="254"/>
        <v>0</v>
      </c>
      <c r="BH445" s="4284">
        <f t="shared" si="255"/>
        <v>0</v>
      </c>
      <c r="BI445" s="4284">
        <f t="shared" si="256"/>
        <v>0</v>
      </c>
      <c r="BJ445" s="4284">
        <f t="shared" si="257"/>
        <v>0</v>
      </c>
      <c r="BK445" s="4284">
        <f t="shared" si="258"/>
        <v>0</v>
      </c>
      <c r="BL445" s="4284">
        <f t="shared" si="259"/>
        <v>0</v>
      </c>
      <c r="BM445" s="4284">
        <f t="shared" si="260"/>
        <v>0</v>
      </c>
      <c r="BN445" s="4284">
        <f t="shared" si="261"/>
        <v>0</v>
      </c>
      <c r="BO445" s="4284">
        <f t="shared" si="262"/>
        <v>0</v>
      </c>
      <c r="BP445" s="4284">
        <f t="shared" si="263"/>
        <v>0</v>
      </c>
      <c r="BQ445" s="4284">
        <f t="shared" si="264"/>
        <v>0</v>
      </c>
      <c r="BR445" s="4284">
        <f t="shared" si="265"/>
        <v>0</v>
      </c>
      <c r="BS445" s="4284">
        <f t="shared" si="266"/>
        <v>0</v>
      </c>
      <c r="BT445" s="4285">
        <f t="shared" si="267"/>
        <v>0</v>
      </c>
    </row>
    <row r="446" spans="1:72">
      <c r="A446" s="4278"/>
      <c r="B446" s="4279"/>
      <c r="C446" s="4279"/>
      <c r="D446" s="4280"/>
      <c r="E446" s="1188">
        <f t="shared" si="239"/>
        <v>0</v>
      </c>
      <c r="F446" s="1680"/>
      <c r="G446" s="4281">
        <f t="shared" si="240"/>
        <v>0</v>
      </c>
      <c r="H446" s="3457">
        <f t="shared" si="241"/>
        <v>0</v>
      </c>
      <c r="I446" s="4282"/>
      <c r="J446" s="4282"/>
      <c r="K446" s="4282"/>
      <c r="L446" s="4282"/>
      <c r="M446" s="4282"/>
      <c r="N446" s="4282"/>
      <c r="O446" s="4282"/>
      <c r="P446" s="4282"/>
      <c r="Q446" s="4282"/>
      <c r="R446" s="4282"/>
      <c r="S446" s="4282"/>
      <c r="T446" s="4282"/>
      <c r="U446" s="4282"/>
      <c r="V446" s="4282"/>
      <c r="W446" s="4282"/>
      <c r="X446" s="4282"/>
      <c r="Y446" s="4282"/>
      <c r="Z446" s="4282"/>
      <c r="AA446" s="4282"/>
      <c r="AB446" s="4282"/>
      <c r="AC446" s="1188">
        <f t="shared" si="242"/>
        <v>0</v>
      </c>
      <c r="AD446" s="4278"/>
      <c r="AE446" s="4278"/>
      <c r="AF446" s="4278"/>
      <c r="AG446" s="4278"/>
      <c r="AH446" s="4278"/>
      <c r="AI446" s="4278"/>
      <c r="AJ446" s="4278"/>
      <c r="AK446" s="4278"/>
      <c r="AL446" s="4278"/>
      <c r="AM446" s="4278"/>
      <c r="AN446" s="4278"/>
      <c r="AO446" s="4278"/>
      <c r="AP446" s="4278"/>
      <c r="AQ446" s="4278"/>
      <c r="AR446" s="4278"/>
      <c r="AS446" s="4278"/>
      <c r="AT446" s="4279"/>
      <c r="AU446" s="4283"/>
      <c r="AV446" s="1188">
        <f t="shared" si="243"/>
        <v>0</v>
      </c>
      <c r="AW446" s="1188">
        <f t="shared" si="244"/>
        <v>0</v>
      </c>
      <c r="AX446" s="1188">
        <f t="shared" si="245"/>
        <v>0</v>
      </c>
      <c r="AY446" s="1452">
        <f t="shared" si="246"/>
        <v>0</v>
      </c>
      <c r="AZ446" s="4284">
        <f t="shared" si="247"/>
        <v>0</v>
      </c>
      <c r="BA446" s="4284">
        <f t="shared" si="248"/>
        <v>0</v>
      </c>
      <c r="BB446" s="4284">
        <f t="shared" si="249"/>
        <v>0</v>
      </c>
      <c r="BC446" s="4284">
        <f t="shared" si="250"/>
        <v>0</v>
      </c>
      <c r="BD446" s="4284">
        <f t="shared" si="251"/>
        <v>0</v>
      </c>
      <c r="BE446" s="4284">
        <f t="shared" si="252"/>
        <v>0</v>
      </c>
      <c r="BF446" s="4284">
        <f t="shared" si="253"/>
        <v>0</v>
      </c>
      <c r="BG446" s="4284">
        <f t="shared" si="254"/>
        <v>0</v>
      </c>
      <c r="BH446" s="4284">
        <f t="shared" si="255"/>
        <v>0</v>
      </c>
      <c r="BI446" s="4284">
        <f t="shared" si="256"/>
        <v>0</v>
      </c>
      <c r="BJ446" s="4284">
        <f t="shared" si="257"/>
        <v>0</v>
      </c>
      <c r="BK446" s="4284">
        <f t="shared" si="258"/>
        <v>0</v>
      </c>
      <c r="BL446" s="4284">
        <f t="shared" si="259"/>
        <v>0</v>
      </c>
      <c r="BM446" s="4284">
        <f t="shared" si="260"/>
        <v>0</v>
      </c>
      <c r="BN446" s="4284">
        <f t="shared" si="261"/>
        <v>0</v>
      </c>
      <c r="BO446" s="4284">
        <f t="shared" si="262"/>
        <v>0</v>
      </c>
      <c r="BP446" s="4284">
        <f t="shared" si="263"/>
        <v>0</v>
      </c>
      <c r="BQ446" s="4284">
        <f t="shared" si="264"/>
        <v>0</v>
      </c>
      <c r="BR446" s="4284">
        <f t="shared" si="265"/>
        <v>0</v>
      </c>
      <c r="BS446" s="4284">
        <f t="shared" si="266"/>
        <v>0</v>
      </c>
      <c r="BT446" s="4285">
        <f t="shared" si="267"/>
        <v>0</v>
      </c>
    </row>
    <row r="447" spans="1:72">
      <c r="A447" s="4278"/>
      <c r="B447" s="4279"/>
      <c r="C447" s="4279"/>
      <c r="D447" s="4280"/>
      <c r="E447" s="1188">
        <f t="shared" si="239"/>
        <v>0</v>
      </c>
      <c r="F447" s="1680"/>
      <c r="G447" s="4281">
        <f t="shared" si="240"/>
        <v>0</v>
      </c>
      <c r="H447" s="3457">
        <f t="shared" si="241"/>
        <v>0</v>
      </c>
      <c r="I447" s="4282"/>
      <c r="J447" s="4282"/>
      <c r="K447" s="4282"/>
      <c r="L447" s="4282"/>
      <c r="M447" s="4282"/>
      <c r="N447" s="4282"/>
      <c r="O447" s="4282"/>
      <c r="P447" s="4282"/>
      <c r="Q447" s="4282"/>
      <c r="R447" s="4282"/>
      <c r="S447" s="4282"/>
      <c r="T447" s="4282"/>
      <c r="U447" s="4282"/>
      <c r="V447" s="4282"/>
      <c r="W447" s="4282"/>
      <c r="X447" s="4282"/>
      <c r="Y447" s="4282"/>
      <c r="Z447" s="4282"/>
      <c r="AA447" s="4282"/>
      <c r="AB447" s="4282"/>
      <c r="AC447" s="1188">
        <f t="shared" si="242"/>
        <v>0</v>
      </c>
      <c r="AD447" s="4278"/>
      <c r="AE447" s="4278"/>
      <c r="AF447" s="4278"/>
      <c r="AG447" s="4278"/>
      <c r="AH447" s="4278"/>
      <c r="AI447" s="4278"/>
      <c r="AJ447" s="4278"/>
      <c r="AK447" s="4278"/>
      <c r="AL447" s="4278"/>
      <c r="AM447" s="4278"/>
      <c r="AN447" s="4278"/>
      <c r="AO447" s="4278"/>
      <c r="AP447" s="4278"/>
      <c r="AQ447" s="4278"/>
      <c r="AR447" s="4278"/>
      <c r="AS447" s="4278"/>
      <c r="AT447" s="4279"/>
      <c r="AU447" s="4283"/>
      <c r="AV447" s="1188">
        <f t="shared" si="243"/>
        <v>0</v>
      </c>
      <c r="AW447" s="1188">
        <f t="shared" si="244"/>
        <v>0</v>
      </c>
      <c r="AX447" s="1188">
        <f t="shared" si="245"/>
        <v>0</v>
      </c>
      <c r="AY447" s="1452">
        <f t="shared" si="246"/>
        <v>0</v>
      </c>
      <c r="AZ447" s="4284">
        <f t="shared" si="247"/>
        <v>0</v>
      </c>
      <c r="BA447" s="4284">
        <f t="shared" si="248"/>
        <v>0</v>
      </c>
      <c r="BB447" s="4284">
        <f t="shared" si="249"/>
        <v>0</v>
      </c>
      <c r="BC447" s="4284">
        <f t="shared" si="250"/>
        <v>0</v>
      </c>
      <c r="BD447" s="4284">
        <f t="shared" si="251"/>
        <v>0</v>
      </c>
      <c r="BE447" s="4284">
        <f t="shared" si="252"/>
        <v>0</v>
      </c>
      <c r="BF447" s="4284">
        <f t="shared" si="253"/>
        <v>0</v>
      </c>
      <c r="BG447" s="4284">
        <f t="shared" si="254"/>
        <v>0</v>
      </c>
      <c r="BH447" s="4284">
        <f t="shared" si="255"/>
        <v>0</v>
      </c>
      <c r="BI447" s="4284">
        <f t="shared" si="256"/>
        <v>0</v>
      </c>
      <c r="BJ447" s="4284">
        <f t="shared" si="257"/>
        <v>0</v>
      </c>
      <c r="BK447" s="4284">
        <f t="shared" si="258"/>
        <v>0</v>
      </c>
      <c r="BL447" s="4284">
        <f t="shared" si="259"/>
        <v>0</v>
      </c>
      <c r="BM447" s="4284">
        <f t="shared" si="260"/>
        <v>0</v>
      </c>
      <c r="BN447" s="4284">
        <f t="shared" si="261"/>
        <v>0</v>
      </c>
      <c r="BO447" s="4284">
        <f t="shared" si="262"/>
        <v>0</v>
      </c>
      <c r="BP447" s="4284">
        <f t="shared" si="263"/>
        <v>0</v>
      </c>
      <c r="BQ447" s="4284">
        <f t="shared" si="264"/>
        <v>0</v>
      </c>
      <c r="BR447" s="4284">
        <f t="shared" si="265"/>
        <v>0</v>
      </c>
      <c r="BS447" s="4284">
        <f t="shared" si="266"/>
        <v>0</v>
      </c>
      <c r="BT447" s="4285">
        <f t="shared" si="267"/>
        <v>0</v>
      </c>
    </row>
    <row r="448" spans="1:72">
      <c r="A448" s="4278"/>
      <c r="B448" s="4279"/>
      <c r="C448" s="4279"/>
      <c r="D448" s="4280"/>
      <c r="E448" s="1188">
        <f t="shared" si="239"/>
        <v>0</v>
      </c>
      <c r="F448" s="1680"/>
      <c r="G448" s="4281">
        <f t="shared" si="240"/>
        <v>0</v>
      </c>
      <c r="H448" s="3457">
        <f t="shared" si="241"/>
        <v>0</v>
      </c>
      <c r="I448" s="4282"/>
      <c r="J448" s="4282"/>
      <c r="K448" s="4282"/>
      <c r="L448" s="4282"/>
      <c r="M448" s="4282"/>
      <c r="N448" s="4282"/>
      <c r="O448" s="4282"/>
      <c r="P448" s="4282"/>
      <c r="Q448" s="4282"/>
      <c r="R448" s="4282"/>
      <c r="S448" s="4282"/>
      <c r="T448" s="4282"/>
      <c r="U448" s="4282"/>
      <c r="V448" s="4282"/>
      <c r="W448" s="4282"/>
      <c r="X448" s="4282"/>
      <c r="Y448" s="4282"/>
      <c r="Z448" s="4282"/>
      <c r="AA448" s="4282"/>
      <c r="AB448" s="4282"/>
      <c r="AC448" s="1188">
        <f t="shared" si="242"/>
        <v>0</v>
      </c>
      <c r="AD448" s="4278"/>
      <c r="AE448" s="4278"/>
      <c r="AF448" s="4278"/>
      <c r="AG448" s="4278"/>
      <c r="AH448" s="4278"/>
      <c r="AI448" s="4278"/>
      <c r="AJ448" s="4278"/>
      <c r="AK448" s="4278"/>
      <c r="AL448" s="4278"/>
      <c r="AM448" s="4278"/>
      <c r="AN448" s="4278"/>
      <c r="AO448" s="4278"/>
      <c r="AP448" s="4278"/>
      <c r="AQ448" s="4278"/>
      <c r="AR448" s="4278"/>
      <c r="AS448" s="4278"/>
      <c r="AT448" s="4279"/>
      <c r="AU448" s="4283"/>
      <c r="AV448" s="1188">
        <f t="shared" si="243"/>
        <v>0</v>
      </c>
      <c r="AW448" s="1188">
        <f t="shared" si="244"/>
        <v>0</v>
      </c>
      <c r="AX448" s="1188">
        <f t="shared" si="245"/>
        <v>0</v>
      </c>
      <c r="AY448" s="1452">
        <f t="shared" si="246"/>
        <v>0</v>
      </c>
      <c r="AZ448" s="4284">
        <f t="shared" si="247"/>
        <v>0</v>
      </c>
      <c r="BA448" s="4284">
        <f t="shared" si="248"/>
        <v>0</v>
      </c>
      <c r="BB448" s="4284">
        <f t="shared" si="249"/>
        <v>0</v>
      </c>
      <c r="BC448" s="4284">
        <f t="shared" si="250"/>
        <v>0</v>
      </c>
      <c r="BD448" s="4284">
        <f t="shared" si="251"/>
        <v>0</v>
      </c>
      <c r="BE448" s="4284">
        <f t="shared" si="252"/>
        <v>0</v>
      </c>
      <c r="BF448" s="4284">
        <f t="shared" si="253"/>
        <v>0</v>
      </c>
      <c r="BG448" s="4284">
        <f t="shared" si="254"/>
        <v>0</v>
      </c>
      <c r="BH448" s="4284">
        <f t="shared" si="255"/>
        <v>0</v>
      </c>
      <c r="BI448" s="4284">
        <f t="shared" si="256"/>
        <v>0</v>
      </c>
      <c r="BJ448" s="4284">
        <f t="shared" si="257"/>
        <v>0</v>
      </c>
      <c r="BK448" s="4284">
        <f t="shared" si="258"/>
        <v>0</v>
      </c>
      <c r="BL448" s="4284">
        <f t="shared" si="259"/>
        <v>0</v>
      </c>
      <c r="BM448" s="4284">
        <f t="shared" si="260"/>
        <v>0</v>
      </c>
      <c r="BN448" s="4284">
        <f t="shared" si="261"/>
        <v>0</v>
      </c>
      <c r="BO448" s="4284">
        <f t="shared" si="262"/>
        <v>0</v>
      </c>
      <c r="BP448" s="4284">
        <f t="shared" si="263"/>
        <v>0</v>
      </c>
      <c r="BQ448" s="4284">
        <f t="shared" si="264"/>
        <v>0</v>
      </c>
      <c r="BR448" s="4284">
        <f t="shared" si="265"/>
        <v>0</v>
      </c>
      <c r="BS448" s="4284">
        <f t="shared" si="266"/>
        <v>0</v>
      </c>
      <c r="BT448" s="4285">
        <f t="shared" si="267"/>
        <v>0</v>
      </c>
    </row>
    <row r="449" spans="1:72">
      <c r="A449" s="4278"/>
      <c r="B449" s="4279"/>
      <c r="C449" s="4279"/>
      <c r="D449" s="4280"/>
      <c r="E449" s="1188">
        <f t="shared" si="239"/>
        <v>0</v>
      </c>
      <c r="F449" s="1680"/>
      <c r="G449" s="4281">
        <f t="shared" si="240"/>
        <v>0</v>
      </c>
      <c r="H449" s="3457">
        <f t="shared" si="241"/>
        <v>0</v>
      </c>
      <c r="I449" s="4282"/>
      <c r="J449" s="4282"/>
      <c r="K449" s="4282"/>
      <c r="L449" s="4282"/>
      <c r="M449" s="4282"/>
      <c r="N449" s="4282"/>
      <c r="O449" s="4282"/>
      <c r="P449" s="4282"/>
      <c r="Q449" s="4282"/>
      <c r="R449" s="4282"/>
      <c r="S449" s="4282"/>
      <c r="T449" s="4282"/>
      <c r="U449" s="4282"/>
      <c r="V449" s="4282"/>
      <c r="W449" s="4282"/>
      <c r="X449" s="4282"/>
      <c r="Y449" s="4282"/>
      <c r="Z449" s="4282"/>
      <c r="AA449" s="4282"/>
      <c r="AB449" s="4282"/>
      <c r="AC449" s="1188">
        <f t="shared" si="242"/>
        <v>0</v>
      </c>
      <c r="AD449" s="4278"/>
      <c r="AE449" s="4278"/>
      <c r="AF449" s="4278"/>
      <c r="AG449" s="4278"/>
      <c r="AH449" s="4278"/>
      <c r="AI449" s="4278"/>
      <c r="AJ449" s="4278"/>
      <c r="AK449" s="4278"/>
      <c r="AL449" s="4278"/>
      <c r="AM449" s="4278"/>
      <c r="AN449" s="4278"/>
      <c r="AO449" s="4278"/>
      <c r="AP449" s="4278"/>
      <c r="AQ449" s="4278"/>
      <c r="AR449" s="4278"/>
      <c r="AS449" s="4278"/>
      <c r="AT449" s="4279"/>
      <c r="AU449" s="4283"/>
      <c r="AV449" s="1188">
        <f t="shared" si="243"/>
        <v>0</v>
      </c>
      <c r="AW449" s="1188">
        <f t="shared" si="244"/>
        <v>0</v>
      </c>
      <c r="AX449" s="1188">
        <f t="shared" si="245"/>
        <v>0</v>
      </c>
      <c r="AY449" s="1452">
        <f t="shared" si="246"/>
        <v>0</v>
      </c>
      <c r="AZ449" s="4284">
        <f t="shared" si="247"/>
        <v>0</v>
      </c>
      <c r="BA449" s="4284">
        <f t="shared" si="248"/>
        <v>0</v>
      </c>
      <c r="BB449" s="4284">
        <f t="shared" si="249"/>
        <v>0</v>
      </c>
      <c r="BC449" s="4284">
        <f t="shared" si="250"/>
        <v>0</v>
      </c>
      <c r="BD449" s="4284">
        <f t="shared" si="251"/>
        <v>0</v>
      </c>
      <c r="BE449" s="4284">
        <f t="shared" si="252"/>
        <v>0</v>
      </c>
      <c r="BF449" s="4284">
        <f t="shared" si="253"/>
        <v>0</v>
      </c>
      <c r="BG449" s="4284">
        <f t="shared" si="254"/>
        <v>0</v>
      </c>
      <c r="BH449" s="4284">
        <f t="shared" si="255"/>
        <v>0</v>
      </c>
      <c r="BI449" s="4284">
        <f t="shared" si="256"/>
        <v>0</v>
      </c>
      <c r="BJ449" s="4284">
        <f t="shared" si="257"/>
        <v>0</v>
      </c>
      <c r="BK449" s="4284">
        <f t="shared" si="258"/>
        <v>0</v>
      </c>
      <c r="BL449" s="4284">
        <f t="shared" si="259"/>
        <v>0</v>
      </c>
      <c r="BM449" s="4284">
        <f t="shared" si="260"/>
        <v>0</v>
      </c>
      <c r="BN449" s="4284">
        <f t="shared" si="261"/>
        <v>0</v>
      </c>
      <c r="BO449" s="4284">
        <f t="shared" si="262"/>
        <v>0</v>
      </c>
      <c r="BP449" s="4284">
        <f t="shared" si="263"/>
        <v>0</v>
      </c>
      <c r="BQ449" s="4284">
        <f t="shared" si="264"/>
        <v>0</v>
      </c>
      <c r="BR449" s="4284">
        <f t="shared" si="265"/>
        <v>0</v>
      </c>
      <c r="BS449" s="4284">
        <f t="shared" si="266"/>
        <v>0</v>
      </c>
      <c r="BT449" s="4285">
        <f t="shared" si="267"/>
        <v>0</v>
      </c>
    </row>
    <row r="450" spans="1:72">
      <c r="A450" s="4278"/>
      <c r="B450" s="4279"/>
      <c r="C450" s="4279"/>
      <c r="D450" s="4280"/>
      <c r="E450" s="1188">
        <f t="shared" si="239"/>
        <v>0</v>
      </c>
      <c r="F450" s="1680"/>
      <c r="G450" s="4281">
        <f t="shared" si="240"/>
        <v>0</v>
      </c>
      <c r="H450" s="3457">
        <f t="shared" si="241"/>
        <v>0</v>
      </c>
      <c r="I450" s="4282"/>
      <c r="J450" s="4282"/>
      <c r="K450" s="4282"/>
      <c r="L450" s="4282"/>
      <c r="M450" s="4282"/>
      <c r="N450" s="4282"/>
      <c r="O450" s="4282"/>
      <c r="P450" s="4282"/>
      <c r="Q450" s="4282"/>
      <c r="R450" s="4282"/>
      <c r="S450" s="4282"/>
      <c r="T450" s="4282"/>
      <c r="U450" s="4282"/>
      <c r="V450" s="4282"/>
      <c r="W450" s="4282"/>
      <c r="X450" s="4282"/>
      <c r="Y450" s="4282"/>
      <c r="Z450" s="4282"/>
      <c r="AA450" s="4282"/>
      <c r="AB450" s="4282"/>
      <c r="AC450" s="1188">
        <f t="shared" si="242"/>
        <v>0</v>
      </c>
      <c r="AD450" s="4278"/>
      <c r="AE450" s="4278"/>
      <c r="AF450" s="4278"/>
      <c r="AG450" s="4278"/>
      <c r="AH450" s="4278"/>
      <c r="AI450" s="4278"/>
      <c r="AJ450" s="4278"/>
      <c r="AK450" s="4278"/>
      <c r="AL450" s="4278"/>
      <c r="AM450" s="4278"/>
      <c r="AN450" s="4278"/>
      <c r="AO450" s="4278"/>
      <c r="AP450" s="4278"/>
      <c r="AQ450" s="4278"/>
      <c r="AR450" s="4278"/>
      <c r="AS450" s="4278"/>
      <c r="AT450" s="4279"/>
      <c r="AU450" s="4283"/>
      <c r="AV450" s="1188">
        <f t="shared" si="243"/>
        <v>0</v>
      </c>
      <c r="AW450" s="1188">
        <f t="shared" si="244"/>
        <v>0</v>
      </c>
      <c r="AX450" s="1188">
        <f t="shared" si="245"/>
        <v>0</v>
      </c>
      <c r="AY450" s="1452">
        <f t="shared" si="246"/>
        <v>0</v>
      </c>
      <c r="AZ450" s="4284">
        <f t="shared" si="247"/>
        <v>0</v>
      </c>
      <c r="BA450" s="4284">
        <f t="shared" si="248"/>
        <v>0</v>
      </c>
      <c r="BB450" s="4284">
        <f t="shared" si="249"/>
        <v>0</v>
      </c>
      <c r="BC450" s="4284">
        <f t="shared" si="250"/>
        <v>0</v>
      </c>
      <c r="BD450" s="4284">
        <f t="shared" si="251"/>
        <v>0</v>
      </c>
      <c r="BE450" s="4284">
        <f t="shared" si="252"/>
        <v>0</v>
      </c>
      <c r="BF450" s="4284">
        <f t="shared" si="253"/>
        <v>0</v>
      </c>
      <c r="BG450" s="4284">
        <f t="shared" si="254"/>
        <v>0</v>
      </c>
      <c r="BH450" s="4284">
        <f t="shared" si="255"/>
        <v>0</v>
      </c>
      <c r="BI450" s="4284">
        <f t="shared" si="256"/>
        <v>0</v>
      </c>
      <c r="BJ450" s="4284">
        <f t="shared" si="257"/>
        <v>0</v>
      </c>
      <c r="BK450" s="4284">
        <f t="shared" si="258"/>
        <v>0</v>
      </c>
      <c r="BL450" s="4284">
        <f t="shared" si="259"/>
        <v>0</v>
      </c>
      <c r="BM450" s="4284">
        <f t="shared" si="260"/>
        <v>0</v>
      </c>
      <c r="BN450" s="4284">
        <f t="shared" si="261"/>
        <v>0</v>
      </c>
      <c r="BO450" s="4284">
        <f t="shared" si="262"/>
        <v>0</v>
      </c>
      <c r="BP450" s="4284">
        <f t="shared" si="263"/>
        <v>0</v>
      </c>
      <c r="BQ450" s="4284">
        <f t="shared" si="264"/>
        <v>0</v>
      </c>
      <c r="BR450" s="4284">
        <f t="shared" si="265"/>
        <v>0</v>
      </c>
      <c r="BS450" s="4284">
        <f t="shared" si="266"/>
        <v>0</v>
      </c>
      <c r="BT450" s="4285">
        <f t="shared" si="267"/>
        <v>0</v>
      </c>
    </row>
    <row r="451" spans="1:72">
      <c r="A451" s="4278"/>
      <c r="B451" s="4279"/>
      <c r="C451" s="4279"/>
      <c r="D451" s="4280"/>
      <c r="E451" s="1188">
        <f t="shared" si="239"/>
        <v>0</v>
      </c>
      <c r="F451" s="1680"/>
      <c r="G451" s="4281">
        <f t="shared" si="240"/>
        <v>0</v>
      </c>
      <c r="H451" s="3457">
        <f t="shared" si="241"/>
        <v>0</v>
      </c>
      <c r="I451" s="4282"/>
      <c r="J451" s="4282"/>
      <c r="K451" s="4282"/>
      <c r="L451" s="4282"/>
      <c r="M451" s="4282"/>
      <c r="N451" s="4282"/>
      <c r="O451" s="4282"/>
      <c r="P451" s="4282"/>
      <c r="Q451" s="4282"/>
      <c r="R451" s="4282"/>
      <c r="S451" s="4282"/>
      <c r="T451" s="4282"/>
      <c r="U451" s="4282"/>
      <c r="V451" s="4282"/>
      <c r="W451" s="4282"/>
      <c r="X451" s="4282"/>
      <c r="Y451" s="4282"/>
      <c r="Z451" s="4282"/>
      <c r="AA451" s="4282"/>
      <c r="AB451" s="4282"/>
      <c r="AC451" s="1188">
        <f t="shared" si="242"/>
        <v>0</v>
      </c>
      <c r="AD451" s="4278"/>
      <c r="AE451" s="4278"/>
      <c r="AF451" s="4278"/>
      <c r="AG451" s="4278"/>
      <c r="AH451" s="4278"/>
      <c r="AI451" s="4278"/>
      <c r="AJ451" s="4278"/>
      <c r="AK451" s="4278"/>
      <c r="AL451" s="4278"/>
      <c r="AM451" s="4278"/>
      <c r="AN451" s="4278"/>
      <c r="AO451" s="4278"/>
      <c r="AP451" s="4278"/>
      <c r="AQ451" s="4278"/>
      <c r="AR451" s="4278"/>
      <c r="AS451" s="4278"/>
      <c r="AT451" s="4279"/>
      <c r="AU451" s="4283"/>
      <c r="AV451" s="1188">
        <f t="shared" si="243"/>
        <v>0</v>
      </c>
      <c r="AW451" s="1188">
        <f t="shared" si="244"/>
        <v>0</v>
      </c>
      <c r="AX451" s="1188">
        <f t="shared" si="245"/>
        <v>0</v>
      </c>
      <c r="AY451" s="1452">
        <f t="shared" si="246"/>
        <v>0</v>
      </c>
      <c r="AZ451" s="4284">
        <f t="shared" si="247"/>
        <v>0</v>
      </c>
      <c r="BA451" s="4284">
        <f t="shared" si="248"/>
        <v>0</v>
      </c>
      <c r="BB451" s="4284">
        <f t="shared" si="249"/>
        <v>0</v>
      </c>
      <c r="BC451" s="4284">
        <f t="shared" si="250"/>
        <v>0</v>
      </c>
      <c r="BD451" s="4284">
        <f t="shared" si="251"/>
        <v>0</v>
      </c>
      <c r="BE451" s="4284">
        <f t="shared" si="252"/>
        <v>0</v>
      </c>
      <c r="BF451" s="4284">
        <f t="shared" si="253"/>
        <v>0</v>
      </c>
      <c r="BG451" s="4284">
        <f t="shared" si="254"/>
        <v>0</v>
      </c>
      <c r="BH451" s="4284">
        <f t="shared" si="255"/>
        <v>0</v>
      </c>
      <c r="BI451" s="4284">
        <f t="shared" si="256"/>
        <v>0</v>
      </c>
      <c r="BJ451" s="4284">
        <f t="shared" si="257"/>
        <v>0</v>
      </c>
      <c r="BK451" s="4284">
        <f t="shared" si="258"/>
        <v>0</v>
      </c>
      <c r="BL451" s="4284">
        <f t="shared" si="259"/>
        <v>0</v>
      </c>
      <c r="BM451" s="4284">
        <f t="shared" si="260"/>
        <v>0</v>
      </c>
      <c r="BN451" s="4284">
        <f t="shared" si="261"/>
        <v>0</v>
      </c>
      <c r="BO451" s="4284">
        <f t="shared" si="262"/>
        <v>0</v>
      </c>
      <c r="BP451" s="4284">
        <f t="shared" si="263"/>
        <v>0</v>
      </c>
      <c r="BQ451" s="4284">
        <f t="shared" si="264"/>
        <v>0</v>
      </c>
      <c r="BR451" s="4284">
        <f t="shared" si="265"/>
        <v>0</v>
      </c>
      <c r="BS451" s="4284">
        <f t="shared" si="266"/>
        <v>0</v>
      </c>
      <c r="BT451" s="4285">
        <f t="shared" si="267"/>
        <v>0</v>
      </c>
    </row>
    <row r="452" spans="1:72">
      <c r="A452" s="4278"/>
      <c r="B452" s="4279"/>
      <c r="C452" s="4279"/>
      <c r="D452" s="4280"/>
      <c r="E452" s="1188">
        <f t="shared" si="239"/>
        <v>0</v>
      </c>
      <c r="F452" s="1680"/>
      <c r="G452" s="4281">
        <f t="shared" si="240"/>
        <v>0</v>
      </c>
      <c r="H452" s="3457">
        <f t="shared" si="241"/>
        <v>0</v>
      </c>
      <c r="I452" s="4282"/>
      <c r="J452" s="4282"/>
      <c r="K452" s="4282"/>
      <c r="L452" s="4282"/>
      <c r="M452" s="4282"/>
      <c r="N452" s="4282"/>
      <c r="O452" s="4282"/>
      <c r="P452" s="4282"/>
      <c r="Q452" s="4282"/>
      <c r="R452" s="4282"/>
      <c r="S452" s="4282"/>
      <c r="T452" s="4282"/>
      <c r="U452" s="4282"/>
      <c r="V452" s="4282"/>
      <c r="W452" s="4282"/>
      <c r="X452" s="4282"/>
      <c r="Y452" s="4282"/>
      <c r="Z452" s="4282"/>
      <c r="AA452" s="4282"/>
      <c r="AB452" s="4282"/>
      <c r="AC452" s="1188">
        <f t="shared" si="242"/>
        <v>0</v>
      </c>
      <c r="AD452" s="4278"/>
      <c r="AE452" s="4278"/>
      <c r="AF452" s="4278"/>
      <c r="AG452" s="4278"/>
      <c r="AH452" s="4278"/>
      <c r="AI452" s="4278"/>
      <c r="AJ452" s="4278"/>
      <c r="AK452" s="4278"/>
      <c r="AL452" s="4278"/>
      <c r="AM452" s="4278"/>
      <c r="AN452" s="4278"/>
      <c r="AO452" s="4278"/>
      <c r="AP452" s="4278"/>
      <c r="AQ452" s="4278"/>
      <c r="AR452" s="4278"/>
      <c r="AS452" s="4278"/>
      <c r="AT452" s="4279"/>
      <c r="AU452" s="4283"/>
      <c r="AV452" s="1188">
        <f t="shared" si="243"/>
        <v>0</v>
      </c>
      <c r="AW452" s="1188">
        <f t="shared" si="244"/>
        <v>0</v>
      </c>
      <c r="AX452" s="1188">
        <f t="shared" si="245"/>
        <v>0</v>
      </c>
      <c r="AY452" s="1452">
        <f t="shared" si="246"/>
        <v>0</v>
      </c>
      <c r="AZ452" s="4284">
        <f t="shared" si="247"/>
        <v>0</v>
      </c>
      <c r="BA452" s="4284">
        <f t="shared" si="248"/>
        <v>0</v>
      </c>
      <c r="BB452" s="4284">
        <f t="shared" si="249"/>
        <v>0</v>
      </c>
      <c r="BC452" s="4284">
        <f t="shared" si="250"/>
        <v>0</v>
      </c>
      <c r="BD452" s="4284">
        <f t="shared" si="251"/>
        <v>0</v>
      </c>
      <c r="BE452" s="4284">
        <f t="shared" si="252"/>
        <v>0</v>
      </c>
      <c r="BF452" s="4284">
        <f t="shared" si="253"/>
        <v>0</v>
      </c>
      <c r="BG452" s="4284">
        <f t="shared" si="254"/>
        <v>0</v>
      </c>
      <c r="BH452" s="4284">
        <f t="shared" si="255"/>
        <v>0</v>
      </c>
      <c r="BI452" s="4284">
        <f t="shared" si="256"/>
        <v>0</v>
      </c>
      <c r="BJ452" s="4284">
        <f t="shared" si="257"/>
        <v>0</v>
      </c>
      <c r="BK452" s="4284">
        <f t="shared" si="258"/>
        <v>0</v>
      </c>
      <c r="BL452" s="4284">
        <f t="shared" si="259"/>
        <v>0</v>
      </c>
      <c r="BM452" s="4284">
        <f t="shared" si="260"/>
        <v>0</v>
      </c>
      <c r="BN452" s="4284">
        <f t="shared" si="261"/>
        <v>0</v>
      </c>
      <c r="BO452" s="4284">
        <f t="shared" si="262"/>
        <v>0</v>
      </c>
      <c r="BP452" s="4284">
        <f t="shared" si="263"/>
        <v>0</v>
      </c>
      <c r="BQ452" s="4284">
        <f t="shared" si="264"/>
        <v>0</v>
      </c>
      <c r="BR452" s="4284">
        <f t="shared" si="265"/>
        <v>0</v>
      </c>
      <c r="BS452" s="4284">
        <f t="shared" si="266"/>
        <v>0</v>
      </c>
      <c r="BT452" s="4285">
        <f t="shared" si="267"/>
        <v>0</v>
      </c>
    </row>
    <row r="453" spans="1:72">
      <c r="A453" s="4278"/>
      <c r="B453" s="4279"/>
      <c r="C453" s="4279"/>
      <c r="D453" s="4280"/>
      <c r="E453" s="1188">
        <f t="shared" si="239"/>
        <v>0</v>
      </c>
      <c r="F453" s="1680"/>
      <c r="G453" s="4281">
        <f t="shared" si="240"/>
        <v>0</v>
      </c>
      <c r="H453" s="3457">
        <f t="shared" si="241"/>
        <v>0</v>
      </c>
      <c r="I453" s="4282"/>
      <c r="J453" s="4282"/>
      <c r="K453" s="4282"/>
      <c r="L453" s="4282"/>
      <c r="M453" s="4282"/>
      <c r="N453" s="4282"/>
      <c r="O453" s="4282"/>
      <c r="P453" s="4282"/>
      <c r="Q453" s="4282"/>
      <c r="R453" s="4282"/>
      <c r="S453" s="4282"/>
      <c r="T453" s="4282"/>
      <c r="U453" s="4282"/>
      <c r="V453" s="4282"/>
      <c r="W453" s="4282"/>
      <c r="X453" s="4282"/>
      <c r="Y453" s="4282"/>
      <c r="Z453" s="4282"/>
      <c r="AA453" s="4282"/>
      <c r="AB453" s="4282"/>
      <c r="AC453" s="1188">
        <f t="shared" si="242"/>
        <v>0</v>
      </c>
      <c r="AD453" s="4278"/>
      <c r="AE453" s="4278"/>
      <c r="AF453" s="4278"/>
      <c r="AG453" s="4278"/>
      <c r="AH453" s="4278"/>
      <c r="AI453" s="4278"/>
      <c r="AJ453" s="4278"/>
      <c r="AK453" s="4278"/>
      <c r="AL453" s="4278"/>
      <c r="AM453" s="4278"/>
      <c r="AN453" s="4278"/>
      <c r="AO453" s="4278"/>
      <c r="AP453" s="4278"/>
      <c r="AQ453" s="4278"/>
      <c r="AR453" s="4278"/>
      <c r="AS453" s="4278"/>
      <c r="AT453" s="4279"/>
      <c r="AU453" s="4283"/>
      <c r="AV453" s="1188">
        <f t="shared" si="243"/>
        <v>0</v>
      </c>
      <c r="AW453" s="1188">
        <f t="shared" si="244"/>
        <v>0</v>
      </c>
      <c r="AX453" s="1188">
        <f t="shared" si="245"/>
        <v>0</v>
      </c>
      <c r="AY453" s="1452">
        <f t="shared" si="246"/>
        <v>0</v>
      </c>
      <c r="AZ453" s="4284">
        <f t="shared" si="247"/>
        <v>0</v>
      </c>
      <c r="BA453" s="4284">
        <f t="shared" si="248"/>
        <v>0</v>
      </c>
      <c r="BB453" s="4284">
        <f t="shared" si="249"/>
        <v>0</v>
      </c>
      <c r="BC453" s="4284">
        <f t="shared" si="250"/>
        <v>0</v>
      </c>
      <c r="BD453" s="4284">
        <f t="shared" si="251"/>
        <v>0</v>
      </c>
      <c r="BE453" s="4284">
        <f t="shared" si="252"/>
        <v>0</v>
      </c>
      <c r="BF453" s="4284">
        <f t="shared" si="253"/>
        <v>0</v>
      </c>
      <c r="BG453" s="4284">
        <f t="shared" si="254"/>
        <v>0</v>
      </c>
      <c r="BH453" s="4284">
        <f t="shared" si="255"/>
        <v>0</v>
      </c>
      <c r="BI453" s="4284">
        <f t="shared" si="256"/>
        <v>0</v>
      </c>
      <c r="BJ453" s="4284">
        <f t="shared" si="257"/>
        <v>0</v>
      </c>
      <c r="BK453" s="4284">
        <f t="shared" si="258"/>
        <v>0</v>
      </c>
      <c r="BL453" s="4284">
        <f t="shared" si="259"/>
        <v>0</v>
      </c>
      <c r="BM453" s="4284">
        <f t="shared" si="260"/>
        <v>0</v>
      </c>
      <c r="BN453" s="4284">
        <f t="shared" si="261"/>
        <v>0</v>
      </c>
      <c r="BO453" s="4284">
        <f t="shared" si="262"/>
        <v>0</v>
      </c>
      <c r="BP453" s="4284">
        <f t="shared" si="263"/>
        <v>0</v>
      </c>
      <c r="BQ453" s="4284">
        <f t="shared" si="264"/>
        <v>0</v>
      </c>
      <c r="BR453" s="4284">
        <f t="shared" si="265"/>
        <v>0</v>
      </c>
      <c r="BS453" s="4284">
        <f t="shared" si="266"/>
        <v>0</v>
      </c>
      <c r="BT453" s="4285">
        <f t="shared" si="267"/>
        <v>0</v>
      </c>
    </row>
    <row r="454" spans="1:72">
      <c r="A454" s="4278"/>
      <c r="B454" s="4279"/>
      <c r="C454" s="4279"/>
      <c r="D454" s="4280"/>
      <c r="E454" s="1188">
        <f t="shared" si="239"/>
        <v>0</v>
      </c>
      <c r="F454" s="1680"/>
      <c r="G454" s="4281">
        <f t="shared" si="240"/>
        <v>0</v>
      </c>
      <c r="H454" s="3457">
        <f t="shared" si="241"/>
        <v>0</v>
      </c>
      <c r="I454" s="4282"/>
      <c r="J454" s="4282"/>
      <c r="K454" s="4282"/>
      <c r="L454" s="4282"/>
      <c r="M454" s="4282"/>
      <c r="N454" s="4282"/>
      <c r="O454" s="4282"/>
      <c r="P454" s="4282"/>
      <c r="Q454" s="4282"/>
      <c r="R454" s="4282"/>
      <c r="S454" s="4282"/>
      <c r="T454" s="4282"/>
      <c r="U454" s="4282"/>
      <c r="V454" s="4282"/>
      <c r="W454" s="4282"/>
      <c r="X454" s="4282"/>
      <c r="Y454" s="4282"/>
      <c r="Z454" s="4282"/>
      <c r="AA454" s="4282"/>
      <c r="AB454" s="4282"/>
      <c r="AC454" s="1188">
        <f t="shared" si="242"/>
        <v>0</v>
      </c>
      <c r="AD454" s="4278"/>
      <c r="AE454" s="4278"/>
      <c r="AF454" s="4278"/>
      <c r="AG454" s="4278"/>
      <c r="AH454" s="4278"/>
      <c r="AI454" s="4278"/>
      <c r="AJ454" s="4278"/>
      <c r="AK454" s="4278"/>
      <c r="AL454" s="4278"/>
      <c r="AM454" s="4278"/>
      <c r="AN454" s="4278"/>
      <c r="AO454" s="4278"/>
      <c r="AP454" s="4278"/>
      <c r="AQ454" s="4278"/>
      <c r="AR454" s="4278"/>
      <c r="AS454" s="4278"/>
      <c r="AT454" s="4279"/>
      <c r="AU454" s="4283"/>
      <c r="AV454" s="1188">
        <f t="shared" si="243"/>
        <v>0</v>
      </c>
      <c r="AW454" s="1188">
        <f t="shared" si="244"/>
        <v>0</v>
      </c>
      <c r="AX454" s="1188">
        <f t="shared" si="245"/>
        <v>0</v>
      </c>
      <c r="AY454" s="1452">
        <f t="shared" si="246"/>
        <v>0</v>
      </c>
      <c r="AZ454" s="4284">
        <f t="shared" si="247"/>
        <v>0</v>
      </c>
      <c r="BA454" s="4284">
        <f t="shared" si="248"/>
        <v>0</v>
      </c>
      <c r="BB454" s="4284">
        <f t="shared" si="249"/>
        <v>0</v>
      </c>
      <c r="BC454" s="4284">
        <f t="shared" si="250"/>
        <v>0</v>
      </c>
      <c r="BD454" s="4284">
        <f t="shared" si="251"/>
        <v>0</v>
      </c>
      <c r="BE454" s="4284">
        <f t="shared" si="252"/>
        <v>0</v>
      </c>
      <c r="BF454" s="4284">
        <f t="shared" si="253"/>
        <v>0</v>
      </c>
      <c r="BG454" s="4284">
        <f t="shared" si="254"/>
        <v>0</v>
      </c>
      <c r="BH454" s="4284">
        <f t="shared" si="255"/>
        <v>0</v>
      </c>
      <c r="BI454" s="4284">
        <f t="shared" si="256"/>
        <v>0</v>
      </c>
      <c r="BJ454" s="4284">
        <f t="shared" si="257"/>
        <v>0</v>
      </c>
      <c r="BK454" s="4284">
        <f t="shared" si="258"/>
        <v>0</v>
      </c>
      <c r="BL454" s="4284">
        <f t="shared" si="259"/>
        <v>0</v>
      </c>
      <c r="BM454" s="4284">
        <f t="shared" si="260"/>
        <v>0</v>
      </c>
      <c r="BN454" s="4284">
        <f t="shared" si="261"/>
        <v>0</v>
      </c>
      <c r="BO454" s="4284">
        <f t="shared" si="262"/>
        <v>0</v>
      </c>
      <c r="BP454" s="4284">
        <f t="shared" si="263"/>
        <v>0</v>
      </c>
      <c r="BQ454" s="4284">
        <f t="shared" si="264"/>
        <v>0</v>
      </c>
      <c r="BR454" s="4284">
        <f t="shared" si="265"/>
        <v>0</v>
      </c>
      <c r="BS454" s="4284">
        <f t="shared" si="266"/>
        <v>0</v>
      </c>
      <c r="BT454" s="4285">
        <f t="shared" si="267"/>
        <v>0</v>
      </c>
    </row>
    <row r="455" spans="1:72">
      <c r="A455" s="4278"/>
      <c r="B455" s="4279"/>
      <c r="C455" s="4279"/>
      <c r="D455" s="4280"/>
      <c r="E455" s="1188">
        <f t="shared" si="239"/>
        <v>0</v>
      </c>
      <c r="F455" s="1680"/>
      <c r="G455" s="4281">
        <f t="shared" si="240"/>
        <v>0</v>
      </c>
      <c r="H455" s="3457">
        <f t="shared" si="241"/>
        <v>0</v>
      </c>
      <c r="I455" s="4282"/>
      <c r="J455" s="4282"/>
      <c r="K455" s="4282"/>
      <c r="L455" s="4282"/>
      <c r="M455" s="4282"/>
      <c r="N455" s="4282"/>
      <c r="O455" s="4282"/>
      <c r="P455" s="4282"/>
      <c r="Q455" s="4282"/>
      <c r="R455" s="4282"/>
      <c r="S455" s="4282"/>
      <c r="T455" s="4282"/>
      <c r="U455" s="4282"/>
      <c r="V455" s="4282"/>
      <c r="W455" s="4282"/>
      <c r="X455" s="4282"/>
      <c r="Y455" s="4282"/>
      <c r="Z455" s="4282"/>
      <c r="AA455" s="4282"/>
      <c r="AB455" s="4282"/>
      <c r="AC455" s="1188">
        <f t="shared" si="242"/>
        <v>0</v>
      </c>
      <c r="AD455" s="4278"/>
      <c r="AE455" s="4278"/>
      <c r="AF455" s="4278"/>
      <c r="AG455" s="4278"/>
      <c r="AH455" s="4278"/>
      <c r="AI455" s="4278"/>
      <c r="AJ455" s="4278"/>
      <c r="AK455" s="4278"/>
      <c r="AL455" s="4278"/>
      <c r="AM455" s="4278"/>
      <c r="AN455" s="4278"/>
      <c r="AO455" s="4278"/>
      <c r="AP455" s="4278"/>
      <c r="AQ455" s="4278"/>
      <c r="AR455" s="4278"/>
      <c r="AS455" s="4278"/>
      <c r="AT455" s="4279"/>
      <c r="AU455" s="4283"/>
      <c r="AV455" s="1188">
        <f t="shared" si="243"/>
        <v>0</v>
      </c>
      <c r="AW455" s="1188">
        <f t="shared" si="244"/>
        <v>0</v>
      </c>
      <c r="AX455" s="1188">
        <f t="shared" si="245"/>
        <v>0</v>
      </c>
      <c r="AY455" s="1452">
        <f t="shared" si="246"/>
        <v>0</v>
      </c>
      <c r="AZ455" s="4284">
        <f t="shared" si="247"/>
        <v>0</v>
      </c>
      <c r="BA455" s="4284">
        <f t="shared" si="248"/>
        <v>0</v>
      </c>
      <c r="BB455" s="4284">
        <f t="shared" si="249"/>
        <v>0</v>
      </c>
      <c r="BC455" s="4284">
        <f t="shared" si="250"/>
        <v>0</v>
      </c>
      <c r="BD455" s="4284">
        <f t="shared" si="251"/>
        <v>0</v>
      </c>
      <c r="BE455" s="4284">
        <f t="shared" si="252"/>
        <v>0</v>
      </c>
      <c r="BF455" s="4284">
        <f t="shared" si="253"/>
        <v>0</v>
      </c>
      <c r="BG455" s="4284">
        <f t="shared" si="254"/>
        <v>0</v>
      </c>
      <c r="BH455" s="4284">
        <f t="shared" si="255"/>
        <v>0</v>
      </c>
      <c r="BI455" s="4284">
        <f t="shared" si="256"/>
        <v>0</v>
      </c>
      <c r="BJ455" s="4284">
        <f t="shared" si="257"/>
        <v>0</v>
      </c>
      <c r="BK455" s="4284">
        <f t="shared" si="258"/>
        <v>0</v>
      </c>
      <c r="BL455" s="4284">
        <f t="shared" si="259"/>
        <v>0</v>
      </c>
      <c r="BM455" s="4284">
        <f t="shared" si="260"/>
        <v>0</v>
      </c>
      <c r="BN455" s="4284">
        <f t="shared" si="261"/>
        <v>0</v>
      </c>
      <c r="BO455" s="4284">
        <f t="shared" si="262"/>
        <v>0</v>
      </c>
      <c r="BP455" s="4284">
        <f t="shared" si="263"/>
        <v>0</v>
      </c>
      <c r="BQ455" s="4284">
        <f t="shared" si="264"/>
        <v>0</v>
      </c>
      <c r="BR455" s="4284">
        <f t="shared" si="265"/>
        <v>0</v>
      </c>
      <c r="BS455" s="4284">
        <f t="shared" si="266"/>
        <v>0</v>
      </c>
      <c r="BT455" s="4285">
        <f t="shared" si="267"/>
        <v>0</v>
      </c>
    </row>
    <row r="456" spans="1:72">
      <c r="A456" s="4278"/>
      <c r="B456" s="4279"/>
      <c r="C456" s="4279"/>
      <c r="D456" s="4280"/>
      <c r="E456" s="1188">
        <f t="shared" si="239"/>
        <v>0</v>
      </c>
      <c r="F456" s="1680"/>
      <c r="G456" s="4281">
        <f t="shared" si="240"/>
        <v>0</v>
      </c>
      <c r="H456" s="3457">
        <f t="shared" si="241"/>
        <v>0</v>
      </c>
      <c r="I456" s="4282"/>
      <c r="J456" s="4282"/>
      <c r="K456" s="4282"/>
      <c r="L456" s="4282"/>
      <c r="M456" s="4282"/>
      <c r="N456" s="4282"/>
      <c r="O456" s="4282"/>
      <c r="P456" s="4282"/>
      <c r="Q456" s="4282"/>
      <c r="R456" s="4282"/>
      <c r="S456" s="4282"/>
      <c r="T456" s="4282"/>
      <c r="U456" s="4282"/>
      <c r="V456" s="4282"/>
      <c r="W456" s="4282"/>
      <c r="X456" s="4282"/>
      <c r="Y456" s="4282"/>
      <c r="Z456" s="4282"/>
      <c r="AA456" s="4282"/>
      <c r="AB456" s="4282"/>
      <c r="AC456" s="1188">
        <f t="shared" si="242"/>
        <v>0</v>
      </c>
      <c r="AD456" s="4278"/>
      <c r="AE456" s="4278"/>
      <c r="AF456" s="4278"/>
      <c r="AG456" s="4278"/>
      <c r="AH456" s="4278"/>
      <c r="AI456" s="4278"/>
      <c r="AJ456" s="4278"/>
      <c r="AK456" s="4278"/>
      <c r="AL456" s="4278"/>
      <c r="AM456" s="4278"/>
      <c r="AN456" s="4278"/>
      <c r="AO456" s="4278"/>
      <c r="AP456" s="4278"/>
      <c r="AQ456" s="4278"/>
      <c r="AR456" s="4278"/>
      <c r="AS456" s="4278"/>
      <c r="AT456" s="4279"/>
      <c r="AU456" s="4283"/>
      <c r="AV456" s="1188">
        <f t="shared" si="243"/>
        <v>0</v>
      </c>
      <c r="AW456" s="1188">
        <f t="shared" si="244"/>
        <v>0</v>
      </c>
      <c r="AX456" s="1188">
        <f t="shared" si="245"/>
        <v>0</v>
      </c>
      <c r="AY456" s="1452">
        <f t="shared" si="246"/>
        <v>0</v>
      </c>
      <c r="AZ456" s="4284">
        <f t="shared" si="247"/>
        <v>0</v>
      </c>
      <c r="BA456" s="4284">
        <f t="shared" si="248"/>
        <v>0</v>
      </c>
      <c r="BB456" s="4284">
        <f t="shared" si="249"/>
        <v>0</v>
      </c>
      <c r="BC456" s="4284">
        <f t="shared" si="250"/>
        <v>0</v>
      </c>
      <c r="BD456" s="4284">
        <f t="shared" si="251"/>
        <v>0</v>
      </c>
      <c r="BE456" s="4284">
        <f t="shared" si="252"/>
        <v>0</v>
      </c>
      <c r="BF456" s="4284">
        <f t="shared" si="253"/>
        <v>0</v>
      </c>
      <c r="BG456" s="4284">
        <f t="shared" si="254"/>
        <v>0</v>
      </c>
      <c r="BH456" s="4284">
        <f t="shared" si="255"/>
        <v>0</v>
      </c>
      <c r="BI456" s="4284">
        <f t="shared" si="256"/>
        <v>0</v>
      </c>
      <c r="BJ456" s="4284">
        <f t="shared" si="257"/>
        <v>0</v>
      </c>
      <c r="BK456" s="4284">
        <f t="shared" si="258"/>
        <v>0</v>
      </c>
      <c r="BL456" s="4284">
        <f t="shared" si="259"/>
        <v>0</v>
      </c>
      <c r="BM456" s="4284">
        <f t="shared" si="260"/>
        <v>0</v>
      </c>
      <c r="BN456" s="4284">
        <f t="shared" si="261"/>
        <v>0</v>
      </c>
      <c r="BO456" s="4284">
        <f t="shared" si="262"/>
        <v>0</v>
      </c>
      <c r="BP456" s="4284">
        <f t="shared" si="263"/>
        <v>0</v>
      </c>
      <c r="BQ456" s="4284">
        <f t="shared" si="264"/>
        <v>0</v>
      </c>
      <c r="BR456" s="4284">
        <f t="shared" si="265"/>
        <v>0</v>
      </c>
      <c r="BS456" s="4284">
        <f t="shared" si="266"/>
        <v>0</v>
      </c>
      <c r="BT456" s="4285">
        <f t="shared" si="267"/>
        <v>0</v>
      </c>
    </row>
    <row r="457" spans="1:72">
      <c r="A457" s="4278"/>
      <c r="B457" s="4279"/>
      <c r="C457" s="4279"/>
      <c r="D457" s="4280"/>
      <c r="E457" s="1188">
        <f t="shared" si="239"/>
        <v>0</v>
      </c>
      <c r="F457" s="1680"/>
      <c r="G457" s="4281">
        <f t="shared" si="240"/>
        <v>0</v>
      </c>
      <c r="H457" s="3457">
        <f t="shared" si="241"/>
        <v>0</v>
      </c>
      <c r="I457" s="4282"/>
      <c r="J457" s="4282"/>
      <c r="K457" s="4282"/>
      <c r="L457" s="4282"/>
      <c r="M457" s="4282"/>
      <c r="N457" s="4282"/>
      <c r="O457" s="4282"/>
      <c r="P457" s="4282"/>
      <c r="Q457" s="4282"/>
      <c r="R457" s="4282"/>
      <c r="S457" s="4282"/>
      <c r="T457" s="4282"/>
      <c r="U457" s="4282"/>
      <c r="V457" s="4282"/>
      <c r="W457" s="4282"/>
      <c r="X457" s="4282"/>
      <c r="Y457" s="4282"/>
      <c r="Z457" s="4282"/>
      <c r="AA457" s="4282"/>
      <c r="AB457" s="4282"/>
      <c r="AC457" s="1188">
        <f t="shared" si="242"/>
        <v>0</v>
      </c>
      <c r="AD457" s="4278"/>
      <c r="AE457" s="4278"/>
      <c r="AF457" s="4278"/>
      <c r="AG457" s="4278"/>
      <c r="AH457" s="4278"/>
      <c r="AI457" s="4278"/>
      <c r="AJ457" s="4278"/>
      <c r="AK457" s="4278"/>
      <c r="AL457" s="4278"/>
      <c r="AM457" s="4278"/>
      <c r="AN457" s="4278"/>
      <c r="AO457" s="4278"/>
      <c r="AP457" s="4278"/>
      <c r="AQ457" s="4278"/>
      <c r="AR457" s="4278"/>
      <c r="AS457" s="4278"/>
      <c r="AT457" s="4279"/>
      <c r="AU457" s="4283"/>
      <c r="AV457" s="1188">
        <f t="shared" si="243"/>
        <v>0</v>
      </c>
      <c r="AW457" s="1188">
        <f t="shared" si="244"/>
        <v>0</v>
      </c>
      <c r="AX457" s="1188">
        <f t="shared" si="245"/>
        <v>0</v>
      </c>
      <c r="AY457" s="1452">
        <f t="shared" si="246"/>
        <v>0</v>
      </c>
      <c r="AZ457" s="4284">
        <f t="shared" si="247"/>
        <v>0</v>
      </c>
      <c r="BA457" s="4284">
        <f t="shared" si="248"/>
        <v>0</v>
      </c>
      <c r="BB457" s="4284">
        <f t="shared" si="249"/>
        <v>0</v>
      </c>
      <c r="BC457" s="4284">
        <f t="shared" si="250"/>
        <v>0</v>
      </c>
      <c r="BD457" s="4284">
        <f t="shared" si="251"/>
        <v>0</v>
      </c>
      <c r="BE457" s="4284">
        <f t="shared" si="252"/>
        <v>0</v>
      </c>
      <c r="BF457" s="4284">
        <f t="shared" si="253"/>
        <v>0</v>
      </c>
      <c r="BG457" s="4284">
        <f t="shared" si="254"/>
        <v>0</v>
      </c>
      <c r="BH457" s="4284">
        <f t="shared" si="255"/>
        <v>0</v>
      </c>
      <c r="BI457" s="4284">
        <f t="shared" si="256"/>
        <v>0</v>
      </c>
      <c r="BJ457" s="4284">
        <f t="shared" si="257"/>
        <v>0</v>
      </c>
      <c r="BK457" s="4284">
        <f t="shared" si="258"/>
        <v>0</v>
      </c>
      <c r="BL457" s="4284">
        <f t="shared" si="259"/>
        <v>0</v>
      </c>
      <c r="BM457" s="4284">
        <f t="shared" si="260"/>
        <v>0</v>
      </c>
      <c r="BN457" s="4284">
        <f t="shared" si="261"/>
        <v>0</v>
      </c>
      <c r="BO457" s="4284">
        <f t="shared" si="262"/>
        <v>0</v>
      </c>
      <c r="BP457" s="4284">
        <f t="shared" si="263"/>
        <v>0</v>
      </c>
      <c r="BQ457" s="4284">
        <f t="shared" si="264"/>
        <v>0</v>
      </c>
      <c r="BR457" s="4284">
        <f t="shared" si="265"/>
        <v>0</v>
      </c>
      <c r="BS457" s="4284">
        <f t="shared" si="266"/>
        <v>0</v>
      </c>
      <c r="BT457" s="4285">
        <f t="shared" si="267"/>
        <v>0</v>
      </c>
    </row>
    <row r="458" spans="1:72">
      <c r="A458" s="4278"/>
      <c r="B458" s="4279"/>
      <c r="C458" s="4279"/>
      <c r="D458" s="4280"/>
      <c r="E458" s="1188">
        <f t="shared" si="239"/>
        <v>0</v>
      </c>
      <c r="F458" s="1680"/>
      <c r="G458" s="4281">
        <f t="shared" si="240"/>
        <v>0</v>
      </c>
      <c r="H458" s="3457">
        <f t="shared" si="241"/>
        <v>0</v>
      </c>
      <c r="I458" s="4282"/>
      <c r="J458" s="4282"/>
      <c r="K458" s="4282"/>
      <c r="L458" s="4282"/>
      <c r="M458" s="4282"/>
      <c r="N458" s="4282"/>
      <c r="O458" s="4282"/>
      <c r="P458" s="4282"/>
      <c r="Q458" s="4282"/>
      <c r="R458" s="4282"/>
      <c r="S458" s="4282"/>
      <c r="T458" s="4282"/>
      <c r="U458" s="4282"/>
      <c r="V458" s="4282"/>
      <c r="W458" s="4282"/>
      <c r="X458" s="4282"/>
      <c r="Y458" s="4282"/>
      <c r="Z458" s="4282"/>
      <c r="AA458" s="4282"/>
      <c r="AB458" s="4282"/>
      <c r="AC458" s="1188">
        <f t="shared" si="242"/>
        <v>0</v>
      </c>
      <c r="AD458" s="4278"/>
      <c r="AE458" s="4278"/>
      <c r="AF458" s="4278"/>
      <c r="AG458" s="4278"/>
      <c r="AH458" s="4278"/>
      <c r="AI458" s="4278"/>
      <c r="AJ458" s="4278"/>
      <c r="AK458" s="4278"/>
      <c r="AL458" s="4278"/>
      <c r="AM458" s="4278"/>
      <c r="AN458" s="4278"/>
      <c r="AO458" s="4278"/>
      <c r="AP458" s="4278"/>
      <c r="AQ458" s="4278"/>
      <c r="AR458" s="4278"/>
      <c r="AS458" s="4278"/>
      <c r="AT458" s="4279"/>
      <c r="AU458" s="4283"/>
      <c r="AV458" s="1188">
        <f t="shared" si="243"/>
        <v>0</v>
      </c>
      <c r="AW458" s="1188">
        <f t="shared" si="244"/>
        <v>0</v>
      </c>
      <c r="AX458" s="1188">
        <f t="shared" si="245"/>
        <v>0</v>
      </c>
      <c r="AY458" s="1452">
        <f t="shared" si="246"/>
        <v>0</v>
      </c>
      <c r="AZ458" s="4284">
        <f t="shared" si="247"/>
        <v>0</v>
      </c>
      <c r="BA458" s="4284">
        <f t="shared" si="248"/>
        <v>0</v>
      </c>
      <c r="BB458" s="4284">
        <f t="shared" si="249"/>
        <v>0</v>
      </c>
      <c r="BC458" s="4284">
        <f t="shared" si="250"/>
        <v>0</v>
      </c>
      <c r="BD458" s="4284">
        <f t="shared" si="251"/>
        <v>0</v>
      </c>
      <c r="BE458" s="4284">
        <f t="shared" si="252"/>
        <v>0</v>
      </c>
      <c r="BF458" s="4284">
        <f t="shared" si="253"/>
        <v>0</v>
      </c>
      <c r="BG458" s="4284">
        <f t="shared" si="254"/>
        <v>0</v>
      </c>
      <c r="BH458" s="4284">
        <f t="shared" si="255"/>
        <v>0</v>
      </c>
      <c r="BI458" s="4284">
        <f t="shared" si="256"/>
        <v>0</v>
      </c>
      <c r="BJ458" s="4284">
        <f t="shared" si="257"/>
        <v>0</v>
      </c>
      <c r="BK458" s="4284">
        <f t="shared" si="258"/>
        <v>0</v>
      </c>
      <c r="BL458" s="4284">
        <f t="shared" si="259"/>
        <v>0</v>
      </c>
      <c r="BM458" s="4284">
        <f t="shared" si="260"/>
        <v>0</v>
      </c>
      <c r="BN458" s="4284">
        <f t="shared" si="261"/>
        <v>0</v>
      </c>
      <c r="BO458" s="4284">
        <f t="shared" si="262"/>
        <v>0</v>
      </c>
      <c r="BP458" s="4284">
        <f t="shared" si="263"/>
        <v>0</v>
      </c>
      <c r="BQ458" s="4284">
        <f t="shared" si="264"/>
        <v>0</v>
      </c>
      <c r="BR458" s="4284">
        <f t="shared" si="265"/>
        <v>0</v>
      </c>
      <c r="BS458" s="4284">
        <f t="shared" si="266"/>
        <v>0</v>
      </c>
      <c r="BT458" s="4285">
        <f t="shared" si="267"/>
        <v>0</v>
      </c>
    </row>
    <row r="459" spans="1:72">
      <c r="A459" s="4278"/>
      <c r="B459" s="4279"/>
      <c r="C459" s="4279"/>
      <c r="D459" s="4280"/>
      <c r="E459" s="1188">
        <f t="shared" si="239"/>
        <v>0</v>
      </c>
      <c r="F459" s="1680"/>
      <c r="G459" s="4281">
        <f t="shared" si="240"/>
        <v>0</v>
      </c>
      <c r="H459" s="3457">
        <f t="shared" si="241"/>
        <v>0</v>
      </c>
      <c r="I459" s="4282"/>
      <c r="J459" s="4282"/>
      <c r="K459" s="4282"/>
      <c r="L459" s="4282"/>
      <c r="M459" s="4282"/>
      <c r="N459" s="4282"/>
      <c r="O459" s="4282"/>
      <c r="P459" s="4282"/>
      <c r="Q459" s="4282"/>
      <c r="R459" s="4282"/>
      <c r="S459" s="4282"/>
      <c r="T459" s="4282"/>
      <c r="U459" s="4282"/>
      <c r="V459" s="4282"/>
      <c r="W459" s="4282"/>
      <c r="X459" s="4282"/>
      <c r="Y459" s="4282"/>
      <c r="Z459" s="4282"/>
      <c r="AA459" s="4282"/>
      <c r="AB459" s="4282"/>
      <c r="AC459" s="1188">
        <f t="shared" si="242"/>
        <v>0</v>
      </c>
      <c r="AD459" s="4278"/>
      <c r="AE459" s="4278"/>
      <c r="AF459" s="4278"/>
      <c r="AG459" s="4278"/>
      <c r="AH459" s="4278"/>
      <c r="AI459" s="4278"/>
      <c r="AJ459" s="4278"/>
      <c r="AK459" s="4278"/>
      <c r="AL459" s="4278"/>
      <c r="AM459" s="4278"/>
      <c r="AN459" s="4278"/>
      <c r="AO459" s="4278"/>
      <c r="AP459" s="4278"/>
      <c r="AQ459" s="4278"/>
      <c r="AR459" s="4278"/>
      <c r="AS459" s="4278"/>
      <c r="AT459" s="4279"/>
      <c r="AU459" s="4283"/>
      <c r="AV459" s="1188">
        <f t="shared" si="243"/>
        <v>0</v>
      </c>
      <c r="AW459" s="1188">
        <f t="shared" si="244"/>
        <v>0</v>
      </c>
      <c r="AX459" s="1188">
        <f t="shared" si="245"/>
        <v>0</v>
      </c>
      <c r="AY459" s="1452">
        <f t="shared" si="246"/>
        <v>0</v>
      </c>
      <c r="AZ459" s="4284">
        <f t="shared" si="247"/>
        <v>0</v>
      </c>
      <c r="BA459" s="4284">
        <f t="shared" si="248"/>
        <v>0</v>
      </c>
      <c r="BB459" s="4284">
        <f t="shared" si="249"/>
        <v>0</v>
      </c>
      <c r="BC459" s="4284">
        <f t="shared" si="250"/>
        <v>0</v>
      </c>
      <c r="BD459" s="4284">
        <f t="shared" si="251"/>
        <v>0</v>
      </c>
      <c r="BE459" s="4284">
        <f t="shared" si="252"/>
        <v>0</v>
      </c>
      <c r="BF459" s="4284">
        <f t="shared" si="253"/>
        <v>0</v>
      </c>
      <c r="BG459" s="4284">
        <f t="shared" si="254"/>
        <v>0</v>
      </c>
      <c r="BH459" s="4284">
        <f t="shared" si="255"/>
        <v>0</v>
      </c>
      <c r="BI459" s="4284">
        <f t="shared" si="256"/>
        <v>0</v>
      </c>
      <c r="BJ459" s="4284">
        <f t="shared" si="257"/>
        <v>0</v>
      </c>
      <c r="BK459" s="4284">
        <f t="shared" si="258"/>
        <v>0</v>
      </c>
      <c r="BL459" s="4284">
        <f t="shared" si="259"/>
        <v>0</v>
      </c>
      <c r="BM459" s="4284">
        <f t="shared" si="260"/>
        <v>0</v>
      </c>
      <c r="BN459" s="4284">
        <f t="shared" si="261"/>
        <v>0</v>
      </c>
      <c r="BO459" s="4284">
        <f t="shared" si="262"/>
        <v>0</v>
      </c>
      <c r="BP459" s="4284">
        <f t="shared" si="263"/>
        <v>0</v>
      </c>
      <c r="BQ459" s="4284">
        <f t="shared" si="264"/>
        <v>0</v>
      </c>
      <c r="BR459" s="4284">
        <f t="shared" si="265"/>
        <v>0</v>
      </c>
      <c r="BS459" s="4284">
        <f t="shared" si="266"/>
        <v>0</v>
      </c>
      <c r="BT459" s="4285">
        <f t="shared" si="267"/>
        <v>0</v>
      </c>
    </row>
    <row r="460" spans="1:72">
      <c r="A460" s="4278"/>
      <c r="B460" s="4279"/>
      <c r="C460" s="4279"/>
      <c r="D460" s="4280"/>
      <c r="E460" s="1188">
        <f t="shared" si="239"/>
        <v>0</v>
      </c>
      <c r="F460" s="1680"/>
      <c r="G460" s="4281">
        <f t="shared" si="240"/>
        <v>0</v>
      </c>
      <c r="H460" s="3457">
        <f t="shared" si="241"/>
        <v>0</v>
      </c>
      <c r="I460" s="4282"/>
      <c r="J460" s="4282"/>
      <c r="K460" s="4282"/>
      <c r="L460" s="4282"/>
      <c r="M460" s="4282"/>
      <c r="N460" s="4282"/>
      <c r="O460" s="4282"/>
      <c r="P460" s="4282"/>
      <c r="Q460" s="4282"/>
      <c r="R460" s="4282"/>
      <c r="S460" s="4282"/>
      <c r="T460" s="4282"/>
      <c r="U460" s="4282"/>
      <c r="V460" s="4282"/>
      <c r="W460" s="4282"/>
      <c r="X460" s="4282"/>
      <c r="Y460" s="4282"/>
      <c r="Z460" s="4282"/>
      <c r="AA460" s="4282"/>
      <c r="AB460" s="4282"/>
      <c r="AC460" s="1188">
        <f t="shared" si="242"/>
        <v>0</v>
      </c>
      <c r="AD460" s="4278"/>
      <c r="AE460" s="4278"/>
      <c r="AF460" s="4278"/>
      <c r="AG460" s="4278"/>
      <c r="AH460" s="4278"/>
      <c r="AI460" s="4278"/>
      <c r="AJ460" s="4278"/>
      <c r="AK460" s="4278"/>
      <c r="AL460" s="4278"/>
      <c r="AM460" s="4278"/>
      <c r="AN460" s="4278"/>
      <c r="AO460" s="4278"/>
      <c r="AP460" s="4278"/>
      <c r="AQ460" s="4278"/>
      <c r="AR460" s="4278"/>
      <c r="AS460" s="4278"/>
      <c r="AT460" s="4279"/>
      <c r="AU460" s="4283"/>
      <c r="AV460" s="1188">
        <f t="shared" si="243"/>
        <v>0</v>
      </c>
      <c r="AW460" s="1188">
        <f t="shared" si="244"/>
        <v>0</v>
      </c>
      <c r="AX460" s="1188">
        <f t="shared" si="245"/>
        <v>0</v>
      </c>
      <c r="AY460" s="1452">
        <f t="shared" si="246"/>
        <v>0</v>
      </c>
      <c r="AZ460" s="4284">
        <f t="shared" si="247"/>
        <v>0</v>
      </c>
      <c r="BA460" s="4284">
        <f t="shared" si="248"/>
        <v>0</v>
      </c>
      <c r="BB460" s="4284">
        <f t="shared" si="249"/>
        <v>0</v>
      </c>
      <c r="BC460" s="4284">
        <f t="shared" si="250"/>
        <v>0</v>
      </c>
      <c r="BD460" s="4284">
        <f t="shared" si="251"/>
        <v>0</v>
      </c>
      <c r="BE460" s="4284">
        <f t="shared" si="252"/>
        <v>0</v>
      </c>
      <c r="BF460" s="4284">
        <f t="shared" si="253"/>
        <v>0</v>
      </c>
      <c r="BG460" s="4284">
        <f t="shared" si="254"/>
        <v>0</v>
      </c>
      <c r="BH460" s="4284">
        <f t="shared" si="255"/>
        <v>0</v>
      </c>
      <c r="BI460" s="4284">
        <f t="shared" si="256"/>
        <v>0</v>
      </c>
      <c r="BJ460" s="4284">
        <f t="shared" si="257"/>
        <v>0</v>
      </c>
      <c r="BK460" s="4284">
        <f t="shared" si="258"/>
        <v>0</v>
      </c>
      <c r="BL460" s="4284">
        <f t="shared" si="259"/>
        <v>0</v>
      </c>
      <c r="BM460" s="4284">
        <f t="shared" si="260"/>
        <v>0</v>
      </c>
      <c r="BN460" s="4284">
        <f t="shared" si="261"/>
        <v>0</v>
      </c>
      <c r="BO460" s="4284">
        <f t="shared" si="262"/>
        <v>0</v>
      </c>
      <c r="BP460" s="4284">
        <f t="shared" si="263"/>
        <v>0</v>
      </c>
      <c r="BQ460" s="4284">
        <f t="shared" si="264"/>
        <v>0</v>
      </c>
      <c r="BR460" s="4284">
        <f t="shared" si="265"/>
        <v>0</v>
      </c>
      <c r="BS460" s="4284">
        <f t="shared" si="266"/>
        <v>0</v>
      </c>
      <c r="BT460" s="4285">
        <f t="shared" si="267"/>
        <v>0</v>
      </c>
    </row>
    <row r="461" spans="1:72">
      <c r="A461" s="4278"/>
      <c r="B461" s="4279"/>
      <c r="C461" s="4279"/>
      <c r="D461" s="4280"/>
      <c r="E461" s="1188">
        <f t="shared" si="239"/>
        <v>0</v>
      </c>
      <c r="F461" s="1680"/>
      <c r="G461" s="4281">
        <f t="shared" si="240"/>
        <v>0</v>
      </c>
      <c r="H461" s="3457">
        <f t="shared" si="241"/>
        <v>0</v>
      </c>
      <c r="I461" s="4282"/>
      <c r="J461" s="4282"/>
      <c r="K461" s="4282"/>
      <c r="L461" s="4282"/>
      <c r="M461" s="4282"/>
      <c r="N461" s="4282"/>
      <c r="O461" s="4282"/>
      <c r="P461" s="4282"/>
      <c r="Q461" s="4282"/>
      <c r="R461" s="4282"/>
      <c r="S461" s="4282"/>
      <c r="T461" s="4282"/>
      <c r="U461" s="4282"/>
      <c r="V461" s="4282"/>
      <c r="W461" s="4282"/>
      <c r="X461" s="4282"/>
      <c r="Y461" s="4282"/>
      <c r="Z461" s="4282"/>
      <c r="AA461" s="4282"/>
      <c r="AB461" s="4282"/>
      <c r="AC461" s="1188">
        <f t="shared" si="242"/>
        <v>0</v>
      </c>
      <c r="AD461" s="4278"/>
      <c r="AE461" s="4278"/>
      <c r="AF461" s="4278"/>
      <c r="AG461" s="4278"/>
      <c r="AH461" s="4278"/>
      <c r="AI461" s="4278"/>
      <c r="AJ461" s="4278"/>
      <c r="AK461" s="4278"/>
      <c r="AL461" s="4278"/>
      <c r="AM461" s="4278"/>
      <c r="AN461" s="4278"/>
      <c r="AO461" s="4278"/>
      <c r="AP461" s="4278"/>
      <c r="AQ461" s="4278"/>
      <c r="AR461" s="4278"/>
      <c r="AS461" s="4278"/>
      <c r="AT461" s="4279"/>
      <c r="AU461" s="4283"/>
      <c r="AV461" s="1188">
        <f t="shared" si="243"/>
        <v>0</v>
      </c>
      <c r="AW461" s="1188">
        <f t="shared" si="244"/>
        <v>0</v>
      </c>
      <c r="AX461" s="1188">
        <f t="shared" si="245"/>
        <v>0</v>
      </c>
      <c r="AY461" s="1452">
        <f t="shared" si="246"/>
        <v>0</v>
      </c>
      <c r="AZ461" s="4284">
        <f t="shared" si="247"/>
        <v>0</v>
      </c>
      <c r="BA461" s="4284">
        <f t="shared" si="248"/>
        <v>0</v>
      </c>
      <c r="BB461" s="4284">
        <f t="shared" si="249"/>
        <v>0</v>
      </c>
      <c r="BC461" s="4284">
        <f t="shared" si="250"/>
        <v>0</v>
      </c>
      <c r="BD461" s="4284">
        <f t="shared" si="251"/>
        <v>0</v>
      </c>
      <c r="BE461" s="4284">
        <f t="shared" si="252"/>
        <v>0</v>
      </c>
      <c r="BF461" s="4284">
        <f t="shared" si="253"/>
        <v>0</v>
      </c>
      <c r="BG461" s="4284">
        <f t="shared" si="254"/>
        <v>0</v>
      </c>
      <c r="BH461" s="4284">
        <f t="shared" si="255"/>
        <v>0</v>
      </c>
      <c r="BI461" s="4284">
        <f t="shared" si="256"/>
        <v>0</v>
      </c>
      <c r="BJ461" s="4284">
        <f t="shared" si="257"/>
        <v>0</v>
      </c>
      <c r="BK461" s="4284">
        <f t="shared" si="258"/>
        <v>0</v>
      </c>
      <c r="BL461" s="4284">
        <f t="shared" si="259"/>
        <v>0</v>
      </c>
      <c r="BM461" s="4284">
        <f t="shared" si="260"/>
        <v>0</v>
      </c>
      <c r="BN461" s="4284">
        <f t="shared" si="261"/>
        <v>0</v>
      </c>
      <c r="BO461" s="4284">
        <f t="shared" si="262"/>
        <v>0</v>
      </c>
      <c r="BP461" s="4284">
        <f t="shared" si="263"/>
        <v>0</v>
      </c>
      <c r="BQ461" s="4284">
        <f t="shared" si="264"/>
        <v>0</v>
      </c>
      <c r="BR461" s="4284">
        <f t="shared" si="265"/>
        <v>0</v>
      </c>
      <c r="BS461" s="4284">
        <f t="shared" si="266"/>
        <v>0</v>
      </c>
      <c r="BT461" s="4285">
        <f t="shared" si="267"/>
        <v>0</v>
      </c>
    </row>
    <row r="462" spans="1:72">
      <c r="A462" s="4278"/>
      <c r="B462" s="4279"/>
      <c r="C462" s="4279"/>
      <c r="D462" s="4280"/>
      <c r="E462" s="1188">
        <f t="shared" si="239"/>
        <v>0</v>
      </c>
      <c r="F462" s="1680"/>
      <c r="G462" s="4281">
        <f t="shared" si="240"/>
        <v>0</v>
      </c>
      <c r="H462" s="3457">
        <f t="shared" si="241"/>
        <v>0</v>
      </c>
      <c r="I462" s="4282"/>
      <c r="J462" s="4282"/>
      <c r="K462" s="4282"/>
      <c r="L462" s="4282"/>
      <c r="M462" s="4282"/>
      <c r="N462" s="4282"/>
      <c r="O462" s="4282"/>
      <c r="P462" s="4282"/>
      <c r="Q462" s="4282"/>
      <c r="R462" s="4282"/>
      <c r="S462" s="4282"/>
      <c r="T462" s="4282"/>
      <c r="U462" s="4282"/>
      <c r="V462" s="4282"/>
      <c r="W462" s="4282"/>
      <c r="X462" s="4282"/>
      <c r="Y462" s="4282"/>
      <c r="Z462" s="4282"/>
      <c r="AA462" s="4282"/>
      <c r="AB462" s="4282"/>
      <c r="AC462" s="1188">
        <f t="shared" si="242"/>
        <v>0</v>
      </c>
      <c r="AD462" s="4278"/>
      <c r="AE462" s="4278"/>
      <c r="AF462" s="4278"/>
      <c r="AG462" s="4278"/>
      <c r="AH462" s="4278"/>
      <c r="AI462" s="4278"/>
      <c r="AJ462" s="4278"/>
      <c r="AK462" s="4278"/>
      <c r="AL462" s="4278"/>
      <c r="AM462" s="4278"/>
      <c r="AN462" s="4278"/>
      <c r="AO462" s="4278"/>
      <c r="AP462" s="4278"/>
      <c r="AQ462" s="4278"/>
      <c r="AR462" s="4278"/>
      <c r="AS462" s="4278"/>
      <c r="AT462" s="4279"/>
      <c r="AU462" s="4283"/>
      <c r="AV462" s="1188">
        <f t="shared" si="243"/>
        <v>0</v>
      </c>
      <c r="AW462" s="1188">
        <f t="shared" si="244"/>
        <v>0</v>
      </c>
      <c r="AX462" s="1188">
        <f t="shared" si="245"/>
        <v>0</v>
      </c>
      <c r="AY462" s="1452">
        <f t="shared" si="246"/>
        <v>0</v>
      </c>
      <c r="AZ462" s="4284">
        <f t="shared" si="247"/>
        <v>0</v>
      </c>
      <c r="BA462" s="4284">
        <f t="shared" si="248"/>
        <v>0</v>
      </c>
      <c r="BB462" s="4284">
        <f t="shared" si="249"/>
        <v>0</v>
      </c>
      <c r="BC462" s="4284">
        <f t="shared" si="250"/>
        <v>0</v>
      </c>
      <c r="BD462" s="4284">
        <f t="shared" si="251"/>
        <v>0</v>
      </c>
      <c r="BE462" s="4284">
        <f t="shared" si="252"/>
        <v>0</v>
      </c>
      <c r="BF462" s="4284">
        <f t="shared" si="253"/>
        <v>0</v>
      </c>
      <c r="BG462" s="4284">
        <f t="shared" si="254"/>
        <v>0</v>
      </c>
      <c r="BH462" s="4284">
        <f t="shared" si="255"/>
        <v>0</v>
      </c>
      <c r="BI462" s="4284">
        <f t="shared" si="256"/>
        <v>0</v>
      </c>
      <c r="BJ462" s="4284">
        <f t="shared" si="257"/>
        <v>0</v>
      </c>
      <c r="BK462" s="4284">
        <f t="shared" si="258"/>
        <v>0</v>
      </c>
      <c r="BL462" s="4284">
        <f t="shared" si="259"/>
        <v>0</v>
      </c>
      <c r="BM462" s="4284">
        <f t="shared" si="260"/>
        <v>0</v>
      </c>
      <c r="BN462" s="4284">
        <f t="shared" si="261"/>
        <v>0</v>
      </c>
      <c r="BO462" s="4284">
        <f t="shared" si="262"/>
        <v>0</v>
      </c>
      <c r="BP462" s="4284">
        <f t="shared" si="263"/>
        <v>0</v>
      </c>
      <c r="BQ462" s="4284">
        <f t="shared" si="264"/>
        <v>0</v>
      </c>
      <c r="BR462" s="4284">
        <f t="shared" si="265"/>
        <v>0</v>
      </c>
      <c r="BS462" s="4284">
        <f t="shared" si="266"/>
        <v>0</v>
      </c>
      <c r="BT462" s="4285">
        <f t="shared" si="267"/>
        <v>0</v>
      </c>
    </row>
    <row r="463" spans="1:72">
      <c r="A463" s="4278"/>
      <c r="B463" s="4279"/>
      <c r="C463" s="4279"/>
      <c r="D463" s="4280"/>
      <c r="E463" s="1188">
        <f t="shared" si="239"/>
        <v>0</v>
      </c>
      <c r="F463" s="1680"/>
      <c r="G463" s="4281">
        <f t="shared" si="240"/>
        <v>0</v>
      </c>
      <c r="H463" s="3457">
        <f t="shared" si="241"/>
        <v>0</v>
      </c>
      <c r="I463" s="4282"/>
      <c r="J463" s="4282"/>
      <c r="K463" s="4282"/>
      <c r="L463" s="4282"/>
      <c r="M463" s="4282"/>
      <c r="N463" s="4282"/>
      <c r="O463" s="4282"/>
      <c r="P463" s="4282"/>
      <c r="Q463" s="4282"/>
      <c r="R463" s="4282"/>
      <c r="S463" s="4282"/>
      <c r="T463" s="4282"/>
      <c r="U463" s="4282"/>
      <c r="V463" s="4282"/>
      <c r="W463" s="4282"/>
      <c r="X463" s="4282"/>
      <c r="Y463" s="4282"/>
      <c r="Z463" s="4282"/>
      <c r="AA463" s="4282"/>
      <c r="AB463" s="4282"/>
      <c r="AC463" s="1188">
        <f t="shared" si="242"/>
        <v>0</v>
      </c>
      <c r="AD463" s="4278"/>
      <c r="AE463" s="4278"/>
      <c r="AF463" s="4278"/>
      <c r="AG463" s="4278"/>
      <c r="AH463" s="4278"/>
      <c r="AI463" s="4278"/>
      <c r="AJ463" s="4278"/>
      <c r="AK463" s="4278"/>
      <c r="AL463" s="4278"/>
      <c r="AM463" s="4278"/>
      <c r="AN463" s="4278"/>
      <c r="AO463" s="4278"/>
      <c r="AP463" s="4278"/>
      <c r="AQ463" s="4278"/>
      <c r="AR463" s="4278"/>
      <c r="AS463" s="4278"/>
      <c r="AT463" s="4279"/>
      <c r="AU463" s="4283"/>
      <c r="AV463" s="1188">
        <f t="shared" si="243"/>
        <v>0</v>
      </c>
      <c r="AW463" s="1188">
        <f t="shared" si="244"/>
        <v>0</v>
      </c>
      <c r="AX463" s="1188">
        <f t="shared" si="245"/>
        <v>0</v>
      </c>
      <c r="AY463" s="1452">
        <f t="shared" si="246"/>
        <v>0</v>
      </c>
      <c r="AZ463" s="4284">
        <f t="shared" si="247"/>
        <v>0</v>
      </c>
      <c r="BA463" s="4284">
        <f t="shared" si="248"/>
        <v>0</v>
      </c>
      <c r="BB463" s="4284">
        <f t="shared" si="249"/>
        <v>0</v>
      </c>
      <c r="BC463" s="4284">
        <f t="shared" si="250"/>
        <v>0</v>
      </c>
      <c r="BD463" s="4284">
        <f t="shared" si="251"/>
        <v>0</v>
      </c>
      <c r="BE463" s="4284">
        <f t="shared" si="252"/>
        <v>0</v>
      </c>
      <c r="BF463" s="4284">
        <f t="shared" si="253"/>
        <v>0</v>
      </c>
      <c r="BG463" s="4284">
        <f t="shared" si="254"/>
        <v>0</v>
      </c>
      <c r="BH463" s="4284">
        <f t="shared" si="255"/>
        <v>0</v>
      </c>
      <c r="BI463" s="4284">
        <f t="shared" si="256"/>
        <v>0</v>
      </c>
      <c r="BJ463" s="4284">
        <f t="shared" si="257"/>
        <v>0</v>
      </c>
      <c r="BK463" s="4284">
        <f t="shared" si="258"/>
        <v>0</v>
      </c>
      <c r="BL463" s="4284">
        <f t="shared" si="259"/>
        <v>0</v>
      </c>
      <c r="BM463" s="4284">
        <f t="shared" si="260"/>
        <v>0</v>
      </c>
      <c r="BN463" s="4284">
        <f t="shared" si="261"/>
        <v>0</v>
      </c>
      <c r="BO463" s="4284">
        <f t="shared" si="262"/>
        <v>0</v>
      </c>
      <c r="BP463" s="4284">
        <f t="shared" si="263"/>
        <v>0</v>
      </c>
      <c r="BQ463" s="4284">
        <f t="shared" si="264"/>
        <v>0</v>
      </c>
      <c r="BR463" s="4284">
        <f t="shared" si="265"/>
        <v>0</v>
      </c>
      <c r="BS463" s="4284">
        <f t="shared" si="266"/>
        <v>0</v>
      </c>
      <c r="BT463" s="4285">
        <f t="shared" si="267"/>
        <v>0</v>
      </c>
    </row>
    <row r="464" spans="1:72">
      <c r="A464" s="4278"/>
      <c r="B464" s="4279"/>
      <c r="C464" s="4279"/>
      <c r="D464" s="4280"/>
      <c r="E464" s="1188">
        <f t="shared" si="239"/>
        <v>0</v>
      </c>
      <c r="F464" s="1680"/>
      <c r="G464" s="4281">
        <f t="shared" si="240"/>
        <v>0</v>
      </c>
      <c r="H464" s="3457">
        <f t="shared" si="241"/>
        <v>0</v>
      </c>
      <c r="I464" s="4282"/>
      <c r="J464" s="4282"/>
      <c r="K464" s="4282"/>
      <c r="L464" s="4282"/>
      <c r="M464" s="4282"/>
      <c r="N464" s="4282"/>
      <c r="O464" s="4282"/>
      <c r="P464" s="4282"/>
      <c r="Q464" s="4282"/>
      <c r="R464" s="4282"/>
      <c r="S464" s="4282"/>
      <c r="T464" s="4282"/>
      <c r="U464" s="4282"/>
      <c r="V464" s="4282"/>
      <c r="W464" s="4282"/>
      <c r="X464" s="4282"/>
      <c r="Y464" s="4282"/>
      <c r="Z464" s="4282"/>
      <c r="AA464" s="4282"/>
      <c r="AB464" s="4282"/>
      <c r="AC464" s="1188">
        <f t="shared" si="242"/>
        <v>0</v>
      </c>
      <c r="AD464" s="4278"/>
      <c r="AE464" s="4278"/>
      <c r="AF464" s="4278"/>
      <c r="AG464" s="4278"/>
      <c r="AH464" s="4278"/>
      <c r="AI464" s="4278"/>
      <c r="AJ464" s="4278"/>
      <c r="AK464" s="4278"/>
      <c r="AL464" s="4278"/>
      <c r="AM464" s="4278"/>
      <c r="AN464" s="4278"/>
      <c r="AO464" s="4278"/>
      <c r="AP464" s="4278"/>
      <c r="AQ464" s="4278"/>
      <c r="AR464" s="4278"/>
      <c r="AS464" s="4278"/>
      <c r="AT464" s="4279"/>
      <c r="AU464" s="4283"/>
      <c r="AV464" s="1188">
        <f t="shared" si="243"/>
        <v>0</v>
      </c>
      <c r="AW464" s="1188">
        <f t="shared" si="244"/>
        <v>0</v>
      </c>
      <c r="AX464" s="1188">
        <f t="shared" si="245"/>
        <v>0</v>
      </c>
      <c r="AY464" s="1452">
        <f t="shared" si="246"/>
        <v>0</v>
      </c>
      <c r="AZ464" s="4284">
        <f t="shared" si="247"/>
        <v>0</v>
      </c>
      <c r="BA464" s="4284">
        <f t="shared" si="248"/>
        <v>0</v>
      </c>
      <c r="BB464" s="4284">
        <f t="shared" si="249"/>
        <v>0</v>
      </c>
      <c r="BC464" s="4284">
        <f t="shared" si="250"/>
        <v>0</v>
      </c>
      <c r="BD464" s="4284">
        <f t="shared" si="251"/>
        <v>0</v>
      </c>
      <c r="BE464" s="4284">
        <f t="shared" si="252"/>
        <v>0</v>
      </c>
      <c r="BF464" s="4284">
        <f t="shared" si="253"/>
        <v>0</v>
      </c>
      <c r="BG464" s="4284">
        <f t="shared" si="254"/>
        <v>0</v>
      </c>
      <c r="BH464" s="4284">
        <f t="shared" si="255"/>
        <v>0</v>
      </c>
      <c r="BI464" s="4284">
        <f t="shared" si="256"/>
        <v>0</v>
      </c>
      <c r="BJ464" s="4284">
        <f t="shared" si="257"/>
        <v>0</v>
      </c>
      <c r="BK464" s="4284">
        <f t="shared" si="258"/>
        <v>0</v>
      </c>
      <c r="BL464" s="4284">
        <f t="shared" si="259"/>
        <v>0</v>
      </c>
      <c r="BM464" s="4284">
        <f t="shared" si="260"/>
        <v>0</v>
      </c>
      <c r="BN464" s="4284">
        <f t="shared" si="261"/>
        <v>0</v>
      </c>
      <c r="BO464" s="4284">
        <f t="shared" si="262"/>
        <v>0</v>
      </c>
      <c r="BP464" s="4284">
        <f t="shared" si="263"/>
        <v>0</v>
      </c>
      <c r="BQ464" s="4284">
        <f t="shared" si="264"/>
        <v>0</v>
      </c>
      <c r="BR464" s="4284">
        <f t="shared" si="265"/>
        <v>0</v>
      </c>
      <c r="BS464" s="4284">
        <f t="shared" si="266"/>
        <v>0</v>
      </c>
      <c r="BT464" s="4285">
        <f t="shared" si="267"/>
        <v>0</v>
      </c>
    </row>
    <row r="465" spans="1:72">
      <c r="A465" s="4278"/>
      <c r="B465" s="4279"/>
      <c r="C465" s="4279"/>
      <c r="D465" s="4280"/>
      <c r="E465" s="1188">
        <f t="shared" si="239"/>
        <v>0</v>
      </c>
      <c r="F465" s="1680"/>
      <c r="G465" s="4281">
        <f t="shared" si="240"/>
        <v>0</v>
      </c>
      <c r="H465" s="3457">
        <f t="shared" si="241"/>
        <v>0</v>
      </c>
      <c r="I465" s="4282"/>
      <c r="J465" s="4282"/>
      <c r="K465" s="4282"/>
      <c r="L465" s="4282"/>
      <c r="M465" s="4282"/>
      <c r="N465" s="4282"/>
      <c r="O465" s="4282"/>
      <c r="P465" s="4282"/>
      <c r="Q465" s="4282"/>
      <c r="R465" s="4282"/>
      <c r="S465" s="4282"/>
      <c r="T465" s="4282"/>
      <c r="U465" s="4282"/>
      <c r="V465" s="4282"/>
      <c r="W465" s="4282"/>
      <c r="X465" s="4282"/>
      <c r="Y465" s="4282"/>
      <c r="Z465" s="4282"/>
      <c r="AA465" s="4282"/>
      <c r="AB465" s="4282"/>
      <c r="AC465" s="1188">
        <f t="shared" si="242"/>
        <v>0</v>
      </c>
      <c r="AD465" s="4278"/>
      <c r="AE465" s="4278"/>
      <c r="AF465" s="4278"/>
      <c r="AG465" s="4278"/>
      <c r="AH465" s="4278"/>
      <c r="AI465" s="4278"/>
      <c r="AJ465" s="4278"/>
      <c r="AK465" s="4278"/>
      <c r="AL465" s="4278"/>
      <c r="AM465" s="4278"/>
      <c r="AN465" s="4278"/>
      <c r="AO465" s="4278"/>
      <c r="AP465" s="4278"/>
      <c r="AQ465" s="4278"/>
      <c r="AR465" s="4278"/>
      <c r="AS465" s="4278"/>
      <c r="AT465" s="4279"/>
      <c r="AU465" s="4283"/>
      <c r="AV465" s="1188">
        <f t="shared" si="243"/>
        <v>0</v>
      </c>
      <c r="AW465" s="1188">
        <f t="shared" si="244"/>
        <v>0</v>
      </c>
      <c r="AX465" s="1188">
        <f t="shared" si="245"/>
        <v>0</v>
      </c>
      <c r="AY465" s="1452">
        <f t="shared" si="246"/>
        <v>0</v>
      </c>
      <c r="AZ465" s="4284">
        <f t="shared" si="247"/>
        <v>0</v>
      </c>
      <c r="BA465" s="4284">
        <f t="shared" si="248"/>
        <v>0</v>
      </c>
      <c r="BB465" s="4284">
        <f t="shared" si="249"/>
        <v>0</v>
      </c>
      <c r="BC465" s="4284">
        <f t="shared" si="250"/>
        <v>0</v>
      </c>
      <c r="BD465" s="4284">
        <f t="shared" si="251"/>
        <v>0</v>
      </c>
      <c r="BE465" s="4284">
        <f t="shared" si="252"/>
        <v>0</v>
      </c>
      <c r="BF465" s="4284">
        <f t="shared" si="253"/>
        <v>0</v>
      </c>
      <c r="BG465" s="4284">
        <f t="shared" si="254"/>
        <v>0</v>
      </c>
      <c r="BH465" s="4284">
        <f t="shared" si="255"/>
        <v>0</v>
      </c>
      <c r="BI465" s="4284">
        <f t="shared" si="256"/>
        <v>0</v>
      </c>
      <c r="BJ465" s="4284">
        <f t="shared" si="257"/>
        <v>0</v>
      </c>
      <c r="BK465" s="4284">
        <f t="shared" si="258"/>
        <v>0</v>
      </c>
      <c r="BL465" s="4284">
        <f t="shared" si="259"/>
        <v>0</v>
      </c>
      <c r="BM465" s="4284">
        <f t="shared" si="260"/>
        <v>0</v>
      </c>
      <c r="BN465" s="4284">
        <f t="shared" si="261"/>
        <v>0</v>
      </c>
      <c r="BO465" s="4284">
        <f t="shared" si="262"/>
        <v>0</v>
      </c>
      <c r="BP465" s="4284">
        <f t="shared" si="263"/>
        <v>0</v>
      </c>
      <c r="BQ465" s="4284">
        <f t="shared" si="264"/>
        <v>0</v>
      </c>
      <c r="BR465" s="4284">
        <f t="shared" si="265"/>
        <v>0</v>
      </c>
      <c r="BS465" s="4284">
        <f t="shared" si="266"/>
        <v>0</v>
      </c>
      <c r="BT465" s="4285">
        <f t="shared" si="267"/>
        <v>0</v>
      </c>
    </row>
    <row r="466" spans="1:72">
      <c r="A466" s="4278"/>
      <c r="B466" s="4279"/>
      <c r="C466" s="4279"/>
      <c r="D466" s="4280"/>
      <c r="E466" s="1188">
        <f t="shared" si="239"/>
        <v>0</v>
      </c>
      <c r="F466" s="1680"/>
      <c r="G466" s="4281">
        <f t="shared" si="240"/>
        <v>0</v>
      </c>
      <c r="H466" s="3457">
        <f t="shared" si="241"/>
        <v>0</v>
      </c>
      <c r="I466" s="4282"/>
      <c r="J466" s="4282"/>
      <c r="K466" s="4282"/>
      <c r="L466" s="4282"/>
      <c r="M466" s="4282"/>
      <c r="N466" s="4282"/>
      <c r="O466" s="4282"/>
      <c r="P466" s="4282"/>
      <c r="Q466" s="4282"/>
      <c r="R466" s="4282"/>
      <c r="S466" s="4282"/>
      <c r="T466" s="4282"/>
      <c r="U466" s="4282"/>
      <c r="V466" s="4282"/>
      <c r="W466" s="4282"/>
      <c r="X466" s="4282"/>
      <c r="Y466" s="4282"/>
      <c r="Z466" s="4282"/>
      <c r="AA466" s="4282"/>
      <c r="AB466" s="4282"/>
      <c r="AC466" s="1188">
        <f t="shared" si="242"/>
        <v>0</v>
      </c>
      <c r="AD466" s="4278"/>
      <c r="AE466" s="4278"/>
      <c r="AF466" s="4278"/>
      <c r="AG466" s="4278"/>
      <c r="AH466" s="4278"/>
      <c r="AI466" s="4278"/>
      <c r="AJ466" s="4278"/>
      <c r="AK466" s="4278"/>
      <c r="AL466" s="4278"/>
      <c r="AM466" s="4278"/>
      <c r="AN466" s="4278"/>
      <c r="AO466" s="4278"/>
      <c r="AP466" s="4278"/>
      <c r="AQ466" s="4278"/>
      <c r="AR466" s="4278"/>
      <c r="AS466" s="4278"/>
      <c r="AT466" s="4279"/>
      <c r="AU466" s="4283"/>
      <c r="AV466" s="1188">
        <f t="shared" si="243"/>
        <v>0</v>
      </c>
      <c r="AW466" s="1188">
        <f t="shared" si="244"/>
        <v>0</v>
      </c>
      <c r="AX466" s="1188">
        <f t="shared" si="245"/>
        <v>0</v>
      </c>
      <c r="AY466" s="1452">
        <f t="shared" si="246"/>
        <v>0</v>
      </c>
      <c r="AZ466" s="4284">
        <f t="shared" si="247"/>
        <v>0</v>
      </c>
      <c r="BA466" s="4284">
        <f t="shared" si="248"/>
        <v>0</v>
      </c>
      <c r="BB466" s="4284">
        <f t="shared" si="249"/>
        <v>0</v>
      </c>
      <c r="BC466" s="4284">
        <f t="shared" si="250"/>
        <v>0</v>
      </c>
      <c r="BD466" s="4284">
        <f t="shared" si="251"/>
        <v>0</v>
      </c>
      <c r="BE466" s="4284">
        <f t="shared" si="252"/>
        <v>0</v>
      </c>
      <c r="BF466" s="4284">
        <f t="shared" si="253"/>
        <v>0</v>
      </c>
      <c r="BG466" s="4284">
        <f t="shared" si="254"/>
        <v>0</v>
      </c>
      <c r="BH466" s="4284">
        <f t="shared" si="255"/>
        <v>0</v>
      </c>
      <c r="BI466" s="4284">
        <f t="shared" si="256"/>
        <v>0</v>
      </c>
      <c r="BJ466" s="4284">
        <f t="shared" si="257"/>
        <v>0</v>
      </c>
      <c r="BK466" s="4284">
        <f t="shared" si="258"/>
        <v>0</v>
      </c>
      <c r="BL466" s="4284">
        <f t="shared" si="259"/>
        <v>0</v>
      </c>
      <c r="BM466" s="4284">
        <f t="shared" si="260"/>
        <v>0</v>
      </c>
      <c r="BN466" s="4284">
        <f t="shared" si="261"/>
        <v>0</v>
      </c>
      <c r="BO466" s="4284">
        <f t="shared" si="262"/>
        <v>0</v>
      </c>
      <c r="BP466" s="4284">
        <f t="shared" si="263"/>
        <v>0</v>
      </c>
      <c r="BQ466" s="4284">
        <f t="shared" si="264"/>
        <v>0</v>
      </c>
      <c r="BR466" s="4284">
        <f t="shared" si="265"/>
        <v>0</v>
      </c>
      <c r="BS466" s="4284">
        <f t="shared" si="266"/>
        <v>0</v>
      </c>
      <c r="BT466" s="4285">
        <f t="shared" si="267"/>
        <v>0</v>
      </c>
    </row>
    <row r="467" spans="1:72">
      <c r="A467" s="4278"/>
      <c r="B467" s="4279"/>
      <c r="C467" s="4279"/>
      <c r="D467" s="4280"/>
      <c r="E467" s="1188">
        <f t="shared" si="239"/>
        <v>0</v>
      </c>
      <c r="F467" s="1680"/>
      <c r="G467" s="4281">
        <f t="shared" si="240"/>
        <v>0</v>
      </c>
      <c r="H467" s="3457">
        <f t="shared" si="241"/>
        <v>0</v>
      </c>
      <c r="I467" s="4282"/>
      <c r="J467" s="4282"/>
      <c r="K467" s="4282"/>
      <c r="L467" s="4282"/>
      <c r="M467" s="4282"/>
      <c r="N467" s="4282"/>
      <c r="O467" s="4282"/>
      <c r="P467" s="4282"/>
      <c r="Q467" s="4282"/>
      <c r="R467" s="4282"/>
      <c r="S467" s="4282"/>
      <c r="T467" s="4282"/>
      <c r="U467" s="4282"/>
      <c r="V467" s="4282"/>
      <c r="W467" s="4282"/>
      <c r="X467" s="4282"/>
      <c r="Y467" s="4282"/>
      <c r="Z467" s="4282"/>
      <c r="AA467" s="4282"/>
      <c r="AB467" s="4282"/>
      <c r="AC467" s="1188">
        <f t="shared" si="242"/>
        <v>0</v>
      </c>
      <c r="AD467" s="4278"/>
      <c r="AE467" s="4278"/>
      <c r="AF467" s="4278"/>
      <c r="AG467" s="4278"/>
      <c r="AH467" s="4278"/>
      <c r="AI467" s="4278"/>
      <c r="AJ467" s="4278"/>
      <c r="AK467" s="4278"/>
      <c r="AL467" s="4278"/>
      <c r="AM467" s="4278"/>
      <c r="AN467" s="4278"/>
      <c r="AO467" s="4278"/>
      <c r="AP467" s="4278"/>
      <c r="AQ467" s="4278"/>
      <c r="AR467" s="4278"/>
      <c r="AS467" s="4278"/>
      <c r="AT467" s="4279"/>
      <c r="AU467" s="4283"/>
      <c r="AV467" s="1188">
        <f t="shared" si="243"/>
        <v>0</v>
      </c>
      <c r="AW467" s="1188">
        <f t="shared" si="244"/>
        <v>0</v>
      </c>
      <c r="AX467" s="1188">
        <f t="shared" si="245"/>
        <v>0</v>
      </c>
      <c r="AY467" s="1452">
        <f t="shared" si="246"/>
        <v>0</v>
      </c>
      <c r="AZ467" s="4284">
        <f t="shared" si="247"/>
        <v>0</v>
      </c>
      <c r="BA467" s="4284">
        <f t="shared" si="248"/>
        <v>0</v>
      </c>
      <c r="BB467" s="4284">
        <f t="shared" si="249"/>
        <v>0</v>
      </c>
      <c r="BC467" s="4284">
        <f t="shared" si="250"/>
        <v>0</v>
      </c>
      <c r="BD467" s="4284">
        <f t="shared" si="251"/>
        <v>0</v>
      </c>
      <c r="BE467" s="4284">
        <f t="shared" si="252"/>
        <v>0</v>
      </c>
      <c r="BF467" s="4284">
        <f t="shared" si="253"/>
        <v>0</v>
      </c>
      <c r="BG467" s="4284">
        <f t="shared" si="254"/>
        <v>0</v>
      </c>
      <c r="BH467" s="4284">
        <f t="shared" si="255"/>
        <v>0</v>
      </c>
      <c r="BI467" s="4284">
        <f t="shared" si="256"/>
        <v>0</v>
      </c>
      <c r="BJ467" s="4284">
        <f t="shared" si="257"/>
        <v>0</v>
      </c>
      <c r="BK467" s="4284">
        <f t="shared" si="258"/>
        <v>0</v>
      </c>
      <c r="BL467" s="4284">
        <f t="shared" si="259"/>
        <v>0</v>
      </c>
      <c r="BM467" s="4284">
        <f t="shared" si="260"/>
        <v>0</v>
      </c>
      <c r="BN467" s="4284">
        <f t="shared" si="261"/>
        <v>0</v>
      </c>
      <c r="BO467" s="4284">
        <f t="shared" si="262"/>
        <v>0</v>
      </c>
      <c r="BP467" s="4284">
        <f t="shared" si="263"/>
        <v>0</v>
      </c>
      <c r="BQ467" s="4284">
        <f t="shared" si="264"/>
        <v>0</v>
      </c>
      <c r="BR467" s="4284">
        <f t="shared" si="265"/>
        <v>0</v>
      </c>
      <c r="BS467" s="4284">
        <f t="shared" si="266"/>
        <v>0</v>
      </c>
      <c r="BT467" s="4285">
        <f t="shared" si="267"/>
        <v>0</v>
      </c>
    </row>
    <row r="468" spans="1:72">
      <c r="A468" s="4278"/>
      <c r="B468" s="4279"/>
      <c r="C468" s="4279"/>
      <c r="D468" s="4280"/>
      <c r="E468" s="1188">
        <f t="shared" si="239"/>
        <v>0</v>
      </c>
      <c r="F468" s="1680"/>
      <c r="G468" s="4281">
        <f t="shared" si="240"/>
        <v>0</v>
      </c>
      <c r="H468" s="3457">
        <f t="shared" si="241"/>
        <v>0</v>
      </c>
      <c r="I468" s="4282"/>
      <c r="J468" s="4282"/>
      <c r="K468" s="4282"/>
      <c r="L468" s="4282"/>
      <c r="M468" s="4282"/>
      <c r="N468" s="4282"/>
      <c r="O468" s="4282"/>
      <c r="P468" s="4282"/>
      <c r="Q468" s="4282"/>
      <c r="R468" s="4282"/>
      <c r="S468" s="4282"/>
      <c r="T468" s="4282"/>
      <c r="U468" s="4282"/>
      <c r="V468" s="4282"/>
      <c r="W468" s="4282"/>
      <c r="X468" s="4282"/>
      <c r="Y468" s="4282"/>
      <c r="Z468" s="4282"/>
      <c r="AA468" s="4282"/>
      <c r="AB468" s="4282"/>
      <c r="AC468" s="1188">
        <f t="shared" si="242"/>
        <v>0</v>
      </c>
      <c r="AD468" s="4278"/>
      <c r="AE468" s="4278"/>
      <c r="AF468" s="4278"/>
      <c r="AG468" s="4278"/>
      <c r="AH468" s="4278"/>
      <c r="AI468" s="4278"/>
      <c r="AJ468" s="4278"/>
      <c r="AK468" s="4278"/>
      <c r="AL468" s="4278"/>
      <c r="AM468" s="4278"/>
      <c r="AN468" s="4278"/>
      <c r="AO468" s="4278"/>
      <c r="AP468" s="4278"/>
      <c r="AQ468" s="4278"/>
      <c r="AR468" s="4278"/>
      <c r="AS468" s="4278"/>
      <c r="AT468" s="4279"/>
      <c r="AU468" s="4283"/>
      <c r="AV468" s="1188">
        <f t="shared" si="243"/>
        <v>0</v>
      </c>
      <c r="AW468" s="1188">
        <f t="shared" si="244"/>
        <v>0</v>
      </c>
      <c r="AX468" s="1188">
        <f t="shared" si="245"/>
        <v>0</v>
      </c>
      <c r="AY468" s="1452">
        <f t="shared" si="246"/>
        <v>0</v>
      </c>
      <c r="AZ468" s="4284">
        <f t="shared" si="247"/>
        <v>0</v>
      </c>
      <c r="BA468" s="4284">
        <f t="shared" si="248"/>
        <v>0</v>
      </c>
      <c r="BB468" s="4284">
        <f t="shared" si="249"/>
        <v>0</v>
      </c>
      <c r="BC468" s="4284">
        <f t="shared" si="250"/>
        <v>0</v>
      </c>
      <c r="BD468" s="4284">
        <f t="shared" si="251"/>
        <v>0</v>
      </c>
      <c r="BE468" s="4284">
        <f t="shared" si="252"/>
        <v>0</v>
      </c>
      <c r="BF468" s="4284">
        <f t="shared" si="253"/>
        <v>0</v>
      </c>
      <c r="BG468" s="4284">
        <f t="shared" si="254"/>
        <v>0</v>
      </c>
      <c r="BH468" s="4284">
        <f t="shared" si="255"/>
        <v>0</v>
      </c>
      <c r="BI468" s="4284">
        <f t="shared" si="256"/>
        <v>0</v>
      </c>
      <c r="BJ468" s="4284">
        <f t="shared" si="257"/>
        <v>0</v>
      </c>
      <c r="BK468" s="4284">
        <f t="shared" si="258"/>
        <v>0</v>
      </c>
      <c r="BL468" s="4284">
        <f t="shared" si="259"/>
        <v>0</v>
      </c>
      <c r="BM468" s="4284">
        <f t="shared" si="260"/>
        <v>0</v>
      </c>
      <c r="BN468" s="4284">
        <f t="shared" si="261"/>
        <v>0</v>
      </c>
      <c r="BO468" s="4284">
        <f t="shared" si="262"/>
        <v>0</v>
      </c>
      <c r="BP468" s="4284">
        <f t="shared" si="263"/>
        <v>0</v>
      </c>
      <c r="BQ468" s="4284">
        <f t="shared" si="264"/>
        <v>0</v>
      </c>
      <c r="BR468" s="4284">
        <f t="shared" si="265"/>
        <v>0</v>
      </c>
      <c r="BS468" s="4284">
        <f t="shared" si="266"/>
        <v>0</v>
      </c>
      <c r="BT468" s="4285">
        <f t="shared" si="267"/>
        <v>0</v>
      </c>
    </row>
    <row r="469" spans="1:72">
      <c r="A469" s="4278"/>
      <c r="B469" s="4279"/>
      <c r="C469" s="4279"/>
      <c r="D469" s="4280"/>
      <c r="E469" s="1188">
        <f t="shared" si="239"/>
        <v>0</v>
      </c>
      <c r="F469" s="1680"/>
      <c r="G469" s="4281">
        <f t="shared" si="240"/>
        <v>0</v>
      </c>
      <c r="H469" s="3457">
        <f t="shared" si="241"/>
        <v>0</v>
      </c>
      <c r="I469" s="4282"/>
      <c r="J469" s="4282"/>
      <c r="K469" s="4282"/>
      <c r="L469" s="4282"/>
      <c r="M469" s="4282"/>
      <c r="N469" s="4282"/>
      <c r="O469" s="4282"/>
      <c r="P469" s="4282"/>
      <c r="Q469" s="4282"/>
      <c r="R469" s="4282"/>
      <c r="S469" s="4282"/>
      <c r="T469" s="4282"/>
      <c r="U469" s="4282"/>
      <c r="V469" s="4282"/>
      <c r="W469" s="4282"/>
      <c r="X469" s="4282"/>
      <c r="Y469" s="4282"/>
      <c r="Z469" s="4282"/>
      <c r="AA469" s="4282"/>
      <c r="AB469" s="4282"/>
      <c r="AC469" s="1188">
        <f t="shared" si="242"/>
        <v>0</v>
      </c>
      <c r="AD469" s="4278"/>
      <c r="AE469" s="4278"/>
      <c r="AF469" s="4278"/>
      <c r="AG469" s="4278"/>
      <c r="AH469" s="4278"/>
      <c r="AI469" s="4278"/>
      <c r="AJ469" s="4278"/>
      <c r="AK469" s="4278"/>
      <c r="AL469" s="4278"/>
      <c r="AM469" s="4278"/>
      <c r="AN469" s="4278"/>
      <c r="AO469" s="4278"/>
      <c r="AP469" s="4278"/>
      <c r="AQ469" s="4278"/>
      <c r="AR469" s="4278"/>
      <c r="AS469" s="4278"/>
      <c r="AT469" s="4279"/>
      <c r="AU469" s="4283"/>
      <c r="AV469" s="1188">
        <f t="shared" si="243"/>
        <v>0</v>
      </c>
      <c r="AW469" s="1188">
        <f t="shared" si="244"/>
        <v>0</v>
      </c>
      <c r="AX469" s="1188">
        <f t="shared" si="245"/>
        <v>0</v>
      </c>
      <c r="AY469" s="1452">
        <f t="shared" si="246"/>
        <v>0</v>
      </c>
      <c r="AZ469" s="4284">
        <f t="shared" si="247"/>
        <v>0</v>
      </c>
      <c r="BA469" s="4284">
        <f t="shared" si="248"/>
        <v>0</v>
      </c>
      <c r="BB469" s="4284">
        <f t="shared" si="249"/>
        <v>0</v>
      </c>
      <c r="BC469" s="4284">
        <f t="shared" si="250"/>
        <v>0</v>
      </c>
      <c r="BD469" s="4284">
        <f t="shared" si="251"/>
        <v>0</v>
      </c>
      <c r="BE469" s="4284">
        <f t="shared" si="252"/>
        <v>0</v>
      </c>
      <c r="BF469" s="4284">
        <f t="shared" si="253"/>
        <v>0</v>
      </c>
      <c r="BG469" s="4284">
        <f t="shared" si="254"/>
        <v>0</v>
      </c>
      <c r="BH469" s="4284">
        <f t="shared" si="255"/>
        <v>0</v>
      </c>
      <c r="BI469" s="4284">
        <f t="shared" si="256"/>
        <v>0</v>
      </c>
      <c r="BJ469" s="4284">
        <f t="shared" si="257"/>
        <v>0</v>
      </c>
      <c r="BK469" s="4284">
        <f t="shared" si="258"/>
        <v>0</v>
      </c>
      <c r="BL469" s="4284">
        <f t="shared" si="259"/>
        <v>0</v>
      </c>
      <c r="BM469" s="4284">
        <f t="shared" si="260"/>
        <v>0</v>
      </c>
      <c r="BN469" s="4284">
        <f t="shared" si="261"/>
        <v>0</v>
      </c>
      <c r="BO469" s="4284">
        <f t="shared" si="262"/>
        <v>0</v>
      </c>
      <c r="BP469" s="4284">
        <f t="shared" si="263"/>
        <v>0</v>
      </c>
      <c r="BQ469" s="4284">
        <f t="shared" si="264"/>
        <v>0</v>
      </c>
      <c r="BR469" s="4284">
        <f t="shared" si="265"/>
        <v>0</v>
      </c>
      <c r="BS469" s="4284">
        <f t="shared" si="266"/>
        <v>0</v>
      </c>
      <c r="BT469" s="4285">
        <f t="shared" si="267"/>
        <v>0</v>
      </c>
    </row>
    <row r="470" spans="1:72">
      <c r="A470" s="4278"/>
      <c r="B470" s="4279"/>
      <c r="C470" s="4279"/>
      <c r="D470" s="4280"/>
      <c r="E470" s="1188">
        <f t="shared" si="239"/>
        <v>0</v>
      </c>
      <c r="F470" s="1680"/>
      <c r="G470" s="4281">
        <f t="shared" si="240"/>
        <v>0</v>
      </c>
      <c r="H470" s="3457">
        <f t="shared" si="241"/>
        <v>0</v>
      </c>
      <c r="I470" s="4282"/>
      <c r="J470" s="4282"/>
      <c r="K470" s="4282"/>
      <c r="L470" s="4282"/>
      <c r="M470" s="4282"/>
      <c r="N470" s="4282"/>
      <c r="O470" s="4282"/>
      <c r="P470" s="4282"/>
      <c r="Q470" s="4282"/>
      <c r="R470" s="4282"/>
      <c r="S470" s="4282"/>
      <c r="T470" s="4282"/>
      <c r="U470" s="4282"/>
      <c r="V470" s="4282"/>
      <c r="W470" s="4282"/>
      <c r="X470" s="4282"/>
      <c r="Y470" s="4282"/>
      <c r="Z470" s="4282"/>
      <c r="AA470" s="4282"/>
      <c r="AB470" s="4282"/>
      <c r="AC470" s="1188">
        <f t="shared" si="242"/>
        <v>0</v>
      </c>
      <c r="AD470" s="4278"/>
      <c r="AE470" s="4278"/>
      <c r="AF470" s="4278"/>
      <c r="AG470" s="4278"/>
      <c r="AH470" s="4278"/>
      <c r="AI470" s="4278"/>
      <c r="AJ470" s="4278"/>
      <c r="AK470" s="4278"/>
      <c r="AL470" s="4278"/>
      <c r="AM470" s="4278"/>
      <c r="AN470" s="4278"/>
      <c r="AO470" s="4278"/>
      <c r="AP470" s="4278"/>
      <c r="AQ470" s="4278"/>
      <c r="AR470" s="4278"/>
      <c r="AS470" s="4278"/>
      <c r="AT470" s="4279"/>
      <c r="AU470" s="4283"/>
      <c r="AV470" s="1188">
        <f t="shared" si="243"/>
        <v>0</v>
      </c>
      <c r="AW470" s="1188">
        <f t="shared" si="244"/>
        <v>0</v>
      </c>
      <c r="AX470" s="1188">
        <f t="shared" si="245"/>
        <v>0</v>
      </c>
      <c r="AY470" s="1452">
        <f t="shared" si="246"/>
        <v>0</v>
      </c>
      <c r="AZ470" s="4284">
        <f t="shared" si="247"/>
        <v>0</v>
      </c>
      <c r="BA470" s="4284">
        <f t="shared" si="248"/>
        <v>0</v>
      </c>
      <c r="BB470" s="4284">
        <f t="shared" si="249"/>
        <v>0</v>
      </c>
      <c r="BC470" s="4284">
        <f t="shared" si="250"/>
        <v>0</v>
      </c>
      <c r="BD470" s="4284">
        <f t="shared" si="251"/>
        <v>0</v>
      </c>
      <c r="BE470" s="4284">
        <f t="shared" si="252"/>
        <v>0</v>
      </c>
      <c r="BF470" s="4284">
        <f t="shared" si="253"/>
        <v>0</v>
      </c>
      <c r="BG470" s="4284">
        <f t="shared" si="254"/>
        <v>0</v>
      </c>
      <c r="BH470" s="4284">
        <f t="shared" si="255"/>
        <v>0</v>
      </c>
      <c r="BI470" s="4284">
        <f t="shared" si="256"/>
        <v>0</v>
      </c>
      <c r="BJ470" s="4284">
        <f t="shared" si="257"/>
        <v>0</v>
      </c>
      <c r="BK470" s="4284">
        <f t="shared" si="258"/>
        <v>0</v>
      </c>
      <c r="BL470" s="4284">
        <f t="shared" si="259"/>
        <v>0</v>
      </c>
      <c r="BM470" s="4284">
        <f t="shared" si="260"/>
        <v>0</v>
      </c>
      <c r="BN470" s="4284">
        <f t="shared" si="261"/>
        <v>0</v>
      </c>
      <c r="BO470" s="4284">
        <f t="shared" si="262"/>
        <v>0</v>
      </c>
      <c r="BP470" s="4284">
        <f t="shared" si="263"/>
        <v>0</v>
      </c>
      <c r="BQ470" s="4284">
        <f t="shared" si="264"/>
        <v>0</v>
      </c>
      <c r="BR470" s="4284">
        <f t="shared" si="265"/>
        <v>0</v>
      </c>
      <c r="BS470" s="4284">
        <f t="shared" si="266"/>
        <v>0</v>
      </c>
      <c r="BT470" s="4285">
        <f t="shared" si="267"/>
        <v>0</v>
      </c>
    </row>
    <row r="471" spans="1:72">
      <c r="A471" s="4278"/>
      <c r="B471" s="4279"/>
      <c r="C471" s="4279"/>
      <c r="D471" s="4280"/>
      <c r="E471" s="1188">
        <f t="shared" si="239"/>
        <v>0</v>
      </c>
      <c r="F471" s="1680"/>
      <c r="G471" s="4281">
        <f t="shared" si="240"/>
        <v>0</v>
      </c>
      <c r="H471" s="3457">
        <f t="shared" si="241"/>
        <v>0</v>
      </c>
      <c r="I471" s="4282"/>
      <c r="J471" s="4282"/>
      <c r="K471" s="4282"/>
      <c r="L471" s="4282"/>
      <c r="M471" s="4282"/>
      <c r="N471" s="4282"/>
      <c r="O471" s="4282"/>
      <c r="P471" s="4282"/>
      <c r="Q471" s="4282"/>
      <c r="R471" s="4282"/>
      <c r="S471" s="4282"/>
      <c r="T471" s="4282"/>
      <c r="U471" s="4282"/>
      <c r="V471" s="4282"/>
      <c r="W471" s="4282"/>
      <c r="X471" s="4282"/>
      <c r="Y471" s="4282"/>
      <c r="Z471" s="4282"/>
      <c r="AA471" s="4282"/>
      <c r="AB471" s="4282"/>
      <c r="AC471" s="1188">
        <f t="shared" si="242"/>
        <v>0</v>
      </c>
      <c r="AD471" s="4278"/>
      <c r="AE471" s="4278"/>
      <c r="AF471" s="4278"/>
      <c r="AG471" s="4278"/>
      <c r="AH471" s="4278"/>
      <c r="AI471" s="4278"/>
      <c r="AJ471" s="4278"/>
      <c r="AK471" s="4278"/>
      <c r="AL471" s="4278"/>
      <c r="AM471" s="4278"/>
      <c r="AN471" s="4278"/>
      <c r="AO471" s="4278"/>
      <c r="AP471" s="4278"/>
      <c r="AQ471" s="4278"/>
      <c r="AR471" s="4278"/>
      <c r="AS471" s="4278"/>
      <c r="AT471" s="4279"/>
      <c r="AU471" s="4283"/>
      <c r="AV471" s="1188">
        <f t="shared" si="243"/>
        <v>0</v>
      </c>
      <c r="AW471" s="1188">
        <f t="shared" si="244"/>
        <v>0</v>
      </c>
      <c r="AX471" s="1188">
        <f t="shared" si="245"/>
        <v>0</v>
      </c>
      <c r="AY471" s="1452">
        <f t="shared" si="246"/>
        <v>0</v>
      </c>
      <c r="AZ471" s="4284">
        <f t="shared" si="247"/>
        <v>0</v>
      </c>
      <c r="BA471" s="4284">
        <f t="shared" si="248"/>
        <v>0</v>
      </c>
      <c r="BB471" s="4284">
        <f t="shared" si="249"/>
        <v>0</v>
      </c>
      <c r="BC471" s="4284">
        <f t="shared" si="250"/>
        <v>0</v>
      </c>
      <c r="BD471" s="4284">
        <f t="shared" si="251"/>
        <v>0</v>
      </c>
      <c r="BE471" s="4284">
        <f t="shared" si="252"/>
        <v>0</v>
      </c>
      <c r="BF471" s="4284">
        <f t="shared" si="253"/>
        <v>0</v>
      </c>
      <c r="BG471" s="4284">
        <f t="shared" si="254"/>
        <v>0</v>
      </c>
      <c r="BH471" s="4284">
        <f t="shared" si="255"/>
        <v>0</v>
      </c>
      <c r="BI471" s="4284">
        <f t="shared" si="256"/>
        <v>0</v>
      </c>
      <c r="BJ471" s="4284">
        <f t="shared" si="257"/>
        <v>0</v>
      </c>
      <c r="BK471" s="4284">
        <f t="shared" si="258"/>
        <v>0</v>
      </c>
      <c r="BL471" s="4284">
        <f t="shared" si="259"/>
        <v>0</v>
      </c>
      <c r="BM471" s="4284">
        <f t="shared" si="260"/>
        <v>0</v>
      </c>
      <c r="BN471" s="4284">
        <f t="shared" si="261"/>
        <v>0</v>
      </c>
      <c r="BO471" s="4284">
        <f t="shared" si="262"/>
        <v>0</v>
      </c>
      <c r="BP471" s="4284">
        <f t="shared" si="263"/>
        <v>0</v>
      </c>
      <c r="BQ471" s="4284">
        <f t="shared" si="264"/>
        <v>0</v>
      </c>
      <c r="BR471" s="4284">
        <f t="shared" si="265"/>
        <v>0</v>
      </c>
      <c r="BS471" s="4284">
        <f t="shared" si="266"/>
        <v>0</v>
      </c>
      <c r="BT471" s="4285">
        <f t="shared" si="267"/>
        <v>0</v>
      </c>
    </row>
    <row r="472" spans="1:72">
      <c r="A472" s="4278"/>
      <c r="B472" s="4279"/>
      <c r="C472" s="4279"/>
      <c r="D472" s="4280"/>
      <c r="E472" s="1188">
        <f t="shared" si="239"/>
        <v>0</v>
      </c>
      <c r="F472" s="1680"/>
      <c r="G472" s="4281">
        <f t="shared" si="240"/>
        <v>0</v>
      </c>
      <c r="H472" s="3457">
        <f t="shared" si="241"/>
        <v>0</v>
      </c>
      <c r="I472" s="4282"/>
      <c r="J472" s="4282"/>
      <c r="K472" s="4282"/>
      <c r="L472" s="4282"/>
      <c r="M472" s="4282"/>
      <c r="N472" s="4282"/>
      <c r="O472" s="4282"/>
      <c r="P472" s="4282"/>
      <c r="Q472" s="4282"/>
      <c r="R472" s="4282"/>
      <c r="S472" s="4282"/>
      <c r="T472" s="4282"/>
      <c r="U472" s="4282"/>
      <c r="V472" s="4282"/>
      <c r="W472" s="4282"/>
      <c r="X472" s="4282"/>
      <c r="Y472" s="4282"/>
      <c r="Z472" s="4282"/>
      <c r="AA472" s="4282"/>
      <c r="AB472" s="4282"/>
      <c r="AC472" s="1188">
        <f t="shared" si="242"/>
        <v>0</v>
      </c>
      <c r="AD472" s="4278"/>
      <c r="AE472" s="4278"/>
      <c r="AF472" s="4278"/>
      <c r="AG472" s="4278"/>
      <c r="AH472" s="4278"/>
      <c r="AI472" s="4278"/>
      <c r="AJ472" s="4278"/>
      <c r="AK472" s="4278"/>
      <c r="AL472" s="4278"/>
      <c r="AM472" s="4278"/>
      <c r="AN472" s="4278"/>
      <c r="AO472" s="4278"/>
      <c r="AP472" s="4278"/>
      <c r="AQ472" s="4278"/>
      <c r="AR472" s="4278"/>
      <c r="AS472" s="4278"/>
      <c r="AT472" s="4279"/>
      <c r="AU472" s="4283"/>
      <c r="AV472" s="1188">
        <f t="shared" si="243"/>
        <v>0</v>
      </c>
      <c r="AW472" s="1188">
        <f t="shared" si="244"/>
        <v>0</v>
      </c>
      <c r="AX472" s="1188">
        <f t="shared" si="245"/>
        <v>0</v>
      </c>
      <c r="AY472" s="1452">
        <f t="shared" si="246"/>
        <v>0</v>
      </c>
      <c r="AZ472" s="4284">
        <f t="shared" si="247"/>
        <v>0</v>
      </c>
      <c r="BA472" s="4284">
        <f t="shared" si="248"/>
        <v>0</v>
      </c>
      <c r="BB472" s="4284">
        <f t="shared" si="249"/>
        <v>0</v>
      </c>
      <c r="BC472" s="4284">
        <f t="shared" si="250"/>
        <v>0</v>
      </c>
      <c r="BD472" s="4284">
        <f t="shared" si="251"/>
        <v>0</v>
      </c>
      <c r="BE472" s="4284">
        <f t="shared" si="252"/>
        <v>0</v>
      </c>
      <c r="BF472" s="4284">
        <f t="shared" si="253"/>
        <v>0</v>
      </c>
      <c r="BG472" s="4284">
        <f t="shared" si="254"/>
        <v>0</v>
      </c>
      <c r="BH472" s="4284">
        <f t="shared" si="255"/>
        <v>0</v>
      </c>
      <c r="BI472" s="4284">
        <f t="shared" si="256"/>
        <v>0</v>
      </c>
      <c r="BJ472" s="4284">
        <f t="shared" si="257"/>
        <v>0</v>
      </c>
      <c r="BK472" s="4284">
        <f t="shared" si="258"/>
        <v>0</v>
      </c>
      <c r="BL472" s="4284">
        <f t="shared" si="259"/>
        <v>0</v>
      </c>
      <c r="BM472" s="4284">
        <f t="shared" si="260"/>
        <v>0</v>
      </c>
      <c r="BN472" s="4284">
        <f t="shared" si="261"/>
        <v>0</v>
      </c>
      <c r="BO472" s="4284">
        <f t="shared" si="262"/>
        <v>0</v>
      </c>
      <c r="BP472" s="4284">
        <f t="shared" si="263"/>
        <v>0</v>
      </c>
      <c r="BQ472" s="4284">
        <f t="shared" si="264"/>
        <v>0</v>
      </c>
      <c r="BR472" s="4284">
        <f t="shared" si="265"/>
        <v>0</v>
      </c>
      <c r="BS472" s="4284">
        <f t="shared" si="266"/>
        <v>0</v>
      </c>
      <c r="BT472" s="4285">
        <f t="shared" si="267"/>
        <v>0</v>
      </c>
    </row>
    <row r="473" spans="1:72">
      <c r="A473" s="4278"/>
      <c r="B473" s="4279"/>
      <c r="C473" s="4279"/>
      <c r="D473" s="4280"/>
      <c r="E473" s="1188">
        <f t="shared" si="239"/>
        <v>0</v>
      </c>
      <c r="F473" s="1680"/>
      <c r="G473" s="4281">
        <f t="shared" si="240"/>
        <v>0</v>
      </c>
      <c r="H473" s="3457">
        <f t="shared" si="241"/>
        <v>0</v>
      </c>
      <c r="I473" s="4282"/>
      <c r="J473" s="4282"/>
      <c r="K473" s="4282"/>
      <c r="L473" s="4282"/>
      <c r="M473" s="4282"/>
      <c r="N473" s="4282"/>
      <c r="O473" s="4282"/>
      <c r="P473" s="4282"/>
      <c r="Q473" s="4282"/>
      <c r="R473" s="4282"/>
      <c r="S473" s="4282"/>
      <c r="T473" s="4282"/>
      <c r="U473" s="4282"/>
      <c r="V473" s="4282"/>
      <c r="W473" s="4282"/>
      <c r="X473" s="4282"/>
      <c r="Y473" s="4282"/>
      <c r="Z473" s="4282"/>
      <c r="AA473" s="4282"/>
      <c r="AB473" s="4282"/>
      <c r="AC473" s="1188">
        <f t="shared" si="242"/>
        <v>0</v>
      </c>
      <c r="AD473" s="4278"/>
      <c r="AE473" s="4278"/>
      <c r="AF473" s="4278"/>
      <c r="AG473" s="4278"/>
      <c r="AH473" s="4278"/>
      <c r="AI473" s="4278"/>
      <c r="AJ473" s="4278"/>
      <c r="AK473" s="4278"/>
      <c r="AL473" s="4278"/>
      <c r="AM473" s="4278"/>
      <c r="AN473" s="4278"/>
      <c r="AO473" s="4278"/>
      <c r="AP473" s="4278"/>
      <c r="AQ473" s="4278"/>
      <c r="AR473" s="4278"/>
      <c r="AS473" s="4278"/>
      <c r="AT473" s="4279"/>
      <c r="AU473" s="4283"/>
      <c r="AV473" s="1188">
        <f t="shared" si="243"/>
        <v>0</v>
      </c>
      <c r="AW473" s="1188">
        <f t="shared" si="244"/>
        <v>0</v>
      </c>
      <c r="AX473" s="1188">
        <f t="shared" si="245"/>
        <v>0</v>
      </c>
      <c r="AY473" s="1452">
        <f t="shared" si="246"/>
        <v>0</v>
      </c>
      <c r="AZ473" s="4284">
        <f t="shared" si="247"/>
        <v>0</v>
      </c>
      <c r="BA473" s="4284">
        <f t="shared" si="248"/>
        <v>0</v>
      </c>
      <c r="BB473" s="4284">
        <f t="shared" si="249"/>
        <v>0</v>
      </c>
      <c r="BC473" s="4284">
        <f t="shared" si="250"/>
        <v>0</v>
      </c>
      <c r="BD473" s="4284">
        <f t="shared" si="251"/>
        <v>0</v>
      </c>
      <c r="BE473" s="4284">
        <f t="shared" si="252"/>
        <v>0</v>
      </c>
      <c r="BF473" s="4284">
        <f t="shared" si="253"/>
        <v>0</v>
      </c>
      <c r="BG473" s="4284">
        <f t="shared" si="254"/>
        <v>0</v>
      </c>
      <c r="BH473" s="4284">
        <f t="shared" si="255"/>
        <v>0</v>
      </c>
      <c r="BI473" s="4284">
        <f t="shared" si="256"/>
        <v>0</v>
      </c>
      <c r="BJ473" s="4284">
        <f t="shared" si="257"/>
        <v>0</v>
      </c>
      <c r="BK473" s="4284">
        <f t="shared" si="258"/>
        <v>0</v>
      </c>
      <c r="BL473" s="4284">
        <f t="shared" si="259"/>
        <v>0</v>
      </c>
      <c r="BM473" s="4284">
        <f t="shared" si="260"/>
        <v>0</v>
      </c>
      <c r="BN473" s="4284">
        <f t="shared" si="261"/>
        <v>0</v>
      </c>
      <c r="BO473" s="4284">
        <f t="shared" si="262"/>
        <v>0</v>
      </c>
      <c r="BP473" s="4284">
        <f t="shared" si="263"/>
        <v>0</v>
      </c>
      <c r="BQ473" s="4284">
        <f t="shared" si="264"/>
        <v>0</v>
      </c>
      <c r="BR473" s="4284">
        <f t="shared" si="265"/>
        <v>0</v>
      </c>
      <c r="BS473" s="4284">
        <f t="shared" si="266"/>
        <v>0</v>
      </c>
      <c r="BT473" s="4285">
        <f t="shared" si="267"/>
        <v>0</v>
      </c>
    </row>
    <row r="474" spans="1:72">
      <c r="A474" s="4278"/>
      <c r="B474" s="4279"/>
      <c r="C474" s="4279"/>
      <c r="D474" s="4280"/>
      <c r="E474" s="1188">
        <f t="shared" si="239"/>
        <v>0</v>
      </c>
      <c r="F474" s="1680"/>
      <c r="G474" s="4281">
        <f t="shared" si="240"/>
        <v>0</v>
      </c>
      <c r="H474" s="3457">
        <f t="shared" si="241"/>
        <v>0</v>
      </c>
      <c r="I474" s="4282"/>
      <c r="J474" s="4282"/>
      <c r="K474" s="4282"/>
      <c r="L474" s="4282"/>
      <c r="M474" s="4282"/>
      <c r="N474" s="4282"/>
      <c r="O474" s="4282"/>
      <c r="P474" s="4282"/>
      <c r="Q474" s="4282"/>
      <c r="R474" s="4282"/>
      <c r="S474" s="4282"/>
      <c r="T474" s="4282"/>
      <c r="U474" s="4282"/>
      <c r="V474" s="4282"/>
      <c r="W474" s="4282"/>
      <c r="X474" s="4282"/>
      <c r="Y474" s="4282"/>
      <c r="Z474" s="4282"/>
      <c r="AA474" s="4282"/>
      <c r="AB474" s="4282"/>
      <c r="AC474" s="1188">
        <f t="shared" si="242"/>
        <v>0</v>
      </c>
      <c r="AD474" s="4278"/>
      <c r="AE474" s="4278"/>
      <c r="AF474" s="4278"/>
      <c r="AG474" s="4278"/>
      <c r="AH474" s="4278"/>
      <c r="AI474" s="4278"/>
      <c r="AJ474" s="4278"/>
      <c r="AK474" s="4278"/>
      <c r="AL474" s="4278"/>
      <c r="AM474" s="4278"/>
      <c r="AN474" s="4278"/>
      <c r="AO474" s="4278"/>
      <c r="AP474" s="4278"/>
      <c r="AQ474" s="4278"/>
      <c r="AR474" s="4278"/>
      <c r="AS474" s="4278"/>
      <c r="AT474" s="4279"/>
      <c r="AU474" s="4283"/>
      <c r="AV474" s="1188">
        <f t="shared" si="243"/>
        <v>0</v>
      </c>
      <c r="AW474" s="1188">
        <f t="shared" si="244"/>
        <v>0</v>
      </c>
      <c r="AX474" s="1188">
        <f t="shared" si="245"/>
        <v>0</v>
      </c>
      <c r="AY474" s="1452">
        <f t="shared" si="246"/>
        <v>0</v>
      </c>
      <c r="AZ474" s="4284">
        <f t="shared" si="247"/>
        <v>0</v>
      </c>
      <c r="BA474" s="4284">
        <f t="shared" si="248"/>
        <v>0</v>
      </c>
      <c r="BB474" s="4284">
        <f t="shared" si="249"/>
        <v>0</v>
      </c>
      <c r="BC474" s="4284">
        <f t="shared" si="250"/>
        <v>0</v>
      </c>
      <c r="BD474" s="4284">
        <f t="shared" si="251"/>
        <v>0</v>
      </c>
      <c r="BE474" s="4284">
        <f t="shared" si="252"/>
        <v>0</v>
      </c>
      <c r="BF474" s="4284">
        <f t="shared" si="253"/>
        <v>0</v>
      </c>
      <c r="BG474" s="4284">
        <f t="shared" si="254"/>
        <v>0</v>
      </c>
      <c r="BH474" s="4284">
        <f t="shared" si="255"/>
        <v>0</v>
      </c>
      <c r="BI474" s="4284">
        <f t="shared" si="256"/>
        <v>0</v>
      </c>
      <c r="BJ474" s="4284">
        <f t="shared" si="257"/>
        <v>0</v>
      </c>
      <c r="BK474" s="4284">
        <f t="shared" si="258"/>
        <v>0</v>
      </c>
      <c r="BL474" s="4284">
        <f t="shared" si="259"/>
        <v>0</v>
      </c>
      <c r="BM474" s="4284">
        <f t="shared" si="260"/>
        <v>0</v>
      </c>
      <c r="BN474" s="4284">
        <f t="shared" si="261"/>
        <v>0</v>
      </c>
      <c r="BO474" s="4284">
        <f t="shared" si="262"/>
        <v>0</v>
      </c>
      <c r="BP474" s="4284">
        <f t="shared" si="263"/>
        <v>0</v>
      </c>
      <c r="BQ474" s="4284">
        <f t="shared" si="264"/>
        <v>0</v>
      </c>
      <c r="BR474" s="4284">
        <f t="shared" si="265"/>
        <v>0</v>
      </c>
      <c r="BS474" s="4284">
        <f t="shared" si="266"/>
        <v>0</v>
      </c>
      <c r="BT474" s="4285">
        <f t="shared" si="267"/>
        <v>0</v>
      </c>
    </row>
    <row r="475" spans="1:72">
      <c r="A475" s="4278"/>
      <c r="B475" s="4279"/>
      <c r="C475" s="4279"/>
      <c r="D475" s="4280"/>
      <c r="E475" s="1188">
        <f t="shared" si="239"/>
        <v>0</v>
      </c>
      <c r="F475" s="1680"/>
      <c r="G475" s="4281">
        <f t="shared" si="240"/>
        <v>0</v>
      </c>
      <c r="H475" s="3457">
        <f t="shared" si="241"/>
        <v>0</v>
      </c>
      <c r="I475" s="4282"/>
      <c r="J475" s="4282"/>
      <c r="K475" s="4282"/>
      <c r="L475" s="4282"/>
      <c r="M475" s="4282"/>
      <c r="N475" s="4282"/>
      <c r="O475" s="4282"/>
      <c r="P475" s="4282"/>
      <c r="Q475" s="4282"/>
      <c r="R475" s="4282"/>
      <c r="S475" s="4282"/>
      <c r="T475" s="4282"/>
      <c r="U475" s="4282"/>
      <c r="V475" s="4282"/>
      <c r="W475" s="4282"/>
      <c r="X475" s="4282"/>
      <c r="Y475" s="4282"/>
      <c r="Z475" s="4282"/>
      <c r="AA475" s="4282"/>
      <c r="AB475" s="4282"/>
      <c r="AC475" s="1188">
        <f t="shared" si="242"/>
        <v>0</v>
      </c>
      <c r="AD475" s="4278"/>
      <c r="AE475" s="4278"/>
      <c r="AF475" s="4278"/>
      <c r="AG475" s="4278"/>
      <c r="AH475" s="4278"/>
      <c r="AI475" s="4278"/>
      <c r="AJ475" s="4278"/>
      <c r="AK475" s="4278"/>
      <c r="AL475" s="4278"/>
      <c r="AM475" s="4278"/>
      <c r="AN475" s="4278"/>
      <c r="AO475" s="4278"/>
      <c r="AP475" s="4278"/>
      <c r="AQ475" s="4278"/>
      <c r="AR475" s="4278"/>
      <c r="AS475" s="4278"/>
      <c r="AT475" s="4279"/>
      <c r="AU475" s="4283"/>
      <c r="AV475" s="1188">
        <f t="shared" si="243"/>
        <v>0</v>
      </c>
      <c r="AW475" s="1188">
        <f t="shared" si="244"/>
        <v>0</v>
      </c>
      <c r="AX475" s="1188">
        <f t="shared" si="245"/>
        <v>0</v>
      </c>
      <c r="AY475" s="1452">
        <f t="shared" si="246"/>
        <v>0</v>
      </c>
      <c r="AZ475" s="4284">
        <f t="shared" si="247"/>
        <v>0</v>
      </c>
      <c r="BA475" s="4284">
        <f t="shared" si="248"/>
        <v>0</v>
      </c>
      <c r="BB475" s="4284">
        <f t="shared" si="249"/>
        <v>0</v>
      </c>
      <c r="BC475" s="4284">
        <f t="shared" si="250"/>
        <v>0</v>
      </c>
      <c r="BD475" s="4284">
        <f t="shared" si="251"/>
        <v>0</v>
      </c>
      <c r="BE475" s="4284">
        <f t="shared" si="252"/>
        <v>0</v>
      </c>
      <c r="BF475" s="4284">
        <f t="shared" si="253"/>
        <v>0</v>
      </c>
      <c r="BG475" s="4284">
        <f t="shared" si="254"/>
        <v>0</v>
      </c>
      <c r="BH475" s="4284">
        <f t="shared" si="255"/>
        <v>0</v>
      </c>
      <c r="BI475" s="4284">
        <f t="shared" si="256"/>
        <v>0</v>
      </c>
      <c r="BJ475" s="4284">
        <f t="shared" si="257"/>
        <v>0</v>
      </c>
      <c r="BK475" s="4284">
        <f t="shared" si="258"/>
        <v>0</v>
      </c>
      <c r="BL475" s="4284">
        <f t="shared" si="259"/>
        <v>0</v>
      </c>
      <c r="BM475" s="4284">
        <f t="shared" si="260"/>
        <v>0</v>
      </c>
      <c r="BN475" s="4284">
        <f t="shared" si="261"/>
        <v>0</v>
      </c>
      <c r="BO475" s="4284">
        <f t="shared" si="262"/>
        <v>0</v>
      </c>
      <c r="BP475" s="4284">
        <f t="shared" si="263"/>
        <v>0</v>
      </c>
      <c r="BQ475" s="4284">
        <f t="shared" si="264"/>
        <v>0</v>
      </c>
      <c r="BR475" s="4284">
        <f t="shared" si="265"/>
        <v>0</v>
      </c>
      <c r="BS475" s="4284">
        <f t="shared" si="266"/>
        <v>0</v>
      </c>
      <c r="BT475" s="4285">
        <f t="shared" si="267"/>
        <v>0</v>
      </c>
    </row>
    <row r="476" spans="1:72">
      <c r="A476" s="4278"/>
      <c r="B476" s="4279"/>
      <c r="C476" s="4279"/>
      <c r="D476" s="4280"/>
      <c r="E476" s="1188">
        <f t="shared" si="239"/>
        <v>0</v>
      </c>
      <c r="F476" s="1680"/>
      <c r="G476" s="4281">
        <f t="shared" si="240"/>
        <v>0</v>
      </c>
      <c r="H476" s="3457">
        <f t="shared" si="241"/>
        <v>0</v>
      </c>
      <c r="I476" s="4282"/>
      <c r="J476" s="4282"/>
      <c r="K476" s="4282"/>
      <c r="L476" s="4282"/>
      <c r="M476" s="4282"/>
      <c r="N476" s="4282"/>
      <c r="O476" s="4282"/>
      <c r="P476" s="4282"/>
      <c r="Q476" s="4282"/>
      <c r="R476" s="4282"/>
      <c r="S476" s="4282"/>
      <c r="T476" s="4282"/>
      <c r="U476" s="4282"/>
      <c r="V476" s="4282"/>
      <c r="W476" s="4282"/>
      <c r="X476" s="4282"/>
      <c r="Y476" s="4282"/>
      <c r="Z476" s="4282"/>
      <c r="AA476" s="4282"/>
      <c r="AB476" s="4282"/>
      <c r="AC476" s="1188">
        <f t="shared" si="242"/>
        <v>0</v>
      </c>
      <c r="AD476" s="4278"/>
      <c r="AE476" s="4278"/>
      <c r="AF476" s="4278"/>
      <c r="AG476" s="4278"/>
      <c r="AH476" s="4278"/>
      <c r="AI476" s="4278"/>
      <c r="AJ476" s="4278"/>
      <c r="AK476" s="4278"/>
      <c r="AL476" s="4278"/>
      <c r="AM476" s="4278"/>
      <c r="AN476" s="4278"/>
      <c r="AO476" s="4278"/>
      <c r="AP476" s="4278"/>
      <c r="AQ476" s="4278"/>
      <c r="AR476" s="4278"/>
      <c r="AS476" s="4278"/>
      <c r="AT476" s="4279"/>
      <c r="AU476" s="4283"/>
      <c r="AV476" s="1188">
        <f t="shared" si="243"/>
        <v>0</v>
      </c>
      <c r="AW476" s="1188">
        <f t="shared" si="244"/>
        <v>0</v>
      </c>
      <c r="AX476" s="1188">
        <f t="shared" si="245"/>
        <v>0</v>
      </c>
      <c r="AY476" s="1452">
        <f t="shared" si="246"/>
        <v>0</v>
      </c>
      <c r="AZ476" s="4284">
        <f t="shared" si="247"/>
        <v>0</v>
      </c>
      <c r="BA476" s="4284">
        <f t="shared" si="248"/>
        <v>0</v>
      </c>
      <c r="BB476" s="4284">
        <f t="shared" si="249"/>
        <v>0</v>
      </c>
      <c r="BC476" s="4284">
        <f t="shared" si="250"/>
        <v>0</v>
      </c>
      <c r="BD476" s="4284">
        <f t="shared" si="251"/>
        <v>0</v>
      </c>
      <c r="BE476" s="4284">
        <f t="shared" si="252"/>
        <v>0</v>
      </c>
      <c r="BF476" s="4284">
        <f t="shared" si="253"/>
        <v>0</v>
      </c>
      <c r="BG476" s="4284">
        <f t="shared" si="254"/>
        <v>0</v>
      </c>
      <c r="BH476" s="4284">
        <f t="shared" si="255"/>
        <v>0</v>
      </c>
      <c r="BI476" s="4284">
        <f t="shared" si="256"/>
        <v>0</v>
      </c>
      <c r="BJ476" s="4284">
        <f t="shared" si="257"/>
        <v>0</v>
      </c>
      <c r="BK476" s="4284">
        <f t="shared" si="258"/>
        <v>0</v>
      </c>
      <c r="BL476" s="4284">
        <f t="shared" si="259"/>
        <v>0</v>
      </c>
      <c r="BM476" s="4284">
        <f t="shared" si="260"/>
        <v>0</v>
      </c>
      <c r="BN476" s="4284">
        <f t="shared" si="261"/>
        <v>0</v>
      </c>
      <c r="BO476" s="4284">
        <f t="shared" si="262"/>
        <v>0</v>
      </c>
      <c r="BP476" s="4284">
        <f t="shared" si="263"/>
        <v>0</v>
      </c>
      <c r="BQ476" s="4284">
        <f t="shared" si="264"/>
        <v>0</v>
      </c>
      <c r="BR476" s="4284">
        <f t="shared" si="265"/>
        <v>0</v>
      </c>
      <c r="BS476" s="4284">
        <f t="shared" si="266"/>
        <v>0</v>
      </c>
      <c r="BT476" s="4285">
        <f t="shared" si="267"/>
        <v>0</v>
      </c>
    </row>
    <row r="477" spans="1:72">
      <c r="A477" s="4278"/>
      <c r="B477" s="4279"/>
      <c r="C477" s="4279"/>
      <c r="D477" s="4280"/>
      <c r="E477" s="1188">
        <f t="shared" si="239"/>
        <v>0</v>
      </c>
      <c r="F477" s="1680"/>
      <c r="G477" s="4281">
        <f t="shared" si="240"/>
        <v>0</v>
      </c>
      <c r="H477" s="3457">
        <f t="shared" si="241"/>
        <v>0</v>
      </c>
      <c r="I477" s="4282"/>
      <c r="J477" s="4282"/>
      <c r="K477" s="4282"/>
      <c r="L477" s="4282"/>
      <c r="M477" s="4282"/>
      <c r="N477" s="4282"/>
      <c r="O477" s="4282"/>
      <c r="P477" s="4282"/>
      <c r="Q477" s="4282"/>
      <c r="R477" s="4282"/>
      <c r="S477" s="4282"/>
      <c r="T477" s="4282"/>
      <c r="U477" s="4282"/>
      <c r="V477" s="4282"/>
      <c r="W477" s="4282"/>
      <c r="X477" s="4282"/>
      <c r="Y477" s="4282"/>
      <c r="Z477" s="4282"/>
      <c r="AA477" s="4282"/>
      <c r="AB477" s="4282"/>
      <c r="AC477" s="1188">
        <f t="shared" si="242"/>
        <v>0</v>
      </c>
      <c r="AD477" s="4278"/>
      <c r="AE477" s="4278"/>
      <c r="AF477" s="4278"/>
      <c r="AG477" s="4278"/>
      <c r="AH477" s="4278"/>
      <c r="AI477" s="4278"/>
      <c r="AJ477" s="4278"/>
      <c r="AK477" s="4278"/>
      <c r="AL477" s="4278"/>
      <c r="AM477" s="4278"/>
      <c r="AN477" s="4278"/>
      <c r="AO477" s="4278"/>
      <c r="AP477" s="4278"/>
      <c r="AQ477" s="4278"/>
      <c r="AR477" s="4278"/>
      <c r="AS477" s="4278"/>
      <c r="AT477" s="4279"/>
      <c r="AU477" s="4283"/>
      <c r="AV477" s="1188">
        <f t="shared" si="243"/>
        <v>0</v>
      </c>
      <c r="AW477" s="1188">
        <f t="shared" si="244"/>
        <v>0</v>
      </c>
      <c r="AX477" s="1188">
        <f t="shared" si="245"/>
        <v>0</v>
      </c>
      <c r="AY477" s="1452">
        <f t="shared" si="246"/>
        <v>0</v>
      </c>
      <c r="AZ477" s="4284">
        <f t="shared" si="247"/>
        <v>0</v>
      </c>
      <c r="BA477" s="4284">
        <f t="shared" si="248"/>
        <v>0</v>
      </c>
      <c r="BB477" s="4284">
        <f t="shared" si="249"/>
        <v>0</v>
      </c>
      <c r="BC477" s="4284">
        <f t="shared" si="250"/>
        <v>0</v>
      </c>
      <c r="BD477" s="4284">
        <f t="shared" si="251"/>
        <v>0</v>
      </c>
      <c r="BE477" s="4284">
        <f t="shared" si="252"/>
        <v>0</v>
      </c>
      <c r="BF477" s="4284">
        <f t="shared" si="253"/>
        <v>0</v>
      </c>
      <c r="BG477" s="4284">
        <f t="shared" si="254"/>
        <v>0</v>
      </c>
      <c r="BH477" s="4284">
        <f t="shared" si="255"/>
        <v>0</v>
      </c>
      <c r="BI477" s="4284">
        <f t="shared" si="256"/>
        <v>0</v>
      </c>
      <c r="BJ477" s="4284">
        <f t="shared" si="257"/>
        <v>0</v>
      </c>
      <c r="BK477" s="4284">
        <f t="shared" si="258"/>
        <v>0</v>
      </c>
      <c r="BL477" s="4284">
        <f t="shared" si="259"/>
        <v>0</v>
      </c>
      <c r="BM477" s="4284">
        <f t="shared" si="260"/>
        <v>0</v>
      </c>
      <c r="BN477" s="4284">
        <f t="shared" si="261"/>
        <v>0</v>
      </c>
      <c r="BO477" s="4284">
        <f t="shared" si="262"/>
        <v>0</v>
      </c>
      <c r="BP477" s="4284">
        <f t="shared" si="263"/>
        <v>0</v>
      </c>
      <c r="BQ477" s="4284">
        <f t="shared" si="264"/>
        <v>0</v>
      </c>
      <c r="BR477" s="4284">
        <f t="shared" si="265"/>
        <v>0</v>
      </c>
      <c r="BS477" s="4284">
        <f t="shared" si="266"/>
        <v>0</v>
      </c>
      <c r="BT477" s="4285">
        <f t="shared" si="267"/>
        <v>0</v>
      </c>
    </row>
    <row r="478" spans="1:72">
      <c r="A478" s="4278"/>
      <c r="B478" s="4279"/>
      <c r="C478" s="4279"/>
      <c r="D478" s="4280"/>
      <c r="E478" s="1188">
        <f t="shared" si="239"/>
        <v>0</v>
      </c>
      <c r="F478" s="1680"/>
      <c r="G478" s="4281">
        <f t="shared" si="240"/>
        <v>0</v>
      </c>
      <c r="H478" s="3457">
        <f t="shared" si="241"/>
        <v>0</v>
      </c>
      <c r="I478" s="4282"/>
      <c r="J478" s="4282"/>
      <c r="K478" s="4282"/>
      <c r="L478" s="4282"/>
      <c r="M478" s="4282"/>
      <c r="N478" s="4282"/>
      <c r="O478" s="4282"/>
      <c r="P478" s="4282"/>
      <c r="Q478" s="4282"/>
      <c r="R478" s="4282"/>
      <c r="S478" s="4282"/>
      <c r="T478" s="4282"/>
      <c r="U478" s="4282"/>
      <c r="V478" s="4282"/>
      <c r="W478" s="4282"/>
      <c r="X478" s="4282"/>
      <c r="Y478" s="4282"/>
      <c r="Z478" s="4282"/>
      <c r="AA478" s="4282"/>
      <c r="AB478" s="4282"/>
      <c r="AC478" s="1188">
        <f t="shared" si="242"/>
        <v>0</v>
      </c>
      <c r="AD478" s="4278"/>
      <c r="AE478" s="4278"/>
      <c r="AF478" s="4278"/>
      <c r="AG478" s="4278"/>
      <c r="AH478" s="4278"/>
      <c r="AI478" s="4278"/>
      <c r="AJ478" s="4278"/>
      <c r="AK478" s="4278"/>
      <c r="AL478" s="4278"/>
      <c r="AM478" s="4278"/>
      <c r="AN478" s="4278"/>
      <c r="AO478" s="4278"/>
      <c r="AP478" s="4278"/>
      <c r="AQ478" s="4278"/>
      <c r="AR478" s="4278"/>
      <c r="AS478" s="4278"/>
      <c r="AT478" s="4279"/>
      <c r="AU478" s="4283"/>
      <c r="AV478" s="1188">
        <f t="shared" si="243"/>
        <v>0</v>
      </c>
      <c r="AW478" s="1188">
        <f t="shared" si="244"/>
        <v>0</v>
      </c>
      <c r="AX478" s="1188">
        <f t="shared" si="245"/>
        <v>0</v>
      </c>
      <c r="AY478" s="1452">
        <f t="shared" si="246"/>
        <v>0</v>
      </c>
      <c r="AZ478" s="4284">
        <f t="shared" si="247"/>
        <v>0</v>
      </c>
      <c r="BA478" s="4284">
        <f t="shared" si="248"/>
        <v>0</v>
      </c>
      <c r="BB478" s="4284">
        <f t="shared" si="249"/>
        <v>0</v>
      </c>
      <c r="BC478" s="4284">
        <f t="shared" si="250"/>
        <v>0</v>
      </c>
      <c r="BD478" s="4284">
        <f t="shared" si="251"/>
        <v>0</v>
      </c>
      <c r="BE478" s="4284">
        <f t="shared" si="252"/>
        <v>0</v>
      </c>
      <c r="BF478" s="4284">
        <f t="shared" si="253"/>
        <v>0</v>
      </c>
      <c r="BG478" s="4284">
        <f t="shared" si="254"/>
        <v>0</v>
      </c>
      <c r="BH478" s="4284">
        <f t="shared" si="255"/>
        <v>0</v>
      </c>
      <c r="BI478" s="4284">
        <f t="shared" si="256"/>
        <v>0</v>
      </c>
      <c r="BJ478" s="4284">
        <f t="shared" si="257"/>
        <v>0</v>
      </c>
      <c r="BK478" s="4284">
        <f t="shared" si="258"/>
        <v>0</v>
      </c>
      <c r="BL478" s="4284">
        <f t="shared" si="259"/>
        <v>0</v>
      </c>
      <c r="BM478" s="4284">
        <f t="shared" si="260"/>
        <v>0</v>
      </c>
      <c r="BN478" s="4284">
        <f t="shared" si="261"/>
        <v>0</v>
      </c>
      <c r="BO478" s="4284">
        <f t="shared" si="262"/>
        <v>0</v>
      </c>
      <c r="BP478" s="4284">
        <f t="shared" si="263"/>
        <v>0</v>
      </c>
      <c r="BQ478" s="4284">
        <f t="shared" si="264"/>
        <v>0</v>
      </c>
      <c r="BR478" s="4284">
        <f t="shared" si="265"/>
        <v>0</v>
      </c>
      <c r="BS478" s="4284">
        <f t="shared" si="266"/>
        <v>0</v>
      </c>
      <c r="BT478" s="4285">
        <f t="shared" si="267"/>
        <v>0</v>
      </c>
    </row>
    <row r="479" spans="1:72">
      <c r="A479" s="4278"/>
      <c r="B479" s="4279"/>
      <c r="C479" s="4279"/>
      <c r="D479" s="4280"/>
      <c r="E479" s="1188">
        <f t="shared" si="239"/>
        <v>0</v>
      </c>
      <c r="F479" s="1680"/>
      <c r="G479" s="4281">
        <f t="shared" si="240"/>
        <v>0</v>
      </c>
      <c r="H479" s="3457">
        <f t="shared" si="241"/>
        <v>0</v>
      </c>
      <c r="I479" s="4282"/>
      <c r="J479" s="4282"/>
      <c r="K479" s="4282"/>
      <c r="L479" s="4282"/>
      <c r="M479" s="4282"/>
      <c r="N479" s="4282"/>
      <c r="O479" s="4282"/>
      <c r="P479" s="4282"/>
      <c r="Q479" s="4282"/>
      <c r="R479" s="4282"/>
      <c r="S479" s="4282"/>
      <c r="T479" s="4282"/>
      <c r="U479" s="4282"/>
      <c r="V479" s="4282"/>
      <c r="W479" s="4282"/>
      <c r="X479" s="4282"/>
      <c r="Y479" s="4282"/>
      <c r="Z479" s="4282"/>
      <c r="AA479" s="4282"/>
      <c r="AB479" s="4282"/>
      <c r="AC479" s="1188">
        <f t="shared" si="242"/>
        <v>0</v>
      </c>
      <c r="AD479" s="4278"/>
      <c r="AE479" s="4278"/>
      <c r="AF479" s="4278"/>
      <c r="AG479" s="4278"/>
      <c r="AH479" s="4278"/>
      <c r="AI479" s="4278"/>
      <c r="AJ479" s="4278"/>
      <c r="AK479" s="4278"/>
      <c r="AL479" s="4278"/>
      <c r="AM479" s="4278"/>
      <c r="AN479" s="4278"/>
      <c r="AO479" s="4278"/>
      <c r="AP479" s="4278"/>
      <c r="AQ479" s="4278"/>
      <c r="AR479" s="4278"/>
      <c r="AS479" s="4278"/>
      <c r="AT479" s="4279"/>
      <c r="AU479" s="4283"/>
      <c r="AV479" s="1188">
        <f t="shared" si="243"/>
        <v>0</v>
      </c>
      <c r="AW479" s="1188">
        <f t="shared" si="244"/>
        <v>0</v>
      </c>
      <c r="AX479" s="1188">
        <f t="shared" si="245"/>
        <v>0</v>
      </c>
      <c r="AY479" s="1452">
        <f t="shared" si="246"/>
        <v>0</v>
      </c>
      <c r="AZ479" s="4284">
        <f t="shared" si="247"/>
        <v>0</v>
      </c>
      <c r="BA479" s="4284">
        <f t="shared" si="248"/>
        <v>0</v>
      </c>
      <c r="BB479" s="4284">
        <f t="shared" si="249"/>
        <v>0</v>
      </c>
      <c r="BC479" s="4284">
        <f t="shared" si="250"/>
        <v>0</v>
      </c>
      <c r="BD479" s="4284">
        <f t="shared" si="251"/>
        <v>0</v>
      </c>
      <c r="BE479" s="4284">
        <f t="shared" si="252"/>
        <v>0</v>
      </c>
      <c r="BF479" s="4284">
        <f t="shared" si="253"/>
        <v>0</v>
      </c>
      <c r="BG479" s="4284">
        <f t="shared" si="254"/>
        <v>0</v>
      </c>
      <c r="BH479" s="4284">
        <f t="shared" si="255"/>
        <v>0</v>
      </c>
      <c r="BI479" s="4284">
        <f t="shared" si="256"/>
        <v>0</v>
      </c>
      <c r="BJ479" s="4284">
        <f t="shared" si="257"/>
        <v>0</v>
      </c>
      <c r="BK479" s="4284">
        <f t="shared" si="258"/>
        <v>0</v>
      </c>
      <c r="BL479" s="4284">
        <f t="shared" si="259"/>
        <v>0</v>
      </c>
      <c r="BM479" s="4284">
        <f t="shared" si="260"/>
        <v>0</v>
      </c>
      <c r="BN479" s="4284">
        <f t="shared" si="261"/>
        <v>0</v>
      </c>
      <c r="BO479" s="4284">
        <f t="shared" si="262"/>
        <v>0</v>
      </c>
      <c r="BP479" s="4284">
        <f t="shared" si="263"/>
        <v>0</v>
      </c>
      <c r="BQ479" s="4284">
        <f t="shared" si="264"/>
        <v>0</v>
      </c>
      <c r="BR479" s="4284">
        <f t="shared" si="265"/>
        <v>0</v>
      </c>
      <c r="BS479" s="4284">
        <f t="shared" si="266"/>
        <v>0</v>
      </c>
      <c r="BT479" s="4285">
        <f t="shared" si="267"/>
        <v>0</v>
      </c>
    </row>
    <row r="480" spans="1:72">
      <c r="A480" s="4278"/>
      <c r="B480" s="4279"/>
      <c r="C480" s="4279"/>
      <c r="D480" s="4280"/>
      <c r="E480" s="1188">
        <f t="shared" si="239"/>
        <v>0</v>
      </c>
      <c r="F480" s="1680"/>
      <c r="G480" s="4281">
        <f t="shared" si="240"/>
        <v>0</v>
      </c>
      <c r="H480" s="3457">
        <f t="shared" si="241"/>
        <v>0</v>
      </c>
      <c r="I480" s="4282"/>
      <c r="J480" s="4282"/>
      <c r="K480" s="4282"/>
      <c r="L480" s="4282"/>
      <c r="M480" s="4282"/>
      <c r="N480" s="4282"/>
      <c r="O480" s="4282"/>
      <c r="P480" s="4282"/>
      <c r="Q480" s="4282"/>
      <c r="R480" s="4282"/>
      <c r="S480" s="4282"/>
      <c r="T480" s="4282"/>
      <c r="U480" s="4282"/>
      <c r="V480" s="4282"/>
      <c r="W480" s="4282"/>
      <c r="X480" s="4282"/>
      <c r="Y480" s="4282"/>
      <c r="Z480" s="4282"/>
      <c r="AA480" s="4282"/>
      <c r="AB480" s="4282"/>
      <c r="AC480" s="1188">
        <f t="shared" si="242"/>
        <v>0</v>
      </c>
      <c r="AD480" s="4278"/>
      <c r="AE480" s="4278"/>
      <c r="AF480" s="4278"/>
      <c r="AG480" s="4278"/>
      <c r="AH480" s="4278"/>
      <c r="AI480" s="4278"/>
      <c r="AJ480" s="4278"/>
      <c r="AK480" s="4278"/>
      <c r="AL480" s="4278"/>
      <c r="AM480" s="4278"/>
      <c r="AN480" s="4278"/>
      <c r="AO480" s="4278"/>
      <c r="AP480" s="4278"/>
      <c r="AQ480" s="4278"/>
      <c r="AR480" s="4278"/>
      <c r="AS480" s="4278"/>
      <c r="AT480" s="4279"/>
      <c r="AU480" s="4283"/>
      <c r="AV480" s="1188">
        <f t="shared" si="243"/>
        <v>0</v>
      </c>
      <c r="AW480" s="1188">
        <f t="shared" si="244"/>
        <v>0</v>
      </c>
      <c r="AX480" s="1188">
        <f t="shared" si="245"/>
        <v>0</v>
      </c>
      <c r="AY480" s="1452">
        <f t="shared" si="246"/>
        <v>0</v>
      </c>
      <c r="AZ480" s="4284">
        <f t="shared" si="247"/>
        <v>0</v>
      </c>
      <c r="BA480" s="4284">
        <f t="shared" si="248"/>
        <v>0</v>
      </c>
      <c r="BB480" s="4284">
        <f t="shared" si="249"/>
        <v>0</v>
      </c>
      <c r="BC480" s="4284">
        <f t="shared" si="250"/>
        <v>0</v>
      </c>
      <c r="BD480" s="4284">
        <f t="shared" si="251"/>
        <v>0</v>
      </c>
      <c r="BE480" s="4284">
        <f t="shared" si="252"/>
        <v>0</v>
      </c>
      <c r="BF480" s="4284">
        <f t="shared" si="253"/>
        <v>0</v>
      </c>
      <c r="BG480" s="4284">
        <f t="shared" si="254"/>
        <v>0</v>
      </c>
      <c r="BH480" s="4284">
        <f t="shared" si="255"/>
        <v>0</v>
      </c>
      <c r="BI480" s="4284">
        <f t="shared" si="256"/>
        <v>0</v>
      </c>
      <c r="BJ480" s="4284">
        <f t="shared" si="257"/>
        <v>0</v>
      </c>
      <c r="BK480" s="4284">
        <f t="shared" si="258"/>
        <v>0</v>
      </c>
      <c r="BL480" s="4284">
        <f t="shared" si="259"/>
        <v>0</v>
      </c>
      <c r="BM480" s="4284">
        <f t="shared" si="260"/>
        <v>0</v>
      </c>
      <c r="BN480" s="4284">
        <f t="shared" si="261"/>
        <v>0</v>
      </c>
      <c r="BO480" s="4284">
        <f t="shared" si="262"/>
        <v>0</v>
      </c>
      <c r="BP480" s="4284">
        <f t="shared" si="263"/>
        <v>0</v>
      </c>
      <c r="BQ480" s="4284">
        <f t="shared" si="264"/>
        <v>0</v>
      </c>
      <c r="BR480" s="4284">
        <f t="shared" si="265"/>
        <v>0</v>
      </c>
      <c r="BS480" s="4284">
        <f t="shared" si="266"/>
        <v>0</v>
      </c>
      <c r="BT480" s="4285">
        <f t="shared" si="267"/>
        <v>0</v>
      </c>
    </row>
    <row r="481" spans="1:72">
      <c r="A481" s="4278"/>
      <c r="B481" s="4279"/>
      <c r="C481" s="4279"/>
      <c r="D481" s="4280"/>
      <c r="E481" s="1188">
        <f t="shared" si="239"/>
        <v>0</v>
      </c>
      <c r="F481" s="1680"/>
      <c r="G481" s="4281">
        <f t="shared" si="240"/>
        <v>0</v>
      </c>
      <c r="H481" s="3457">
        <f t="shared" si="241"/>
        <v>0</v>
      </c>
      <c r="I481" s="4282"/>
      <c r="J481" s="4282"/>
      <c r="K481" s="4282"/>
      <c r="L481" s="4282"/>
      <c r="M481" s="4282"/>
      <c r="N481" s="4282"/>
      <c r="O481" s="4282"/>
      <c r="P481" s="4282"/>
      <c r="Q481" s="4282"/>
      <c r="R481" s="4282"/>
      <c r="S481" s="4282"/>
      <c r="T481" s="4282"/>
      <c r="U481" s="4282"/>
      <c r="V481" s="4282"/>
      <c r="W481" s="4282"/>
      <c r="X481" s="4282"/>
      <c r="Y481" s="4282"/>
      <c r="Z481" s="4282"/>
      <c r="AA481" s="4282"/>
      <c r="AB481" s="4282"/>
      <c r="AC481" s="1188">
        <f t="shared" si="242"/>
        <v>0</v>
      </c>
      <c r="AD481" s="4278"/>
      <c r="AE481" s="4278"/>
      <c r="AF481" s="4278"/>
      <c r="AG481" s="4278"/>
      <c r="AH481" s="4278"/>
      <c r="AI481" s="4278"/>
      <c r="AJ481" s="4278"/>
      <c r="AK481" s="4278"/>
      <c r="AL481" s="4278"/>
      <c r="AM481" s="4278"/>
      <c r="AN481" s="4278"/>
      <c r="AO481" s="4278"/>
      <c r="AP481" s="4278"/>
      <c r="AQ481" s="4278"/>
      <c r="AR481" s="4278"/>
      <c r="AS481" s="4278"/>
      <c r="AT481" s="4279"/>
      <c r="AU481" s="4283"/>
      <c r="AV481" s="1188">
        <f t="shared" si="243"/>
        <v>0</v>
      </c>
      <c r="AW481" s="1188">
        <f t="shared" si="244"/>
        <v>0</v>
      </c>
      <c r="AX481" s="1188">
        <f t="shared" si="245"/>
        <v>0</v>
      </c>
      <c r="AY481" s="1452">
        <f t="shared" si="246"/>
        <v>0</v>
      </c>
      <c r="AZ481" s="4284">
        <f t="shared" si="247"/>
        <v>0</v>
      </c>
      <c r="BA481" s="4284">
        <f t="shared" si="248"/>
        <v>0</v>
      </c>
      <c r="BB481" s="4284">
        <f t="shared" si="249"/>
        <v>0</v>
      </c>
      <c r="BC481" s="4284">
        <f t="shared" si="250"/>
        <v>0</v>
      </c>
      <c r="BD481" s="4284">
        <f t="shared" si="251"/>
        <v>0</v>
      </c>
      <c r="BE481" s="4284">
        <f t="shared" si="252"/>
        <v>0</v>
      </c>
      <c r="BF481" s="4284">
        <f t="shared" si="253"/>
        <v>0</v>
      </c>
      <c r="BG481" s="4284">
        <f t="shared" si="254"/>
        <v>0</v>
      </c>
      <c r="BH481" s="4284">
        <f t="shared" si="255"/>
        <v>0</v>
      </c>
      <c r="BI481" s="4284">
        <f t="shared" si="256"/>
        <v>0</v>
      </c>
      <c r="BJ481" s="4284">
        <f t="shared" si="257"/>
        <v>0</v>
      </c>
      <c r="BK481" s="4284">
        <f t="shared" si="258"/>
        <v>0</v>
      </c>
      <c r="BL481" s="4284">
        <f t="shared" si="259"/>
        <v>0</v>
      </c>
      <c r="BM481" s="4284">
        <f t="shared" si="260"/>
        <v>0</v>
      </c>
      <c r="BN481" s="4284">
        <f t="shared" si="261"/>
        <v>0</v>
      </c>
      <c r="BO481" s="4284">
        <f t="shared" si="262"/>
        <v>0</v>
      </c>
      <c r="BP481" s="4284">
        <f t="shared" si="263"/>
        <v>0</v>
      </c>
      <c r="BQ481" s="4284">
        <f t="shared" si="264"/>
        <v>0</v>
      </c>
      <c r="BR481" s="4284">
        <f t="shared" si="265"/>
        <v>0</v>
      </c>
      <c r="BS481" s="4284">
        <f t="shared" si="266"/>
        <v>0</v>
      </c>
      <c r="BT481" s="4285">
        <f t="shared" si="267"/>
        <v>0</v>
      </c>
    </row>
    <row r="482" spans="1:72">
      <c r="A482" s="4278"/>
      <c r="B482" s="4279"/>
      <c r="C482" s="4279"/>
      <c r="D482" s="4280"/>
      <c r="E482" s="1188">
        <f t="shared" si="239"/>
        <v>0</v>
      </c>
      <c r="F482" s="1680"/>
      <c r="G482" s="4281">
        <f t="shared" si="240"/>
        <v>0</v>
      </c>
      <c r="H482" s="3457">
        <f t="shared" si="241"/>
        <v>0</v>
      </c>
      <c r="I482" s="4282"/>
      <c r="J482" s="4282"/>
      <c r="K482" s="4282"/>
      <c r="L482" s="4282"/>
      <c r="M482" s="4282"/>
      <c r="N482" s="4282"/>
      <c r="O482" s="4282"/>
      <c r="P482" s="4282"/>
      <c r="Q482" s="4282"/>
      <c r="R482" s="4282"/>
      <c r="S482" s="4282"/>
      <c r="T482" s="4282"/>
      <c r="U482" s="4282"/>
      <c r="V482" s="4282"/>
      <c r="W482" s="4282"/>
      <c r="X482" s="4282"/>
      <c r="Y482" s="4282"/>
      <c r="Z482" s="4282"/>
      <c r="AA482" s="4282"/>
      <c r="AB482" s="4282"/>
      <c r="AC482" s="1188">
        <f t="shared" si="242"/>
        <v>0</v>
      </c>
      <c r="AD482" s="4278"/>
      <c r="AE482" s="4278"/>
      <c r="AF482" s="4278"/>
      <c r="AG482" s="4278"/>
      <c r="AH482" s="4278"/>
      <c r="AI482" s="4278"/>
      <c r="AJ482" s="4278"/>
      <c r="AK482" s="4278"/>
      <c r="AL482" s="4278"/>
      <c r="AM482" s="4278"/>
      <c r="AN482" s="4278"/>
      <c r="AO482" s="4278"/>
      <c r="AP482" s="4278"/>
      <c r="AQ482" s="4278"/>
      <c r="AR482" s="4278"/>
      <c r="AS482" s="4278"/>
      <c r="AT482" s="4279"/>
      <c r="AU482" s="4283"/>
      <c r="AV482" s="1188">
        <f t="shared" si="243"/>
        <v>0</v>
      </c>
      <c r="AW482" s="1188">
        <f t="shared" si="244"/>
        <v>0</v>
      </c>
      <c r="AX482" s="1188">
        <f t="shared" si="245"/>
        <v>0</v>
      </c>
      <c r="AY482" s="1452">
        <f t="shared" si="246"/>
        <v>0</v>
      </c>
      <c r="AZ482" s="4284">
        <f t="shared" si="247"/>
        <v>0</v>
      </c>
      <c r="BA482" s="4284">
        <f t="shared" si="248"/>
        <v>0</v>
      </c>
      <c r="BB482" s="4284">
        <f t="shared" si="249"/>
        <v>0</v>
      </c>
      <c r="BC482" s="4284">
        <f t="shared" si="250"/>
        <v>0</v>
      </c>
      <c r="BD482" s="4284">
        <f t="shared" si="251"/>
        <v>0</v>
      </c>
      <c r="BE482" s="4284">
        <f t="shared" si="252"/>
        <v>0</v>
      </c>
      <c r="BF482" s="4284">
        <f t="shared" si="253"/>
        <v>0</v>
      </c>
      <c r="BG482" s="4284">
        <f t="shared" si="254"/>
        <v>0</v>
      </c>
      <c r="BH482" s="4284">
        <f t="shared" si="255"/>
        <v>0</v>
      </c>
      <c r="BI482" s="4284">
        <f t="shared" si="256"/>
        <v>0</v>
      </c>
      <c r="BJ482" s="4284">
        <f t="shared" si="257"/>
        <v>0</v>
      </c>
      <c r="BK482" s="4284">
        <f t="shared" si="258"/>
        <v>0</v>
      </c>
      <c r="BL482" s="4284">
        <f t="shared" si="259"/>
        <v>0</v>
      </c>
      <c r="BM482" s="4284">
        <f t="shared" si="260"/>
        <v>0</v>
      </c>
      <c r="BN482" s="4284">
        <f t="shared" si="261"/>
        <v>0</v>
      </c>
      <c r="BO482" s="4284">
        <f t="shared" si="262"/>
        <v>0</v>
      </c>
      <c r="BP482" s="4284">
        <f t="shared" si="263"/>
        <v>0</v>
      </c>
      <c r="BQ482" s="4284">
        <f t="shared" si="264"/>
        <v>0</v>
      </c>
      <c r="BR482" s="4284">
        <f t="shared" si="265"/>
        <v>0</v>
      </c>
      <c r="BS482" s="4284">
        <f t="shared" si="266"/>
        <v>0</v>
      </c>
      <c r="BT482" s="4285">
        <f t="shared" si="267"/>
        <v>0</v>
      </c>
    </row>
    <row r="483" spans="1:72">
      <c r="A483" s="4278"/>
      <c r="B483" s="4279"/>
      <c r="C483" s="4279"/>
      <c r="D483" s="4280"/>
      <c r="E483" s="1188">
        <f t="shared" si="239"/>
        <v>0</v>
      </c>
      <c r="F483" s="1680"/>
      <c r="G483" s="4281">
        <f t="shared" si="240"/>
        <v>0</v>
      </c>
      <c r="H483" s="3457">
        <f t="shared" si="241"/>
        <v>0</v>
      </c>
      <c r="I483" s="4282"/>
      <c r="J483" s="4282"/>
      <c r="K483" s="4282"/>
      <c r="L483" s="4282"/>
      <c r="M483" s="4282"/>
      <c r="N483" s="4282"/>
      <c r="O483" s="4282"/>
      <c r="P483" s="4282"/>
      <c r="Q483" s="4282"/>
      <c r="R483" s="4282"/>
      <c r="S483" s="4282"/>
      <c r="T483" s="4282"/>
      <c r="U483" s="4282"/>
      <c r="V483" s="4282"/>
      <c r="W483" s="4282"/>
      <c r="X483" s="4282"/>
      <c r="Y483" s="4282"/>
      <c r="Z483" s="4282"/>
      <c r="AA483" s="4282"/>
      <c r="AB483" s="4282"/>
      <c r="AC483" s="1188">
        <f t="shared" si="242"/>
        <v>0</v>
      </c>
      <c r="AD483" s="4278"/>
      <c r="AE483" s="4278"/>
      <c r="AF483" s="4278"/>
      <c r="AG483" s="4278"/>
      <c r="AH483" s="4278"/>
      <c r="AI483" s="4278"/>
      <c r="AJ483" s="4278"/>
      <c r="AK483" s="4278"/>
      <c r="AL483" s="4278"/>
      <c r="AM483" s="4278"/>
      <c r="AN483" s="4278"/>
      <c r="AO483" s="4278"/>
      <c r="AP483" s="4278"/>
      <c r="AQ483" s="4278"/>
      <c r="AR483" s="4278"/>
      <c r="AS483" s="4278"/>
      <c r="AT483" s="4279"/>
      <c r="AU483" s="4283"/>
      <c r="AV483" s="1188">
        <f t="shared" si="243"/>
        <v>0</v>
      </c>
      <c r="AW483" s="1188">
        <f t="shared" si="244"/>
        <v>0</v>
      </c>
      <c r="AX483" s="1188">
        <f t="shared" si="245"/>
        <v>0</v>
      </c>
      <c r="AY483" s="1452">
        <f t="shared" si="246"/>
        <v>0</v>
      </c>
      <c r="AZ483" s="4284">
        <f t="shared" si="247"/>
        <v>0</v>
      </c>
      <c r="BA483" s="4284">
        <f t="shared" si="248"/>
        <v>0</v>
      </c>
      <c r="BB483" s="4284">
        <f t="shared" si="249"/>
        <v>0</v>
      </c>
      <c r="BC483" s="4284">
        <f t="shared" si="250"/>
        <v>0</v>
      </c>
      <c r="BD483" s="4284">
        <f t="shared" si="251"/>
        <v>0</v>
      </c>
      <c r="BE483" s="4284">
        <f t="shared" si="252"/>
        <v>0</v>
      </c>
      <c r="BF483" s="4284">
        <f t="shared" si="253"/>
        <v>0</v>
      </c>
      <c r="BG483" s="4284">
        <f t="shared" si="254"/>
        <v>0</v>
      </c>
      <c r="BH483" s="4284">
        <f t="shared" si="255"/>
        <v>0</v>
      </c>
      <c r="BI483" s="4284">
        <f t="shared" si="256"/>
        <v>0</v>
      </c>
      <c r="BJ483" s="4284">
        <f t="shared" si="257"/>
        <v>0</v>
      </c>
      <c r="BK483" s="4284">
        <f t="shared" si="258"/>
        <v>0</v>
      </c>
      <c r="BL483" s="4284">
        <f t="shared" si="259"/>
        <v>0</v>
      </c>
      <c r="BM483" s="4284">
        <f t="shared" si="260"/>
        <v>0</v>
      </c>
      <c r="BN483" s="4284">
        <f t="shared" si="261"/>
        <v>0</v>
      </c>
      <c r="BO483" s="4284">
        <f t="shared" si="262"/>
        <v>0</v>
      </c>
      <c r="BP483" s="4284">
        <f t="shared" si="263"/>
        <v>0</v>
      </c>
      <c r="BQ483" s="4284">
        <f t="shared" si="264"/>
        <v>0</v>
      </c>
      <c r="BR483" s="4284">
        <f t="shared" si="265"/>
        <v>0</v>
      </c>
      <c r="BS483" s="4284">
        <f t="shared" si="266"/>
        <v>0</v>
      </c>
      <c r="BT483" s="4285">
        <f t="shared" si="267"/>
        <v>0</v>
      </c>
    </row>
    <row r="484" spans="1:72">
      <c r="A484" s="4278"/>
      <c r="B484" s="4279"/>
      <c r="C484" s="4279"/>
      <c r="D484" s="4280"/>
      <c r="E484" s="1188">
        <f t="shared" si="239"/>
        <v>0</v>
      </c>
      <c r="F484" s="1680"/>
      <c r="G484" s="4281">
        <f t="shared" si="240"/>
        <v>0</v>
      </c>
      <c r="H484" s="3457">
        <f t="shared" si="241"/>
        <v>0</v>
      </c>
      <c r="I484" s="4282"/>
      <c r="J484" s="4282"/>
      <c r="K484" s="4282"/>
      <c r="L484" s="4282"/>
      <c r="M484" s="4282"/>
      <c r="N484" s="4282"/>
      <c r="O484" s="4282"/>
      <c r="P484" s="4282"/>
      <c r="Q484" s="4282"/>
      <c r="R484" s="4282"/>
      <c r="S484" s="4282"/>
      <c r="T484" s="4282"/>
      <c r="U484" s="4282"/>
      <c r="V484" s="4282"/>
      <c r="W484" s="4282"/>
      <c r="X484" s="4282"/>
      <c r="Y484" s="4282"/>
      <c r="Z484" s="4282"/>
      <c r="AA484" s="4282"/>
      <c r="AB484" s="4282"/>
      <c r="AC484" s="1188">
        <f t="shared" si="242"/>
        <v>0</v>
      </c>
      <c r="AD484" s="4278"/>
      <c r="AE484" s="4278"/>
      <c r="AF484" s="4278"/>
      <c r="AG484" s="4278"/>
      <c r="AH484" s="4278"/>
      <c r="AI484" s="4278"/>
      <c r="AJ484" s="4278"/>
      <c r="AK484" s="4278"/>
      <c r="AL484" s="4278"/>
      <c r="AM484" s="4278"/>
      <c r="AN484" s="4278"/>
      <c r="AO484" s="4278"/>
      <c r="AP484" s="4278"/>
      <c r="AQ484" s="4278"/>
      <c r="AR484" s="4278"/>
      <c r="AS484" s="4278"/>
      <c r="AT484" s="4279"/>
      <c r="AU484" s="4283"/>
      <c r="AV484" s="1188">
        <f t="shared" si="243"/>
        <v>0</v>
      </c>
      <c r="AW484" s="1188">
        <f t="shared" si="244"/>
        <v>0</v>
      </c>
      <c r="AX484" s="1188">
        <f t="shared" si="245"/>
        <v>0</v>
      </c>
      <c r="AY484" s="1452">
        <f t="shared" si="246"/>
        <v>0</v>
      </c>
      <c r="AZ484" s="4284">
        <f t="shared" si="247"/>
        <v>0</v>
      </c>
      <c r="BA484" s="4284">
        <f t="shared" si="248"/>
        <v>0</v>
      </c>
      <c r="BB484" s="4284">
        <f t="shared" si="249"/>
        <v>0</v>
      </c>
      <c r="BC484" s="4284">
        <f t="shared" si="250"/>
        <v>0</v>
      </c>
      <c r="BD484" s="4284">
        <f t="shared" si="251"/>
        <v>0</v>
      </c>
      <c r="BE484" s="4284">
        <f t="shared" si="252"/>
        <v>0</v>
      </c>
      <c r="BF484" s="4284">
        <f t="shared" si="253"/>
        <v>0</v>
      </c>
      <c r="BG484" s="4284">
        <f t="shared" si="254"/>
        <v>0</v>
      </c>
      <c r="BH484" s="4284">
        <f t="shared" si="255"/>
        <v>0</v>
      </c>
      <c r="BI484" s="4284">
        <f t="shared" si="256"/>
        <v>0</v>
      </c>
      <c r="BJ484" s="4284">
        <f t="shared" si="257"/>
        <v>0</v>
      </c>
      <c r="BK484" s="4284">
        <f t="shared" si="258"/>
        <v>0</v>
      </c>
      <c r="BL484" s="4284">
        <f t="shared" si="259"/>
        <v>0</v>
      </c>
      <c r="BM484" s="4284">
        <f t="shared" si="260"/>
        <v>0</v>
      </c>
      <c r="BN484" s="4284">
        <f t="shared" si="261"/>
        <v>0</v>
      </c>
      <c r="BO484" s="4284">
        <f t="shared" si="262"/>
        <v>0</v>
      </c>
      <c r="BP484" s="4284">
        <f t="shared" si="263"/>
        <v>0</v>
      </c>
      <c r="BQ484" s="4284">
        <f t="shared" si="264"/>
        <v>0</v>
      </c>
      <c r="BR484" s="4284">
        <f t="shared" si="265"/>
        <v>0</v>
      </c>
      <c r="BS484" s="4284">
        <f t="shared" si="266"/>
        <v>0</v>
      </c>
      <c r="BT484" s="4285">
        <f t="shared" si="267"/>
        <v>0</v>
      </c>
    </row>
    <row r="485" spans="1:72">
      <c r="A485" s="4278"/>
      <c r="B485" s="4279"/>
      <c r="C485" s="4279"/>
      <c r="D485" s="4280"/>
      <c r="E485" s="1188">
        <f t="shared" si="239"/>
        <v>0</v>
      </c>
      <c r="F485" s="1680"/>
      <c r="G485" s="4281">
        <f t="shared" si="240"/>
        <v>0</v>
      </c>
      <c r="H485" s="3457">
        <f t="shared" si="241"/>
        <v>0</v>
      </c>
      <c r="I485" s="4282"/>
      <c r="J485" s="4282"/>
      <c r="K485" s="4282"/>
      <c r="L485" s="4282"/>
      <c r="M485" s="4282"/>
      <c r="N485" s="4282"/>
      <c r="O485" s="4282"/>
      <c r="P485" s="4282"/>
      <c r="Q485" s="4282"/>
      <c r="R485" s="4282"/>
      <c r="S485" s="4282"/>
      <c r="T485" s="4282"/>
      <c r="U485" s="4282"/>
      <c r="V485" s="4282"/>
      <c r="W485" s="4282"/>
      <c r="X485" s="4282"/>
      <c r="Y485" s="4282"/>
      <c r="Z485" s="4282"/>
      <c r="AA485" s="4282"/>
      <c r="AB485" s="4282"/>
      <c r="AC485" s="1188">
        <f t="shared" si="242"/>
        <v>0</v>
      </c>
      <c r="AD485" s="4278"/>
      <c r="AE485" s="4278"/>
      <c r="AF485" s="4278"/>
      <c r="AG485" s="4278"/>
      <c r="AH485" s="4278"/>
      <c r="AI485" s="4278"/>
      <c r="AJ485" s="4278"/>
      <c r="AK485" s="4278"/>
      <c r="AL485" s="4278"/>
      <c r="AM485" s="4278"/>
      <c r="AN485" s="4278"/>
      <c r="AO485" s="4278"/>
      <c r="AP485" s="4278"/>
      <c r="AQ485" s="4278"/>
      <c r="AR485" s="4278"/>
      <c r="AS485" s="4278"/>
      <c r="AT485" s="4279"/>
      <c r="AU485" s="4283"/>
      <c r="AV485" s="1188">
        <f t="shared" si="243"/>
        <v>0</v>
      </c>
      <c r="AW485" s="1188">
        <f t="shared" si="244"/>
        <v>0</v>
      </c>
      <c r="AX485" s="1188">
        <f t="shared" si="245"/>
        <v>0</v>
      </c>
      <c r="AY485" s="1452">
        <f t="shared" si="246"/>
        <v>0</v>
      </c>
      <c r="AZ485" s="4284">
        <f t="shared" si="247"/>
        <v>0</v>
      </c>
      <c r="BA485" s="4284">
        <f t="shared" si="248"/>
        <v>0</v>
      </c>
      <c r="BB485" s="4284">
        <f t="shared" si="249"/>
        <v>0</v>
      </c>
      <c r="BC485" s="4284">
        <f t="shared" si="250"/>
        <v>0</v>
      </c>
      <c r="BD485" s="4284">
        <f t="shared" si="251"/>
        <v>0</v>
      </c>
      <c r="BE485" s="4284">
        <f t="shared" si="252"/>
        <v>0</v>
      </c>
      <c r="BF485" s="4284">
        <f t="shared" si="253"/>
        <v>0</v>
      </c>
      <c r="BG485" s="4284">
        <f t="shared" si="254"/>
        <v>0</v>
      </c>
      <c r="BH485" s="4284">
        <f t="shared" si="255"/>
        <v>0</v>
      </c>
      <c r="BI485" s="4284">
        <f t="shared" si="256"/>
        <v>0</v>
      </c>
      <c r="BJ485" s="4284">
        <f t="shared" si="257"/>
        <v>0</v>
      </c>
      <c r="BK485" s="4284">
        <f t="shared" si="258"/>
        <v>0</v>
      </c>
      <c r="BL485" s="4284">
        <f t="shared" si="259"/>
        <v>0</v>
      </c>
      <c r="BM485" s="4284">
        <f t="shared" si="260"/>
        <v>0</v>
      </c>
      <c r="BN485" s="4284">
        <f t="shared" si="261"/>
        <v>0</v>
      </c>
      <c r="BO485" s="4284">
        <f t="shared" si="262"/>
        <v>0</v>
      </c>
      <c r="BP485" s="4284">
        <f t="shared" si="263"/>
        <v>0</v>
      </c>
      <c r="BQ485" s="4284">
        <f t="shared" si="264"/>
        <v>0</v>
      </c>
      <c r="BR485" s="4284">
        <f t="shared" si="265"/>
        <v>0</v>
      </c>
      <c r="BS485" s="4284">
        <f t="shared" si="266"/>
        <v>0</v>
      </c>
      <c r="BT485" s="4285">
        <f t="shared" si="267"/>
        <v>0</v>
      </c>
    </row>
    <row r="486" spans="1:72">
      <c r="A486" s="4278"/>
      <c r="B486" s="4279"/>
      <c r="C486" s="4279"/>
      <c r="D486" s="4280"/>
      <c r="E486" s="1188">
        <f t="shared" si="239"/>
        <v>0</v>
      </c>
      <c r="F486" s="1680"/>
      <c r="G486" s="4281">
        <f t="shared" si="240"/>
        <v>0</v>
      </c>
      <c r="H486" s="3457">
        <f t="shared" si="241"/>
        <v>0</v>
      </c>
      <c r="I486" s="4282"/>
      <c r="J486" s="4282"/>
      <c r="K486" s="4282"/>
      <c r="L486" s="4282"/>
      <c r="M486" s="4282"/>
      <c r="N486" s="4282"/>
      <c r="O486" s="4282"/>
      <c r="P486" s="4282"/>
      <c r="Q486" s="4282"/>
      <c r="R486" s="4282"/>
      <c r="S486" s="4282"/>
      <c r="T486" s="4282"/>
      <c r="U486" s="4282"/>
      <c r="V486" s="4282"/>
      <c r="W486" s="4282"/>
      <c r="X486" s="4282"/>
      <c r="Y486" s="4282"/>
      <c r="Z486" s="4282"/>
      <c r="AA486" s="4282"/>
      <c r="AB486" s="4282"/>
      <c r="AC486" s="1188">
        <f t="shared" si="242"/>
        <v>0</v>
      </c>
      <c r="AD486" s="4278"/>
      <c r="AE486" s="4278"/>
      <c r="AF486" s="4278"/>
      <c r="AG486" s="4278"/>
      <c r="AH486" s="4278"/>
      <c r="AI486" s="4278"/>
      <c r="AJ486" s="4278"/>
      <c r="AK486" s="4278"/>
      <c r="AL486" s="4278"/>
      <c r="AM486" s="4278"/>
      <c r="AN486" s="4278"/>
      <c r="AO486" s="4278"/>
      <c r="AP486" s="4278"/>
      <c r="AQ486" s="4278"/>
      <c r="AR486" s="4278"/>
      <c r="AS486" s="4278"/>
      <c r="AT486" s="4279"/>
      <c r="AU486" s="4283"/>
      <c r="AV486" s="1188">
        <f t="shared" si="243"/>
        <v>0</v>
      </c>
      <c r="AW486" s="1188">
        <f t="shared" si="244"/>
        <v>0</v>
      </c>
      <c r="AX486" s="1188">
        <f t="shared" si="245"/>
        <v>0</v>
      </c>
      <c r="AY486" s="1452">
        <f t="shared" si="246"/>
        <v>0</v>
      </c>
      <c r="AZ486" s="4284">
        <f t="shared" si="247"/>
        <v>0</v>
      </c>
      <c r="BA486" s="4284">
        <f t="shared" si="248"/>
        <v>0</v>
      </c>
      <c r="BB486" s="4284">
        <f t="shared" si="249"/>
        <v>0</v>
      </c>
      <c r="BC486" s="4284">
        <f t="shared" si="250"/>
        <v>0</v>
      </c>
      <c r="BD486" s="4284">
        <f t="shared" si="251"/>
        <v>0</v>
      </c>
      <c r="BE486" s="4284">
        <f t="shared" si="252"/>
        <v>0</v>
      </c>
      <c r="BF486" s="4284">
        <f t="shared" si="253"/>
        <v>0</v>
      </c>
      <c r="BG486" s="4284">
        <f t="shared" si="254"/>
        <v>0</v>
      </c>
      <c r="BH486" s="4284">
        <f t="shared" si="255"/>
        <v>0</v>
      </c>
      <c r="BI486" s="4284">
        <f t="shared" si="256"/>
        <v>0</v>
      </c>
      <c r="BJ486" s="4284">
        <f t="shared" si="257"/>
        <v>0</v>
      </c>
      <c r="BK486" s="4284">
        <f t="shared" si="258"/>
        <v>0</v>
      </c>
      <c r="BL486" s="4284">
        <f t="shared" si="259"/>
        <v>0</v>
      </c>
      <c r="BM486" s="4284">
        <f t="shared" si="260"/>
        <v>0</v>
      </c>
      <c r="BN486" s="4284">
        <f t="shared" si="261"/>
        <v>0</v>
      </c>
      <c r="BO486" s="4284">
        <f t="shared" si="262"/>
        <v>0</v>
      </c>
      <c r="BP486" s="4284">
        <f t="shared" si="263"/>
        <v>0</v>
      </c>
      <c r="BQ486" s="4284">
        <f t="shared" si="264"/>
        <v>0</v>
      </c>
      <c r="BR486" s="4284">
        <f t="shared" si="265"/>
        <v>0</v>
      </c>
      <c r="BS486" s="4284">
        <f t="shared" si="266"/>
        <v>0</v>
      </c>
      <c r="BT486" s="4285">
        <f t="shared" si="267"/>
        <v>0</v>
      </c>
    </row>
    <row r="487" spans="1:72">
      <c r="A487" s="4278"/>
      <c r="B487" s="4279"/>
      <c r="C487" s="4279"/>
      <c r="D487" s="4280"/>
      <c r="E487" s="1188">
        <f t="shared" si="239"/>
        <v>0</v>
      </c>
      <c r="F487" s="1680"/>
      <c r="G487" s="4281">
        <f t="shared" si="240"/>
        <v>0</v>
      </c>
      <c r="H487" s="3457">
        <f t="shared" si="241"/>
        <v>0</v>
      </c>
      <c r="I487" s="4282"/>
      <c r="J487" s="4282"/>
      <c r="K487" s="4282"/>
      <c r="L487" s="4282"/>
      <c r="M487" s="4282"/>
      <c r="N487" s="4282"/>
      <c r="O487" s="4282"/>
      <c r="P487" s="4282"/>
      <c r="Q487" s="4282"/>
      <c r="R487" s="4282"/>
      <c r="S487" s="4282"/>
      <c r="T487" s="4282"/>
      <c r="U487" s="4282"/>
      <c r="V487" s="4282"/>
      <c r="W487" s="4282"/>
      <c r="X487" s="4282"/>
      <c r="Y487" s="4282"/>
      <c r="Z487" s="4282"/>
      <c r="AA487" s="4282"/>
      <c r="AB487" s="4282"/>
      <c r="AC487" s="1188">
        <f t="shared" si="242"/>
        <v>0</v>
      </c>
      <c r="AD487" s="4278"/>
      <c r="AE487" s="4278"/>
      <c r="AF487" s="4278"/>
      <c r="AG487" s="4278"/>
      <c r="AH487" s="4278"/>
      <c r="AI487" s="4278"/>
      <c r="AJ487" s="4278"/>
      <c r="AK487" s="4278"/>
      <c r="AL487" s="4278"/>
      <c r="AM487" s="4278"/>
      <c r="AN487" s="4278"/>
      <c r="AO487" s="4278"/>
      <c r="AP487" s="4278"/>
      <c r="AQ487" s="4278"/>
      <c r="AR487" s="4278"/>
      <c r="AS487" s="4278"/>
      <c r="AT487" s="4279"/>
      <c r="AU487" s="4283"/>
      <c r="AV487" s="1188">
        <f t="shared" si="243"/>
        <v>0</v>
      </c>
      <c r="AW487" s="1188">
        <f t="shared" si="244"/>
        <v>0</v>
      </c>
      <c r="AX487" s="1188">
        <f t="shared" si="245"/>
        <v>0</v>
      </c>
      <c r="AY487" s="1452">
        <f t="shared" si="246"/>
        <v>0</v>
      </c>
      <c r="AZ487" s="4284">
        <f t="shared" si="247"/>
        <v>0</v>
      </c>
      <c r="BA487" s="4284">
        <f t="shared" si="248"/>
        <v>0</v>
      </c>
      <c r="BB487" s="4284">
        <f t="shared" si="249"/>
        <v>0</v>
      </c>
      <c r="BC487" s="4284">
        <f t="shared" si="250"/>
        <v>0</v>
      </c>
      <c r="BD487" s="4284">
        <f t="shared" si="251"/>
        <v>0</v>
      </c>
      <c r="BE487" s="4284">
        <f t="shared" si="252"/>
        <v>0</v>
      </c>
      <c r="BF487" s="4284">
        <f t="shared" si="253"/>
        <v>0</v>
      </c>
      <c r="BG487" s="4284">
        <f t="shared" si="254"/>
        <v>0</v>
      </c>
      <c r="BH487" s="4284">
        <f t="shared" si="255"/>
        <v>0</v>
      </c>
      <c r="BI487" s="4284">
        <f t="shared" si="256"/>
        <v>0</v>
      </c>
      <c r="BJ487" s="4284">
        <f t="shared" si="257"/>
        <v>0</v>
      </c>
      <c r="BK487" s="4284">
        <f t="shared" si="258"/>
        <v>0</v>
      </c>
      <c r="BL487" s="4284">
        <f t="shared" si="259"/>
        <v>0</v>
      </c>
      <c r="BM487" s="4284">
        <f t="shared" si="260"/>
        <v>0</v>
      </c>
      <c r="BN487" s="4284">
        <f t="shared" si="261"/>
        <v>0</v>
      </c>
      <c r="BO487" s="4284">
        <f t="shared" si="262"/>
        <v>0</v>
      </c>
      <c r="BP487" s="4284">
        <f t="shared" si="263"/>
        <v>0</v>
      </c>
      <c r="BQ487" s="4284">
        <f t="shared" si="264"/>
        <v>0</v>
      </c>
      <c r="BR487" s="4284">
        <f t="shared" si="265"/>
        <v>0</v>
      </c>
      <c r="BS487" s="4284">
        <f t="shared" si="266"/>
        <v>0</v>
      </c>
      <c r="BT487" s="4285">
        <f t="shared" si="267"/>
        <v>0</v>
      </c>
    </row>
    <row r="488" spans="1:72">
      <c r="A488" s="4278"/>
      <c r="B488" s="4279"/>
      <c r="C488" s="4279"/>
      <c r="D488" s="4280"/>
      <c r="E488" s="1188">
        <f t="shared" si="239"/>
        <v>0</v>
      </c>
      <c r="F488" s="1680"/>
      <c r="G488" s="4281">
        <f t="shared" si="240"/>
        <v>0</v>
      </c>
      <c r="H488" s="3457">
        <f t="shared" si="241"/>
        <v>0</v>
      </c>
      <c r="I488" s="4282"/>
      <c r="J488" s="4282"/>
      <c r="K488" s="4282"/>
      <c r="L488" s="4282"/>
      <c r="M488" s="4282"/>
      <c r="N488" s="4282"/>
      <c r="O488" s="4282"/>
      <c r="P488" s="4282"/>
      <c r="Q488" s="4282"/>
      <c r="R488" s="4282"/>
      <c r="S488" s="4282"/>
      <c r="T488" s="4282"/>
      <c r="U488" s="4282"/>
      <c r="V488" s="4282"/>
      <c r="W488" s="4282"/>
      <c r="X488" s="4282"/>
      <c r="Y488" s="4282"/>
      <c r="Z488" s="4282"/>
      <c r="AA488" s="4282"/>
      <c r="AB488" s="4282"/>
      <c r="AC488" s="1188">
        <f t="shared" si="242"/>
        <v>0</v>
      </c>
      <c r="AD488" s="4278"/>
      <c r="AE488" s="4278"/>
      <c r="AF488" s="4278"/>
      <c r="AG488" s="4278"/>
      <c r="AH488" s="4278"/>
      <c r="AI488" s="4278"/>
      <c r="AJ488" s="4278"/>
      <c r="AK488" s="4278"/>
      <c r="AL488" s="4278"/>
      <c r="AM488" s="4278"/>
      <c r="AN488" s="4278"/>
      <c r="AO488" s="4278"/>
      <c r="AP488" s="4278"/>
      <c r="AQ488" s="4278"/>
      <c r="AR488" s="4278"/>
      <c r="AS488" s="4278"/>
      <c r="AT488" s="4279"/>
      <c r="AU488" s="4283"/>
      <c r="AV488" s="1188">
        <f t="shared" si="243"/>
        <v>0</v>
      </c>
      <c r="AW488" s="1188">
        <f t="shared" si="244"/>
        <v>0</v>
      </c>
      <c r="AX488" s="1188">
        <f t="shared" si="245"/>
        <v>0</v>
      </c>
      <c r="AY488" s="1452">
        <f t="shared" si="246"/>
        <v>0</v>
      </c>
      <c r="AZ488" s="4284">
        <f t="shared" si="247"/>
        <v>0</v>
      </c>
      <c r="BA488" s="4284">
        <f t="shared" si="248"/>
        <v>0</v>
      </c>
      <c r="BB488" s="4284">
        <f t="shared" si="249"/>
        <v>0</v>
      </c>
      <c r="BC488" s="4284">
        <f t="shared" si="250"/>
        <v>0</v>
      </c>
      <c r="BD488" s="4284">
        <f t="shared" si="251"/>
        <v>0</v>
      </c>
      <c r="BE488" s="4284">
        <f t="shared" si="252"/>
        <v>0</v>
      </c>
      <c r="BF488" s="4284">
        <f t="shared" si="253"/>
        <v>0</v>
      </c>
      <c r="BG488" s="4284">
        <f t="shared" si="254"/>
        <v>0</v>
      </c>
      <c r="BH488" s="4284">
        <f t="shared" si="255"/>
        <v>0</v>
      </c>
      <c r="BI488" s="4284">
        <f t="shared" si="256"/>
        <v>0</v>
      </c>
      <c r="BJ488" s="4284">
        <f t="shared" si="257"/>
        <v>0</v>
      </c>
      <c r="BK488" s="4284">
        <f t="shared" si="258"/>
        <v>0</v>
      </c>
      <c r="BL488" s="4284">
        <f t="shared" si="259"/>
        <v>0</v>
      </c>
      <c r="BM488" s="4284">
        <f t="shared" si="260"/>
        <v>0</v>
      </c>
      <c r="BN488" s="4284">
        <f t="shared" si="261"/>
        <v>0</v>
      </c>
      <c r="BO488" s="4284">
        <f t="shared" si="262"/>
        <v>0</v>
      </c>
      <c r="BP488" s="4284">
        <f t="shared" si="263"/>
        <v>0</v>
      </c>
      <c r="BQ488" s="4284">
        <f t="shared" si="264"/>
        <v>0</v>
      </c>
      <c r="BR488" s="4284">
        <f t="shared" si="265"/>
        <v>0</v>
      </c>
      <c r="BS488" s="4284">
        <f t="shared" si="266"/>
        <v>0</v>
      </c>
      <c r="BT488" s="4285">
        <f t="shared" si="267"/>
        <v>0</v>
      </c>
    </row>
    <row r="489" spans="1:72">
      <c r="A489" s="4278"/>
      <c r="B489" s="4279"/>
      <c r="C489" s="4279"/>
      <c r="D489" s="4280"/>
      <c r="E489" s="1188">
        <f t="shared" si="239"/>
        <v>0</v>
      </c>
      <c r="F489" s="1680"/>
      <c r="G489" s="4281">
        <f t="shared" si="240"/>
        <v>0</v>
      </c>
      <c r="H489" s="3457">
        <f t="shared" si="241"/>
        <v>0</v>
      </c>
      <c r="I489" s="4282"/>
      <c r="J489" s="4282"/>
      <c r="K489" s="4282"/>
      <c r="L489" s="4282"/>
      <c r="M489" s="4282"/>
      <c r="N489" s="4282"/>
      <c r="O489" s="4282"/>
      <c r="P489" s="4282"/>
      <c r="Q489" s="4282"/>
      <c r="R489" s="4282"/>
      <c r="S489" s="4282"/>
      <c r="T489" s="4282"/>
      <c r="U489" s="4282"/>
      <c r="V489" s="4282"/>
      <c r="W489" s="4282"/>
      <c r="X489" s="4282"/>
      <c r="Y489" s="4282"/>
      <c r="Z489" s="4282"/>
      <c r="AA489" s="4282"/>
      <c r="AB489" s="4282"/>
      <c r="AC489" s="1188">
        <f t="shared" si="242"/>
        <v>0</v>
      </c>
      <c r="AD489" s="4278"/>
      <c r="AE489" s="4278"/>
      <c r="AF489" s="4278"/>
      <c r="AG489" s="4278"/>
      <c r="AH489" s="4278"/>
      <c r="AI489" s="4278"/>
      <c r="AJ489" s="4278"/>
      <c r="AK489" s="4278"/>
      <c r="AL489" s="4278"/>
      <c r="AM489" s="4278"/>
      <c r="AN489" s="4278"/>
      <c r="AO489" s="4278"/>
      <c r="AP489" s="4278"/>
      <c r="AQ489" s="4278"/>
      <c r="AR489" s="4278"/>
      <c r="AS489" s="4278"/>
      <c r="AT489" s="4279"/>
      <c r="AU489" s="4283"/>
      <c r="AV489" s="1188">
        <f t="shared" si="243"/>
        <v>0</v>
      </c>
      <c r="AW489" s="1188">
        <f t="shared" si="244"/>
        <v>0</v>
      </c>
      <c r="AX489" s="1188">
        <f t="shared" si="245"/>
        <v>0</v>
      </c>
      <c r="AY489" s="1452">
        <f t="shared" si="246"/>
        <v>0</v>
      </c>
      <c r="AZ489" s="4284">
        <f t="shared" si="247"/>
        <v>0</v>
      </c>
      <c r="BA489" s="4284">
        <f t="shared" si="248"/>
        <v>0</v>
      </c>
      <c r="BB489" s="4284">
        <f t="shared" si="249"/>
        <v>0</v>
      </c>
      <c r="BC489" s="4284">
        <f t="shared" si="250"/>
        <v>0</v>
      </c>
      <c r="BD489" s="4284">
        <f t="shared" si="251"/>
        <v>0</v>
      </c>
      <c r="BE489" s="4284">
        <f t="shared" si="252"/>
        <v>0</v>
      </c>
      <c r="BF489" s="4284">
        <f t="shared" si="253"/>
        <v>0</v>
      </c>
      <c r="BG489" s="4284">
        <f t="shared" si="254"/>
        <v>0</v>
      </c>
      <c r="BH489" s="4284">
        <f t="shared" si="255"/>
        <v>0</v>
      </c>
      <c r="BI489" s="4284">
        <f t="shared" si="256"/>
        <v>0</v>
      </c>
      <c r="BJ489" s="4284">
        <f t="shared" si="257"/>
        <v>0</v>
      </c>
      <c r="BK489" s="4284">
        <f t="shared" si="258"/>
        <v>0</v>
      </c>
      <c r="BL489" s="4284">
        <f t="shared" si="259"/>
        <v>0</v>
      </c>
      <c r="BM489" s="4284">
        <f t="shared" si="260"/>
        <v>0</v>
      </c>
      <c r="BN489" s="4284">
        <f t="shared" si="261"/>
        <v>0</v>
      </c>
      <c r="BO489" s="4284">
        <f t="shared" si="262"/>
        <v>0</v>
      </c>
      <c r="BP489" s="4284">
        <f t="shared" si="263"/>
        <v>0</v>
      </c>
      <c r="BQ489" s="4284">
        <f t="shared" si="264"/>
        <v>0</v>
      </c>
      <c r="BR489" s="4284">
        <f t="shared" si="265"/>
        <v>0</v>
      </c>
      <c r="BS489" s="4284">
        <f t="shared" si="266"/>
        <v>0</v>
      </c>
      <c r="BT489" s="4285">
        <f t="shared" si="267"/>
        <v>0</v>
      </c>
    </row>
    <row r="490" spans="1:72">
      <c r="A490" s="4278"/>
      <c r="B490" s="4278"/>
      <c r="C490" s="4278"/>
      <c r="D490" s="4280"/>
      <c r="E490" s="1188">
        <f t="shared" si="239"/>
        <v>0</v>
      </c>
      <c r="F490" s="1667"/>
      <c r="G490" s="4281">
        <f t="shared" ref="G490:G521" si="268">H490+AC490+AT490</f>
        <v>0</v>
      </c>
      <c r="H490" s="3457">
        <f t="shared" ref="H490:H521" si="269">SUMIF(I$12:AB$12,"总值",I490:AB490)</f>
        <v>0</v>
      </c>
      <c r="I490" s="4282"/>
      <c r="J490" s="4282"/>
      <c r="K490" s="4282"/>
      <c r="L490" s="4282"/>
      <c r="M490" s="4282"/>
      <c r="N490" s="4282"/>
      <c r="O490" s="4282"/>
      <c r="P490" s="4282"/>
      <c r="Q490" s="4282"/>
      <c r="R490" s="4282"/>
      <c r="S490" s="4282"/>
      <c r="T490" s="4282"/>
      <c r="U490" s="4282"/>
      <c r="V490" s="4282"/>
      <c r="W490" s="4282"/>
      <c r="X490" s="4282"/>
      <c r="Y490" s="4282"/>
      <c r="Z490" s="4282"/>
      <c r="AA490" s="4282"/>
      <c r="AB490" s="4282"/>
      <c r="AC490" s="1188">
        <f t="shared" ref="AC490:AC521" si="270">SUMIF(AD$12:AS$12,"总值",AD490:AS490)</f>
        <v>0</v>
      </c>
      <c r="AD490" s="4278"/>
      <c r="AE490" s="4278"/>
      <c r="AF490" s="4278"/>
      <c r="AG490" s="4278"/>
      <c r="AH490" s="4278"/>
      <c r="AI490" s="4278"/>
      <c r="AJ490" s="4278"/>
      <c r="AK490" s="4278"/>
      <c r="AL490" s="4278"/>
      <c r="AM490" s="4278"/>
      <c r="AN490" s="4278"/>
      <c r="AO490" s="4278"/>
      <c r="AP490" s="4278"/>
      <c r="AQ490" s="4278"/>
      <c r="AR490" s="4278"/>
      <c r="AS490" s="4278"/>
      <c r="AT490" s="4278"/>
      <c r="AU490" s="4286"/>
      <c r="AV490" s="1188">
        <f t="shared" si="243"/>
        <v>0</v>
      </c>
      <c r="AW490" s="1188">
        <f t="shared" si="244"/>
        <v>0</v>
      </c>
      <c r="AX490" s="1188">
        <f t="shared" si="245"/>
        <v>0</v>
      </c>
      <c r="AY490" s="1452">
        <f t="shared" ref="AY490:AY521" si="271">ROUND($AY$6*AZ490/$AZ$5,2)</f>
        <v>0</v>
      </c>
      <c r="AZ490" s="4284">
        <f t="shared" ref="AZ490:AZ521" si="272">BA490+BL490</f>
        <v>0</v>
      </c>
      <c r="BA490" s="4284">
        <f t="shared" ref="BA490:BA521" si="273">SUM(BB490:BK490)</f>
        <v>0</v>
      </c>
      <c r="BB490" s="4284">
        <f t="shared" ref="BB490:BB521" si="274">IF($D490="是",I490-J490,0)</f>
        <v>0</v>
      </c>
      <c r="BC490" s="4284">
        <f t="shared" ref="BC490:BC521" si="275">IF($D490="是",K490-L490,0)</f>
        <v>0</v>
      </c>
      <c r="BD490" s="4284">
        <f t="shared" ref="BD490:BD521" si="276">IF($D490="是",M490-N490,0)</f>
        <v>0</v>
      </c>
      <c r="BE490" s="4284">
        <f t="shared" ref="BE490:BE521" si="277">IF($D490="是",O490-P490,0)</f>
        <v>0</v>
      </c>
      <c r="BF490" s="4284">
        <f t="shared" ref="BF490:BF521" si="278">IF($D490="是",Q490-R490,0)</f>
        <v>0</v>
      </c>
      <c r="BG490" s="4284">
        <f t="shared" ref="BG490:BG521" si="279">IF($D490="是",S490-T490,0)</f>
        <v>0</v>
      </c>
      <c r="BH490" s="4284">
        <f t="shared" ref="BH490:BH521" si="280">IF($D490="是",U490-V490,0)</f>
        <v>0</v>
      </c>
      <c r="BI490" s="4284">
        <f t="shared" ref="BI490:BI521" si="281">IF($D490="是",W490-X490,0)</f>
        <v>0</v>
      </c>
      <c r="BJ490" s="4284">
        <f t="shared" ref="BJ490:BJ521" si="282">IF($D490="是",Y490-Z490,0)</f>
        <v>0</v>
      </c>
      <c r="BK490" s="4284">
        <f t="shared" ref="BK490:BK521" si="283">IF($D490="是",AA490-AB490,0)</f>
        <v>0</v>
      </c>
      <c r="BL490" s="4284">
        <f t="shared" ref="BL490:BL521" si="284">SUM(BM490:BT490)</f>
        <v>0</v>
      </c>
      <c r="BM490" s="4284">
        <f t="shared" ref="BM490:BM521" si="285">IF($D490="是",AD490-AE490,0)</f>
        <v>0</v>
      </c>
      <c r="BN490" s="4284">
        <f t="shared" ref="BN490:BN521" si="286">IF($D490="是",AF490-AG490,0)</f>
        <v>0</v>
      </c>
      <c r="BO490" s="4284">
        <f t="shared" ref="BO490:BO521" si="287">IF($D490="是",AH490-AI490,0)</f>
        <v>0</v>
      </c>
      <c r="BP490" s="4284">
        <f t="shared" ref="BP490:BP521" si="288">IF($D490="是",AJ490-AK490,0)</f>
        <v>0</v>
      </c>
      <c r="BQ490" s="4284">
        <f t="shared" ref="BQ490:BQ521" si="289">IF($D490="是",AL490-AM490,0)</f>
        <v>0</v>
      </c>
      <c r="BR490" s="4284">
        <f t="shared" ref="BR490:BR521" si="290">IF($D490="是",AN490-AO490,0)</f>
        <v>0</v>
      </c>
      <c r="BS490" s="4284">
        <f t="shared" ref="BS490:BS521" si="291">IF($D490="是",AP490-AQ490,0)</f>
        <v>0</v>
      </c>
      <c r="BT490" s="4285">
        <f t="shared" ref="BT490:BT521" si="292">IF($D490="是",AR490-AS490,0)</f>
        <v>0</v>
      </c>
    </row>
    <row r="491" spans="1:72">
      <c r="A491" s="4278"/>
      <c r="B491" s="4278"/>
      <c r="C491" s="4278"/>
      <c r="D491" s="4280"/>
      <c r="E491" s="1188">
        <f t="shared" si="239"/>
        <v>0</v>
      </c>
      <c r="F491" s="1667"/>
      <c r="G491" s="4281">
        <f t="shared" si="268"/>
        <v>0</v>
      </c>
      <c r="H491" s="3457">
        <f t="shared" si="269"/>
        <v>0</v>
      </c>
      <c r="I491" s="4282"/>
      <c r="J491" s="4282"/>
      <c r="K491" s="4282"/>
      <c r="L491" s="4282"/>
      <c r="M491" s="4282"/>
      <c r="N491" s="4282"/>
      <c r="O491" s="4282"/>
      <c r="P491" s="4282"/>
      <c r="Q491" s="4282"/>
      <c r="R491" s="4282"/>
      <c r="S491" s="4282"/>
      <c r="T491" s="4282"/>
      <c r="U491" s="4282"/>
      <c r="V491" s="4282"/>
      <c r="W491" s="4282"/>
      <c r="X491" s="4282"/>
      <c r="Y491" s="4282"/>
      <c r="Z491" s="4282"/>
      <c r="AA491" s="4282"/>
      <c r="AB491" s="4282"/>
      <c r="AC491" s="1188">
        <f t="shared" si="270"/>
        <v>0</v>
      </c>
      <c r="AD491" s="4278"/>
      <c r="AE491" s="4278"/>
      <c r="AF491" s="4278"/>
      <c r="AG491" s="4278"/>
      <c r="AH491" s="4278"/>
      <c r="AI491" s="4278"/>
      <c r="AJ491" s="4278"/>
      <c r="AK491" s="4278"/>
      <c r="AL491" s="4278"/>
      <c r="AM491" s="4278"/>
      <c r="AN491" s="4278"/>
      <c r="AO491" s="4278"/>
      <c r="AP491" s="4278"/>
      <c r="AQ491" s="4278"/>
      <c r="AR491" s="4278"/>
      <c r="AS491" s="4278"/>
      <c r="AT491" s="4278"/>
      <c r="AU491" s="4286"/>
      <c r="AV491" s="1188">
        <f t="shared" si="243"/>
        <v>0</v>
      </c>
      <c r="AW491" s="1188">
        <f t="shared" si="244"/>
        <v>0</v>
      </c>
      <c r="AX491" s="1188">
        <f t="shared" si="245"/>
        <v>0</v>
      </c>
      <c r="AY491" s="1452">
        <f t="shared" si="271"/>
        <v>0</v>
      </c>
      <c r="AZ491" s="4284">
        <f t="shared" si="272"/>
        <v>0</v>
      </c>
      <c r="BA491" s="4284">
        <f t="shared" si="273"/>
        <v>0</v>
      </c>
      <c r="BB491" s="4284">
        <f t="shared" si="274"/>
        <v>0</v>
      </c>
      <c r="BC491" s="4284">
        <f t="shared" si="275"/>
        <v>0</v>
      </c>
      <c r="BD491" s="4284">
        <f t="shared" si="276"/>
        <v>0</v>
      </c>
      <c r="BE491" s="4284">
        <f t="shared" si="277"/>
        <v>0</v>
      </c>
      <c r="BF491" s="4284">
        <f t="shared" si="278"/>
        <v>0</v>
      </c>
      <c r="BG491" s="4284">
        <f t="shared" si="279"/>
        <v>0</v>
      </c>
      <c r="BH491" s="4284">
        <f t="shared" si="280"/>
        <v>0</v>
      </c>
      <c r="BI491" s="4284">
        <f t="shared" si="281"/>
        <v>0</v>
      </c>
      <c r="BJ491" s="4284">
        <f t="shared" si="282"/>
        <v>0</v>
      </c>
      <c r="BK491" s="4284">
        <f t="shared" si="283"/>
        <v>0</v>
      </c>
      <c r="BL491" s="4284">
        <f t="shared" si="284"/>
        <v>0</v>
      </c>
      <c r="BM491" s="4284">
        <f t="shared" si="285"/>
        <v>0</v>
      </c>
      <c r="BN491" s="4284">
        <f t="shared" si="286"/>
        <v>0</v>
      </c>
      <c r="BO491" s="4284">
        <f t="shared" si="287"/>
        <v>0</v>
      </c>
      <c r="BP491" s="4284">
        <f t="shared" si="288"/>
        <v>0</v>
      </c>
      <c r="BQ491" s="4284">
        <f t="shared" si="289"/>
        <v>0</v>
      </c>
      <c r="BR491" s="4284">
        <f t="shared" si="290"/>
        <v>0</v>
      </c>
      <c r="BS491" s="4284">
        <f t="shared" si="291"/>
        <v>0</v>
      </c>
      <c r="BT491" s="4285">
        <f t="shared" si="292"/>
        <v>0</v>
      </c>
    </row>
    <row r="492" spans="1:72">
      <c r="A492" s="4278"/>
      <c r="B492" s="4278"/>
      <c r="C492" s="4278"/>
      <c r="D492" s="4280"/>
      <c r="E492" s="1188">
        <f t="shared" si="239"/>
        <v>0</v>
      </c>
      <c r="F492" s="1667"/>
      <c r="G492" s="4281">
        <f t="shared" si="268"/>
        <v>0</v>
      </c>
      <c r="H492" s="3457">
        <f t="shared" si="269"/>
        <v>0</v>
      </c>
      <c r="I492" s="4282"/>
      <c r="J492" s="4282"/>
      <c r="K492" s="4282"/>
      <c r="L492" s="4282"/>
      <c r="M492" s="4282"/>
      <c r="N492" s="4282"/>
      <c r="O492" s="4282"/>
      <c r="P492" s="4282"/>
      <c r="Q492" s="4282"/>
      <c r="R492" s="4282"/>
      <c r="S492" s="4282"/>
      <c r="T492" s="4282"/>
      <c r="U492" s="4282"/>
      <c r="V492" s="4282"/>
      <c r="W492" s="4282"/>
      <c r="X492" s="4282"/>
      <c r="Y492" s="4282"/>
      <c r="Z492" s="4282"/>
      <c r="AA492" s="4282"/>
      <c r="AB492" s="4282"/>
      <c r="AC492" s="1188">
        <f t="shared" si="270"/>
        <v>0</v>
      </c>
      <c r="AD492" s="4278"/>
      <c r="AE492" s="4278"/>
      <c r="AF492" s="4278"/>
      <c r="AG492" s="4278"/>
      <c r="AH492" s="4278"/>
      <c r="AI492" s="4278"/>
      <c r="AJ492" s="4278"/>
      <c r="AK492" s="4278"/>
      <c r="AL492" s="4278"/>
      <c r="AM492" s="4278"/>
      <c r="AN492" s="4278"/>
      <c r="AO492" s="4278"/>
      <c r="AP492" s="4278"/>
      <c r="AQ492" s="4278"/>
      <c r="AR492" s="4278"/>
      <c r="AS492" s="4278"/>
      <c r="AT492" s="4278"/>
      <c r="AU492" s="4286"/>
      <c r="AV492" s="1188">
        <f t="shared" si="243"/>
        <v>0</v>
      </c>
      <c r="AW492" s="1188">
        <f t="shared" si="244"/>
        <v>0</v>
      </c>
      <c r="AX492" s="1188">
        <f t="shared" si="245"/>
        <v>0</v>
      </c>
      <c r="AY492" s="1452">
        <f t="shared" si="271"/>
        <v>0</v>
      </c>
      <c r="AZ492" s="4284">
        <f t="shared" si="272"/>
        <v>0</v>
      </c>
      <c r="BA492" s="4284">
        <f t="shared" si="273"/>
        <v>0</v>
      </c>
      <c r="BB492" s="4284">
        <f t="shared" si="274"/>
        <v>0</v>
      </c>
      <c r="BC492" s="4284">
        <f t="shared" si="275"/>
        <v>0</v>
      </c>
      <c r="BD492" s="4284">
        <f t="shared" si="276"/>
        <v>0</v>
      </c>
      <c r="BE492" s="4284">
        <f t="shared" si="277"/>
        <v>0</v>
      </c>
      <c r="BF492" s="4284">
        <f t="shared" si="278"/>
        <v>0</v>
      </c>
      <c r="BG492" s="4284">
        <f t="shared" si="279"/>
        <v>0</v>
      </c>
      <c r="BH492" s="4284">
        <f t="shared" si="280"/>
        <v>0</v>
      </c>
      <c r="BI492" s="4284">
        <f t="shared" si="281"/>
        <v>0</v>
      </c>
      <c r="BJ492" s="4284">
        <f t="shared" si="282"/>
        <v>0</v>
      </c>
      <c r="BK492" s="4284">
        <f t="shared" si="283"/>
        <v>0</v>
      </c>
      <c r="BL492" s="4284">
        <f t="shared" si="284"/>
        <v>0</v>
      </c>
      <c r="BM492" s="4284">
        <f t="shared" si="285"/>
        <v>0</v>
      </c>
      <c r="BN492" s="4284">
        <f t="shared" si="286"/>
        <v>0</v>
      </c>
      <c r="BO492" s="4284">
        <f t="shared" si="287"/>
        <v>0</v>
      </c>
      <c r="BP492" s="4284">
        <f t="shared" si="288"/>
        <v>0</v>
      </c>
      <c r="BQ492" s="4284">
        <f t="shared" si="289"/>
        <v>0</v>
      </c>
      <c r="BR492" s="4284">
        <f t="shared" si="290"/>
        <v>0</v>
      </c>
      <c r="BS492" s="4284">
        <f t="shared" si="291"/>
        <v>0</v>
      </c>
      <c r="BT492" s="4285">
        <f t="shared" si="292"/>
        <v>0</v>
      </c>
    </row>
    <row r="493" spans="1:72">
      <c r="A493" s="4278"/>
      <c r="B493" s="4279"/>
      <c r="C493" s="4279"/>
      <c r="D493" s="4280"/>
      <c r="E493" s="1188">
        <f t="shared" ref="E493:E519" si="293">IF($C$3="是",ROUND($A$3*G493/$B$3,2),ROUND($A$3*(G493-AT493)/$B$3,2))</f>
        <v>0</v>
      </c>
      <c r="F493" s="1680"/>
      <c r="G493" s="4281">
        <f t="shared" si="268"/>
        <v>0</v>
      </c>
      <c r="H493" s="3457">
        <f t="shared" si="269"/>
        <v>0</v>
      </c>
      <c r="I493" s="4282"/>
      <c r="J493" s="4282"/>
      <c r="K493" s="4282"/>
      <c r="L493" s="4282"/>
      <c r="M493" s="4282"/>
      <c r="N493" s="4282"/>
      <c r="O493" s="4282"/>
      <c r="P493" s="4282"/>
      <c r="Q493" s="4282"/>
      <c r="R493" s="4282"/>
      <c r="S493" s="4282"/>
      <c r="T493" s="4282"/>
      <c r="U493" s="4282"/>
      <c r="V493" s="4282"/>
      <c r="W493" s="4282"/>
      <c r="X493" s="4282"/>
      <c r="Y493" s="4282"/>
      <c r="Z493" s="4282"/>
      <c r="AA493" s="4282"/>
      <c r="AB493" s="4282"/>
      <c r="AC493" s="1188">
        <f t="shared" si="270"/>
        <v>0</v>
      </c>
      <c r="AD493" s="4278"/>
      <c r="AE493" s="4278"/>
      <c r="AF493" s="4278"/>
      <c r="AG493" s="4278"/>
      <c r="AH493" s="4278"/>
      <c r="AI493" s="4278"/>
      <c r="AJ493" s="4278"/>
      <c r="AK493" s="4278"/>
      <c r="AL493" s="4278"/>
      <c r="AM493" s="4278"/>
      <c r="AN493" s="4278"/>
      <c r="AO493" s="4278"/>
      <c r="AP493" s="4278"/>
      <c r="AQ493" s="4278"/>
      <c r="AR493" s="4278"/>
      <c r="AS493" s="4278"/>
      <c r="AT493" s="4279"/>
      <c r="AU493" s="4283"/>
      <c r="AV493" s="1188">
        <f t="shared" ref="AV493:AV520" si="294">A493</f>
        <v>0</v>
      </c>
      <c r="AW493" s="1188">
        <f t="shared" ref="AW493:AW520" si="295">B493</f>
        <v>0</v>
      </c>
      <c r="AX493" s="1188">
        <f t="shared" ref="AX493:AX520" si="296">C493</f>
        <v>0</v>
      </c>
      <c r="AY493" s="1452">
        <f t="shared" si="271"/>
        <v>0</v>
      </c>
      <c r="AZ493" s="4284">
        <f t="shared" si="272"/>
        <v>0</v>
      </c>
      <c r="BA493" s="4284">
        <f t="shared" si="273"/>
        <v>0</v>
      </c>
      <c r="BB493" s="4284">
        <f t="shared" si="274"/>
        <v>0</v>
      </c>
      <c r="BC493" s="4284">
        <f t="shared" si="275"/>
        <v>0</v>
      </c>
      <c r="BD493" s="4284">
        <f t="shared" si="276"/>
        <v>0</v>
      </c>
      <c r="BE493" s="4284">
        <f t="shared" si="277"/>
        <v>0</v>
      </c>
      <c r="BF493" s="4284">
        <f t="shared" si="278"/>
        <v>0</v>
      </c>
      <c r="BG493" s="4284">
        <f t="shared" si="279"/>
        <v>0</v>
      </c>
      <c r="BH493" s="4284">
        <f t="shared" si="280"/>
        <v>0</v>
      </c>
      <c r="BI493" s="4284">
        <f t="shared" si="281"/>
        <v>0</v>
      </c>
      <c r="BJ493" s="4284">
        <f t="shared" si="282"/>
        <v>0</v>
      </c>
      <c r="BK493" s="4284">
        <f t="shared" si="283"/>
        <v>0</v>
      </c>
      <c r="BL493" s="4284">
        <f t="shared" si="284"/>
        <v>0</v>
      </c>
      <c r="BM493" s="4284">
        <f t="shared" si="285"/>
        <v>0</v>
      </c>
      <c r="BN493" s="4284">
        <f t="shared" si="286"/>
        <v>0</v>
      </c>
      <c r="BO493" s="4284">
        <f t="shared" si="287"/>
        <v>0</v>
      </c>
      <c r="BP493" s="4284">
        <f t="shared" si="288"/>
        <v>0</v>
      </c>
      <c r="BQ493" s="4284">
        <f t="shared" si="289"/>
        <v>0</v>
      </c>
      <c r="BR493" s="4284">
        <f t="shared" si="290"/>
        <v>0</v>
      </c>
      <c r="BS493" s="4284">
        <f t="shared" si="291"/>
        <v>0</v>
      </c>
      <c r="BT493" s="4285">
        <f t="shared" si="292"/>
        <v>0</v>
      </c>
    </row>
    <row r="494" spans="1:72">
      <c r="A494" s="4278"/>
      <c r="B494" s="4279"/>
      <c r="C494" s="4279"/>
      <c r="D494" s="4280"/>
      <c r="E494" s="1188">
        <f t="shared" si="293"/>
        <v>0</v>
      </c>
      <c r="F494" s="1680"/>
      <c r="G494" s="4281">
        <f t="shared" si="268"/>
        <v>0</v>
      </c>
      <c r="H494" s="3457">
        <f t="shared" si="269"/>
        <v>0</v>
      </c>
      <c r="I494" s="4282"/>
      <c r="J494" s="4282"/>
      <c r="K494" s="4282"/>
      <c r="L494" s="4282"/>
      <c r="M494" s="4282"/>
      <c r="N494" s="4282"/>
      <c r="O494" s="4282"/>
      <c r="P494" s="4282"/>
      <c r="Q494" s="4282"/>
      <c r="R494" s="4282"/>
      <c r="S494" s="4282"/>
      <c r="T494" s="4282"/>
      <c r="U494" s="4282"/>
      <c r="V494" s="4282"/>
      <c r="W494" s="4282"/>
      <c r="X494" s="4282"/>
      <c r="Y494" s="4282"/>
      <c r="Z494" s="4282"/>
      <c r="AA494" s="4282"/>
      <c r="AB494" s="4282"/>
      <c r="AC494" s="1188">
        <f t="shared" si="270"/>
        <v>0</v>
      </c>
      <c r="AD494" s="4278"/>
      <c r="AE494" s="4278"/>
      <c r="AF494" s="4278"/>
      <c r="AG494" s="4278"/>
      <c r="AH494" s="4278"/>
      <c r="AI494" s="4278"/>
      <c r="AJ494" s="4278"/>
      <c r="AK494" s="4278"/>
      <c r="AL494" s="4278"/>
      <c r="AM494" s="4278"/>
      <c r="AN494" s="4278"/>
      <c r="AO494" s="4278"/>
      <c r="AP494" s="4278"/>
      <c r="AQ494" s="4278"/>
      <c r="AR494" s="4278"/>
      <c r="AS494" s="4278"/>
      <c r="AT494" s="4279"/>
      <c r="AU494" s="4283"/>
      <c r="AV494" s="1188">
        <f t="shared" si="294"/>
        <v>0</v>
      </c>
      <c r="AW494" s="1188">
        <f t="shared" si="295"/>
        <v>0</v>
      </c>
      <c r="AX494" s="1188">
        <f t="shared" si="296"/>
        <v>0</v>
      </c>
      <c r="AY494" s="1452">
        <f t="shared" si="271"/>
        <v>0</v>
      </c>
      <c r="AZ494" s="4284">
        <f t="shared" si="272"/>
        <v>0</v>
      </c>
      <c r="BA494" s="4284">
        <f t="shared" si="273"/>
        <v>0</v>
      </c>
      <c r="BB494" s="4284">
        <f t="shared" si="274"/>
        <v>0</v>
      </c>
      <c r="BC494" s="4284">
        <f t="shared" si="275"/>
        <v>0</v>
      </c>
      <c r="BD494" s="4284">
        <f t="shared" si="276"/>
        <v>0</v>
      </c>
      <c r="BE494" s="4284">
        <f t="shared" si="277"/>
        <v>0</v>
      </c>
      <c r="BF494" s="4284">
        <f t="shared" si="278"/>
        <v>0</v>
      </c>
      <c r="BG494" s="4284">
        <f t="shared" si="279"/>
        <v>0</v>
      </c>
      <c r="BH494" s="4284">
        <f t="shared" si="280"/>
        <v>0</v>
      </c>
      <c r="BI494" s="4284">
        <f t="shared" si="281"/>
        <v>0</v>
      </c>
      <c r="BJ494" s="4284">
        <f t="shared" si="282"/>
        <v>0</v>
      </c>
      <c r="BK494" s="4284">
        <f t="shared" si="283"/>
        <v>0</v>
      </c>
      <c r="BL494" s="4284">
        <f t="shared" si="284"/>
        <v>0</v>
      </c>
      <c r="BM494" s="4284">
        <f t="shared" si="285"/>
        <v>0</v>
      </c>
      <c r="BN494" s="4284">
        <f t="shared" si="286"/>
        <v>0</v>
      </c>
      <c r="BO494" s="4284">
        <f t="shared" si="287"/>
        <v>0</v>
      </c>
      <c r="BP494" s="4284">
        <f t="shared" si="288"/>
        <v>0</v>
      </c>
      <c r="BQ494" s="4284">
        <f t="shared" si="289"/>
        <v>0</v>
      </c>
      <c r="BR494" s="4284">
        <f t="shared" si="290"/>
        <v>0</v>
      </c>
      <c r="BS494" s="4284">
        <f t="shared" si="291"/>
        <v>0</v>
      </c>
      <c r="BT494" s="4285">
        <f t="shared" si="292"/>
        <v>0</v>
      </c>
    </row>
    <row r="495" spans="1:72">
      <c r="A495" s="4278"/>
      <c r="B495" s="4279"/>
      <c r="C495" s="4279"/>
      <c r="D495" s="4280"/>
      <c r="E495" s="1188">
        <f t="shared" si="293"/>
        <v>0</v>
      </c>
      <c r="F495" s="1680"/>
      <c r="G495" s="4281">
        <f t="shared" si="268"/>
        <v>0</v>
      </c>
      <c r="H495" s="3457">
        <f t="shared" si="269"/>
        <v>0</v>
      </c>
      <c r="I495" s="4282"/>
      <c r="J495" s="4282"/>
      <c r="K495" s="4282"/>
      <c r="L495" s="4282"/>
      <c r="M495" s="4282"/>
      <c r="N495" s="4282"/>
      <c r="O495" s="4282"/>
      <c r="P495" s="4282"/>
      <c r="Q495" s="4282"/>
      <c r="R495" s="4282"/>
      <c r="S495" s="4282"/>
      <c r="T495" s="4282"/>
      <c r="U495" s="4282"/>
      <c r="V495" s="4282"/>
      <c r="W495" s="4282"/>
      <c r="X495" s="4282"/>
      <c r="Y495" s="4282"/>
      <c r="Z495" s="4282"/>
      <c r="AA495" s="4282"/>
      <c r="AB495" s="4282"/>
      <c r="AC495" s="1188">
        <f t="shared" si="270"/>
        <v>0</v>
      </c>
      <c r="AD495" s="4278"/>
      <c r="AE495" s="4278"/>
      <c r="AF495" s="4278"/>
      <c r="AG495" s="4278"/>
      <c r="AH495" s="4278"/>
      <c r="AI495" s="4278"/>
      <c r="AJ495" s="4278"/>
      <c r="AK495" s="4278"/>
      <c r="AL495" s="4278"/>
      <c r="AM495" s="4278"/>
      <c r="AN495" s="4278"/>
      <c r="AO495" s="4278"/>
      <c r="AP495" s="4278"/>
      <c r="AQ495" s="4278"/>
      <c r="AR495" s="4278"/>
      <c r="AS495" s="4278"/>
      <c r="AT495" s="4279"/>
      <c r="AU495" s="4283"/>
      <c r="AV495" s="1188">
        <f t="shared" si="294"/>
        <v>0</v>
      </c>
      <c r="AW495" s="1188">
        <f t="shared" si="295"/>
        <v>0</v>
      </c>
      <c r="AX495" s="1188">
        <f t="shared" si="296"/>
        <v>0</v>
      </c>
      <c r="AY495" s="1452">
        <f t="shared" si="271"/>
        <v>0</v>
      </c>
      <c r="AZ495" s="4284">
        <f t="shared" si="272"/>
        <v>0</v>
      </c>
      <c r="BA495" s="4284">
        <f t="shared" si="273"/>
        <v>0</v>
      </c>
      <c r="BB495" s="4284">
        <f t="shared" si="274"/>
        <v>0</v>
      </c>
      <c r="BC495" s="4284">
        <f t="shared" si="275"/>
        <v>0</v>
      </c>
      <c r="BD495" s="4284">
        <f t="shared" si="276"/>
        <v>0</v>
      </c>
      <c r="BE495" s="4284">
        <f t="shared" si="277"/>
        <v>0</v>
      </c>
      <c r="BF495" s="4284">
        <f t="shared" si="278"/>
        <v>0</v>
      </c>
      <c r="BG495" s="4284">
        <f t="shared" si="279"/>
        <v>0</v>
      </c>
      <c r="BH495" s="4284">
        <f t="shared" si="280"/>
        <v>0</v>
      </c>
      <c r="BI495" s="4284">
        <f t="shared" si="281"/>
        <v>0</v>
      </c>
      <c r="BJ495" s="4284">
        <f t="shared" si="282"/>
        <v>0</v>
      </c>
      <c r="BK495" s="4284">
        <f t="shared" si="283"/>
        <v>0</v>
      </c>
      <c r="BL495" s="4284">
        <f t="shared" si="284"/>
        <v>0</v>
      </c>
      <c r="BM495" s="4284">
        <f t="shared" si="285"/>
        <v>0</v>
      </c>
      <c r="BN495" s="4284">
        <f t="shared" si="286"/>
        <v>0</v>
      </c>
      <c r="BO495" s="4284">
        <f t="shared" si="287"/>
        <v>0</v>
      </c>
      <c r="BP495" s="4284">
        <f t="shared" si="288"/>
        <v>0</v>
      </c>
      <c r="BQ495" s="4284">
        <f t="shared" si="289"/>
        <v>0</v>
      </c>
      <c r="BR495" s="4284">
        <f t="shared" si="290"/>
        <v>0</v>
      </c>
      <c r="BS495" s="4284">
        <f t="shared" si="291"/>
        <v>0</v>
      </c>
      <c r="BT495" s="4285">
        <f t="shared" si="292"/>
        <v>0</v>
      </c>
    </row>
    <row r="496" spans="1:72">
      <c r="A496" s="4278"/>
      <c r="B496" s="4279"/>
      <c r="C496" s="4279"/>
      <c r="D496" s="4280"/>
      <c r="E496" s="1188">
        <f t="shared" si="293"/>
        <v>0</v>
      </c>
      <c r="F496" s="1680"/>
      <c r="G496" s="4281">
        <f t="shared" si="268"/>
        <v>0</v>
      </c>
      <c r="H496" s="3457">
        <f t="shared" si="269"/>
        <v>0</v>
      </c>
      <c r="I496" s="4282"/>
      <c r="J496" s="4282"/>
      <c r="K496" s="4282"/>
      <c r="L496" s="4282"/>
      <c r="M496" s="4282"/>
      <c r="N496" s="4282"/>
      <c r="O496" s="4282"/>
      <c r="P496" s="4282"/>
      <c r="Q496" s="4282"/>
      <c r="R496" s="4282"/>
      <c r="S496" s="4282"/>
      <c r="T496" s="4282"/>
      <c r="U496" s="4282"/>
      <c r="V496" s="4282"/>
      <c r="W496" s="4282"/>
      <c r="X496" s="4282"/>
      <c r="Y496" s="4282"/>
      <c r="Z496" s="4282"/>
      <c r="AA496" s="4282"/>
      <c r="AB496" s="4282"/>
      <c r="AC496" s="1188">
        <f t="shared" si="270"/>
        <v>0</v>
      </c>
      <c r="AD496" s="4278"/>
      <c r="AE496" s="4278"/>
      <c r="AF496" s="4278"/>
      <c r="AG496" s="4278"/>
      <c r="AH496" s="4278"/>
      <c r="AI496" s="4278"/>
      <c r="AJ496" s="4278"/>
      <c r="AK496" s="4278"/>
      <c r="AL496" s="4278"/>
      <c r="AM496" s="4278"/>
      <c r="AN496" s="4278"/>
      <c r="AO496" s="4278"/>
      <c r="AP496" s="4278"/>
      <c r="AQ496" s="4278"/>
      <c r="AR496" s="4278"/>
      <c r="AS496" s="4278"/>
      <c r="AT496" s="4279"/>
      <c r="AU496" s="4283"/>
      <c r="AV496" s="1188">
        <f t="shared" si="294"/>
        <v>0</v>
      </c>
      <c r="AW496" s="1188">
        <f t="shared" si="295"/>
        <v>0</v>
      </c>
      <c r="AX496" s="1188">
        <f t="shared" si="296"/>
        <v>0</v>
      </c>
      <c r="AY496" s="1452">
        <f t="shared" si="271"/>
        <v>0</v>
      </c>
      <c r="AZ496" s="4284">
        <f t="shared" si="272"/>
        <v>0</v>
      </c>
      <c r="BA496" s="4284">
        <f t="shared" si="273"/>
        <v>0</v>
      </c>
      <c r="BB496" s="4284">
        <f t="shared" si="274"/>
        <v>0</v>
      </c>
      <c r="BC496" s="4284">
        <f t="shared" si="275"/>
        <v>0</v>
      </c>
      <c r="BD496" s="4284">
        <f t="shared" si="276"/>
        <v>0</v>
      </c>
      <c r="BE496" s="4284">
        <f t="shared" si="277"/>
        <v>0</v>
      </c>
      <c r="BF496" s="4284">
        <f t="shared" si="278"/>
        <v>0</v>
      </c>
      <c r="BG496" s="4284">
        <f t="shared" si="279"/>
        <v>0</v>
      </c>
      <c r="BH496" s="4284">
        <f t="shared" si="280"/>
        <v>0</v>
      </c>
      <c r="BI496" s="4284">
        <f t="shared" si="281"/>
        <v>0</v>
      </c>
      <c r="BJ496" s="4284">
        <f t="shared" si="282"/>
        <v>0</v>
      </c>
      <c r="BK496" s="4284">
        <f t="shared" si="283"/>
        <v>0</v>
      </c>
      <c r="BL496" s="4284">
        <f t="shared" si="284"/>
        <v>0</v>
      </c>
      <c r="BM496" s="4284">
        <f t="shared" si="285"/>
        <v>0</v>
      </c>
      <c r="BN496" s="4284">
        <f t="shared" si="286"/>
        <v>0</v>
      </c>
      <c r="BO496" s="4284">
        <f t="shared" si="287"/>
        <v>0</v>
      </c>
      <c r="BP496" s="4284">
        <f t="shared" si="288"/>
        <v>0</v>
      </c>
      <c r="BQ496" s="4284">
        <f t="shared" si="289"/>
        <v>0</v>
      </c>
      <c r="BR496" s="4284">
        <f t="shared" si="290"/>
        <v>0</v>
      </c>
      <c r="BS496" s="4284">
        <f t="shared" si="291"/>
        <v>0</v>
      </c>
      <c r="BT496" s="4285">
        <f t="shared" si="292"/>
        <v>0</v>
      </c>
    </row>
    <row r="497" spans="1:72">
      <c r="A497" s="4278"/>
      <c r="B497" s="4279"/>
      <c r="C497" s="4279"/>
      <c r="D497" s="4280"/>
      <c r="E497" s="1188">
        <f t="shared" si="293"/>
        <v>0</v>
      </c>
      <c r="F497" s="1680"/>
      <c r="G497" s="4281">
        <f t="shared" si="268"/>
        <v>0</v>
      </c>
      <c r="H497" s="3457">
        <f t="shared" si="269"/>
        <v>0</v>
      </c>
      <c r="I497" s="4282"/>
      <c r="J497" s="4282"/>
      <c r="K497" s="4282"/>
      <c r="L497" s="4282"/>
      <c r="M497" s="4282"/>
      <c r="N497" s="4282"/>
      <c r="O497" s="4282"/>
      <c r="P497" s="4282"/>
      <c r="Q497" s="4282"/>
      <c r="R497" s="4282"/>
      <c r="S497" s="4282"/>
      <c r="T497" s="4282"/>
      <c r="U497" s="4282"/>
      <c r="V497" s="4282"/>
      <c r="W497" s="4282"/>
      <c r="X497" s="4282"/>
      <c r="Y497" s="4282"/>
      <c r="Z497" s="4282"/>
      <c r="AA497" s="4282"/>
      <c r="AB497" s="4282"/>
      <c r="AC497" s="1188">
        <f t="shared" si="270"/>
        <v>0</v>
      </c>
      <c r="AD497" s="4278"/>
      <c r="AE497" s="4278"/>
      <c r="AF497" s="4278"/>
      <c r="AG497" s="4278"/>
      <c r="AH497" s="4278"/>
      <c r="AI497" s="4278"/>
      <c r="AJ497" s="4278"/>
      <c r="AK497" s="4278"/>
      <c r="AL497" s="4278"/>
      <c r="AM497" s="4278"/>
      <c r="AN497" s="4278"/>
      <c r="AO497" s="4278"/>
      <c r="AP497" s="4278"/>
      <c r="AQ497" s="4278"/>
      <c r="AR497" s="4278"/>
      <c r="AS497" s="4278"/>
      <c r="AT497" s="4279"/>
      <c r="AU497" s="4283"/>
      <c r="AV497" s="1188">
        <f t="shared" si="294"/>
        <v>0</v>
      </c>
      <c r="AW497" s="1188">
        <f t="shared" si="295"/>
        <v>0</v>
      </c>
      <c r="AX497" s="1188">
        <f t="shared" si="296"/>
        <v>0</v>
      </c>
      <c r="AY497" s="1452">
        <f t="shared" si="271"/>
        <v>0</v>
      </c>
      <c r="AZ497" s="4284">
        <f t="shared" si="272"/>
        <v>0</v>
      </c>
      <c r="BA497" s="4284">
        <f t="shared" si="273"/>
        <v>0</v>
      </c>
      <c r="BB497" s="4284">
        <f t="shared" si="274"/>
        <v>0</v>
      </c>
      <c r="BC497" s="4284">
        <f t="shared" si="275"/>
        <v>0</v>
      </c>
      <c r="BD497" s="4284">
        <f t="shared" si="276"/>
        <v>0</v>
      </c>
      <c r="BE497" s="4284">
        <f t="shared" si="277"/>
        <v>0</v>
      </c>
      <c r="BF497" s="4284">
        <f t="shared" si="278"/>
        <v>0</v>
      </c>
      <c r="BG497" s="4284">
        <f t="shared" si="279"/>
        <v>0</v>
      </c>
      <c r="BH497" s="4284">
        <f t="shared" si="280"/>
        <v>0</v>
      </c>
      <c r="BI497" s="4284">
        <f t="shared" si="281"/>
        <v>0</v>
      </c>
      <c r="BJ497" s="4284">
        <f t="shared" si="282"/>
        <v>0</v>
      </c>
      <c r="BK497" s="4284">
        <f t="shared" si="283"/>
        <v>0</v>
      </c>
      <c r="BL497" s="4284">
        <f t="shared" si="284"/>
        <v>0</v>
      </c>
      <c r="BM497" s="4284">
        <f t="shared" si="285"/>
        <v>0</v>
      </c>
      <c r="BN497" s="4284">
        <f t="shared" si="286"/>
        <v>0</v>
      </c>
      <c r="BO497" s="4284">
        <f t="shared" si="287"/>
        <v>0</v>
      </c>
      <c r="BP497" s="4284">
        <f t="shared" si="288"/>
        <v>0</v>
      </c>
      <c r="BQ497" s="4284">
        <f t="shared" si="289"/>
        <v>0</v>
      </c>
      <c r="BR497" s="4284">
        <f t="shared" si="290"/>
        <v>0</v>
      </c>
      <c r="BS497" s="4284">
        <f t="shared" si="291"/>
        <v>0</v>
      </c>
      <c r="BT497" s="4285">
        <f t="shared" si="292"/>
        <v>0</v>
      </c>
    </row>
    <row r="498" spans="1:72">
      <c r="A498" s="4278"/>
      <c r="B498" s="4279"/>
      <c r="C498" s="4279"/>
      <c r="D498" s="4280"/>
      <c r="E498" s="1188">
        <f t="shared" si="293"/>
        <v>0</v>
      </c>
      <c r="F498" s="1680"/>
      <c r="G498" s="4281">
        <f t="shared" si="268"/>
        <v>0</v>
      </c>
      <c r="H498" s="3457">
        <f t="shared" si="269"/>
        <v>0</v>
      </c>
      <c r="I498" s="4282"/>
      <c r="J498" s="4282"/>
      <c r="K498" s="4282"/>
      <c r="L498" s="4282"/>
      <c r="M498" s="4282"/>
      <c r="N498" s="4282"/>
      <c r="O498" s="4282"/>
      <c r="P498" s="4282"/>
      <c r="Q498" s="4282"/>
      <c r="R498" s="4282"/>
      <c r="S498" s="4282"/>
      <c r="T498" s="4282"/>
      <c r="U498" s="4282"/>
      <c r="V498" s="4282"/>
      <c r="W498" s="4282"/>
      <c r="X498" s="4282"/>
      <c r="Y498" s="4282"/>
      <c r="Z498" s="4282"/>
      <c r="AA498" s="4282"/>
      <c r="AB498" s="4282"/>
      <c r="AC498" s="1188">
        <f t="shared" si="270"/>
        <v>0</v>
      </c>
      <c r="AD498" s="4278"/>
      <c r="AE498" s="4278"/>
      <c r="AF498" s="4278"/>
      <c r="AG498" s="4278"/>
      <c r="AH498" s="4278"/>
      <c r="AI498" s="4278"/>
      <c r="AJ498" s="4278"/>
      <c r="AK498" s="4278"/>
      <c r="AL498" s="4278"/>
      <c r="AM498" s="4278"/>
      <c r="AN498" s="4278"/>
      <c r="AO498" s="4278"/>
      <c r="AP498" s="4278"/>
      <c r="AQ498" s="4278"/>
      <c r="AR498" s="4278"/>
      <c r="AS498" s="4278"/>
      <c r="AT498" s="4279"/>
      <c r="AU498" s="4283"/>
      <c r="AV498" s="1188">
        <f t="shared" si="294"/>
        <v>0</v>
      </c>
      <c r="AW498" s="1188">
        <f t="shared" si="295"/>
        <v>0</v>
      </c>
      <c r="AX498" s="1188">
        <f t="shared" si="296"/>
        <v>0</v>
      </c>
      <c r="AY498" s="1452">
        <f t="shared" si="271"/>
        <v>0</v>
      </c>
      <c r="AZ498" s="4284">
        <f t="shared" si="272"/>
        <v>0</v>
      </c>
      <c r="BA498" s="4284">
        <f t="shared" si="273"/>
        <v>0</v>
      </c>
      <c r="BB498" s="4284">
        <f t="shared" si="274"/>
        <v>0</v>
      </c>
      <c r="BC498" s="4284">
        <f t="shared" si="275"/>
        <v>0</v>
      </c>
      <c r="BD498" s="4284">
        <f t="shared" si="276"/>
        <v>0</v>
      </c>
      <c r="BE498" s="4284">
        <f t="shared" si="277"/>
        <v>0</v>
      </c>
      <c r="BF498" s="4284">
        <f t="shared" si="278"/>
        <v>0</v>
      </c>
      <c r="BG498" s="4284">
        <f t="shared" si="279"/>
        <v>0</v>
      </c>
      <c r="BH498" s="4284">
        <f t="shared" si="280"/>
        <v>0</v>
      </c>
      <c r="BI498" s="4284">
        <f t="shared" si="281"/>
        <v>0</v>
      </c>
      <c r="BJ498" s="4284">
        <f t="shared" si="282"/>
        <v>0</v>
      </c>
      <c r="BK498" s="4284">
        <f t="shared" si="283"/>
        <v>0</v>
      </c>
      <c r="BL498" s="4284">
        <f t="shared" si="284"/>
        <v>0</v>
      </c>
      <c r="BM498" s="4284">
        <f t="shared" si="285"/>
        <v>0</v>
      </c>
      <c r="BN498" s="4284">
        <f t="shared" si="286"/>
        <v>0</v>
      </c>
      <c r="BO498" s="4284">
        <f t="shared" si="287"/>
        <v>0</v>
      </c>
      <c r="BP498" s="4284">
        <f t="shared" si="288"/>
        <v>0</v>
      </c>
      <c r="BQ498" s="4284">
        <f t="shared" si="289"/>
        <v>0</v>
      </c>
      <c r="BR498" s="4284">
        <f t="shared" si="290"/>
        <v>0</v>
      </c>
      <c r="BS498" s="4284">
        <f t="shared" si="291"/>
        <v>0</v>
      </c>
      <c r="BT498" s="4285">
        <f t="shared" si="292"/>
        <v>0</v>
      </c>
    </row>
    <row r="499" spans="1:72">
      <c r="A499" s="4278"/>
      <c r="B499" s="4279"/>
      <c r="C499" s="4279"/>
      <c r="D499" s="4280"/>
      <c r="E499" s="1188">
        <f t="shared" si="293"/>
        <v>0</v>
      </c>
      <c r="F499" s="1680"/>
      <c r="G499" s="4281">
        <f t="shared" si="268"/>
        <v>0</v>
      </c>
      <c r="H499" s="3457">
        <f t="shared" si="269"/>
        <v>0</v>
      </c>
      <c r="I499" s="4282"/>
      <c r="J499" s="4282"/>
      <c r="K499" s="4282"/>
      <c r="L499" s="4282"/>
      <c r="M499" s="4282"/>
      <c r="N499" s="4282"/>
      <c r="O499" s="4282"/>
      <c r="P499" s="4282"/>
      <c r="Q499" s="4282"/>
      <c r="R499" s="4282"/>
      <c r="S499" s="4282"/>
      <c r="T499" s="4282"/>
      <c r="U499" s="4282"/>
      <c r="V499" s="4282"/>
      <c r="W499" s="4282"/>
      <c r="X499" s="4282"/>
      <c r="Y499" s="4282"/>
      <c r="Z499" s="4282"/>
      <c r="AA499" s="4282"/>
      <c r="AB499" s="4282"/>
      <c r="AC499" s="1188">
        <f t="shared" si="270"/>
        <v>0</v>
      </c>
      <c r="AD499" s="4278"/>
      <c r="AE499" s="4278"/>
      <c r="AF499" s="4278"/>
      <c r="AG499" s="4278"/>
      <c r="AH499" s="4278"/>
      <c r="AI499" s="4278"/>
      <c r="AJ499" s="4278"/>
      <c r="AK499" s="4278"/>
      <c r="AL499" s="4278"/>
      <c r="AM499" s="4278"/>
      <c r="AN499" s="4278"/>
      <c r="AO499" s="4278"/>
      <c r="AP499" s="4278"/>
      <c r="AQ499" s="4278"/>
      <c r="AR499" s="4278"/>
      <c r="AS499" s="4278"/>
      <c r="AT499" s="4279"/>
      <c r="AU499" s="4283"/>
      <c r="AV499" s="1188">
        <f t="shared" si="294"/>
        <v>0</v>
      </c>
      <c r="AW499" s="1188">
        <f t="shared" si="295"/>
        <v>0</v>
      </c>
      <c r="AX499" s="1188">
        <f t="shared" si="296"/>
        <v>0</v>
      </c>
      <c r="AY499" s="1452">
        <f t="shared" si="271"/>
        <v>0</v>
      </c>
      <c r="AZ499" s="4284">
        <f t="shared" si="272"/>
        <v>0</v>
      </c>
      <c r="BA499" s="4284">
        <f t="shared" si="273"/>
        <v>0</v>
      </c>
      <c r="BB499" s="4284">
        <f t="shared" si="274"/>
        <v>0</v>
      </c>
      <c r="BC499" s="4284">
        <f t="shared" si="275"/>
        <v>0</v>
      </c>
      <c r="BD499" s="4284">
        <f t="shared" si="276"/>
        <v>0</v>
      </c>
      <c r="BE499" s="4284">
        <f t="shared" si="277"/>
        <v>0</v>
      </c>
      <c r="BF499" s="4284">
        <f t="shared" si="278"/>
        <v>0</v>
      </c>
      <c r="BG499" s="4284">
        <f t="shared" si="279"/>
        <v>0</v>
      </c>
      <c r="BH499" s="4284">
        <f t="shared" si="280"/>
        <v>0</v>
      </c>
      <c r="BI499" s="4284">
        <f t="shared" si="281"/>
        <v>0</v>
      </c>
      <c r="BJ499" s="4284">
        <f t="shared" si="282"/>
        <v>0</v>
      </c>
      <c r="BK499" s="4284">
        <f t="shared" si="283"/>
        <v>0</v>
      </c>
      <c r="BL499" s="4284">
        <f t="shared" si="284"/>
        <v>0</v>
      </c>
      <c r="BM499" s="4284">
        <f t="shared" si="285"/>
        <v>0</v>
      </c>
      <c r="BN499" s="4284">
        <f t="shared" si="286"/>
        <v>0</v>
      </c>
      <c r="BO499" s="4284">
        <f t="shared" si="287"/>
        <v>0</v>
      </c>
      <c r="BP499" s="4284">
        <f t="shared" si="288"/>
        <v>0</v>
      </c>
      <c r="BQ499" s="4284">
        <f t="shared" si="289"/>
        <v>0</v>
      </c>
      <c r="BR499" s="4284">
        <f t="shared" si="290"/>
        <v>0</v>
      </c>
      <c r="BS499" s="4284">
        <f t="shared" si="291"/>
        <v>0</v>
      </c>
      <c r="BT499" s="4285">
        <f t="shared" si="292"/>
        <v>0</v>
      </c>
    </row>
    <row r="500" spans="1:72">
      <c r="A500" s="4278"/>
      <c r="B500" s="4279"/>
      <c r="C500" s="4279"/>
      <c r="D500" s="4280"/>
      <c r="E500" s="1188">
        <f t="shared" si="293"/>
        <v>0</v>
      </c>
      <c r="F500" s="1680"/>
      <c r="G500" s="4281">
        <f t="shared" si="268"/>
        <v>0</v>
      </c>
      <c r="H500" s="3457">
        <f t="shared" si="269"/>
        <v>0</v>
      </c>
      <c r="I500" s="4282"/>
      <c r="J500" s="4282"/>
      <c r="K500" s="4282"/>
      <c r="L500" s="4282"/>
      <c r="M500" s="4282"/>
      <c r="N500" s="4282"/>
      <c r="O500" s="4282"/>
      <c r="P500" s="4282"/>
      <c r="Q500" s="4282"/>
      <c r="R500" s="4282"/>
      <c r="S500" s="4282"/>
      <c r="T500" s="4282"/>
      <c r="U500" s="4282"/>
      <c r="V500" s="4282"/>
      <c r="W500" s="4282"/>
      <c r="X500" s="4282"/>
      <c r="Y500" s="4282"/>
      <c r="Z500" s="4282"/>
      <c r="AA500" s="4282"/>
      <c r="AB500" s="4282"/>
      <c r="AC500" s="1188">
        <f t="shared" si="270"/>
        <v>0</v>
      </c>
      <c r="AD500" s="4278"/>
      <c r="AE500" s="4278"/>
      <c r="AF500" s="4278"/>
      <c r="AG500" s="4278"/>
      <c r="AH500" s="4278"/>
      <c r="AI500" s="4278"/>
      <c r="AJ500" s="4278"/>
      <c r="AK500" s="4278"/>
      <c r="AL500" s="4278"/>
      <c r="AM500" s="4278"/>
      <c r="AN500" s="4278"/>
      <c r="AO500" s="4278"/>
      <c r="AP500" s="4278"/>
      <c r="AQ500" s="4278"/>
      <c r="AR500" s="4278"/>
      <c r="AS500" s="4278"/>
      <c r="AT500" s="4279"/>
      <c r="AU500" s="4283"/>
      <c r="AV500" s="1188">
        <f t="shared" si="294"/>
        <v>0</v>
      </c>
      <c r="AW500" s="1188">
        <f t="shared" si="295"/>
        <v>0</v>
      </c>
      <c r="AX500" s="1188">
        <f t="shared" si="296"/>
        <v>0</v>
      </c>
      <c r="AY500" s="1452">
        <f t="shared" si="271"/>
        <v>0</v>
      </c>
      <c r="AZ500" s="4284">
        <f t="shared" si="272"/>
        <v>0</v>
      </c>
      <c r="BA500" s="4284">
        <f t="shared" si="273"/>
        <v>0</v>
      </c>
      <c r="BB500" s="4284">
        <f t="shared" si="274"/>
        <v>0</v>
      </c>
      <c r="BC500" s="4284">
        <f t="shared" si="275"/>
        <v>0</v>
      </c>
      <c r="BD500" s="4284">
        <f t="shared" si="276"/>
        <v>0</v>
      </c>
      <c r="BE500" s="4284">
        <f t="shared" si="277"/>
        <v>0</v>
      </c>
      <c r="BF500" s="4284">
        <f t="shared" si="278"/>
        <v>0</v>
      </c>
      <c r="BG500" s="4284">
        <f t="shared" si="279"/>
        <v>0</v>
      </c>
      <c r="BH500" s="4284">
        <f t="shared" si="280"/>
        <v>0</v>
      </c>
      <c r="BI500" s="4284">
        <f t="shared" si="281"/>
        <v>0</v>
      </c>
      <c r="BJ500" s="4284">
        <f t="shared" si="282"/>
        <v>0</v>
      </c>
      <c r="BK500" s="4284">
        <f t="shared" si="283"/>
        <v>0</v>
      </c>
      <c r="BL500" s="4284">
        <f t="shared" si="284"/>
        <v>0</v>
      </c>
      <c r="BM500" s="4284">
        <f t="shared" si="285"/>
        <v>0</v>
      </c>
      <c r="BN500" s="4284">
        <f t="shared" si="286"/>
        <v>0</v>
      </c>
      <c r="BO500" s="4284">
        <f t="shared" si="287"/>
        <v>0</v>
      </c>
      <c r="BP500" s="4284">
        <f t="shared" si="288"/>
        <v>0</v>
      </c>
      <c r="BQ500" s="4284">
        <f t="shared" si="289"/>
        <v>0</v>
      </c>
      <c r="BR500" s="4284">
        <f t="shared" si="290"/>
        <v>0</v>
      </c>
      <c r="BS500" s="4284">
        <f t="shared" si="291"/>
        <v>0</v>
      </c>
      <c r="BT500" s="4285">
        <f t="shared" si="292"/>
        <v>0</v>
      </c>
    </row>
    <row r="501" spans="1:72">
      <c r="A501" s="4278"/>
      <c r="B501" s="4279"/>
      <c r="C501" s="4279"/>
      <c r="D501" s="4280"/>
      <c r="E501" s="1188">
        <f t="shared" si="293"/>
        <v>0</v>
      </c>
      <c r="F501" s="1680"/>
      <c r="G501" s="4281">
        <f t="shared" si="268"/>
        <v>0</v>
      </c>
      <c r="H501" s="3457">
        <f t="shared" si="269"/>
        <v>0</v>
      </c>
      <c r="I501" s="4282"/>
      <c r="J501" s="4282"/>
      <c r="K501" s="4282"/>
      <c r="L501" s="4282"/>
      <c r="M501" s="4282"/>
      <c r="N501" s="4282"/>
      <c r="O501" s="4282"/>
      <c r="P501" s="4282"/>
      <c r="Q501" s="4282"/>
      <c r="R501" s="4282"/>
      <c r="S501" s="4282"/>
      <c r="T501" s="4282"/>
      <c r="U501" s="4282"/>
      <c r="V501" s="4282"/>
      <c r="W501" s="4282"/>
      <c r="X501" s="4282"/>
      <c r="Y501" s="4282"/>
      <c r="Z501" s="4282"/>
      <c r="AA501" s="4282"/>
      <c r="AB501" s="4282"/>
      <c r="AC501" s="1188">
        <f t="shared" si="270"/>
        <v>0</v>
      </c>
      <c r="AD501" s="4278"/>
      <c r="AE501" s="4278"/>
      <c r="AF501" s="4278"/>
      <c r="AG501" s="4278"/>
      <c r="AH501" s="4278"/>
      <c r="AI501" s="4278"/>
      <c r="AJ501" s="4278"/>
      <c r="AK501" s="4278"/>
      <c r="AL501" s="4278"/>
      <c r="AM501" s="4278"/>
      <c r="AN501" s="4278"/>
      <c r="AO501" s="4278"/>
      <c r="AP501" s="4278"/>
      <c r="AQ501" s="4278"/>
      <c r="AR501" s="4278"/>
      <c r="AS501" s="4278"/>
      <c r="AT501" s="4279"/>
      <c r="AU501" s="4283"/>
      <c r="AV501" s="1188">
        <f t="shared" si="294"/>
        <v>0</v>
      </c>
      <c r="AW501" s="1188">
        <f t="shared" si="295"/>
        <v>0</v>
      </c>
      <c r="AX501" s="1188">
        <f t="shared" si="296"/>
        <v>0</v>
      </c>
      <c r="AY501" s="1452">
        <f t="shared" si="271"/>
        <v>0</v>
      </c>
      <c r="AZ501" s="4284">
        <f t="shared" si="272"/>
        <v>0</v>
      </c>
      <c r="BA501" s="4284">
        <f t="shared" si="273"/>
        <v>0</v>
      </c>
      <c r="BB501" s="4284">
        <f t="shared" si="274"/>
        <v>0</v>
      </c>
      <c r="BC501" s="4284">
        <f t="shared" si="275"/>
        <v>0</v>
      </c>
      <c r="BD501" s="4284">
        <f t="shared" si="276"/>
        <v>0</v>
      </c>
      <c r="BE501" s="4284">
        <f t="shared" si="277"/>
        <v>0</v>
      </c>
      <c r="BF501" s="4284">
        <f t="shared" si="278"/>
        <v>0</v>
      </c>
      <c r="BG501" s="4284">
        <f t="shared" si="279"/>
        <v>0</v>
      </c>
      <c r="BH501" s="4284">
        <f t="shared" si="280"/>
        <v>0</v>
      </c>
      <c r="BI501" s="4284">
        <f t="shared" si="281"/>
        <v>0</v>
      </c>
      <c r="BJ501" s="4284">
        <f t="shared" si="282"/>
        <v>0</v>
      </c>
      <c r="BK501" s="4284">
        <f t="shared" si="283"/>
        <v>0</v>
      </c>
      <c r="BL501" s="4284">
        <f t="shared" si="284"/>
        <v>0</v>
      </c>
      <c r="BM501" s="4284">
        <f t="shared" si="285"/>
        <v>0</v>
      </c>
      <c r="BN501" s="4284">
        <f t="shared" si="286"/>
        <v>0</v>
      </c>
      <c r="BO501" s="4284">
        <f t="shared" si="287"/>
        <v>0</v>
      </c>
      <c r="BP501" s="4284">
        <f t="shared" si="288"/>
        <v>0</v>
      </c>
      <c r="BQ501" s="4284">
        <f t="shared" si="289"/>
        <v>0</v>
      </c>
      <c r="BR501" s="4284">
        <f t="shared" si="290"/>
        <v>0</v>
      </c>
      <c r="BS501" s="4284">
        <f t="shared" si="291"/>
        <v>0</v>
      </c>
      <c r="BT501" s="4285">
        <f t="shared" si="292"/>
        <v>0</v>
      </c>
    </row>
    <row r="502" spans="1:72">
      <c r="A502" s="4278"/>
      <c r="B502" s="4279"/>
      <c r="C502" s="4279"/>
      <c r="D502" s="4280"/>
      <c r="E502" s="1188">
        <f t="shared" si="293"/>
        <v>0</v>
      </c>
      <c r="F502" s="1680"/>
      <c r="G502" s="4281">
        <f t="shared" si="268"/>
        <v>0</v>
      </c>
      <c r="H502" s="3457">
        <f t="shared" si="269"/>
        <v>0</v>
      </c>
      <c r="I502" s="4282"/>
      <c r="J502" s="4282"/>
      <c r="K502" s="4282"/>
      <c r="L502" s="4282"/>
      <c r="M502" s="4282"/>
      <c r="N502" s="4282"/>
      <c r="O502" s="4282"/>
      <c r="P502" s="4282"/>
      <c r="Q502" s="4282"/>
      <c r="R502" s="4282"/>
      <c r="S502" s="4282"/>
      <c r="T502" s="4282"/>
      <c r="U502" s="4282"/>
      <c r="V502" s="4282"/>
      <c r="W502" s="4282"/>
      <c r="X502" s="4282"/>
      <c r="Y502" s="4282"/>
      <c r="Z502" s="4282"/>
      <c r="AA502" s="4282"/>
      <c r="AB502" s="4282"/>
      <c r="AC502" s="1188">
        <f t="shared" si="270"/>
        <v>0</v>
      </c>
      <c r="AD502" s="4278"/>
      <c r="AE502" s="4278"/>
      <c r="AF502" s="4278"/>
      <c r="AG502" s="4278"/>
      <c r="AH502" s="4278"/>
      <c r="AI502" s="4278"/>
      <c r="AJ502" s="4278"/>
      <c r="AK502" s="4278"/>
      <c r="AL502" s="4278"/>
      <c r="AM502" s="4278"/>
      <c r="AN502" s="4278"/>
      <c r="AO502" s="4278"/>
      <c r="AP502" s="4278"/>
      <c r="AQ502" s="4278"/>
      <c r="AR502" s="4278"/>
      <c r="AS502" s="4278"/>
      <c r="AT502" s="4279"/>
      <c r="AU502" s="4283"/>
      <c r="AV502" s="1188">
        <f t="shared" si="294"/>
        <v>0</v>
      </c>
      <c r="AW502" s="1188">
        <f t="shared" si="295"/>
        <v>0</v>
      </c>
      <c r="AX502" s="1188">
        <f t="shared" si="296"/>
        <v>0</v>
      </c>
      <c r="AY502" s="1452">
        <f t="shared" si="271"/>
        <v>0</v>
      </c>
      <c r="AZ502" s="4284">
        <f t="shared" si="272"/>
        <v>0</v>
      </c>
      <c r="BA502" s="4284">
        <f t="shared" si="273"/>
        <v>0</v>
      </c>
      <c r="BB502" s="4284">
        <f t="shared" si="274"/>
        <v>0</v>
      </c>
      <c r="BC502" s="4284">
        <f t="shared" si="275"/>
        <v>0</v>
      </c>
      <c r="BD502" s="4284">
        <f t="shared" si="276"/>
        <v>0</v>
      </c>
      <c r="BE502" s="4284">
        <f t="shared" si="277"/>
        <v>0</v>
      </c>
      <c r="BF502" s="4284">
        <f t="shared" si="278"/>
        <v>0</v>
      </c>
      <c r="BG502" s="4284">
        <f t="shared" si="279"/>
        <v>0</v>
      </c>
      <c r="BH502" s="4284">
        <f t="shared" si="280"/>
        <v>0</v>
      </c>
      <c r="BI502" s="4284">
        <f t="shared" si="281"/>
        <v>0</v>
      </c>
      <c r="BJ502" s="4284">
        <f t="shared" si="282"/>
        <v>0</v>
      </c>
      <c r="BK502" s="4284">
        <f t="shared" si="283"/>
        <v>0</v>
      </c>
      <c r="BL502" s="4284">
        <f t="shared" si="284"/>
        <v>0</v>
      </c>
      <c r="BM502" s="4284">
        <f t="shared" si="285"/>
        <v>0</v>
      </c>
      <c r="BN502" s="4284">
        <f t="shared" si="286"/>
        <v>0</v>
      </c>
      <c r="BO502" s="4284">
        <f t="shared" si="287"/>
        <v>0</v>
      </c>
      <c r="BP502" s="4284">
        <f t="shared" si="288"/>
        <v>0</v>
      </c>
      <c r="BQ502" s="4284">
        <f t="shared" si="289"/>
        <v>0</v>
      </c>
      <c r="BR502" s="4284">
        <f t="shared" si="290"/>
        <v>0</v>
      </c>
      <c r="BS502" s="4284">
        <f t="shared" si="291"/>
        <v>0</v>
      </c>
      <c r="BT502" s="4285">
        <f t="shared" si="292"/>
        <v>0</v>
      </c>
    </row>
    <row r="503" spans="1:72">
      <c r="A503" s="4278"/>
      <c r="B503" s="4279"/>
      <c r="C503" s="4279"/>
      <c r="D503" s="4280"/>
      <c r="E503" s="1188">
        <f t="shared" si="293"/>
        <v>0</v>
      </c>
      <c r="F503" s="1680"/>
      <c r="G503" s="4281">
        <f t="shared" si="268"/>
        <v>0</v>
      </c>
      <c r="H503" s="3457">
        <f t="shared" si="269"/>
        <v>0</v>
      </c>
      <c r="I503" s="4282"/>
      <c r="J503" s="4282"/>
      <c r="K503" s="4282"/>
      <c r="L503" s="4282"/>
      <c r="M503" s="4282"/>
      <c r="N503" s="4282"/>
      <c r="O503" s="4282"/>
      <c r="P503" s="4282"/>
      <c r="Q503" s="4282"/>
      <c r="R503" s="4282"/>
      <c r="S503" s="4282"/>
      <c r="T503" s="4282"/>
      <c r="U503" s="4282"/>
      <c r="V503" s="4282"/>
      <c r="W503" s="4282"/>
      <c r="X503" s="4282"/>
      <c r="Y503" s="4282"/>
      <c r="Z503" s="4282"/>
      <c r="AA503" s="4282"/>
      <c r="AB503" s="4282"/>
      <c r="AC503" s="1188">
        <f t="shared" si="270"/>
        <v>0</v>
      </c>
      <c r="AD503" s="4278"/>
      <c r="AE503" s="4278"/>
      <c r="AF503" s="4278"/>
      <c r="AG503" s="4278"/>
      <c r="AH503" s="4278"/>
      <c r="AI503" s="4278"/>
      <c r="AJ503" s="4278"/>
      <c r="AK503" s="4278"/>
      <c r="AL503" s="4278"/>
      <c r="AM503" s="4278"/>
      <c r="AN503" s="4278"/>
      <c r="AO503" s="4278"/>
      <c r="AP503" s="4278"/>
      <c r="AQ503" s="4278"/>
      <c r="AR503" s="4278"/>
      <c r="AS503" s="4278"/>
      <c r="AT503" s="4279"/>
      <c r="AU503" s="4283"/>
      <c r="AV503" s="1188">
        <f t="shared" si="294"/>
        <v>0</v>
      </c>
      <c r="AW503" s="1188">
        <f t="shared" si="295"/>
        <v>0</v>
      </c>
      <c r="AX503" s="1188">
        <f t="shared" si="296"/>
        <v>0</v>
      </c>
      <c r="AY503" s="1452">
        <f t="shared" si="271"/>
        <v>0</v>
      </c>
      <c r="AZ503" s="4284">
        <f t="shared" si="272"/>
        <v>0</v>
      </c>
      <c r="BA503" s="4284">
        <f t="shared" si="273"/>
        <v>0</v>
      </c>
      <c r="BB503" s="4284">
        <f t="shared" si="274"/>
        <v>0</v>
      </c>
      <c r="BC503" s="4284">
        <f t="shared" si="275"/>
        <v>0</v>
      </c>
      <c r="BD503" s="4284">
        <f t="shared" si="276"/>
        <v>0</v>
      </c>
      <c r="BE503" s="4284">
        <f t="shared" si="277"/>
        <v>0</v>
      </c>
      <c r="BF503" s="4284">
        <f t="shared" si="278"/>
        <v>0</v>
      </c>
      <c r="BG503" s="4284">
        <f t="shared" si="279"/>
        <v>0</v>
      </c>
      <c r="BH503" s="4284">
        <f t="shared" si="280"/>
        <v>0</v>
      </c>
      <c r="BI503" s="4284">
        <f t="shared" si="281"/>
        <v>0</v>
      </c>
      <c r="BJ503" s="4284">
        <f t="shared" si="282"/>
        <v>0</v>
      </c>
      <c r="BK503" s="4284">
        <f t="shared" si="283"/>
        <v>0</v>
      </c>
      <c r="BL503" s="4284">
        <f t="shared" si="284"/>
        <v>0</v>
      </c>
      <c r="BM503" s="4284">
        <f t="shared" si="285"/>
        <v>0</v>
      </c>
      <c r="BN503" s="4284">
        <f t="shared" si="286"/>
        <v>0</v>
      </c>
      <c r="BO503" s="4284">
        <f t="shared" si="287"/>
        <v>0</v>
      </c>
      <c r="BP503" s="4284">
        <f t="shared" si="288"/>
        <v>0</v>
      </c>
      <c r="BQ503" s="4284">
        <f t="shared" si="289"/>
        <v>0</v>
      </c>
      <c r="BR503" s="4284">
        <f t="shared" si="290"/>
        <v>0</v>
      </c>
      <c r="BS503" s="4284">
        <f t="shared" si="291"/>
        <v>0</v>
      </c>
      <c r="BT503" s="4285">
        <f t="shared" si="292"/>
        <v>0</v>
      </c>
    </row>
    <row r="504" spans="1:72">
      <c r="A504" s="4278"/>
      <c r="B504" s="4279"/>
      <c r="C504" s="4279"/>
      <c r="D504" s="4280"/>
      <c r="E504" s="1188">
        <f t="shared" si="293"/>
        <v>0</v>
      </c>
      <c r="F504" s="1680"/>
      <c r="G504" s="4281">
        <f t="shared" si="268"/>
        <v>0</v>
      </c>
      <c r="H504" s="3457">
        <f t="shared" si="269"/>
        <v>0</v>
      </c>
      <c r="I504" s="4282"/>
      <c r="J504" s="4282"/>
      <c r="K504" s="4282"/>
      <c r="L504" s="4282"/>
      <c r="M504" s="4282"/>
      <c r="N504" s="4282"/>
      <c r="O504" s="4282"/>
      <c r="P504" s="4282"/>
      <c r="Q504" s="4282"/>
      <c r="R504" s="4282"/>
      <c r="S504" s="4282"/>
      <c r="T504" s="4282"/>
      <c r="U504" s="4282"/>
      <c r="V504" s="4282"/>
      <c r="W504" s="4282"/>
      <c r="X504" s="4282"/>
      <c r="Y504" s="4282"/>
      <c r="Z504" s="4282"/>
      <c r="AA504" s="4282"/>
      <c r="AB504" s="4282"/>
      <c r="AC504" s="1188">
        <f t="shared" si="270"/>
        <v>0</v>
      </c>
      <c r="AD504" s="4278"/>
      <c r="AE504" s="4278"/>
      <c r="AF504" s="4278"/>
      <c r="AG504" s="4278"/>
      <c r="AH504" s="4278"/>
      <c r="AI504" s="4278"/>
      <c r="AJ504" s="4278"/>
      <c r="AK504" s="4278"/>
      <c r="AL504" s="4278"/>
      <c r="AM504" s="4278"/>
      <c r="AN504" s="4278"/>
      <c r="AO504" s="4278"/>
      <c r="AP504" s="4278"/>
      <c r="AQ504" s="4278"/>
      <c r="AR504" s="4278"/>
      <c r="AS504" s="4278"/>
      <c r="AT504" s="4279"/>
      <c r="AU504" s="4283"/>
      <c r="AV504" s="1188">
        <f t="shared" si="294"/>
        <v>0</v>
      </c>
      <c r="AW504" s="1188">
        <f t="shared" si="295"/>
        <v>0</v>
      </c>
      <c r="AX504" s="1188">
        <f t="shared" si="296"/>
        <v>0</v>
      </c>
      <c r="AY504" s="1452">
        <f t="shared" si="271"/>
        <v>0</v>
      </c>
      <c r="AZ504" s="4284">
        <f t="shared" si="272"/>
        <v>0</v>
      </c>
      <c r="BA504" s="4284">
        <f t="shared" si="273"/>
        <v>0</v>
      </c>
      <c r="BB504" s="4284">
        <f t="shared" si="274"/>
        <v>0</v>
      </c>
      <c r="BC504" s="4284">
        <f t="shared" si="275"/>
        <v>0</v>
      </c>
      <c r="BD504" s="4284">
        <f t="shared" si="276"/>
        <v>0</v>
      </c>
      <c r="BE504" s="4284">
        <f t="shared" si="277"/>
        <v>0</v>
      </c>
      <c r="BF504" s="4284">
        <f t="shared" si="278"/>
        <v>0</v>
      </c>
      <c r="BG504" s="4284">
        <f t="shared" si="279"/>
        <v>0</v>
      </c>
      <c r="BH504" s="4284">
        <f t="shared" si="280"/>
        <v>0</v>
      </c>
      <c r="BI504" s="4284">
        <f t="shared" si="281"/>
        <v>0</v>
      </c>
      <c r="BJ504" s="4284">
        <f t="shared" si="282"/>
        <v>0</v>
      </c>
      <c r="BK504" s="4284">
        <f t="shared" si="283"/>
        <v>0</v>
      </c>
      <c r="BL504" s="4284">
        <f t="shared" si="284"/>
        <v>0</v>
      </c>
      <c r="BM504" s="4284">
        <f t="shared" si="285"/>
        <v>0</v>
      </c>
      <c r="BN504" s="4284">
        <f t="shared" si="286"/>
        <v>0</v>
      </c>
      <c r="BO504" s="4284">
        <f t="shared" si="287"/>
        <v>0</v>
      </c>
      <c r="BP504" s="4284">
        <f t="shared" si="288"/>
        <v>0</v>
      </c>
      <c r="BQ504" s="4284">
        <f t="shared" si="289"/>
        <v>0</v>
      </c>
      <c r="BR504" s="4284">
        <f t="shared" si="290"/>
        <v>0</v>
      </c>
      <c r="BS504" s="4284">
        <f t="shared" si="291"/>
        <v>0</v>
      </c>
      <c r="BT504" s="4285">
        <f t="shared" si="292"/>
        <v>0</v>
      </c>
    </row>
    <row r="505" spans="1:72">
      <c r="A505" s="4278"/>
      <c r="B505" s="4279"/>
      <c r="C505" s="4279"/>
      <c r="D505" s="4280"/>
      <c r="E505" s="1188">
        <f t="shared" si="293"/>
        <v>0</v>
      </c>
      <c r="F505" s="1680"/>
      <c r="G505" s="4281">
        <f t="shared" si="268"/>
        <v>0</v>
      </c>
      <c r="H505" s="3457">
        <f t="shared" si="269"/>
        <v>0</v>
      </c>
      <c r="I505" s="4282"/>
      <c r="J505" s="4282"/>
      <c r="K505" s="4282"/>
      <c r="L505" s="4282"/>
      <c r="M505" s="4282"/>
      <c r="N505" s="4282"/>
      <c r="O505" s="4282"/>
      <c r="P505" s="4282"/>
      <c r="Q505" s="4282"/>
      <c r="R505" s="4282"/>
      <c r="S505" s="4282"/>
      <c r="T505" s="4282"/>
      <c r="U505" s="4282"/>
      <c r="V505" s="4282"/>
      <c r="W505" s="4282"/>
      <c r="X505" s="4282"/>
      <c r="Y505" s="4282"/>
      <c r="Z505" s="4282"/>
      <c r="AA505" s="4282"/>
      <c r="AB505" s="4282"/>
      <c r="AC505" s="1188">
        <f t="shared" si="270"/>
        <v>0</v>
      </c>
      <c r="AD505" s="4278"/>
      <c r="AE505" s="4278"/>
      <c r="AF505" s="4278"/>
      <c r="AG505" s="4278"/>
      <c r="AH505" s="4278"/>
      <c r="AI505" s="4278"/>
      <c r="AJ505" s="4278"/>
      <c r="AK505" s="4278"/>
      <c r="AL505" s="4278"/>
      <c r="AM505" s="4278"/>
      <c r="AN505" s="4278"/>
      <c r="AO505" s="4278"/>
      <c r="AP505" s="4278"/>
      <c r="AQ505" s="4278"/>
      <c r="AR505" s="4278"/>
      <c r="AS505" s="4278"/>
      <c r="AT505" s="4279"/>
      <c r="AU505" s="4283"/>
      <c r="AV505" s="1188">
        <f t="shared" si="294"/>
        <v>0</v>
      </c>
      <c r="AW505" s="1188">
        <f t="shared" si="295"/>
        <v>0</v>
      </c>
      <c r="AX505" s="1188">
        <f t="shared" si="296"/>
        <v>0</v>
      </c>
      <c r="AY505" s="1452">
        <f t="shared" si="271"/>
        <v>0</v>
      </c>
      <c r="AZ505" s="4284">
        <f t="shared" si="272"/>
        <v>0</v>
      </c>
      <c r="BA505" s="4284">
        <f t="shared" si="273"/>
        <v>0</v>
      </c>
      <c r="BB505" s="4284">
        <f t="shared" si="274"/>
        <v>0</v>
      </c>
      <c r="BC505" s="4284">
        <f t="shared" si="275"/>
        <v>0</v>
      </c>
      <c r="BD505" s="4284">
        <f t="shared" si="276"/>
        <v>0</v>
      </c>
      <c r="BE505" s="4284">
        <f t="shared" si="277"/>
        <v>0</v>
      </c>
      <c r="BF505" s="4284">
        <f t="shared" si="278"/>
        <v>0</v>
      </c>
      <c r="BG505" s="4284">
        <f t="shared" si="279"/>
        <v>0</v>
      </c>
      <c r="BH505" s="4284">
        <f t="shared" si="280"/>
        <v>0</v>
      </c>
      <c r="BI505" s="4284">
        <f t="shared" si="281"/>
        <v>0</v>
      </c>
      <c r="BJ505" s="4284">
        <f t="shared" si="282"/>
        <v>0</v>
      </c>
      <c r="BK505" s="4284">
        <f t="shared" si="283"/>
        <v>0</v>
      </c>
      <c r="BL505" s="4284">
        <f t="shared" si="284"/>
        <v>0</v>
      </c>
      <c r="BM505" s="4284">
        <f t="shared" si="285"/>
        <v>0</v>
      </c>
      <c r="BN505" s="4284">
        <f t="shared" si="286"/>
        <v>0</v>
      </c>
      <c r="BO505" s="4284">
        <f t="shared" si="287"/>
        <v>0</v>
      </c>
      <c r="BP505" s="4284">
        <f t="shared" si="288"/>
        <v>0</v>
      </c>
      <c r="BQ505" s="4284">
        <f t="shared" si="289"/>
        <v>0</v>
      </c>
      <c r="BR505" s="4284">
        <f t="shared" si="290"/>
        <v>0</v>
      </c>
      <c r="BS505" s="4284">
        <f t="shared" si="291"/>
        <v>0</v>
      </c>
      <c r="BT505" s="4285">
        <f t="shared" si="292"/>
        <v>0</v>
      </c>
    </row>
    <row r="506" spans="1:72">
      <c r="A506" s="4278"/>
      <c r="B506" s="4279"/>
      <c r="C506" s="4279"/>
      <c r="D506" s="4280"/>
      <c r="E506" s="1188">
        <f t="shared" si="293"/>
        <v>0</v>
      </c>
      <c r="F506" s="1680"/>
      <c r="G506" s="4281">
        <f t="shared" si="268"/>
        <v>0</v>
      </c>
      <c r="H506" s="3457">
        <f t="shared" si="269"/>
        <v>0</v>
      </c>
      <c r="I506" s="4282"/>
      <c r="J506" s="4282"/>
      <c r="K506" s="4282"/>
      <c r="L506" s="4282"/>
      <c r="M506" s="4282"/>
      <c r="N506" s="4282"/>
      <c r="O506" s="4282"/>
      <c r="P506" s="4282"/>
      <c r="Q506" s="4282"/>
      <c r="R506" s="4282"/>
      <c r="S506" s="4282"/>
      <c r="T506" s="4282"/>
      <c r="U506" s="4282"/>
      <c r="V506" s="4282"/>
      <c r="W506" s="4282"/>
      <c r="X506" s="4282"/>
      <c r="Y506" s="4282"/>
      <c r="Z506" s="4282"/>
      <c r="AA506" s="4282"/>
      <c r="AB506" s="4282"/>
      <c r="AC506" s="1188">
        <f t="shared" si="270"/>
        <v>0</v>
      </c>
      <c r="AD506" s="4278"/>
      <c r="AE506" s="4278"/>
      <c r="AF506" s="4278"/>
      <c r="AG506" s="4278"/>
      <c r="AH506" s="4278"/>
      <c r="AI506" s="4278"/>
      <c r="AJ506" s="4278"/>
      <c r="AK506" s="4278"/>
      <c r="AL506" s="4278"/>
      <c r="AM506" s="4278"/>
      <c r="AN506" s="4278"/>
      <c r="AO506" s="4278"/>
      <c r="AP506" s="4278"/>
      <c r="AQ506" s="4278"/>
      <c r="AR506" s="4278"/>
      <c r="AS506" s="4278"/>
      <c r="AT506" s="4279"/>
      <c r="AU506" s="4283"/>
      <c r="AV506" s="1188">
        <f t="shared" si="294"/>
        <v>0</v>
      </c>
      <c r="AW506" s="1188">
        <f t="shared" si="295"/>
        <v>0</v>
      </c>
      <c r="AX506" s="1188">
        <f t="shared" si="296"/>
        <v>0</v>
      </c>
      <c r="AY506" s="1452">
        <f t="shared" si="271"/>
        <v>0</v>
      </c>
      <c r="AZ506" s="4284">
        <f t="shared" si="272"/>
        <v>0</v>
      </c>
      <c r="BA506" s="4284">
        <f t="shared" si="273"/>
        <v>0</v>
      </c>
      <c r="BB506" s="4284">
        <f t="shared" si="274"/>
        <v>0</v>
      </c>
      <c r="BC506" s="4284">
        <f t="shared" si="275"/>
        <v>0</v>
      </c>
      <c r="BD506" s="4284">
        <f t="shared" si="276"/>
        <v>0</v>
      </c>
      <c r="BE506" s="4284">
        <f t="shared" si="277"/>
        <v>0</v>
      </c>
      <c r="BF506" s="4284">
        <f t="shared" si="278"/>
        <v>0</v>
      </c>
      <c r="BG506" s="4284">
        <f t="shared" si="279"/>
        <v>0</v>
      </c>
      <c r="BH506" s="4284">
        <f t="shared" si="280"/>
        <v>0</v>
      </c>
      <c r="BI506" s="4284">
        <f t="shared" si="281"/>
        <v>0</v>
      </c>
      <c r="BJ506" s="4284">
        <f t="shared" si="282"/>
        <v>0</v>
      </c>
      <c r="BK506" s="4284">
        <f t="shared" si="283"/>
        <v>0</v>
      </c>
      <c r="BL506" s="4284">
        <f t="shared" si="284"/>
        <v>0</v>
      </c>
      <c r="BM506" s="4284">
        <f t="shared" si="285"/>
        <v>0</v>
      </c>
      <c r="BN506" s="4284">
        <f t="shared" si="286"/>
        <v>0</v>
      </c>
      <c r="BO506" s="4284">
        <f t="shared" si="287"/>
        <v>0</v>
      </c>
      <c r="BP506" s="4284">
        <f t="shared" si="288"/>
        <v>0</v>
      </c>
      <c r="BQ506" s="4284">
        <f t="shared" si="289"/>
        <v>0</v>
      </c>
      <c r="BR506" s="4284">
        <f t="shared" si="290"/>
        <v>0</v>
      </c>
      <c r="BS506" s="4284">
        <f t="shared" si="291"/>
        <v>0</v>
      </c>
      <c r="BT506" s="4285">
        <f t="shared" si="292"/>
        <v>0</v>
      </c>
    </row>
    <row r="507" spans="1:72">
      <c r="A507" s="4278"/>
      <c r="B507" s="4279"/>
      <c r="C507" s="4279"/>
      <c r="D507" s="4280"/>
      <c r="E507" s="1188">
        <f t="shared" si="293"/>
        <v>0</v>
      </c>
      <c r="F507" s="1680"/>
      <c r="G507" s="4281">
        <f t="shared" si="268"/>
        <v>0</v>
      </c>
      <c r="H507" s="3457">
        <f t="shared" si="269"/>
        <v>0</v>
      </c>
      <c r="I507" s="4282"/>
      <c r="J507" s="4282"/>
      <c r="K507" s="4282"/>
      <c r="L507" s="4282"/>
      <c r="M507" s="4282"/>
      <c r="N507" s="4282"/>
      <c r="O507" s="4282"/>
      <c r="P507" s="4282"/>
      <c r="Q507" s="4282"/>
      <c r="R507" s="4282"/>
      <c r="S507" s="4282"/>
      <c r="T507" s="4282"/>
      <c r="U507" s="4282"/>
      <c r="V507" s="4282"/>
      <c r="W507" s="4282"/>
      <c r="X507" s="4282"/>
      <c r="Y507" s="4282"/>
      <c r="Z507" s="4282"/>
      <c r="AA507" s="4282"/>
      <c r="AB507" s="4282"/>
      <c r="AC507" s="1188">
        <f t="shared" si="270"/>
        <v>0</v>
      </c>
      <c r="AD507" s="4278"/>
      <c r="AE507" s="4278"/>
      <c r="AF507" s="4278"/>
      <c r="AG507" s="4278"/>
      <c r="AH507" s="4278"/>
      <c r="AI507" s="4278"/>
      <c r="AJ507" s="4278"/>
      <c r="AK507" s="4278"/>
      <c r="AL507" s="4278"/>
      <c r="AM507" s="4278"/>
      <c r="AN507" s="4278"/>
      <c r="AO507" s="4278"/>
      <c r="AP507" s="4278"/>
      <c r="AQ507" s="4278"/>
      <c r="AR507" s="4278"/>
      <c r="AS507" s="4278"/>
      <c r="AT507" s="4279"/>
      <c r="AU507" s="4283"/>
      <c r="AV507" s="1188">
        <f t="shared" si="294"/>
        <v>0</v>
      </c>
      <c r="AW507" s="1188">
        <f t="shared" si="295"/>
        <v>0</v>
      </c>
      <c r="AX507" s="1188">
        <f t="shared" si="296"/>
        <v>0</v>
      </c>
      <c r="AY507" s="1452">
        <f t="shared" si="271"/>
        <v>0</v>
      </c>
      <c r="AZ507" s="4284">
        <f t="shared" si="272"/>
        <v>0</v>
      </c>
      <c r="BA507" s="4284">
        <f t="shared" si="273"/>
        <v>0</v>
      </c>
      <c r="BB507" s="4284">
        <f t="shared" si="274"/>
        <v>0</v>
      </c>
      <c r="BC507" s="4284">
        <f t="shared" si="275"/>
        <v>0</v>
      </c>
      <c r="BD507" s="4284">
        <f t="shared" si="276"/>
        <v>0</v>
      </c>
      <c r="BE507" s="4284">
        <f t="shared" si="277"/>
        <v>0</v>
      </c>
      <c r="BF507" s="4284">
        <f t="shared" si="278"/>
        <v>0</v>
      </c>
      <c r="BG507" s="4284">
        <f t="shared" si="279"/>
        <v>0</v>
      </c>
      <c r="BH507" s="4284">
        <f t="shared" si="280"/>
        <v>0</v>
      </c>
      <c r="BI507" s="4284">
        <f t="shared" si="281"/>
        <v>0</v>
      </c>
      <c r="BJ507" s="4284">
        <f t="shared" si="282"/>
        <v>0</v>
      </c>
      <c r="BK507" s="4284">
        <f t="shared" si="283"/>
        <v>0</v>
      </c>
      <c r="BL507" s="4284">
        <f t="shared" si="284"/>
        <v>0</v>
      </c>
      <c r="BM507" s="4284">
        <f t="shared" si="285"/>
        <v>0</v>
      </c>
      <c r="BN507" s="4284">
        <f t="shared" si="286"/>
        <v>0</v>
      </c>
      <c r="BO507" s="4284">
        <f t="shared" si="287"/>
        <v>0</v>
      </c>
      <c r="BP507" s="4284">
        <f t="shared" si="288"/>
        <v>0</v>
      </c>
      <c r="BQ507" s="4284">
        <f t="shared" si="289"/>
        <v>0</v>
      </c>
      <c r="BR507" s="4284">
        <f t="shared" si="290"/>
        <v>0</v>
      </c>
      <c r="BS507" s="4284">
        <f t="shared" si="291"/>
        <v>0</v>
      </c>
      <c r="BT507" s="4285">
        <f t="shared" si="292"/>
        <v>0</v>
      </c>
    </row>
    <row r="508" spans="1:72">
      <c r="A508" s="4278"/>
      <c r="B508" s="4279"/>
      <c r="C508" s="4279"/>
      <c r="D508" s="4280"/>
      <c r="E508" s="1188">
        <f t="shared" si="293"/>
        <v>0</v>
      </c>
      <c r="F508" s="1680"/>
      <c r="G508" s="4281">
        <f t="shared" si="268"/>
        <v>0</v>
      </c>
      <c r="H508" s="3457">
        <f t="shared" si="269"/>
        <v>0</v>
      </c>
      <c r="I508" s="4282"/>
      <c r="J508" s="4282"/>
      <c r="K508" s="4282"/>
      <c r="L508" s="4282"/>
      <c r="M508" s="4282"/>
      <c r="N508" s="4282"/>
      <c r="O508" s="4282"/>
      <c r="P508" s="4282"/>
      <c r="Q508" s="4282"/>
      <c r="R508" s="4282"/>
      <c r="S508" s="4282"/>
      <c r="T508" s="4282"/>
      <c r="U508" s="4282"/>
      <c r="V508" s="4282"/>
      <c r="W508" s="4282"/>
      <c r="X508" s="4282"/>
      <c r="Y508" s="4282"/>
      <c r="Z508" s="4282"/>
      <c r="AA508" s="4282"/>
      <c r="AB508" s="4282"/>
      <c r="AC508" s="1188">
        <f t="shared" si="270"/>
        <v>0</v>
      </c>
      <c r="AD508" s="4278"/>
      <c r="AE508" s="4278"/>
      <c r="AF508" s="4278"/>
      <c r="AG508" s="4278"/>
      <c r="AH508" s="4278"/>
      <c r="AI508" s="4278"/>
      <c r="AJ508" s="4278"/>
      <c r="AK508" s="4278"/>
      <c r="AL508" s="4278"/>
      <c r="AM508" s="4278"/>
      <c r="AN508" s="4278"/>
      <c r="AO508" s="4278"/>
      <c r="AP508" s="4278"/>
      <c r="AQ508" s="4278"/>
      <c r="AR508" s="4278"/>
      <c r="AS508" s="4278"/>
      <c r="AT508" s="4279"/>
      <c r="AU508" s="4283"/>
      <c r="AV508" s="1188">
        <f t="shared" si="294"/>
        <v>0</v>
      </c>
      <c r="AW508" s="1188">
        <f t="shared" si="295"/>
        <v>0</v>
      </c>
      <c r="AX508" s="1188">
        <f t="shared" si="296"/>
        <v>0</v>
      </c>
      <c r="AY508" s="1452">
        <f t="shared" si="271"/>
        <v>0</v>
      </c>
      <c r="AZ508" s="4284">
        <f t="shared" si="272"/>
        <v>0</v>
      </c>
      <c r="BA508" s="4284">
        <f t="shared" si="273"/>
        <v>0</v>
      </c>
      <c r="BB508" s="4284">
        <f t="shared" si="274"/>
        <v>0</v>
      </c>
      <c r="BC508" s="4284">
        <f t="shared" si="275"/>
        <v>0</v>
      </c>
      <c r="BD508" s="4284">
        <f t="shared" si="276"/>
        <v>0</v>
      </c>
      <c r="BE508" s="4284">
        <f t="shared" si="277"/>
        <v>0</v>
      </c>
      <c r="BF508" s="4284">
        <f t="shared" si="278"/>
        <v>0</v>
      </c>
      <c r="BG508" s="4284">
        <f t="shared" si="279"/>
        <v>0</v>
      </c>
      <c r="BH508" s="4284">
        <f t="shared" si="280"/>
        <v>0</v>
      </c>
      <c r="BI508" s="4284">
        <f t="shared" si="281"/>
        <v>0</v>
      </c>
      <c r="BJ508" s="4284">
        <f t="shared" si="282"/>
        <v>0</v>
      </c>
      <c r="BK508" s="4284">
        <f t="shared" si="283"/>
        <v>0</v>
      </c>
      <c r="BL508" s="4284">
        <f t="shared" si="284"/>
        <v>0</v>
      </c>
      <c r="BM508" s="4284">
        <f t="shared" si="285"/>
        <v>0</v>
      </c>
      <c r="BN508" s="4284">
        <f t="shared" si="286"/>
        <v>0</v>
      </c>
      <c r="BO508" s="4284">
        <f t="shared" si="287"/>
        <v>0</v>
      </c>
      <c r="BP508" s="4284">
        <f t="shared" si="288"/>
        <v>0</v>
      </c>
      <c r="BQ508" s="4284">
        <f t="shared" si="289"/>
        <v>0</v>
      </c>
      <c r="BR508" s="4284">
        <f t="shared" si="290"/>
        <v>0</v>
      </c>
      <c r="BS508" s="4284">
        <f t="shared" si="291"/>
        <v>0</v>
      </c>
      <c r="BT508" s="4285">
        <f t="shared" si="292"/>
        <v>0</v>
      </c>
    </row>
    <row r="509" spans="1:72">
      <c r="A509" s="4278"/>
      <c r="B509" s="4279"/>
      <c r="C509" s="4279"/>
      <c r="D509" s="4280"/>
      <c r="E509" s="1188">
        <f t="shared" si="293"/>
        <v>0</v>
      </c>
      <c r="F509" s="1680"/>
      <c r="G509" s="4281">
        <f t="shared" si="268"/>
        <v>0</v>
      </c>
      <c r="H509" s="3457">
        <f t="shared" si="269"/>
        <v>0</v>
      </c>
      <c r="I509" s="4282"/>
      <c r="J509" s="4282"/>
      <c r="K509" s="4282"/>
      <c r="L509" s="4282"/>
      <c r="M509" s="4282"/>
      <c r="N509" s="4282"/>
      <c r="O509" s="4282"/>
      <c r="P509" s="4282"/>
      <c r="Q509" s="4282"/>
      <c r="R509" s="4282"/>
      <c r="S509" s="4282"/>
      <c r="T509" s="4282"/>
      <c r="U509" s="4282"/>
      <c r="V509" s="4282"/>
      <c r="W509" s="4282"/>
      <c r="X509" s="4282"/>
      <c r="Y509" s="4282"/>
      <c r="Z509" s="4282"/>
      <c r="AA509" s="4282"/>
      <c r="AB509" s="4282"/>
      <c r="AC509" s="1188">
        <f t="shared" si="270"/>
        <v>0</v>
      </c>
      <c r="AD509" s="4278"/>
      <c r="AE509" s="4278"/>
      <c r="AF509" s="4278"/>
      <c r="AG509" s="4278"/>
      <c r="AH509" s="4278"/>
      <c r="AI509" s="4278"/>
      <c r="AJ509" s="4278"/>
      <c r="AK509" s="4278"/>
      <c r="AL509" s="4278"/>
      <c r="AM509" s="4278"/>
      <c r="AN509" s="4278"/>
      <c r="AO509" s="4278"/>
      <c r="AP509" s="4278"/>
      <c r="AQ509" s="4278"/>
      <c r="AR509" s="4278"/>
      <c r="AS509" s="4278"/>
      <c r="AT509" s="4279"/>
      <c r="AU509" s="4283"/>
      <c r="AV509" s="1188">
        <f t="shared" si="294"/>
        <v>0</v>
      </c>
      <c r="AW509" s="1188">
        <f t="shared" si="295"/>
        <v>0</v>
      </c>
      <c r="AX509" s="1188">
        <f t="shared" si="296"/>
        <v>0</v>
      </c>
      <c r="AY509" s="1452">
        <f t="shared" si="271"/>
        <v>0</v>
      </c>
      <c r="AZ509" s="4284">
        <f t="shared" si="272"/>
        <v>0</v>
      </c>
      <c r="BA509" s="4284">
        <f t="shared" si="273"/>
        <v>0</v>
      </c>
      <c r="BB509" s="4284">
        <f t="shared" si="274"/>
        <v>0</v>
      </c>
      <c r="BC509" s="4284">
        <f t="shared" si="275"/>
        <v>0</v>
      </c>
      <c r="BD509" s="4284">
        <f t="shared" si="276"/>
        <v>0</v>
      </c>
      <c r="BE509" s="4284">
        <f t="shared" si="277"/>
        <v>0</v>
      </c>
      <c r="BF509" s="4284">
        <f t="shared" si="278"/>
        <v>0</v>
      </c>
      <c r="BG509" s="4284">
        <f t="shared" si="279"/>
        <v>0</v>
      </c>
      <c r="BH509" s="4284">
        <f t="shared" si="280"/>
        <v>0</v>
      </c>
      <c r="BI509" s="4284">
        <f t="shared" si="281"/>
        <v>0</v>
      </c>
      <c r="BJ509" s="4284">
        <f t="shared" si="282"/>
        <v>0</v>
      </c>
      <c r="BK509" s="4284">
        <f t="shared" si="283"/>
        <v>0</v>
      </c>
      <c r="BL509" s="4284">
        <f t="shared" si="284"/>
        <v>0</v>
      </c>
      <c r="BM509" s="4284">
        <f t="shared" si="285"/>
        <v>0</v>
      </c>
      <c r="BN509" s="4284">
        <f t="shared" si="286"/>
        <v>0</v>
      </c>
      <c r="BO509" s="4284">
        <f t="shared" si="287"/>
        <v>0</v>
      </c>
      <c r="BP509" s="4284">
        <f t="shared" si="288"/>
        <v>0</v>
      </c>
      <c r="BQ509" s="4284">
        <f t="shared" si="289"/>
        <v>0</v>
      </c>
      <c r="BR509" s="4284">
        <f t="shared" si="290"/>
        <v>0</v>
      </c>
      <c r="BS509" s="4284">
        <f t="shared" si="291"/>
        <v>0</v>
      </c>
      <c r="BT509" s="4285">
        <f t="shared" si="292"/>
        <v>0</v>
      </c>
    </row>
    <row r="510" spans="1:72">
      <c r="A510" s="4278"/>
      <c r="B510" s="4279"/>
      <c r="C510" s="4279"/>
      <c r="D510" s="4280"/>
      <c r="E510" s="1188">
        <f t="shared" si="293"/>
        <v>0</v>
      </c>
      <c r="F510" s="1680"/>
      <c r="G510" s="4281">
        <f t="shared" si="268"/>
        <v>0</v>
      </c>
      <c r="H510" s="3457">
        <f t="shared" si="269"/>
        <v>0</v>
      </c>
      <c r="I510" s="4282"/>
      <c r="J510" s="4282"/>
      <c r="K510" s="4282"/>
      <c r="L510" s="4282"/>
      <c r="M510" s="4282"/>
      <c r="N510" s="4282"/>
      <c r="O510" s="4282"/>
      <c r="P510" s="4282"/>
      <c r="Q510" s="4282"/>
      <c r="R510" s="4282"/>
      <c r="S510" s="4282"/>
      <c r="T510" s="4282"/>
      <c r="U510" s="4282"/>
      <c r="V510" s="4282"/>
      <c r="W510" s="4282"/>
      <c r="X510" s="4282"/>
      <c r="Y510" s="4282"/>
      <c r="Z510" s="4282"/>
      <c r="AA510" s="4282"/>
      <c r="AB510" s="4282"/>
      <c r="AC510" s="1188">
        <f t="shared" si="270"/>
        <v>0</v>
      </c>
      <c r="AD510" s="4278"/>
      <c r="AE510" s="4278"/>
      <c r="AF510" s="4278"/>
      <c r="AG510" s="4278"/>
      <c r="AH510" s="4278"/>
      <c r="AI510" s="4278"/>
      <c r="AJ510" s="4278"/>
      <c r="AK510" s="4278"/>
      <c r="AL510" s="4278"/>
      <c r="AM510" s="4278"/>
      <c r="AN510" s="4278"/>
      <c r="AO510" s="4278"/>
      <c r="AP510" s="4278"/>
      <c r="AQ510" s="4278"/>
      <c r="AR510" s="4278"/>
      <c r="AS510" s="4278"/>
      <c r="AT510" s="4279"/>
      <c r="AU510" s="4283"/>
      <c r="AV510" s="1188">
        <f t="shared" si="294"/>
        <v>0</v>
      </c>
      <c r="AW510" s="1188">
        <f t="shared" si="295"/>
        <v>0</v>
      </c>
      <c r="AX510" s="1188">
        <f t="shared" si="296"/>
        <v>0</v>
      </c>
      <c r="AY510" s="1452">
        <f t="shared" si="271"/>
        <v>0</v>
      </c>
      <c r="AZ510" s="4284">
        <f t="shared" si="272"/>
        <v>0</v>
      </c>
      <c r="BA510" s="4284">
        <f t="shared" si="273"/>
        <v>0</v>
      </c>
      <c r="BB510" s="4284">
        <f t="shared" si="274"/>
        <v>0</v>
      </c>
      <c r="BC510" s="4284">
        <f t="shared" si="275"/>
        <v>0</v>
      </c>
      <c r="BD510" s="4284">
        <f t="shared" si="276"/>
        <v>0</v>
      </c>
      <c r="BE510" s="4284">
        <f t="shared" si="277"/>
        <v>0</v>
      </c>
      <c r="BF510" s="4284">
        <f t="shared" si="278"/>
        <v>0</v>
      </c>
      <c r="BG510" s="4284">
        <f t="shared" si="279"/>
        <v>0</v>
      </c>
      <c r="BH510" s="4284">
        <f t="shared" si="280"/>
        <v>0</v>
      </c>
      <c r="BI510" s="4284">
        <f t="shared" si="281"/>
        <v>0</v>
      </c>
      <c r="BJ510" s="4284">
        <f t="shared" si="282"/>
        <v>0</v>
      </c>
      <c r="BK510" s="4284">
        <f t="shared" si="283"/>
        <v>0</v>
      </c>
      <c r="BL510" s="4284">
        <f t="shared" si="284"/>
        <v>0</v>
      </c>
      <c r="BM510" s="4284">
        <f t="shared" si="285"/>
        <v>0</v>
      </c>
      <c r="BN510" s="4284">
        <f t="shared" si="286"/>
        <v>0</v>
      </c>
      <c r="BO510" s="4284">
        <f t="shared" si="287"/>
        <v>0</v>
      </c>
      <c r="BP510" s="4284">
        <f t="shared" si="288"/>
        <v>0</v>
      </c>
      <c r="BQ510" s="4284">
        <f t="shared" si="289"/>
        <v>0</v>
      </c>
      <c r="BR510" s="4284">
        <f t="shared" si="290"/>
        <v>0</v>
      </c>
      <c r="BS510" s="4284">
        <f t="shared" si="291"/>
        <v>0</v>
      </c>
      <c r="BT510" s="4285">
        <f t="shared" si="292"/>
        <v>0</v>
      </c>
    </row>
    <row r="511" spans="1:72">
      <c r="A511" s="4278"/>
      <c r="B511" s="4279"/>
      <c r="C511" s="4279"/>
      <c r="D511" s="4280"/>
      <c r="E511" s="1188">
        <f t="shared" si="293"/>
        <v>0</v>
      </c>
      <c r="F511" s="1680"/>
      <c r="G511" s="4281">
        <f t="shared" si="268"/>
        <v>0</v>
      </c>
      <c r="H511" s="3457">
        <f t="shared" si="269"/>
        <v>0</v>
      </c>
      <c r="I511" s="4282"/>
      <c r="J511" s="4282"/>
      <c r="K511" s="4282"/>
      <c r="L511" s="4282"/>
      <c r="M511" s="4282"/>
      <c r="N511" s="4282"/>
      <c r="O511" s="4282"/>
      <c r="P511" s="4282"/>
      <c r="Q511" s="4282"/>
      <c r="R511" s="4282"/>
      <c r="S511" s="4282"/>
      <c r="T511" s="4282"/>
      <c r="U511" s="4282"/>
      <c r="V511" s="4282"/>
      <c r="W511" s="4282"/>
      <c r="X511" s="4282"/>
      <c r="Y511" s="4282"/>
      <c r="Z511" s="4282"/>
      <c r="AA511" s="4282"/>
      <c r="AB511" s="4282"/>
      <c r="AC511" s="1188">
        <f t="shared" si="270"/>
        <v>0</v>
      </c>
      <c r="AD511" s="4278"/>
      <c r="AE511" s="4278"/>
      <c r="AF511" s="4278"/>
      <c r="AG511" s="4278"/>
      <c r="AH511" s="4278"/>
      <c r="AI511" s="4278"/>
      <c r="AJ511" s="4278"/>
      <c r="AK511" s="4278"/>
      <c r="AL511" s="4278"/>
      <c r="AM511" s="4278"/>
      <c r="AN511" s="4278"/>
      <c r="AO511" s="4278"/>
      <c r="AP511" s="4278"/>
      <c r="AQ511" s="4278"/>
      <c r="AR511" s="4278"/>
      <c r="AS511" s="4278"/>
      <c r="AT511" s="4279"/>
      <c r="AU511" s="4283"/>
      <c r="AV511" s="1188">
        <f t="shared" si="294"/>
        <v>0</v>
      </c>
      <c r="AW511" s="1188">
        <f t="shared" si="295"/>
        <v>0</v>
      </c>
      <c r="AX511" s="1188">
        <f t="shared" si="296"/>
        <v>0</v>
      </c>
      <c r="AY511" s="1452">
        <f t="shared" si="271"/>
        <v>0</v>
      </c>
      <c r="AZ511" s="4284">
        <f t="shared" si="272"/>
        <v>0</v>
      </c>
      <c r="BA511" s="4284">
        <f t="shared" si="273"/>
        <v>0</v>
      </c>
      <c r="BB511" s="4284">
        <f t="shared" si="274"/>
        <v>0</v>
      </c>
      <c r="BC511" s="4284">
        <f t="shared" si="275"/>
        <v>0</v>
      </c>
      <c r="BD511" s="4284">
        <f t="shared" si="276"/>
        <v>0</v>
      </c>
      <c r="BE511" s="4284">
        <f t="shared" si="277"/>
        <v>0</v>
      </c>
      <c r="BF511" s="4284">
        <f t="shared" si="278"/>
        <v>0</v>
      </c>
      <c r="BG511" s="4284">
        <f t="shared" si="279"/>
        <v>0</v>
      </c>
      <c r="BH511" s="4284">
        <f t="shared" si="280"/>
        <v>0</v>
      </c>
      <c r="BI511" s="4284">
        <f t="shared" si="281"/>
        <v>0</v>
      </c>
      <c r="BJ511" s="4284">
        <f t="shared" si="282"/>
        <v>0</v>
      </c>
      <c r="BK511" s="4284">
        <f t="shared" si="283"/>
        <v>0</v>
      </c>
      <c r="BL511" s="4284">
        <f t="shared" si="284"/>
        <v>0</v>
      </c>
      <c r="BM511" s="4284">
        <f t="shared" si="285"/>
        <v>0</v>
      </c>
      <c r="BN511" s="4284">
        <f t="shared" si="286"/>
        <v>0</v>
      </c>
      <c r="BO511" s="4284">
        <f t="shared" si="287"/>
        <v>0</v>
      </c>
      <c r="BP511" s="4284">
        <f t="shared" si="288"/>
        <v>0</v>
      </c>
      <c r="BQ511" s="4284">
        <f t="shared" si="289"/>
        <v>0</v>
      </c>
      <c r="BR511" s="4284">
        <f t="shared" si="290"/>
        <v>0</v>
      </c>
      <c r="BS511" s="4284">
        <f t="shared" si="291"/>
        <v>0</v>
      </c>
      <c r="BT511" s="4285">
        <f t="shared" si="292"/>
        <v>0</v>
      </c>
    </row>
    <row r="512" spans="1:72">
      <c r="A512" s="4278"/>
      <c r="B512" s="4279"/>
      <c r="C512" s="4279"/>
      <c r="D512" s="4280"/>
      <c r="E512" s="1188">
        <f t="shared" si="293"/>
        <v>0</v>
      </c>
      <c r="F512" s="1680"/>
      <c r="G512" s="4281">
        <f t="shared" si="268"/>
        <v>0</v>
      </c>
      <c r="H512" s="3457">
        <f t="shared" si="269"/>
        <v>0</v>
      </c>
      <c r="I512" s="4282"/>
      <c r="J512" s="4282"/>
      <c r="K512" s="4282"/>
      <c r="L512" s="4282"/>
      <c r="M512" s="4282"/>
      <c r="N512" s="4282"/>
      <c r="O512" s="4282"/>
      <c r="P512" s="4282"/>
      <c r="Q512" s="4282"/>
      <c r="R512" s="4282"/>
      <c r="S512" s="4282"/>
      <c r="T512" s="4282"/>
      <c r="U512" s="4282"/>
      <c r="V512" s="4282"/>
      <c r="W512" s="4282"/>
      <c r="X512" s="4282"/>
      <c r="Y512" s="4282"/>
      <c r="Z512" s="4282"/>
      <c r="AA512" s="4282"/>
      <c r="AB512" s="4282"/>
      <c r="AC512" s="1188">
        <f t="shared" si="270"/>
        <v>0</v>
      </c>
      <c r="AD512" s="4278"/>
      <c r="AE512" s="4278"/>
      <c r="AF512" s="4278"/>
      <c r="AG512" s="4278"/>
      <c r="AH512" s="4278"/>
      <c r="AI512" s="4278"/>
      <c r="AJ512" s="4278"/>
      <c r="AK512" s="4278"/>
      <c r="AL512" s="4278"/>
      <c r="AM512" s="4278"/>
      <c r="AN512" s="4278"/>
      <c r="AO512" s="4278"/>
      <c r="AP512" s="4278"/>
      <c r="AQ512" s="4278"/>
      <c r="AR512" s="4278"/>
      <c r="AS512" s="4278"/>
      <c r="AT512" s="4279"/>
      <c r="AU512" s="4283"/>
      <c r="AV512" s="1188">
        <f t="shared" si="294"/>
        <v>0</v>
      </c>
      <c r="AW512" s="1188">
        <f t="shared" si="295"/>
        <v>0</v>
      </c>
      <c r="AX512" s="1188">
        <f t="shared" si="296"/>
        <v>0</v>
      </c>
      <c r="AY512" s="1452">
        <f t="shared" si="271"/>
        <v>0</v>
      </c>
      <c r="AZ512" s="4284">
        <f t="shared" si="272"/>
        <v>0</v>
      </c>
      <c r="BA512" s="4284">
        <f t="shared" si="273"/>
        <v>0</v>
      </c>
      <c r="BB512" s="4284">
        <f t="shared" si="274"/>
        <v>0</v>
      </c>
      <c r="BC512" s="4284">
        <f t="shared" si="275"/>
        <v>0</v>
      </c>
      <c r="BD512" s="4284">
        <f t="shared" si="276"/>
        <v>0</v>
      </c>
      <c r="BE512" s="4284">
        <f t="shared" si="277"/>
        <v>0</v>
      </c>
      <c r="BF512" s="4284">
        <f t="shared" si="278"/>
        <v>0</v>
      </c>
      <c r="BG512" s="4284">
        <f t="shared" si="279"/>
        <v>0</v>
      </c>
      <c r="BH512" s="4284">
        <f t="shared" si="280"/>
        <v>0</v>
      </c>
      <c r="BI512" s="4284">
        <f t="shared" si="281"/>
        <v>0</v>
      </c>
      <c r="BJ512" s="4284">
        <f t="shared" si="282"/>
        <v>0</v>
      </c>
      <c r="BK512" s="4284">
        <f t="shared" si="283"/>
        <v>0</v>
      </c>
      <c r="BL512" s="4284">
        <f t="shared" si="284"/>
        <v>0</v>
      </c>
      <c r="BM512" s="4284">
        <f t="shared" si="285"/>
        <v>0</v>
      </c>
      <c r="BN512" s="4284">
        <f t="shared" si="286"/>
        <v>0</v>
      </c>
      <c r="BO512" s="4284">
        <f t="shared" si="287"/>
        <v>0</v>
      </c>
      <c r="BP512" s="4284">
        <f t="shared" si="288"/>
        <v>0</v>
      </c>
      <c r="BQ512" s="4284">
        <f t="shared" si="289"/>
        <v>0</v>
      </c>
      <c r="BR512" s="4284">
        <f t="shared" si="290"/>
        <v>0</v>
      </c>
      <c r="BS512" s="4284">
        <f t="shared" si="291"/>
        <v>0</v>
      </c>
      <c r="BT512" s="4285">
        <f t="shared" si="292"/>
        <v>0</v>
      </c>
    </row>
    <row r="513" spans="1:72">
      <c r="A513" s="4278"/>
      <c r="B513" s="4279"/>
      <c r="C513" s="4279"/>
      <c r="D513" s="4280"/>
      <c r="E513" s="1188">
        <f t="shared" si="293"/>
        <v>0</v>
      </c>
      <c r="F513" s="1680"/>
      <c r="G513" s="4281">
        <f t="shared" si="268"/>
        <v>0</v>
      </c>
      <c r="H513" s="3457">
        <f t="shared" si="269"/>
        <v>0</v>
      </c>
      <c r="I513" s="4282"/>
      <c r="J513" s="4282"/>
      <c r="K513" s="4282"/>
      <c r="L513" s="4282"/>
      <c r="M513" s="4282"/>
      <c r="N513" s="4282"/>
      <c r="O513" s="4282"/>
      <c r="P513" s="4282"/>
      <c r="Q513" s="4282"/>
      <c r="R513" s="4282"/>
      <c r="S513" s="4282"/>
      <c r="T513" s="4282"/>
      <c r="U513" s="4282"/>
      <c r="V513" s="4282"/>
      <c r="W513" s="4282"/>
      <c r="X513" s="4282"/>
      <c r="Y513" s="4282"/>
      <c r="Z513" s="4282"/>
      <c r="AA513" s="4282"/>
      <c r="AB513" s="4282"/>
      <c r="AC513" s="1188">
        <f t="shared" si="270"/>
        <v>0</v>
      </c>
      <c r="AD513" s="4278"/>
      <c r="AE513" s="4278"/>
      <c r="AF513" s="4278"/>
      <c r="AG513" s="4278"/>
      <c r="AH513" s="4278"/>
      <c r="AI513" s="4278"/>
      <c r="AJ513" s="4278"/>
      <c r="AK513" s="4278"/>
      <c r="AL513" s="4278"/>
      <c r="AM513" s="4278"/>
      <c r="AN513" s="4278"/>
      <c r="AO513" s="4278"/>
      <c r="AP513" s="4278"/>
      <c r="AQ513" s="4278"/>
      <c r="AR513" s="4278"/>
      <c r="AS513" s="4278"/>
      <c r="AT513" s="4279"/>
      <c r="AU513" s="4283"/>
      <c r="AV513" s="1188">
        <f t="shared" si="294"/>
        <v>0</v>
      </c>
      <c r="AW513" s="1188">
        <f t="shared" si="295"/>
        <v>0</v>
      </c>
      <c r="AX513" s="1188">
        <f t="shared" si="296"/>
        <v>0</v>
      </c>
      <c r="AY513" s="1452">
        <f t="shared" si="271"/>
        <v>0</v>
      </c>
      <c r="AZ513" s="4284">
        <f t="shared" si="272"/>
        <v>0</v>
      </c>
      <c r="BA513" s="4284">
        <f t="shared" si="273"/>
        <v>0</v>
      </c>
      <c r="BB513" s="4284">
        <f t="shared" si="274"/>
        <v>0</v>
      </c>
      <c r="BC513" s="4284">
        <f t="shared" si="275"/>
        <v>0</v>
      </c>
      <c r="BD513" s="4284">
        <f t="shared" si="276"/>
        <v>0</v>
      </c>
      <c r="BE513" s="4284">
        <f t="shared" si="277"/>
        <v>0</v>
      </c>
      <c r="BF513" s="4284">
        <f t="shared" si="278"/>
        <v>0</v>
      </c>
      <c r="BG513" s="4284">
        <f t="shared" si="279"/>
        <v>0</v>
      </c>
      <c r="BH513" s="4284">
        <f t="shared" si="280"/>
        <v>0</v>
      </c>
      <c r="BI513" s="4284">
        <f t="shared" si="281"/>
        <v>0</v>
      </c>
      <c r="BJ513" s="4284">
        <f t="shared" si="282"/>
        <v>0</v>
      </c>
      <c r="BK513" s="4284">
        <f t="shared" si="283"/>
        <v>0</v>
      </c>
      <c r="BL513" s="4284">
        <f t="shared" si="284"/>
        <v>0</v>
      </c>
      <c r="BM513" s="4284">
        <f t="shared" si="285"/>
        <v>0</v>
      </c>
      <c r="BN513" s="4284">
        <f t="shared" si="286"/>
        <v>0</v>
      </c>
      <c r="BO513" s="4284">
        <f t="shared" si="287"/>
        <v>0</v>
      </c>
      <c r="BP513" s="4284">
        <f t="shared" si="288"/>
        <v>0</v>
      </c>
      <c r="BQ513" s="4284">
        <f t="shared" si="289"/>
        <v>0</v>
      </c>
      <c r="BR513" s="4284">
        <f t="shared" si="290"/>
        <v>0</v>
      </c>
      <c r="BS513" s="4284">
        <f t="shared" si="291"/>
        <v>0</v>
      </c>
      <c r="BT513" s="4285">
        <f t="shared" si="292"/>
        <v>0</v>
      </c>
    </row>
    <row r="514" spans="1:72">
      <c r="A514" s="4278"/>
      <c r="B514" s="4279"/>
      <c r="C514" s="4279"/>
      <c r="D514" s="4280"/>
      <c r="E514" s="1188">
        <f t="shared" si="293"/>
        <v>0</v>
      </c>
      <c r="F514" s="1680"/>
      <c r="G514" s="4281">
        <f t="shared" si="268"/>
        <v>0</v>
      </c>
      <c r="H514" s="3457">
        <f t="shared" si="269"/>
        <v>0</v>
      </c>
      <c r="I514" s="4282"/>
      <c r="J514" s="4282"/>
      <c r="K514" s="4282"/>
      <c r="L514" s="4282"/>
      <c r="M514" s="4282"/>
      <c r="N514" s="4282"/>
      <c r="O514" s="4282"/>
      <c r="P514" s="4282"/>
      <c r="Q514" s="4282"/>
      <c r="R514" s="4282"/>
      <c r="S514" s="4282"/>
      <c r="T514" s="4282"/>
      <c r="U514" s="4282"/>
      <c r="V514" s="4282"/>
      <c r="W514" s="4282"/>
      <c r="X514" s="4282"/>
      <c r="Y514" s="4282"/>
      <c r="Z514" s="4282"/>
      <c r="AA514" s="4282"/>
      <c r="AB514" s="4282"/>
      <c r="AC514" s="1188">
        <f t="shared" si="270"/>
        <v>0</v>
      </c>
      <c r="AD514" s="4278"/>
      <c r="AE514" s="4278"/>
      <c r="AF514" s="4278"/>
      <c r="AG514" s="4278"/>
      <c r="AH514" s="4278"/>
      <c r="AI514" s="4278"/>
      <c r="AJ514" s="4278"/>
      <c r="AK514" s="4278"/>
      <c r="AL514" s="4278"/>
      <c r="AM514" s="4278"/>
      <c r="AN514" s="4278"/>
      <c r="AO514" s="4278"/>
      <c r="AP514" s="4278"/>
      <c r="AQ514" s="4278"/>
      <c r="AR514" s="4278"/>
      <c r="AS514" s="4278"/>
      <c r="AT514" s="4279"/>
      <c r="AU514" s="4283"/>
      <c r="AV514" s="1188">
        <f t="shared" si="294"/>
        <v>0</v>
      </c>
      <c r="AW514" s="1188">
        <f t="shared" si="295"/>
        <v>0</v>
      </c>
      <c r="AX514" s="1188">
        <f t="shared" si="296"/>
        <v>0</v>
      </c>
      <c r="AY514" s="1452">
        <f t="shared" si="271"/>
        <v>0</v>
      </c>
      <c r="AZ514" s="4284">
        <f t="shared" si="272"/>
        <v>0</v>
      </c>
      <c r="BA514" s="4284">
        <f t="shared" si="273"/>
        <v>0</v>
      </c>
      <c r="BB514" s="4284">
        <f t="shared" si="274"/>
        <v>0</v>
      </c>
      <c r="BC514" s="4284">
        <f t="shared" si="275"/>
        <v>0</v>
      </c>
      <c r="BD514" s="4284">
        <f t="shared" si="276"/>
        <v>0</v>
      </c>
      <c r="BE514" s="4284">
        <f t="shared" si="277"/>
        <v>0</v>
      </c>
      <c r="BF514" s="4284">
        <f t="shared" si="278"/>
        <v>0</v>
      </c>
      <c r="BG514" s="4284">
        <f t="shared" si="279"/>
        <v>0</v>
      </c>
      <c r="BH514" s="4284">
        <f t="shared" si="280"/>
        <v>0</v>
      </c>
      <c r="BI514" s="4284">
        <f t="shared" si="281"/>
        <v>0</v>
      </c>
      <c r="BJ514" s="4284">
        <f t="shared" si="282"/>
        <v>0</v>
      </c>
      <c r="BK514" s="4284">
        <f t="shared" si="283"/>
        <v>0</v>
      </c>
      <c r="BL514" s="4284">
        <f t="shared" si="284"/>
        <v>0</v>
      </c>
      <c r="BM514" s="4284">
        <f t="shared" si="285"/>
        <v>0</v>
      </c>
      <c r="BN514" s="4284">
        <f t="shared" si="286"/>
        <v>0</v>
      </c>
      <c r="BO514" s="4284">
        <f t="shared" si="287"/>
        <v>0</v>
      </c>
      <c r="BP514" s="4284">
        <f t="shared" si="288"/>
        <v>0</v>
      </c>
      <c r="BQ514" s="4284">
        <f t="shared" si="289"/>
        <v>0</v>
      </c>
      <c r="BR514" s="4284">
        <f t="shared" si="290"/>
        <v>0</v>
      </c>
      <c r="BS514" s="4284">
        <f t="shared" si="291"/>
        <v>0</v>
      </c>
      <c r="BT514" s="4285">
        <f t="shared" si="292"/>
        <v>0</v>
      </c>
    </row>
    <row r="515" spans="1:72">
      <c r="A515" s="4278"/>
      <c r="B515" s="4279"/>
      <c r="C515" s="4279"/>
      <c r="D515" s="4280"/>
      <c r="E515" s="1188">
        <f t="shared" si="293"/>
        <v>0</v>
      </c>
      <c r="F515" s="1680"/>
      <c r="G515" s="4281">
        <f t="shared" si="268"/>
        <v>0</v>
      </c>
      <c r="H515" s="3457">
        <f t="shared" si="269"/>
        <v>0</v>
      </c>
      <c r="I515" s="4282"/>
      <c r="J515" s="4282"/>
      <c r="K515" s="4282"/>
      <c r="L515" s="4282"/>
      <c r="M515" s="4282"/>
      <c r="N515" s="4282"/>
      <c r="O515" s="4282"/>
      <c r="P515" s="4282"/>
      <c r="Q515" s="4282"/>
      <c r="R515" s="4282"/>
      <c r="S515" s="4282"/>
      <c r="T515" s="4282"/>
      <c r="U515" s="4282"/>
      <c r="V515" s="4282"/>
      <c r="W515" s="4282"/>
      <c r="X515" s="4282"/>
      <c r="Y515" s="4282"/>
      <c r="Z515" s="4282"/>
      <c r="AA515" s="4282"/>
      <c r="AB515" s="4282"/>
      <c r="AC515" s="1188">
        <f t="shared" si="270"/>
        <v>0</v>
      </c>
      <c r="AD515" s="4278"/>
      <c r="AE515" s="4278"/>
      <c r="AF515" s="4278"/>
      <c r="AG515" s="4278"/>
      <c r="AH515" s="4278"/>
      <c r="AI515" s="4278"/>
      <c r="AJ515" s="4278"/>
      <c r="AK515" s="4278"/>
      <c r="AL515" s="4278"/>
      <c r="AM515" s="4278"/>
      <c r="AN515" s="4278"/>
      <c r="AO515" s="4278"/>
      <c r="AP515" s="4278"/>
      <c r="AQ515" s="4278"/>
      <c r="AR515" s="4278"/>
      <c r="AS515" s="4278"/>
      <c r="AT515" s="4279"/>
      <c r="AU515" s="4283"/>
      <c r="AV515" s="1188">
        <f t="shared" si="294"/>
        <v>0</v>
      </c>
      <c r="AW515" s="1188">
        <f t="shared" si="295"/>
        <v>0</v>
      </c>
      <c r="AX515" s="1188">
        <f t="shared" si="296"/>
        <v>0</v>
      </c>
      <c r="AY515" s="1452">
        <f t="shared" si="271"/>
        <v>0</v>
      </c>
      <c r="AZ515" s="4284">
        <f t="shared" si="272"/>
        <v>0</v>
      </c>
      <c r="BA515" s="4284">
        <f t="shared" si="273"/>
        <v>0</v>
      </c>
      <c r="BB515" s="4284">
        <f t="shared" si="274"/>
        <v>0</v>
      </c>
      <c r="BC515" s="4284">
        <f t="shared" si="275"/>
        <v>0</v>
      </c>
      <c r="BD515" s="4284">
        <f t="shared" si="276"/>
        <v>0</v>
      </c>
      <c r="BE515" s="4284">
        <f t="shared" si="277"/>
        <v>0</v>
      </c>
      <c r="BF515" s="4284">
        <f t="shared" si="278"/>
        <v>0</v>
      </c>
      <c r="BG515" s="4284">
        <f t="shared" si="279"/>
        <v>0</v>
      </c>
      <c r="BH515" s="4284">
        <f t="shared" si="280"/>
        <v>0</v>
      </c>
      <c r="BI515" s="4284">
        <f t="shared" si="281"/>
        <v>0</v>
      </c>
      <c r="BJ515" s="4284">
        <f t="shared" si="282"/>
        <v>0</v>
      </c>
      <c r="BK515" s="4284">
        <f t="shared" si="283"/>
        <v>0</v>
      </c>
      <c r="BL515" s="4284">
        <f t="shared" si="284"/>
        <v>0</v>
      </c>
      <c r="BM515" s="4284">
        <f t="shared" si="285"/>
        <v>0</v>
      </c>
      <c r="BN515" s="4284">
        <f t="shared" si="286"/>
        <v>0</v>
      </c>
      <c r="BO515" s="4284">
        <f t="shared" si="287"/>
        <v>0</v>
      </c>
      <c r="BP515" s="4284">
        <f t="shared" si="288"/>
        <v>0</v>
      </c>
      <c r="BQ515" s="4284">
        <f t="shared" si="289"/>
        <v>0</v>
      </c>
      <c r="BR515" s="4284">
        <f t="shared" si="290"/>
        <v>0</v>
      </c>
      <c r="BS515" s="4284">
        <f t="shared" si="291"/>
        <v>0</v>
      </c>
      <c r="BT515" s="4285">
        <f t="shared" si="292"/>
        <v>0</v>
      </c>
    </row>
    <row r="516" spans="1:72">
      <c r="A516" s="4278"/>
      <c r="B516" s="4279"/>
      <c r="C516" s="4279"/>
      <c r="D516" s="4280"/>
      <c r="E516" s="1188">
        <f t="shared" si="293"/>
        <v>0</v>
      </c>
      <c r="F516" s="1680"/>
      <c r="G516" s="4281">
        <f t="shared" si="268"/>
        <v>0</v>
      </c>
      <c r="H516" s="3457">
        <f t="shared" si="269"/>
        <v>0</v>
      </c>
      <c r="I516" s="4282"/>
      <c r="J516" s="4282"/>
      <c r="K516" s="4282"/>
      <c r="L516" s="4282"/>
      <c r="M516" s="4282"/>
      <c r="N516" s="4282"/>
      <c r="O516" s="4282"/>
      <c r="P516" s="4282"/>
      <c r="Q516" s="4282"/>
      <c r="R516" s="4282"/>
      <c r="S516" s="4282"/>
      <c r="T516" s="4282"/>
      <c r="U516" s="4282"/>
      <c r="V516" s="4282"/>
      <c r="W516" s="4282"/>
      <c r="X516" s="4282"/>
      <c r="Y516" s="4282"/>
      <c r="Z516" s="4282"/>
      <c r="AA516" s="4282"/>
      <c r="AB516" s="4282"/>
      <c r="AC516" s="1188">
        <f t="shared" si="270"/>
        <v>0</v>
      </c>
      <c r="AD516" s="4278"/>
      <c r="AE516" s="4278"/>
      <c r="AF516" s="4278"/>
      <c r="AG516" s="4278"/>
      <c r="AH516" s="4278"/>
      <c r="AI516" s="4278"/>
      <c r="AJ516" s="4278"/>
      <c r="AK516" s="4278"/>
      <c r="AL516" s="4278"/>
      <c r="AM516" s="4278"/>
      <c r="AN516" s="4278"/>
      <c r="AO516" s="4278"/>
      <c r="AP516" s="4278"/>
      <c r="AQ516" s="4278"/>
      <c r="AR516" s="4278"/>
      <c r="AS516" s="4278"/>
      <c r="AT516" s="4279"/>
      <c r="AU516" s="4283"/>
      <c r="AV516" s="1188">
        <f t="shared" si="294"/>
        <v>0</v>
      </c>
      <c r="AW516" s="1188">
        <f t="shared" si="295"/>
        <v>0</v>
      </c>
      <c r="AX516" s="1188">
        <f t="shared" si="296"/>
        <v>0</v>
      </c>
      <c r="AY516" s="1452">
        <f t="shared" si="271"/>
        <v>0</v>
      </c>
      <c r="AZ516" s="4284">
        <f t="shared" si="272"/>
        <v>0</v>
      </c>
      <c r="BA516" s="4284">
        <f t="shared" si="273"/>
        <v>0</v>
      </c>
      <c r="BB516" s="4284">
        <f t="shared" si="274"/>
        <v>0</v>
      </c>
      <c r="BC516" s="4284">
        <f t="shared" si="275"/>
        <v>0</v>
      </c>
      <c r="BD516" s="4284">
        <f t="shared" si="276"/>
        <v>0</v>
      </c>
      <c r="BE516" s="4284">
        <f t="shared" si="277"/>
        <v>0</v>
      </c>
      <c r="BF516" s="4284">
        <f t="shared" si="278"/>
        <v>0</v>
      </c>
      <c r="BG516" s="4284">
        <f t="shared" si="279"/>
        <v>0</v>
      </c>
      <c r="BH516" s="4284">
        <f t="shared" si="280"/>
        <v>0</v>
      </c>
      <c r="BI516" s="4284">
        <f t="shared" si="281"/>
        <v>0</v>
      </c>
      <c r="BJ516" s="4284">
        <f t="shared" si="282"/>
        <v>0</v>
      </c>
      <c r="BK516" s="4284">
        <f t="shared" si="283"/>
        <v>0</v>
      </c>
      <c r="BL516" s="4284">
        <f t="shared" si="284"/>
        <v>0</v>
      </c>
      <c r="BM516" s="4284">
        <f t="shared" si="285"/>
        <v>0</v>
      </c>
      <c r="BN516" s="4284">
        <f t="shared" si="286"/>
        <v>0</v>
      </c>
      <c r="BO516" s="4284">
        <f t="shared" si="287"/>
        <v>0</v>
      </c>
      <c r="BP516" s="4284">
        <f t="shared" si="288"/>
        <v>0</v>
      </c>
      <c r="BQ516" s="4284">
        <f t="shared" si="289"/>
        <v>0</v>
      </c>
      <c r="BR516" s="4284">
        <f t="shared" si="290"/>
        <v>0</v>
      </c>
      <c r="BS516" s="4284">
        <f t="shared" si="291"/>
        <v>0</v>
      </c>
      <c r="BT516" s="4285">
        <f t="shared" si="292"/>
        <v>0</v>
      </c>
    </row>
    <row r="517" spans="1:72">
      <c r="A517" s="4278"/>
      <c r="B517" s="4279"/>
      <c r="C517" s="4279"/>
      <c r="D517" s="4280"/>
      <c r="E517" s="1188">
        <f t="shared" si="293"/>
        <v>0</v>
      </c>
      <c r="F517" s="1680"/>
      <c r="G517" s="4281">
        <f t="shared" si="268"/>
        <v>0</v>
      </c>
      <c r="H517" s="3457">
        <f t="shared" si="269"/>
        <v>0</v>
      </c>
      <c r="I517" s="4282"/>
      <c r="J517" s="4282"/>
      <c r="K517" s="4282"/>
      <c r="L517" s="4282"/>
      <c r="M517" s="4282"/>
      <c r="N517" s="4282"/>
      <c r="O517" s="4282"/>
      <c r="P517" s="4282"/>
      <c r="Q517" s="4282"/>
      <c r="R517" s="4282"/>
      <c r="S517" s="4282"/>
      <c r="T517" s="4282"/>
      <c r="U517" s="4282"/>
      <c r="V517" s="4282"/>
      <c r="W517" s="4282"/>
      <c r="X517" s="4282"/>
      <c r="Y517" s="4282"/>
      <c r="Z517" s="4282"/>
      <c r="AA517" s="4282"/>
      <c r="AB517" s="4282"/>
      <c r="AC517" s="1188">
        <f t="shared" si="270"/>
        <v>0</v>
      </c>
      <c r="AD517" s="4278"/>
      <c r="AE517" s="4278"/>
      <c r="AF517" s="4278"/>
      <c r="AG517" s="4278"/>
      <c r="AH517" s="4278"/>
      <c r="AI517" s="4278"/>
      <c r="AJ517" s="4278"/>
      <c r="AK517" s="4278"/>
      <c r="AL517" s="4278"/>
      <c r="AM517" s="4278"/>
      <c r="AN517" s="4278"/>
      <c r="AO517" s="4278"/>
      <c r="AP517" s="4278"/>
      <c r="AQ517" s="4278"/>
      <c r="AR517" s="4278"/>
      <c r="AS517" s="4278"/>
      <c r="AT517" s="4279"/>
      <c r="AU517" s="4283"/>
      <c r="AV517" s="1188">
        <f t="shared" si="294"/>
        <v>0</v>
      </c>
      <c r="AW517" s="1188">
        <f t="shared" si="295"/>
        <v>0</v>
      </c>
      <c r="AX517" s="1188">
        <f t="shared" si="296"/>
        <v>0</v>
      </c>
      <c r="AY517" s="1452">
        <f t="shared" si="271"/>
        <v>0</v>
      </c>
      <c r="AZ517" s="4284">
        <f t="shared" si="272"/>
        <v>0</v>
      </c>
      <c r="BA517" s="4284">
        <f t="shared" si="273"/>
        <v>0</v>
      </c>
      <c r="BB517" s="4284">
        <f t="shared" si="274"/>
        <v>0</v>
      </c>
      <c r="BC517" s="4284">
        <f t="shared" si="275"/>
        <v>0</v>
      </c>
      <c r="BD517" s="4284">
        <f t="shared" si="276"/>
        <v>0</v>
      </c>
      <c r="BE517" s="4284">
        <f t="shared" si="277"/>
        <v>0</v>
      </c>
      <c r="BF517" s="4284">
        <f t="shared" si="278"/>
        <v>0</v>
      </c>
      <c r="BG517" s="4284">
        <f t="shared" si="279"/>
        <v>0</v>
      </c>
      <c r="BH517" s="4284">
        <f t="shared" si="280"/>
        <v>0</v>
      </c>
      <c r="BI517" s="4284">
        <f t="shared" si="281"/>
        <v>0</v>
      </c>
      <c r="BJ517" s="4284">
        <f t="shared" si="282"/>
        <v>0</v>
      </c>
      <c r="BK517" s="4284">
        <f t="shared" si="283"/>
        <v>0</v>
      </c>
      <c r="BL517" s="4284">
        <f t="shared" si="284"/>
        <v>0</v>
      </c>
      <c r="BM517" s="4284">
        <f t="shared" si="285"/>
        <v>0</v>
      </c>
      <c r="BN517" s="4284">
        <f t="shared" si="286"/>
        <v>0</v>
      </c>
      <c r="BO517" s="4284">
        <f t="shared" si="287"/>
        <v>0</v>
      </c>
      <c r="BP517" s="4284">
        <f t="shared" si="288"/>
        <v>0</v>
      </c>
      <c r="BQ517" s="4284">
        <f t="shared" si="289"/>
        <v>0</v>
      </c>
      <c r="BR517" s="4284">
        <f t="shared" si="290"/>
        <v>0</v>
      </c>
      <c r="BS517" s="4284">
        <f t="shared" si="291"/>
        <v>0</v>
      </c>
      <c r="BT517" s="4285">
        <f t="shared" si="292"/>
        <v>0</v>
      </c>
    </row>
    <row r="518" spans="1:72">
      <c r="A518" s="4278"/>
      <c r="B518" s="4279"/>
      <c r="C518" s="4279"/>
      <c r="D518" s="4280"/>
      <c r="E518" s="1188">
        <f t="shared" si="293"/>
        <v>0</v>
      </c>
      <c r="F518" s="1680"/>
      <c r="G518" s="4281">
        <f t="shared" si="268"/>
        <v>0</v>
      </c>
      <c r="H518" s="3457">
        <f t="shared" si="269"/>
        <v>0</v>
      </c>
      <c r="I518" s="4282"/>
      <c r="J518" s="4282"/>
      <c r="K518" s="4282"/>
      <c r="L518" s="4282"/>
      <c r="M518" s="4282"/>
      <c r="N518" s="4282"/>
      <c r="O518" s="4282"/>
      <c r="P518" s="4282"/>
      <c r="Q518" s="4282"/>
      <c r="R518" s="4282"/>
      <c r="S518" s="4282"/>
      <c r="T518" s="4282"/>
      <c r="U518" s="4282"/>
      <c r="V518" s="4282"/>
      <c r="W518" s="4282"/>
      <c r="X518" s="4282"/>
      <c r="Y518" s="4282"/>
      <c r="Z518" s="4282"/>
      <c r="AA518" s="4282"/>
      <c r="AB518" s="4282"/>
      <c r="AC518" s="1188">
        <f t="shared" si="270"/>
        <v>0</v>
      </c>
      <c r="AD518" s="4278"/>
      <c r="AE518" s="4278"/>
      <c r="AF518" s="4278"/>
      <c r="AG518" s="4278"/>
      <c r="AH518" s="4278"/>
      <c r="AI518" s="4278"/>
      <c r="AJ518" s="4278"/>
      <c r="AK518" s="4278"/>
      <c r="AL518" s="4278"/>
      <c r="AM518" s="4278"/>
      <c r="AN518" s="4278"/>
      <c r="AO518" s="4278"/>
      <c r="AP518" s="4278"/>
      <c r="AQ518" s="4278"/>
      <c r="AR518" s="4278"/>
      <c r="AS518" s="4278"/>
      <c r="AT518" s="4279"/>
      <c r="AU518" s="4283"/>
      <c r="AV518" s="1188">
        <f t="shared" si="294"/>
        <v>0</v>
      </c>
      <c r="AW518" s="1188">
        <f t="shared" si="295"/>
        <v>0</v>
      </c>
      <c r="AX518" s="1188">
        <f t="shared" si="296"/>
        <v>0</v>
      </c>
      <c r="AY518" s="1452">
        <f t="shared" si="271"/>
        <v>0</v>
      </c>
      <c r="AZ518" s="4284">
        <f t="shared" si="272"/>
        <v>0</v>
      </c>
      <c r="BA518" s="4284">
        <f t="shared" si="273"/>
        <v>0</v>
      </c>
      <c r="BB518" s="4284">
        <f t="shared" si="274"/>
        <v>0</v>
      </c>
      <c r="BC518" s="4284">
        <f t="shared" si="275"/>
        <v>0</v>
      </c>
      <c r="BD518" s="4284">
        <f t="shared" si="276"/>
        <v>0</v>
      </c>
      <c r="BE518" s="4284">
        <f t="shared" si="277"/>
        <v>0</v>
      </c>
      <c r="BF518" s="4284">
        <f t="shared" si="278"/>
        <v>0</v>
      </c>
      <c r="BG518" s="4284">
        <f t="shared" si="279"/>
        <v>0</v>
      </c>
      <c r="BH518" s="4284">
        <f t="shared" si="280"/>
        <v>0</v>
      </c>
      <c r="BI518" s="4284">
        <f t="shared" si="281"/>
        <v>0</v>
      </c>
      <c r="BJ518" s="4284">
        <f t="shared" si="282"/>
        <v>0</v>
      </c>
      <c r="BK518" s="4284">
        <f t="shared" si="283"/>
        <v>0</v>
      </c>
      <c r="BL518" s="4284">
        <f t="shared" si="284"/>
        <v>0</v>
      </c>
      <c r="BM518" s="4284">
        <f t="shared" si="285"/>
        <v>0</v>
      </c>
      <c r="BN518" s="4284">
        <f t="shared" si="286"/>
        <v>0</v>
      </c>
      <c r="BO518" s="4284">
        <f t="shared" si="287"/>
        <v>0</v>
      </c>
      <c r="BP518" s="4284">
        <f t="shared" si="288"/>
        <v>0</v>
      </c>
      <c r="BQ518" s="4284">
        <f t="shared" si="289"/>
        <v>0</v>
      </c>
      <c r="BR518" s="4284">
        <f t="shared" si="290"/>
        <v>0</v>
      </c>
      <c r="BS518" s="4284">
        <f t="shared" si="291"/>
        <v>0</v>
      </c>
      <c r="BT518" s="4285">
        <f t="shared" si="292"/>
        <v>0</v>
      </c>
    </row>
    <row r="519" spans="1:72">
      <c r="A519" s="4278"/>
      <c r="B519" s="4279"/>
      <c r="C519" s="4279"/>
      <c r="D519" s="4280"/>
      <c r="E519" s="1188">
        <f t="shared" si="293"/>
        <v>0</v>
      </c>
      <c r="F519" s="1680"/>
      <c r="G519" s="4281">
        <f t="shared" si="268"/>
        <v>0</v>
      </c>
      <c r="H519" s="3457">
        <f t="shared" si="269"/>
        <v>0</v>
      </c>
      <c r="I519" s="4282"/>
      <c r="J519" s="4282"/>
      <c r="K519" s="4282"/>
      <c r="L519" s="4282"/>
      <c r="M519" s="4282"/>
      <c r="N519" s="4282"/>
      <c r="O519" s="4282"/>
      <c r="P519" s="4282"/>
      <c r="Q519" s="4282"/>
      <c r="R519" s="4282"/>
      <c r="S519" s="4282"/>
      <c r="T519" s="4282"/>
      <c r="U519" s="4282"/>
      <c r="V519" s="4282"/>
      <c r="W519" s="4282"/>
      <c r="X519" s="4282"/>
      <c r="Y519" s="4282"/>
      <c r="Z519" s="4282"/>
      <c r="AA519" s="4282"/>
      <c r="AB519" s="4282"/>
      <c r="AC519" s="1188">
        <f t="shared" si="270"/>
        <v>0</v>
      </c>
      <c r="AD519" s="4278"/>
      <c r="AE519" s="4278"/>
      <c r="AF519" s="4278"/>
      <c r="AG519" s="4278"/>
      <c r="AH519" s="4278"/>
      <c r="AI519" s="4278"/>
      <c r="AJ519" s="4278"/>
      <c r="AK519" s="4278"/>
      <c r="AL519" s="4278"/>
      <c r="AM519" s="4278"/>
      <c r="AN519" s="4278"/>
      <c r="AO519" s="4278"/>
      <c r="AP519" s="4278"/>
      <c r="AQ519" s="4278"/>
      <c r="AR519" s="4278"/>
      <c r="AS519" s="4278"/>
      <c r="AT519" s="4279"/>
      <c r="AU519" s="4283"/>
      <c r="AV519" s="1188">
        <f t="shared" si="294"/>
        <v>0</v>
      </c>
      <c r="AW519" s="1188">
        <f t="shared" si="295"/>
        <v>0</v>
      </c>
      <c r="AX519" s="1188">
        <f t="shared" si="296"/>
        <v>0</v>
      </c>
      <c r="AY519" s="1452">
        <f t="shared" si="271"/>
        <v>0</v>
      </c>
      <c r="AZ519" s="4284">
        <f t="shared" si="272"/>
        <v>0</v>
      </c>
      <c r="BA519" s="4284">
        <f t="shared" si="273"/>
        <v>0</v>
      </c>
      <c r="BB519" s="4284">
        <f t="shared" si="274"/>
        <v>0</v>
      </c>
      <c r="BC519" s="4284">
        <f t="shared" si="275"/>
        <v>0</v>
      </c>
      <c r="BD519" s="4284">
        <f t="shared" si="276"/>
        <v>0</v>
      </c>
      <c r="BE519" s="4284">
        <f t="shared" si="277"/>
        <v>0</v>
      </c>
      <c r="BF519" s="4284">
        <f t="shared" si="278"/>
        <v>0</v>
      </c>
      <c r="BG519" s="4284">
        <f t="shared" si="279"/>
        <v>0</v>
      </c>
      <c r="BH519" s="4284">
        <f t="shared" si="280"/>
        <v>0</v>
      </c>
      <c r="BI519" s="4284">
        <f t="shared" si="281"/>
        <v>0</v>
      </c>
      <c r="BJ519" s="4284">
        <f t="shared" si="282"/>
        <v>0</v>
      </c>
      <c r="BK519" s="4284">
        <f t="shared" si="283"/>
        <v>0</v>
      </c>
      <c r="BL519" s="4284">
        <f t="shared" si="284"/>
        <v>0</v>
      </c>
      <c r="BM519" s="4284">
        <f t="shared" si="285"/>
        <v>0</v>
      </c>
      <c r="BN519" s="4284">
        <f t="shared" si="286"/>
        <v>0</v>
      </c>
      <c r="BO519" s="4284">
        <f t="shared" si="287"/>
        <v>0</v>
      </c>
      <c r="BP519" s="4284">
        <f t="shared" si="288"/>
        <v>0</v>
      </c>
      <c r="BQ519" s="4284">
        <f t="shared" si="289"/>
        <v>0</v>
      </c>
      <c r="BR519" s="4284">
        <f t="shared" si="290"/>
        <v>0</v>
      </c>
      <c r="BS519" s="4284">
        <f t="shared" si="291"/>
        <v>0</v>
      </c>
      <c r="BT519" s="4285">
        <f t="shared" si="292"/>
        <v>0</v>
      </c>
    </row>
    <row r="520" spans="1:72">
      <c r="A520" s="4278"/>
      <c r="B520" s="4279"/>
      <c r="C520" s="4279"/>
      <c r="D520" s="4280"/>
      <c r="E520" s="1188">
        <f t="shared" ref="E520:E551" si="297">IF($C$3="是",ROUND($A$3*G520/$B$3,2),ROUND($A$3*(G520-AT520)/$B$3,2))</f>
        <v>0</v>
      </c>
      <c r="F520" s="1680"/>
      <c r="G520" s="4281">
        <f t="shared" si="268"/>
        <v>0</v>
      </c>
      <c r="H520" s="3457">
        <f t="shared" si="269"/>
        <v>0</v>
      </c>
      <c r="I520" s="4282"/>
      <c r="J520" s="4282"/>
      <c r="K520" s="4282"/>
      <c r="L520" s="4282"/>
      <c r="M520" s="4282"/>
      <c r="N520" s="4282"/>
      <c r="O520" s="4282"/>
      <c r="P520" s="4282"/>
      <c r="Q520" s="4282"/>
      <c r="R520" s="4282"/>
      <c r="S520" s="4282"/>
      <c r="T520" s="4282"/>
      <c r="U520" s="4282"/>
      <c r="V520" s="4282"/>
      <c r="W520" s="4282"/>
      <c r="X520" s="4282"/>
      <c r="Y520" s="4282"/>
      <c r="Z520" s="4282"/>
      <c r="AA520" s="4282"/>
      <c r="AB520" s="4282"/>
      <c r="AC520" s="1188">
        <f t="shared" si="270"/>
        <v>0</v>
      </c>
      <c r="AD520" s="4278"/>
      <c r="AE520" s="4278"/>
      <c r="AF520" s="4278"/>
      <c r="AG520" s="4278"/>
      <c r="AH520" s="4278"/>
      <c r="AI520" s="4278"/>
      <c r="AJ520" s="4278"/>
      <c r="AK520" s="4278"/>
      <c r="AL520" s="4278"/>
      <c r="AM520" s="4278"/>
      <c r="AN520" s="4278"/>
      <c r="AO520" s="4278"/>
      <c r="AP520" s="4278"/>
      <c r="AQ520" s="4278"/>
      <c r="AR520" s="4278"/>
      <c r="AS520" s="4278"/>
      <c r="AT520" s="4279"/>
      <c r="AU520" s="4283"/>
      <c r="AV520" s="1188">
        <f t="shared" si="294"/>
        <v>0</v>
      </c>
      <c r="AW520" s="1188">
        <f t="shared" si="295"/>
        <v>0</v>
      </c>
      <c r="AX520" s="1188">
        <f t="shared" si="296"/>
        <v>0</v>
      </c>
      <c r="AY520" s="1452">
        <f t="shared" si="271"/>
        <v>0</v>
      </c>
      <c r="AZ520" s="4284">
        <f t="shared" si="272"/>
        <v>0</v>
      </c>
      <c r="BA520" s="4284">
        <f t="shared" si="273"/>
        <v>0</v>
      </c>
      <c r="BB520" s="4284">
        <f t="shared" si="274"/>
        <v>0</v>
      </c>
      <c r="BC520" s="4284">
        <f t="shared" si="275"/>
        <v>0</v>
      </c>
      <c r="BD520" s="4284">
        <f t="shared" si="276"/>
        <v>0</v>
      </c>
      <c r="BE520" s="4284">
        <f t="shared" si="277"/>
        <v>0</v>
      </c>
      <c r="BF520" s="4284">
        <f t="shared" si="278"/>
        <v>0</v>
      </c>
      <c r="BG520" s="4284">
        <f t="shared" si="279"/>
        <v>0</v>
      </c>
      <c r="BH520" s="4284">
        <f t="shared" si="280"/>
        <v>0</v>
      </c>
      <c r="BI520" s="4284">
        <f t="shared" si="281"/>
        <v>0</v>
      </c>
      <c r="BJ520" s="4284">
        <f t="shared" si="282"/>
        <v>0</v>
      </c>
      <c r="BK520" s="4284">
        <f t="shared" si="283"/>
        <v>0</v>
      </c>
      <c r="BL520" s="4284">
        <f t="shared" si="284"/>
        <v>0</v>
      </c>
      <c r="BM520" s="4284">
        <f t="shared" si="285"/>
        <v>0</v>
      </c>
      <c r="BN520" s="4284">
        <f t="shared" si="286"/>
        <v>0</v>
      </c>
      <c r="BO520" s="4284">
        <f t="shared" si="287"/>
        <v>0</v>
      </c>
      <c r="BP520" s="4284">
        <f t="shared" si="288"/>
        <v>0</v>
      </c>
      <c r="BQ520" s="4284">
        <f t="shared" si="289"/>
        <v>0</v>
      </c>
      <c r="BR520" s="4284">
        <f t="shared" si="290"/>
        <v>0</v>
      </c>
      <c r="BS520" s="4284">
        <f t="shared" si="291"/>
        <v>0</v>
      </c>
      <c r="BT520" s="4285">
        <f t="shared" si="292"/>
        <v>0</v>
      </c>
    </row>
    <row r="521" spans="1:72">
      <c r="A521" s="4278"/>
      <c r="B521" s="4279"/>
      <c r="C521" s="4279"/>
      <c r="D521" s="4280"/>
      <c r="E521" s="1188">
        <f t="shared" si="297"/>
        <v>0</v>
      </c>
      <c r="F521" s="1680"/>
      <c r="G521" s="4281">
        <f t="shared" si="268"/>
        <v>0</v>
      </c>
      <c r="H521" s="3457">
        <f t="shared" si="269"/>
        <v>0</v>
      </c>
      <c r="I521" s="4282"/>
      <c r="J521" s="4282"/>
      <c r="K521" s="4282"/>
      <c r="L521" s="4282"/>
      <c r="M521" s="4282"/>
      <c r="N521" s="4282"/>
      <c r="O521" s="4282"/>
      <c r="P521" s="4282"/>
      <c r="Q521" s="4282"/>
      <c r="R521" s="4282"/>
      <c r="S521" s="4282"/>
      <c r="T521" s="4282"/>
      <c r="U521" s="4282"/>
      <c r="V521" s="4282"/>
      <c r="W521" s="4282"/>
      <c r="X521" s="4282"/>
      <c r="Y521" s="4282"/>
      <c r="Z521" s="4282"/>
      <c r="AA521" s="4282"/>
      <c r="AB521" s="4282"/>
      <c r="AC521" s="1188">
        <f t="shared" si="270"/>
        <v>0</v>
      </c>
      <c r="AD521" s="4278"/>
      <c r="AE521" s="4278"/>
      <c r="AF521" s="4278"/>
      <c r="AG521" s="4278"/>
      <c r="AH521" s="4278"/>
      <c r="AI521" s="4278"/>
      <c r="AJ521" s="4278"/>
      <c r="AK521" s="4278"/>
      <c r="AL521" s="4278"/>
      <c r="AM521" s="4278"/>
      <c r="AN521" s="4278"/>
      <c r="AO521" s="4278"/>
      <c r="AP521" s="4278"/>
      <c r="AQ521" s="4278"/>
      <c r="AR521" s="4278"/>
      <c r="AS521" s="4278"/>
      <c r="AT521" s="4279"/>
      <c r="AU521" s="4283"/>
      <c r="AV521" s="1188">
        <f t="shared" ref="AV521:AV552" si="298">A521</f>
        <v>0</v>
      </c>
      <c r="AW521" s="1188">
        <f t="shared" ref="AW521:AW552" si="299">B521</f>
        <v>0</v>
      </c>
      <c r="AX521" s="1188">
        <f t="shared" ref="AX521:AX552" si="300">C521</f>
        <v>0</v>
      </c>
      <c r="AY521" s="1452">
        <f t="shared" si="271"/>
        <v>0</v>
      </c>
      <c r="AZ521" s="4284">
        <f t="shared" si="272"/>
        <v>0</v>
      </c>
      <c r="BA521" s="4284">
        <f t="shared" si="273"/>
        <v>0</v>
      </c>
      <c r="BB521" s="4284">
        <f t="shared" si="274"/>
        <v>0</v>
      </c>
      <c r="BC521" s="4284">
        <f t="shared" si="275"/>
        <v>0</v>
      </c>
      <c r="BD521" s="4284">
        <f t="shared" si="276"/>
        <v>0</v>
      </c>
      <c r="BE521" s="4284">
        <f t="shared" si="277"/>
        <v>0</v>
      </c>
      <c r="BF521" s="4284">
        <f t="shared" si="278"/>
        <v>0</v>
      </c>
      <c r="BG521" s="4284">
        <f t="shared" si="279"/>
        <v>0</v>
      </c>
      <c r="BH521" s="4284">
        <f t="shared" si="280"/>
        <v>0</v>
      </c>
      <c r="BI521" s="4284">
        <f t="shared" si="281"/>
        <v>0</v>
      </c>
      <c r="BJ521" s="4284">
        <f t="shared" si="282"/>
        <v>0</v>
      </c>
      <c r="BK521" s="4284">
        <f t="shared" si="283"/>
        <v>0</v>
      </c>
      <c r="BL521" s="4284">
        <f t="shared" si="284"/>
        <v>0</v>
      </c>
      <c r="BM521" s="4284">
        <f t="shared" si="285"/>
        <v>0</v>
      </c>
      <c r="BN521" s="4284">
        <f t="shared" si="286"/>
        <v>0</v>
      </c>
      <c r="BO521" s="4284">
        <f t="shared" si="287"/>
        <v>0</v>
      </c>
      <c r="BP521" s="4284">
        <f t="shared" si="288"/>
        <v>0</v>
      </c>
      <c r="BQ521" s="4284">
        <f t="shared" si="289"/>
        <v>0</v>
      </c>
      <c r="BR521" s="4284">
        <f t="shared" si="290"/>
        <v>0</v>
      </c>
      <c r="BS521" s="4284">
        <f t="shared" si="291"/>
        <v>0</v>
      </c>
      <c r="BT521" s="4285">
        <f t="shared" si="292"/>
        <v>0</v>
      </c>
    </row>
    <row r="522" spans="1:72">
      <c r="A522" s="4278"/>
      <c r="B522" s="4279"/>
      <c r="C522" s="4279"/>
      <c r="D522" s="4280"/>
      <c r="E522" s="1188">
        <f t="shared" si="297"/>
        <v>0</v>
      </c>
      <c r="F522" s="1680"/>
      <c r="G522" s="4281">
        <f t="shared" ref="G522:G552" si="301">H522+AC522+AT522</f>
        <v>0</v>
      </c>
      <c r="H522" s="3457">
        <f t="shared" ref="H522:H552" si="302">SUMIF(I$12:AB$12,"总值",I522:AB522)</f>
        <v>0</v>
      </c>
      <c r="I522" s="4282"/>
      <c r="J522" s="4282"/>
      <c r="K522" s="4282"/>
      <c r="L522" s="4282"/>
      <c r="M522" s="4282"/>
      <c r="N522" s="4282"/>
      <c r="O522" s="4282"/>
      <c r="P522" s="4282"/>
      <c r="Q522" s="4282"/>
      <c r="R522" s="4282"/>
      <c r="S522" s="4282"/>
      <c r="T522" s="4282"/>
      <c r="U522" s="4282"/>
      <c r="V522" s="4282"/>
      <c r="W522" s="4282"/>
      <c r="X522" s="4282"/>
      <c r="Y522" s="4282"/>
      <c r="Z522" s="4282"/>
      <c r="AA522" s="4282"/>
      <c r="AB522" s="4282"/>
      <c r="AC522" s="1188">
        <f t="shared" ref="AC522:AC552" si="303">SUMIF(AD$12:AS$12,"总值",AD522:AS522)</f>
        <v>0</v>
      </c>
      <c r="AD522" s="4278"/>
      <c r="AE522" s="4278"/>
      <c r="AF522" s="4278"/>
      <c r="AG522" s="4278"/>
      <c r="AH522" s="4278"/>
      <c r="AI522" s="4278"/>
      <c r="AJ522" s="4278"/>
      <c r="AK522" s="4278"/>
      <c r="AL522" s="4278"/>
      <c r="AM522" s="4278"/>
      <c r="AN522" s="4278"/>
      <c r="AO522" s="4278"/>
      <c r="AP522" s="4278"/>
      <c r="AQ522" s="4278"/>
      <c r="AR522" s="4278"/>
      <c r="AS522" s="4278"/>
      <c r="AT522" s="4279"/>
      <c r="AU522" s="4283"/>
      <c r="AV522" s="1188">
        <f t="shared" si="298"/>
        <v>0</v>
      </c>
      <c r="AW522" s="1188">
        <f t="shared" si="299"/>
        <v>0</v>
      </c>
      <c r="AX522" s="1188">
        <f t="shared" si="300"/>
        <v>0</v>
      </c>
      <c r="AY522" s="1452">
        <f t="shared" ref="AY522:AY552" si="304">ROUND($AY$6*AZ522/$AZ$5,2)</f>
        <v>0</v>
      </c>
      <c r="AZ522" s="4284">
        <f t="shared" ref="AZ522:AZ552" si="305">BA522+BL522</f>
        <v>0</v>
      </c>
      <c r="BA522" s="4284">
        <f t="shared" ref="BA522:BA552" si="306">SUM(BB522:BK522)</f>
        <v>0</v>
      </c>
      <c r="BB522" s="4284">
        <f t="shared" ref="BB522:BB552" si="307">IF($D522="是",I522-J522,0)</f>
        <v>0</v>
      </c>
      <c r="BC522" s="4284">
        <f t="shared" ref="BC522:BC552" si="308">IF($D522="是",K522-L522,0)</f>
        <v>0</v>
      </c>
      <c r="BD522" s="4284">
        <f t="shared" ref="BD522:BD552" si="309">IF($D522="是",M522-N522,0)</f>
        <v>0</v>
      </c>
      <c r="BE522" s="4284">
        <f t="shared" ref="BE522:BE552" si="310">IF($D522="是",O522-P522,0)</f>
        <v>0</v>
      </c>
      <c r="BF522" s="4284">
        <f t="shared" ref="BF522:BF552" si="311">IF($D522="是",Q522-R522,0)</f>
        <v>0</v>
      </c>
      <c r="BG522" s="4284">
        <f t="shared" ref="BG522:BG552" si="312">IF($D522="是",S522-T522,0)</f>
        <v>0</v>
      </c>
      <c r="BH522" s="4284">
        <f t="shared" ref="BH522:BH552" si="313">IF($D522="是",U522-V522,0)</f>
        <v>0</v>
      </c>
      <c r="BI522" s="4284">
        <f t="shared" ref="BI522:BI552" si="314">IF($D522="是",W522-X522,0)</f>
        <v>0</v>
      </c>
      <c r="BJ522" s="4284">
        <f t="shared" ref="BJ522:BJ552" si="315">IF($D522="是",Y522-Z522,0)</f>
        <v>0</v>
      </c>
      <c r="BK522" s="4284">
        <f t="shared" ref="BK522:BK552" si="316">IF($D522="是",AA522-AB522,0)</f>
        <v>0</v>
      </c>
      <c r="BL522" s="4284">
        <f t="shared" ref="BL522:BL552" si="317">SUM(BM522:BT522)</f>
        <v>0</v>
      </c>
      <c r="BM522" s="4284">
        <f t="shared" ref="BM522:BM552" si="318">IF($D522="是",AD522-AE522,0)</f>
        <v>0</v>
      </c>
      <c r="BN522" s="4284">
        <f t="shared" ref="BN522:BN552" si="319">IF($D522="是",AF522-AG522,0)</f>
        <v>0</v>
      </c>
      <c r="BO522" s="4284">
        <f t="shared" ref="BO522:BO552" si="320">IF($D522="是",AH522-AI522,0)</f>
        <v>0</v>
      </c>
      <c r="BP522" s="4284">
        <f t="shared" ref="BP522:BP552" si="321">IF($D522="是",AJ522-AK522,0)</f>
        <v>0</v>
      </c>
      <c r="BQ522" s="4284">
        <f t="shared" ref="BQ522:BQ552" si="322">IF($D522="是",AL522-AM522,0)</f>
        <v>0</v>
      </c>
      <c r="BR522" s="4284">
        <f t="shared" ref="BR522:BR552" si="323">IF($D522="是",AN522-AO522,0)</f>
        <v>0</v>
      </c>
      <c r="BS522" s="4284">
        <f t="shared" ref="BS522:BS552" si="324">IF($D522="是",AP522-AQ522,0)</f>
        <v>0</v>
      </c>
      <c r="BT522" s="4285">
        <f t="shared" ref="BT522:BT552" si="325">IF($D522="是",AR522-AS522,0)</f>
        <v>0</v>
      </c>
    </row>
    <row r="523" spans="1:72">
      <c r="A523" s="4278"/>
      <c r="B523" s="4279"/>
      <c r="C523" s="4279"/>
      <c r="D523" s="4280"/>
      <c r="E523" s="1188">
        <f t="shared" si="297"/>
        <v>0</v>
      </c>
      <c r="F523" s="1680"/>
      <c r="G523" s="4281">
        <f t="shared" si="301"/>
        <v>0</v>
      </c>
      <c r="H523" s="3457">
        <f t="shared" si="302"/>
        <v>0</v>
      </c>
      <c r="I523" s="4282"/>
      <c r="J523" s="4282"/>
      <c r="K523" s="4282"/>
      <c r="L523" s="4282"/>
      <c r="M523" s="4282"/>
      <c r="N523" s="4282"/>
      <c r="O523" s="4282"/>
      <c r="P523" s="4282"/>
      <c r="Q523" s="4282"/>
      <c r="R523" s="4282"/>
      <c r="S523" s="4282"/>
      <c r="T523" s="4282"/>
      <c r="U523" s="4282"/>
      <c r="V523" s="4282"/>
      <c r="W523" s="4282"/>
      <c r="X523" s="4282"/>
      <c r="Y523" s="4282"/>
      <c r="Z523" s="4282"/>
      <c r="AA523" s="4282"/>
      <c r="AB523" s="4282"/>
      <c r="AC523" s="1188">
        <f t="shared" si="303"/>
        <v>0</v>
      </c>
      <c r="AD523" s="4278"/>
      <c r="AE523" s="4278"/>
      <c r="AF523" s="4278"/>
      <c r="AG523" s="4278"/>
      <c r="AH523" s="4278"/>
      <c r="AI523" s="4278"/>
      <c r="AJ523" s="4278"/>
      <c r="AK523" s="4278"/>
      <c r="AL523" s="4278"/>
      <c r="AM523" s="4278"/>
      <c r="AN523" s="4278"/>
      <c r="AO523" s="4278"/>
      <c r="AP523" s="4278"/>
      <c r="AQ523" s="4278"/>
      <c r="AR523" s="4278"/>
      <c r="AS523" s="4278"/>
      <c r="AT523" s="4279"/>
      <c r="AU523" s="4283"/>
      <c r="AV523" s="1188">
        <f t="shared" si="298"/>
        <v>0</v>
      </c>
      <c r="AW523" s="1188">
        <f t="shared" si="299"/>
        <v>0</v>
      </c>
      <c r="AX523" s="1188">
        <f t="shared" si="300"/>
        <v>0</v>
      </c>
      <c r="AY523" s="1452">
        <f t="shared" si="304"/>
        <v>0</v>
      </c>
      <c r="AZ523" s="4284">
        <f t="shared" si="305"/>
        <v>0</v>
      </c>
      <c r="BA523" s="4284">
        <f t="shared" si="306"/>
        <v>0</v>
      </c>
      <c r="BB523" s="4284">
        <f t="shared" si="307"/>
        <v>0</v>
      </c>
      <c r="BC523" s="4284">
        <f t="shared" si="308"/>
        <v>0</v>
      </c>
      <c r="BD523" s="4284">
        <f t="shared" si="309"/>
        <v>0</v>
      </c>
      <c r="BE523" s="4284">
        <f t="shared" si="310"/>
        <v>0</v>
      </c>
      <c r="BF523" s="4284">
        <f t="shared" si="311"/>
        <v>0</v>
      </c>
      <c r="BG523" s="4284">
        <f t="shared" si="312"/>
        <v>0</v>
      </c>
      <c r="BH523" s="4284">
        <f t="shared" si="313"/>
        <v>0</v>
      </c>
      <c r="BI523" s="4284">
        <f t="shared" si="314"/>
        <v>0</v>
      </c>
      <c r="BJ523" s="4284">
        <f t="shared" si="315"/>
        <v>0</v>
      </c>
      <c r="BK523" s="4284">
        <f t="shared" si="316"/>
        <v>0</v>
      </c>
      <c r="BL523" s="4284">
        <f t="shared" si="317"/>
        <v>0</v>
      </c>
      <c r="BM523" s="4284">
        <f t="shared" si="318"/>
        <v>0</v>
      </c>
      <c r="BN523" s="4284">
        <f t="shared" si="319"/>
        <v>0</v>
      </c>
      <c r="BO523" s="4284">
        <f t="shared" si="320"/>
        <v>0</v>
      </c>
      <c r="BP523" s="4284">
        <f t="shared" si="321"/>
        <v>0</v>
      </c>
      <c r="BQ523" s="4284">
        <f t="shared" si="322"/>
        <v>0</v>
      </c>
      <c r="BR523" s="4284">
        <f t="shared" si="323"/>
        <v>0</v>
      </c>
      <c r="BS523" s="4284">
        <f t="shared" si="324"/>
        <v>0</v>
      </c>
      <c r="BT523" s="4285">
        <f t="shared" si="325"/>
        <v>0</v>
      </c>
    </row>
    <row r="524" spans="1:72">
      <c r="A524" s="4278"/>
      <c r="B524" s="4279"/>
      <c r="C524" s="4279"/>
      <c r="D524" s="4280"/>
      <c r="E524" s="1188">
        <f t="shared" si="297"/>
        <v>0</v>
      </c>
      <c r="F524" s="1680"/>
      <c r="G524" s="4281">
        <f t="shared" si="301"/>
        <v>0</v>
      </c>
      <c r="H524" s="3457">
        <f t="shared" si="302"/>
        <v>0</v>
      </c>
      <c r="I524" s="4282"/>
      <c r="J524" s="4282"/>
      <c r="K524" s="4282"/>
      <c r="L524" s="4282"/>
      <c r="M524" s="4282"/>
      <c r="N524" s="4282"/>
      <c r="O524" s="4282"/>
      <c r="P524" s="4282"/>
      <c r="Q524" s="4282"/>
      <c r="R524" s="4282"/>
      <c r="S524" s="4282"/>
      <c r="T524" s="4282"/>
      <c r="U524" s="4282"/>
      <c r="V524" s="4282"/>
      <c r="W524" s="4282"/>
      <c r="X524" s="4282"/>
      <c r="Y524" s="4282"/>
      <c r="Z524" s="4282"/>
      <c r="AA524" s="4282"/>
      <c r="AB524" s="4282"/>
      <c r="AC524" s="1188">
        <f t="shared" si="303"/>
        <v>0</v>
      </c>
      <c r="AD524" s="4278"/>
      <c r="AE524" s="4278"/>
      <c r="AF524" s="4278"/>
      <c r="AG524" s="4278"/>
      <c r="AH524" s="4278"/>
      <c r="AI524" s="4278"/>
      <c r="AJ524" s="4278"/>
      <c r="AK524" s="4278"/>
      <c r="AL524" s="4278"/>
      <c r="AM524" s="4278"/>
      <c r="AN524" s="4278"/>
      <c r="AO524" s="4278"/>
      <c r="AP524" s="4278"/>
      <c r="AQ524" s="4278"/>
      <c r="AR524" s="4278"/>
      <c r="AS524" s="4278"/>
      <c r="AT524" s="4279"/>
      <c r="AU524" s="4283"/>
      <c r="AV524" s="1188">
        <f t="shared" si="298"/>
        <v>0</v>
      </c>
      <c r="AW524" s="1188">
        <f t="shared" si="299"/>
        <v>0</v>
      </c>
      <c r="AX524" s="1188">
        <f t="shared" si="300"/>
        <v>0</v>
      </c>
      <c r="AY524" s="1452">
        <f t="shared" si="304"/>
        <v>0</v>
      </c>
      <c r="AZ524" s="4284">
        <f t="shared" si="305"/>
        <v>0</v>
      </c>
      <c r="BA524" s="4284">
        <f t="shared" si="306"/>
        <v>0</v>
      </c>
      <c r="BB524" s="4284">
        <f t="shared" si="307"/>
        <v>0</v>
      </c>
      <c r="BC524" s="4284">
        <f t="shared" si="308"/>
        <v>0</v>
      </c>
      <c r="BD524" s="4284">
        <f t="shared" si="309"/>
        <v>0</v>
      </c>
      <c r="BE524" s="4284">
        <f t="shared" si="310"/>
        <v>0</v>
      </c>
      <c r="BF524" s="4284">
        <f t="shared" si="311"/>
        <v>0</v>
      </c>
      <c r="BG524" s="4284">
        <f t="shared" si="312"/>
        <v>0</v>
      </c>
      <c r="BH524" s="4284">
        <f t="shared" si="313"/>
        <v>0</v>
      </c>
      <c r="BI524" s="4284">
        <f t="shared" si="314"/>
        <v>0</v>
      </c>
      <c r="BJ524" s="4284">
        <f t="shared" si="315"/>
        <v>0</v>
      </c>
      <c r="BK524" s="4284">
        <f t="shared" si="316"/>
        <v>0</v>
      </c>
      <c r="BL524" s="4284">
        <f t="shared" si="317"/>
        <v>0</v>
      </c>
      <c r="BM524" s="4284">
        <f t="shared" si="318"/>
        <v>0</v>
      </c>
      <c r="BN524" s="4284">
        <f t="shared" si="319"/>
        <v>0</v>
      </c>
      <c r="BO524" s="4284">
        <f t="shared" si="320"/>
        <v>0</v>
      </c>
      <c r="BP524" s="4284">
        <f t="shared" si="321"/>
        <v>0</v>
      </c>
      <c r="BQ524" s="4284">
        <f t="shared" si="322"/>
        <v>0</v>
      </c>
      <c r="BR524" s="4284">
        <f t="shared" si="323"/>
        <v>0</v>
      </c>
      <c r="BS524" s="4284">
        <f t="shared" si="324"/>
        <v>0</v>
      </c>
      <c r="BT524" s="4285">
        <f t="shared" si="325"/>
        <v>0</v>
      </c>
    </row>
    <row r="525" spans="1:72">
      <c r="A525" s="4278"/>
      <c r="B525" s="4279"/>
      <c r="C525" s="4279"/>
      <c r="D525" s="4280"/>
      <c r="E525" s="1188">
        <f t="shared" si="297"/>
        <v>0</v>
      </c>
      <c r="F525" s="1680"/>
      <c r="G525" s="4281">
        <f t="shared" si="301"/>
        <v>0</v>
      </c>
      <c r="H525" s="3457">
        <f t="shared" si="302"/>
        <v>0</v>
      </c>
      <c r="I525" s="4282"/>
      <c r="J525" s="4282"/>
      <c r="K525" s="4282"/>
      <c r="L525" s="4282"/>
      <c r="M525" s="4282"/>
      <c r="N525" s="4282"/>
      <c r="O525" s="4282"/>
      <c r="P525" s="4282"/>
      <c r="Q525" s="4282"/>
      <c r="R525" s="4282"/>
      <c r="S525" s="4282"/>
      <c r="T525" s="4282"/>
      <c r="U525" s="4282"/>
      <c r="V525" s="4282"/>
      <c r="W525" s="4282"/>
      <c r="X525" s="4282"/>
      <c r="Y525" s="4282"/>
      <c r="Z525" s="4282"/>
      <c r="AA525" s="4282"/>
      <c r="AB525" s="4282"/>
      <c r="AC525" s="1188">
        <f t="shared" si="303"/>
        <v>0</v>
      </c>
      <c r="AD525" s="4278"/>
      <c r="AE525" s="4278"/>
      <c r="AF525" s="4278"/>
      <c r="AG525" s="4278"/>
      <c r="AH525" s="4278"/>
      <c r="AI525" s="4278"/>
      <c r="AJ525" s="4278"/>
      <c r="AK525" s="4278"/>
      <c r="AL525" s="4278"/>
      <c r="AM525" s="4278"/>
      <c r="AN525" s="4278"/>
      <c r="AO525" s="4278"/>
      <c r="AP525" s="4278"/>
      <c r="AQ525" s="4278"/>
      <c r="AR525" s="4278"/>
      <c r="AS525" s="4278"/>
      <c r="AT525" s="4279"/>
      <c r="AU525" s="4283"/>
      <c r="AV525" s="1188">
        <f t="shared" si="298"/>
        <v>0</v>
      </c>
      <c r="AW525" s="1188">
        <f t="shared" si="299"/>
        <v>0</v>
      </c>
      <c r="AX525" s="1188">
        <f t="shared" si="300"/>
        <v>0</v>
      </c>
      <c r="AY525" s="1452">
        <f t="shared" si="304"/>
        <v>0</v>
      </c>
      <c r="AZ525" s="4284">
        <f t="shared" si="305"/>
        <v>0</v>
      </c>
      <c r="BA525" s="4284">
        <f t="shared" si="306"/>
        <v>0</v>
      </c>
      <c r="BB525" s="4284">
        <f t="shared" si="307"/>
        <v>0</v>
      </c>
      <c r="BC525" s="4284">
        <f t="shared" si="308"/>
        <v>0</v>
      </c>
      <c r="BD525" s="4284">
        <f t="shared" si="309"/>
        <v>0</v>
      </c>
      <c r="BE525" s="4284">
        <f t="shared" si="310"/>
        <v>0</v>
      </c>
      <c r="BF525" s="4284">
        <f t="shared" si="311"/>
        <v>0</v>
      </c>
      <c r="BG525" s="4284">
        <f t="shared" si="312"/>
        <v>0</v>
      </c>
      <c r="BH525" s="4284">
        <f t="shared" si="313"/>
        <v>0</v>
      </c>
      <c r="BI525" s="4284">
        <f t="shared" si="314"/>
        <v>0</v>
      </c>
      <c r="BJ525" s="4284">
        <f t="shared" si="315"/>
        <v>0</v>
      </c>
      <c r="BK525" s="4284">
        <f t="shared" si="316"/>
        <v>0</v>
      </c>
      <c r="BL525" s="4284">
        <f t="shared" si="317"/>
        <v>0</v>
      </c>
      <c r="BM525" s="4284">
        <f t="shared" si="318"/>
        <v>0</v>
      </c>
      <c r="BN525" s="4284">
        <f t="shared" si="319"/>
        <v>0</v>
      </c>
      <c r="BO525" s="4284">
        <f t="shared" si="320"/>
        <v>0</v>
      </c>
      <c r="BP525" s="4284">
        <f t="shared" si="321"/>
        <v>0</v>
      </c>
      <c r="BQ525" s="4284">
        <f t="shared" si="322"/>
        <v>0</v>
      </c>
      <c r="BR525" s="4284">
        <f t="shared" si="323"/>
        <v>0</v>
      </c>
      <c r="BS525" s="4284">
        <f t="shared" si="324"/>
        <v>0</v>
      </c>
      <c r="BT525" s="4285">
        <f t="shared" si="325"/>
        <v>0</v>
      </c>
    </row>
    <row r="526" spans="1:72">
      <c r="A526" s="4278"/>
      <c r="B526" s="4279"/>
      <c r="C526" s="4279"/>
      <c r="D526" s="4280"/>
      <c r="E526" s="1188">
        <f t="shared" si="297"/>
        <v>0</v>
      </c>
      <c r="F526" s="1680"/>
      <c r="G526" s="4281">
        <f t="shared" si="301"/>
        <v>0</v>
      </c>
      <c r="H526" s="3457">
        <f t="shared" si="302"/>
        <v>0</v>
      </c>
      <c r="I526" s="4282"/>
      <c r="J526" s="4282"/>
      <c r="K526" s="4282"/>
      <c r="L526" s="4282"/>
      <c r="M526" s="4282"/>
      <c r="N526" s="4282"/>
      <c r="O526" s="4282"/>
      <c r="P526" s="4282"/>
      <c r="Q526" s="4282"/>
      <c r="R526" s="4282"/>
      <c r="S526" s="4282"/>
      <c r="T526" s="4282"/>
      <c r="U526" s="4282"/>
      <c r="V526" s="4282"/>
      <c r="W526" s="4282"/>
      <c r="X526" s="4282"/>
      <c r="Y526" s="4282"/>
      <c r="Z526" s="4282"/>
      <c r="AA526" s="4282"/>
      <c r="AB526" s="4282"/>
      <c r="AC526" s="1188">
        <f t="shared" si="303"/>
        <v>0</v>
      </c>
      <c r="AD526" s="4278"/>
      <c r="AE526" s="4278"/>
      <c r="AF526" s="4278"/>
      <c r="AG526" s="4278"/>
      <c r="AH526" s="4278"/>
      <c r="AI526" s="4278"/>
      <c r="AJ526" s="4278"/>
      <c r="AK526" s="4278"/>
      <c r="AL526" s="4278"/>
      <c r="AM526" s="4278"/>
      <c r="AN526" s="4278"/>
      <c r="AO526" s="4278"/>
      <c r="AP526" s="4278"/>
      <c r="AQ526" s="4278"/>
      <c r="AR526" s="4278"/>
      <c r="AS526" s="4278"/>
      <c r="AT526" s="4279"/>
      <c r="AU526" s="4283"/>
      <c r="AV526" s="1188">
        <f t="shared" si="298"/>
        <v>0</v>
      </c>
      <c r="AW526" s="1188">
        <f t="shared" si="299"/>
        <v>0</v>
      </c>
      <c r="AX526" s="1188">
        <f t="shared" si="300"/>
        <v>0</v>
      </c>
      <c r="AY526" s="1452">
        <f t="shared" si="304"/>
        <v>0</v>
      </c>
      <c r="AZ526" s="4284">
        <f t="shared" si="305"/>
        <v>0</v>
      </c>
      <c r="BA526" s="4284">
        <f t="shared" si="306"/>
        <v>0</v>
      </c>
      <c r="BB526" s="4284">
        <f t="shared" si="307"/>
        <v>0</v>
      </c>
      <c r="BC526" s="4284">
        <f t="shared" si="308"/>
        <v>0</v>
      </c>
      <c r="BD526" s="4284">
        <f t="shared" si="309"/>
        <v>0</v>
      </c>
      <c r="BE526" s="4284">
        <f t="shared" si="310"/>
        <v>0</v>
      </c>
      <c r="BF526" s="4284">
        <f t="shared" si="311"/>
        <v>0</v>
      </c>
      <c r="BG526" s="4284">
        <f t="shared" si="312"/>
        <v>0</v>
      </c>
      <c r="BH526" s="4284">
        <f t="shared" si="313"/>
        <v>0</v>
      </c>
      <c r="BI526" s="4284">
        <f t="shared" si="314"/>
        <v>0</v>
      </c>
      <c r="BJ526" s="4284">
        <f t="shared" si="315"/>
        <v>0</v>
      </c>
      <c r="BK526" s="4284">
        <f t="shared" si="316"/>
        <v>0</v>
      </c>
      <c r="BL526" s="4284">
        <f t="shared" si="317"/>
        <v>0</v>
      </c>
      <c r="BM526" s="4284">
        <f t="shared" si="318"/>
        <v>0</v>
      </c>
      <c r="BN526" s="4284">
        <f t="shared" si="319"/>
        <v>0</v>
      </c>
      <c r="BO526" s="4284">
        <f t="shared" si="320"/>
        <v>0</v>
      </c>
      <c r="BP526" s="4284">
        <f t="shared" si="321"/>
        <v>0</v>
      </c>
      <c r="BQ526" s="4284">
        <f t="shared" si="322"/>
        <v>0</v>
      </c>
      <c r="BR526" s="4284">
        <f t="shared" si="323"/>
        <v>0</v>
      </c>
      <c r="BS526" s="4284">
        <f t="shared" si="324"/>
        <v>0</v>
      </c>
      <c r="BT526" s="4285">
        <f t="shared" si="325"/>
        <v>0</v>
      </c>
    </row>
    <row r="527" spans="1:72">
      <c r="A527" s="4278"/>
      <c r="B527" s="4279"/>
      <c r="C527" s="4279"/>
      <c r="D527" s="4280"/>
      <c r="E527" s="1188">
        <f t="shared" si="297"/>
        <v>0</v>
      </c>
      <c r="F527" s="1680"/>
      <c r="G527" s="4281">
        <f t="shared" si="301"/>
        <v>0</v>
      </c>
      <c r="H527" s="3457">
        <f t="shared" si="302"/>
        <v>0</v>
      </c>
      <c r="I527" s="4282"/>
      <c r="J527" s="4282"/>
      <c r="K527" s="4282"/>
      <c r="L527" s="4282"/>
      <c r="M527" s="4282"/>
      <c r="N527" s="4282"/>
      <c r="O527" s="4282"/>
      <c r="P527" s="4282"/>
      <c r="Q527" s="4282"/>
      <c r="R527" s="4282"/>
      <c r="S527" s="4282"/>
      <c r="T527" s="4282"/>
      <c r="U527" s="4282"/>
      <c r="V527" s="4282"/>
      <c r="W527" s="4282"/>
      <c r="X527" s="4282"/>
      <c r="Y527" s="4282"/>
      <c r="Z527" s="4282"/>
      <c r="AA527" s="4282"/>
      <c r="AB527" s="4282"/>
      <c r="AC527" s="1188">
        <f t="shared" si="303"/>
        <v>0</v>
      </c>
      <c r="AD527" s="4278"/>
      <c r="AE527" s="4278"/>
      <c r="AF527" s="4278"/>
      <c r="AG527" s="4278"/>
      <c r="AH527" s="4278"/>
      <c r="AI527" s="4278"/>
      <c r="AJ527" s="4278"/>
      <c r="AK527" s="4278"/>
      <c r="AL527" s="4278"/>
      <c r="AM527" s="4278"/>
      <c r="AN527" s="4278"/>
      <c r="AO527" s="4278"/>
      <c r="AP527" s="4278"/>
      <c r="AQ527" s="4278"/>
      <c r="AR527" s="4278"/>
      <c r="AS527" s="4278"/>
      <c r="AT527" s="4279"/>
      <c r="AU527" s="4283"/>
      <c r="AV527" s="1188">
        <f t="shared" si="298"/>
        <v>0</v>
      </c>
      <c r="AW527" s="1188">
        <f t="shared" si="299"/>
        <v>0</v>
      </c>
      <c r="AX527" s="1188">
        <f t="shared" si="300"/>
        <v>0</v>
      </c>
      <c r="AY527" s="1452">
        <f t="shared" si="304"/>
        <v>0</v>
      </c>
      <c r="AZ527" s="4284">
        <f t="shared" si="305"/>
        <v>0</v>
      </c>
      <c r="BA527" s="4284">
        <f t="shared" si="306"/>
        <v>0</v>
      </c>
      <c r="BB527" s="4284">
        <f t="shared" si="307"/>
        <v>0</v>
      </c>
      <c r="BC527" s="4284">
        <f t="shared" si="308"/>
        <v>0</v>
      </c>
      <c r="BD527" s="4284">
        <f t="shared" si="309"/>
        <v>0</v>
      </c>
      <c r="BE527" s="4284">
        <f t="shared" si="310"/>
        <v>0</v>
      </c>
      <c r="BF527" s="4284">
        <f t="shared" si="311"/>
        <v>0</v>
      </c>
      <c r="BG527" s="4284">
        <f t="shared" si="312"/>
        <v>0</v>
      </c>
      <c r="BH527" s="4284">
        <f t="shared" si="313"/>
        <v>0</v>
      </c>
      <c r="BI527" s="4284">
        <f t="shared" si="314"/>
        <v>0</v>
      </c>
      <c r="BJ527" s="4284">
        <f t="shared" si="315"/>
        <v>0</v>
      </c>
      <c r="BK527" s="4284">
        <f t="shared" si="316"/>
        <v>0</v>
      </c>
      <c r="BL527" s="4284">
        <f t="shared" si="317"/>
        <v>0</v>
      </c>
      <c r="BM527" s="4284">
        <f t="shared" si="318"/>
        <v>0</v>
      </c>
      <c r="BN527" s="4284">
        <f t="shared" si="319"/>
        <v>0</v>
      </c>
      <c r="BO527" s="4284">
        <f t="shared" si="320"/>
        <v>0</v>
      </c>
      <c r="BP527" s="4284">
        <f t="shared" si="321"/>
        <v>0</v>
      </c>
      <c r="BQ527" s="4284">
        <f t="shared" si="322"/>
        <v>0</v>
      </c>
      <c r="BR527" s="4284">
        <f t="shared" si="323"/>
        <v>0</v>
      </c>
      <c r="BS527" s="4284">
        <f t="shared" si="324"/>
        <v>0</v>
      </c>
      <c r="BT527" s="4285">
        <f t="shared" si="325"/>
        <v>0</v>
      </c>
    </row>
    <row r="528" spans="1:72">
      <c r="A528" s="4278"/>
      <c r="B528" s="4279"/>
      <c r="C528" s="4279"/>
      <c r="D528" s="4280"/>
      <c r="E528" s="1188">
        <f t="shared" si="297"/>
        <v>0</v>
      </c>
      <c r="F528" s="1680"/>
      <c r="G528" s="4281">
        <f t="shared" si="301"/>
        <v>0</v>
      </c>
      <c r="H528" s="3457">
        <f t="shared" si="302"/>
        <v>0</v>
      </c>
      <c r="I528" s="4282"/>
      <c r="J528" s="4282"/>
      <c r="K528" s="4282"/>
      <c r="L528" s="4282"/>
      <c r="M528" s="4282"/>
      <c r="N528" s="4282"/>
      <c r="O528" s="4282"/>
      <c r="P528" s="4282"/>
      <c r="Q528" s="4282"/>
      <c r="R528" s="4282"/>
      <c r="S528" s="4282"/>
      <c r="T528" s="4282"/>
      <c r="U528" s="4282"/>
      <c r="V528" s="4282"/>
      <c r="W528" s="4282"/>
      <c r="X528" s="4282"/>
      <c r="Y528" s="4282"/>
      <c r="Z528" s="4282"/>
      <c r="AA528" s="4282"/>
      <c r="AB528" s="4282"/>
      <c r="AC528" s="1188">
        <f t="shared" si="303"/>
        <v>0</v>
      </c>
      <c r="AD528" s="4278"/>
      <c r="AE528" s="4278"/>
      <c r="AF528" s="4278"/>
      <c r="AG528" s="4278"/>
      <c r="AH528" s="4278"/>
      <c r="AI528" s="4278"/>
      <c r="AJ528" s="4278"/>
      <c r="AK528" s="4278"/>
      <c r="AL528" s="4278"/>
      <c r="AM528" s="4278"/>
      <c r="AN528" s="4278"/>
      <c r="AO528" s="4278"/>
      <c r="AP528" s="4278"/>
      <c r="AQ528" s="4278"/>
      <c r="AR528" s="4278"/>
      <c r="AS528" s="4278"/>
      <c r="AT528" s="4279"/>
      <c r="AU528" s="4283"/>
      <c r="AV528" s="1188">
        <f t="shared" si="298"/>
        <v>0</v>
      </c>
      <c r="AW528" s="1188">
        <f t="shared" si="299"/>
        <v>0</v>
      </c>
      <c r="AX528" s="1188">
        <f t="shared" si="300"/>
        <v>0</v>
      </c>
      <c r="AY528" s="1452">
        <f t="shared" si="304"/>
        <v>0</v>
      </c>
      <c r="AZ528" s="4284">
        <f t="shared" si="305"/>
        <v>0</v>
      </c>
      <c r="BA528" s="4284">
        <f t="shared" si="306"/>
        <v>0</v>
      </c>
      <c r="BB528" s="4284">
        <f t="shared" si="307"/>
        <v>0</v>
      </c>
      <c r="BC528" s="4284">
        <f t="shared" si="308"/>
        <v>0</v>
      </c>
      <c r="BD528" s="4284">
        <f t="shared" si="309"/>
        <v>0</v>
      </c>
      <c r="BE528" s="4284">
        <f t="shared" si="310"/>
        <v>0</v>
      </c>
      <c r="BF528" s="4284">
        <f t="shared" si="311"/>
        <v>0</v>
      </c>
      <c r="BG528" s="4284">
        <f t="shared" si="312"/>
        <v>0</v>
      </c>
      <c r="BH528" s="4284">
        <f t="shared" si="313"/>
        <v>0</v>
      </c>
      <c r="BI528" s="4284">
        <f t="shared" si="314"/>
        <v>0</v>
      </c>
      <c r="BJ528" s="4284">
        <f t="shared" si="315"/>
        <v>0</v>
      </c>
      <c r="BK528" s="4284">
        <f t="shared" si="316"/>
        <v>0</v>
      </c>
      <c r="BL528" s="4284">
        <f t="shared" si="317"/>
        <v>0</v>
      </c>
      <c r="BM528" s="4284">
        <f t="shared" si="318"/>
        <v>0</v>
      </c>
      <c r="BN528" s="4284">
        <f t="shared" si="319"/>
        <v>0</v>
      </c>
      <c r="BO528" s="4284">
        <f t="shared" si="320"/>
        <v>0</v>
      </c>
      <c r="BP528" s="4284">
        <f t="shared" si="321"/>
        <v>0</v>
      </c>
      <c r="BQ528" s="4284">
        <f t="shared" si="322"/>
        <v>0</v>
      </c>
      <c r="BR528" s="4284">
        <f t="shared" si="323"/>
        <v>0</v>
      </c>
      <c r="BS528" s="4284">
        <f t="shared" si="324"/>
        <v>0</v>
      </c>
      <c r="BT528" s="4285">
        <f t="shared" si="325"/>
        <v>0</v>
      </c>
    </row>
    <row r="529" spans="1:72">
      <c r="A529" s="4278"/>
      <c r="B529" s="4279"/>
      <c r="C529" s="4279"/>
      <c r="D529" s="4280"/>
      <c r="E529" s="1188">
        <f t="shared" si="297"/>
        <v>0</v>
      </c>
      <c r="F529" s="1680"/>
      <c r="G529" s="4281">
        <f t="shared" si="301"/>
        <v>0</v>
      </c>
      <c r="H529" s="3457">
        <f t="shared" si="302"/>
        <v>0</v>
      </c>
      <c r="I529" s="4282"/>
      <c r="J529" s="4282"/>
      <c r="K529" s="4282"/>
      <c r="L529" s="4282"/>
      <c r="M529" s="4282"/>
      <c r="N529" s="4282"/>
      <c r="O529" s="4282"/>
      <c r="P529" s="4282"/>
      <c r="Q529" s="4282"/>
      <c r="R529" s="4282"/>
      <c r="S529" s="4282"/>
      <c r="T529" s="4282"/>
      <c r="U529" s="4282"/>
      <c r="V529" s="4282"/>
      <c r="W529" s="4282"/>
      <c r="X529" s="4282"/>
      <c r="Y529" s="4282"/>
      <c r="Z529" s="4282"/>
      <c r="AA529" s="4282"/>
      <c r="AB529" s="4282"/>
      <c r="AC529" s="1188">
        <f t="shared" si="303"/>
        <v>0</v>
      </c>
      <c r="AD529" s="4278"/>
      <c r="AE529" s="4278"/>
      <c r="AF529" s="4278"/>
      <c r="AG529" s="4278"/>
      <c r="AH529" s="4278"/>
      <c r="AI529" s="4278"/>
      <c r="AJ529" s="4278"/>
      <c r="AK529" s="4278"/>
      <c r="AL529" s="4278"/>
      <c r="AM529" s="4278"/>
      <c r="AN529" s="4278"/>
      <c r="AO529" s="4278"/>
      <c r="AP529" s="4278"/>
      <c r="AQ529" s="4278"/>
      <c r="AR529" s="4278"/>
      <c r="AS529" s="4278"/>
      <c r="AT529" s="4279"/>
      <c r="AU529" s="4283"/>
      <c r="AV529" s="1188">
        <f t="shared" si="298"/>
        <v>0</v>
      </c>
      <c r="AW529" s="1188">
        <f t="shared" si="299"/>
        <v>0</v>
      </c>
      <c r="AX529" s="1188">
        <f t="shared" si="300"/>
        <v>0</v>
      </c>
      <c r="AY529" s="1452">
        <f t="shared" si="304"/>
        <v>0</v>
      </c>
      <c r="AZ529" s="4284">
        <f t="shared" si="305"/>
        <v>0</v>
      </c>
      <c r="BA529" s="4284">
        <f t="shared" si="306"/>
        <v>0</v>
      </c>
      <c r="BB529" s="4284">
        <f t="shared" si="307"/>
        <v>0</v>
      </c>
      <c r="BC529" s="4284">
        <f t="shared" si="308"/>
        <v>0</v>
      </c>
      <c r="BD529" s="4284">
        <f t="shared" si="309"/>
        <v>0</v>
      </c>
      <c r="BE529" s="4284">
        <f t="shared" si="310"/>
        <v>0</v>
      </c>
      <c r="BF529" s="4284">
        <f t="shared" si="311"/>
        <v>0</v>
      </c>
      <c r="BG529" s="4284">
        <f t="shared" si="312"/>
        <v>0</v>
      </c>
      <c r="BH529" s="4284">
        <f t="shared" si="313"/>
        <v>0</v>
      </c>
      <c r="BI529" s="4284">
        <f t="shared" si="314"/>
        <v>0</v>
      </c>
      <c r="BJ529" s="4284">
        <f t="shared" si="315"/>
        <v>0</v>
      </c>
      <c r="BK529" s="4284">
        <f t="shared" si="316"/>
        <v>0</v>
      </c>
      <c r="BL529" s="4284">
        <f t="shared" si="317"/>
        <v>0</v>
      </c>
      <c r="BM529" s="4284">
        <f t="shared" si="318"/>
        <v>0</v>
      </c>
      <c r="BN529" s="4284">
        <f t="shared" si="319"/>
        <v>0</v>
      </c>
      <c r="BO529" s="4284">
        <f t="shared" si="320"/>
        <v>0</v>
      </c>
      <c r="BP529" s="4284">
        <f t="shared" si="321"/>
        <v>0</v>
      </c>
      <c r="BQ529" s="4284">
        <f t="shared" si="322"/>
        <v>0</v>
      </c>
      <c r="BR529" s="4284">
        <f t="shared" si="323"/>
        <v>0</v>
      </c>
      <c r="BS529" s="4284">
        <f t="shared" si="324"/>
        <v>0</v>
      </c>
      <c r="BT529" s="4285">
        <f t="shared" si="325"/>
        <v>0</v>
      </c>
    </row>
    <row r="530" spans="1:72">
      <c r="A530" s="4278"/>
      <c r="B530" s="4279"/>
      <c r="C530" s="4279"/>
      <c r="D530" s="4280"/>
      <c r="E530" s="1188">
        <f t="shared" si="297"/>
        <v>0</v>
      </c>
      <c r="F530" s="1680"/>
      <c r="G530" s="4281">
        <f t="shared" si="301"/>
        <v>0</v>
      </c>
      <c r="H530" s="3457">
        <f t="shared" si="302"/>
        <v>0</v>
      </c>
      <c r="I530" s="4282"/>
      <c r="J530" s="4282"/>
      <c r="K530" s="4282"/>
      <c r="L530" s="4282"/>
      <c r="M530" s="4282"/>
      <c r="N530" s="4282"/>
      <c r="O530" s="4282"/>
      <c r="P530" s="4282"/>
      <c r="Q530" s="4282"/>
      <c r="R530" s="4282"/>
      <c r="S530" s="4282"/>
      <c r="T530" s="4282"/>
      <c r="U530" s="4282"/>
      <c r="V530" s="4282"/>
      <c r="W530" s="4282"/>
      <c r="X530" s="4282"/>
      <c r="Y530" s="4282"/>
      <c r="Z530" s="4282"/>
      <c r="AA530" s="4282"/>
      <c r="AB530" s="4282"/>
      <c r="AC530" s="1188">
        <f t="shared" si="303"/>
        <v>0</v>
      </c>
      <c r="AD530" s="4278"/>
      <c r="AE530" s="4278"/>
      <c r="AF530" s="4278"/>
      <c r="AG530" s="4278"/>
      <c r="AH530" s="4278"/>
      <c r="AI530" s="4278"/>
      <c r="AJ530" s="4278"/>
      <c r="AK530" s="4278"/>
      <c r="AL530" s="4278"/>
      <c r="AM530" s="4278"/>
      <c r="AN530" s="4278"/>
      <c r="AO530" s="4278"/>
      <c r="AP530" s="4278"/>
      <c r="AQ530" s="4278"/>
      <c r="AR530" s="4278"/>
      <c r="AS530" s="4278"/>
      <c r="AT530" s="4279"/>
      <c r="AU530" s="4283"/>
      <c r="AV530" s="1188">
        <f t="shared" si="298"/>
        <v>0</v>
      </c>
      <c r="AW530" s="1188">
        <f t="shared" si="299"/>
        <v>0</v>
      </c>
      <c r="AX530" s="1188">
        <f t="shared" si="300"/>
        <v>0</v>
      </c>
      <c r="AY530" s="1452">
        <f t="shared" si="304"/>
        <v>0</v>
      </c>
      <c r="AZ530" s="4284">
        <f t="shared" si="305"/>
        <v>0</v>
      </c>
      <c r="BA530" s="4284">
        <f t="shared" si="306"/>
        <v>0</v>
      </c>
      <c r="BB530" s="4284">
        <f t="shared" si="307"/>
        <v>0</v>
      </c>
      <c r="BC530" s="4284">
        <f t="shared" si="308"/>
        <v>0</v>
      </c>
      <c r="BD530" s="4284">
        <f t="shared" si="309"/>
        <v>0</v>
      </c>
      <c r="BE530" s="4284">
        <f t="shared" si="310"/>
        <v>0</v>
      </c>
      <c r="BF530" s="4284">
        <f t="shared" si="311"/>
        <v>0</v>
      </c>
      <c r="BG530" s="4284">
        <f t="shared" si="312"/>
        <v>0</v>
      </c>
      <c r="BH530" s="4284">
        <f t="shared" si="313"/>
        <v>0</v>
      </c>
      <c r="BI530" s="4284">
        <f t="shared" si="314"/>
        <v>0</v>
      </c>
      <c r="BJ530" s="4284">
        <f t="shared" si="315"/>
        <v>0</v>
      </c>
      <c r="BK530" s="4284">
        <f t="shared" si="316"/>
        <v>0</v>
      </c>
      <c r="BL530" s="4284">
        <f t="shared" si="317"/>
        <v>0</v>
      </c>
      <c r="BM530" s="4284">
        <f t="shared" si="318"/>
        <v>0</v>
      </c>
      <c r="BN530" s="4284">
        <f t="shared" si="319"/>
        <v>0</v>
      </c>
      <c r="BO530" s="4284">
        <f t="shared" si="320"/>
        <v>0</v>
      </c>
      <c r="BP530" s="4284">
        <f t="shared" si="321"/>
        <v>0</v>
      </c>
      <c r="BQ530" s="4284">
        <f t="shared" si="322"/>
        <v>0</v>
      </c>
      <c r="BR530" s="4284">
        <f t="shared" si="323"/>
        <v>0</v>
      </c>
      <c r="BS530" s="4284">
        <f t="shared" si="324"/>
        <v>0</v>
      </c>
      <c r="BT530" s="4285">
        <f t="shared" si="325"/>
        <v>0</v>
      </c>
    </row>
    <row r="531" spans="1:72">
      <c r="A531" s="4278"/>
      <c r="B531" s="4279"/>
      <c r="C531" s="4279"/>
      <c r="D531" s="4280"/>
      <c r="E531" s="1188">
        <f t="shared" si="297"/>
        <v>0</v>
      </c>
      <c r="F531" s="1680"/>
      <c r="G531" s="4281">
        <f t="shared" si="301"/>
        <v>0</v>
      </c>
      <c r="H531" s="3457">
        <f t="shared" si="302"/>
        <v>0</v>
      </c>
      <c r="I531" s="4282"/>
      <c r="J531" s="4282"/>
      <c r="K531" s="4282"/>
      <c r="L531" s="4282"/>
      <c r="M531" s="4282"/>
      <c r="N531" s="4282"/>
      <c r="O531" s="4282"/>
      <c r="P531" s="4282"/>
      <c r="Q531" s="4282"/>
      <c r="R531" s="4282"/>
      <c r="S531" s="4282"/>
      <c r="T531" s="4282"/>
      <c r="U531" s="4282"/>
      <c r="V531" s="4282"/>
      <c r="W531" s="4282"/>
      <c r="X531" s="4282"/>
      <c r="Y531" s="4282"/>
      <c r="Z531" s="4282"/>
      <c r="AA531" s="4282"/>
      <c r="AB531" s="4282"/>
      <c r="AC531" s="1188">
        <f t="shared" si="303"/>
        <v>0</v>
      </c>
      <c r="AD531" s="4278"/>
      <c r="AE531" s="4278"/>
      <c r="AF531" s="4278"/>
      <c r="AG531" s="4278"/>
      <c r="AH531" s="4278"/>
      <c r="AI531" s="4278"/>
      <c r="AJ531" s="4278"/>
      <c r="AK531" s="4278"/>
      <c r="AL531" s="4278"/>
      <c r="AM531" s="4278"/>
      <c r="AN531" s="4278"/>
      <c r="AO531" s="4278"/>
      <c r="AP531" s="4278"/>
      <c r="AQ531" s="4278"/>
      <c r="AR531" s="4278"/>
      <c r="AS531" s="4278"/>
      <c r="AT531" s="4279"/>
      <c r="AU531" s="4283"/>
      <c r="AV531" s="1188">
        <f t="shared" si="298"/>
        <v>0</v>
      </c>
      <c r="AW531" s="1188">
        <f t="shared" si="299"/>
        <v>0</v>
      </c>
      <c r="AX531" s="1188">
        <f t="shared" si="300"/>
        <v>0</v>
      </c>
      <c r="AY531" s="1452">
        <f t="shared" si="304"/>
        <v>0</v>
      </c>
      <c r="AZ531" s="4284">
        <f t="shared" si="305"/>
        <v>0</v>
      </c>
      <c r="BA531" s="4284">
        <f t="shared" si="306"/>
        <v>0</v>
      </c>
      <c r="BB531" s="4284">
        <f t="shared" si="307"/>
        <v>0</v>
      </c>
      <c r="BC531" s="4284">
        <f t="shared" si="308"/>
        <v>0</v>
      </c>
      <c r="BD531" s="4284">
        <f t="shared" si="309"/>
        <v>0</v>
      </c>
      <c r="BE531" s="4284">
        <f t="shared" si="310"/>
        <v>0</v>
      </c>
      <c r="BF531" s="4284">
        <f t="shared" si="311"/>
        <v>0</v>
      </c>
      <c r="BG531" s="4284">
        <f t="shared" si="312"/>
        <v>0</v>
      </c>
      <c r="BH531" s="4284">
        <f t="shared" si="313"/>
        <v>0</v>
      </c>
      <c r="BI531" s="4284">
        <f t="shared" si="314"/>
        <v>0</v>
      </c>
      <c r="BJ531" s="4284">
        <f t="shared" si="315"/>
        <v>0</v>
      </c>
      <c r="BK531" s="4284">
        <f t="shared" si="316"/>
        <v>0</v>
      </c>
      <c r="BL531" s="4284">
        <f t="shared" si="317"/>
        <v>0</v>
      </c>
      <c r="BM531" s="4284">
        <f t="shared" si="318"/>
        <v>0</v>
      </c>
      <c r="BN531" s="4284">
        <f t="shared" si="319"/>
        <v>0</v>
      </c>
      <c r="BO531" s="4284">
        <f t="shared" si="320"/>
        <v>0</v>
      </c>
      <c r="BP531" s="4284">
        <f t="shared" si="321"/>
        <v>0</v>
      </c>
      <c r="BQ531" s="4284">
        <f t="shared" si="322"/>
        <v>0</v>
      </c>
      <c r="BR531" s="4284">
        <f t="shared" si="323"/>
        <v>0</v>
      </c>
      <c r="BS531" s="4284">
        <f t="shared" si="324"/>
        <v>0</v>
      </c>
      <c r="BT531" s="4285">
        <f t="shared" si="325"/>
        <v>0</v>
      </c>
    </row>
    <row r="532" spans="1:72">
      <c r="A532" s="4278"/>
      <c r="B532" s="4279"/>
      <c r="C532" s="4279"/>
      <c r="D532" s="4280"/>
      <c r="E532" s="1188">
        <f t="shared" si="297"/>
        <v>0</v>
      </c>
      <c r="F532" s="1680"/>
      <c r="G532" s="4281">
        <f t="shared" si="301"/>
        <v>0</v>
      </c>
      <c r="H532" s="3457">
        <f t="shared" si="302"/>
        <v>0</v>
      </c>
      <c r="I532" s="4282"/>
      <c r="J532" s="4282"/>
      <c r="K532" s="4282"/>
      <c r="L532" s="4282"/>
      <c r="M532" s="4282"/>
      <c r="N532" s="4282"/>
      <c r="O532" s="4282"/>
      <c r="P532" s="4282"/>
      <c r="Q532" s="4282"/>
      <c r="R532" s="4282"/>
      <c r="S532" s="4282"/>
      <c r="T532" s="4282"/>
      <c r="U532" s="4282"/>
      <c r="V532" s="4282"/>
      <c r="W532" s="4282"/>
      <c r="X532" s="4282"/>
      <c r="Y532" s="4282"/>
      <c r="Z532" s="4282"/>
      <c r="AA532" s="4282"/>
      <c r="AB532" s="4282"/>
      <c r="AC532" s="1188">
        <f t="shared" si="303"/>
        <v>0</v>
      </c>
      <c r="AD532" s="4278"/>
      <c r="AE532" s="4278"/>
      <c r="AF532" s="4278"/>
      <c r="AG532" s="4278"/>
      <c r="AH532" s="4278"/>
      <c r="AI532" s="4278"/>
      <c r="AJ532" s="4278"/>
      <c r="AK532" s="4278"/>
      <c r="AL532" s="4278"/>
      <c r="AM532" s="4278"/>
      <c r="AN532" s="4278"/>
      <c r="AO532" s="4278"/>
      <c r="AP532" s="4278"/>
      <c r="AQ532" s="4278"/>
      <c r="AR532" s="4278"/>
      <c r="AS532" s="4278"/>
      <c r="AT532" s="4279"/>
      <c r="AU532" s="4283"/>
      <c r="AV532" s="1188">
        <f t="shared" si="298"/>
        <v>0</v>
      </c>
      <c r="AW532" s="1188">
        <f t="shared" si="299"/>
        <v>0</v>
      </c>
      <c r="AX532" s="1188">
        <f t="shared" si="300"/>
        <v>0</v>
      </c>
      <c r="AY532" s="1452">
        <f t="shared" si="304"/>
        <v>0</v>
      </c>
      <c r="AZ532" s="4284">
        <f t="shared" si="305"/>
        <v>0</v>
      </c>
      <c r="BA532" s="4284">
        <f t="shared" si="306"/>
        <v>0</v>
      </c>
      <c r="BB532" s="4284">
        <f t="shared" si="307"/>
        <v>0</v>
      </c>
      <c r="BC532" s="4284">
        <f t="shared" si="308"/>
        <v>0</v>
      </c>
      <c r="BD532" s="4284">
        <f t="shared" si="309"/>
        <v>0</v>
      </c>
      <c r="BE532" s="4284">
        <f t="shared" si="310"/>
        <v>0</v>
      </c>
      <c r="BF532" s="4284">
        <f t="shared" si="311"/>
        <v>0</v>
      </c>
      <c r="BG532" s="4284">
        <f t="shared" si="312"/>
        <v>0</v>
      </c>
      <c r="BH532" s="4284">
        <f t="shared" si="313"/>
        <v>0</v>
      </c>
      <c r="BI532" s="4284">
        <f t="shared" si="314"/>
        <v>0</v>
      </c>
      <c r="BJ532" s="4284">
        <f t="shared" si="315"/>
        <v>0</v>
      </c>
      <c r="BK532" s="4284">
        <f t="shared" si="316"/>
        <v>0</v>
      </c>
      <c r="BL532" s="4284">
        <f t="shared" si="317"/>
        <v>0</v>
      </c>
      <c r="BM532" s="4284">
        <f t="shared" si="318"/>
        <v>0</v>
      </c>
      <c r="BN532" s="4284">
        <f t="shared" si="319"/>
        <v>0</v>
      </c>
      <c r="BO532" s="4284">
        <f t="shared" si="320"/>
        <v>0</v>
      </c>
      <c r="BP532" s="4284">
        <f t="shared" si="321"/>
        <v>0</v>
      </c>
      <c r="BQ532" s="4284">
        <f t="shared" si="322"/>
        <v>0</v>
      </c>
      <c r="BR532" s="4284">
        <f t="shared" si="323"/>
        <v>0</v>
      </c>
      <c r="BS532" s="4284">
        <f t="shared" si="324"/>
        <v>0</v>
      </c>
      <c r="BT532" s="4285">
        <f t="shared" si="325"/>
        <v>0</v>
      </c>
    </row>
    <row r="533" spans="1:72">
      <c r="A533" s="4278"/>
      <c r="B533" s="4279"/>
      <c r="C533" s="4279"/>
      <c r="D533" s="4280"/>
      <c r="E533" s="1188">
        <f t="shared" si="297"/>
        <v>0</v>
      </c>
      <c r="F533" s="1680"/>
      <c r="G533" s="4281">
        <f t="shared" si="301"/>
        <v>0</v>
      </c>
      <c r="H533" s="3457">
        <f t="shared" si="302"/>
        <v>0</v>
      </c>
      <c r="I533" s="4282"/>
      <c r="J533" s="4282"/>
      <c r="K533" s="4282"/>
      <c r="L533" s="4282"/>
      <c r="M533" s="4282"/>
      <c r="N533" s="4282"/>
      <c r="O533" s="4282"/>
      <c r="P533" s="4282"/>
      <c r="Q533" s="4282"/>
      <c r="R533" s="4282"/>
      <c r="S533" s="4282"/>
      <c r="T533" s="4282"/>
      <c r="U533" s="4282"/>
      <c r="V533" s="4282"/>
      <c r="W533" s="4282"/>
      <c r="X533" s="4282"/>
      <c r="Y533" s="4282"/>
      <c r="Z533" s="4282"/>
      <c r="AA533" s="4282"/>
      <c r="AB533" s="4282"/>
      <c r="AC533" s="1188">
        <f t="shared" si="303"/>
        <v>0</v>
      </c>
      <c r="AD533" s="4278"/>
      <c r="AE533" s="4278"/>
      <c r="AF533" s="4278"/>
      <c r="AG533" s="4278"/>
      <c r="AH533" s="4278"/>
      <c r="AI533" s="4278"/>
      <c r="AJ533" s="4278"/>
      <c r="AK533" s="4278"/>
      <c r="AL533" s="4278"/>
      <c r="AM533" s="4278"/>
      <c r="AN533" s="4278"/>
      <c r="AO533" s="4278"/>
      <c r="AP533" s="4278"/>
      <c r="AQ533" s="4278"/>
      <c r="AR533" s="4278"/>
      <c r="AS533" s="4278"/>
      <c r="AT533" s="4279"/>
      <c r="AU533" s="4283"/>
      <c r="AV533" s="1188">
        <f t="shared" si="298"/>
        <v>0</v>
      </c>
      <c r="AW533" s="1188">
        <f t="shared" si="299"/>
        <v>0</v>
      </c>
      <c r="AX533" s="1188">
        <f t="shared" si="300"/>
        <v>0</v>
      </c>
      <c r="AY533" s="1452">
        <f t="shared" si="304"/>
        <v>0</v>
      </c>
      <c r="AZ533" s="4284">
        <f t="shared" si="305"/>
        <v>0</v>
      </c>
      <c r="BA533" s="4284">
        <f t="shared" si="306"/>
        <v>0</v>
      </c>
      <c r="BB533" s="4284">
        <f t="shared" si="307"/>
        <v>0</v>
      </c>
      <c r="BC533" s="4284">
        <f t="shared" si="308"/>
        <v>0</v>
      </c>
      <c r="BD533" s="4284">
        <f t="shared" si="309"/>
        <v>0</v>
      </c>
      <c r="BE533" s="4284">
        <f t="shared" si="310"/>
        <v>0</v>
      </c>
      <c r="BF533" s="4284">
        <f t="shared" si="311"/>
        <v>0</v>
      </c>
      <c r="BG533" s="4284">
        <f t="shared" si="312"/>
        <v>0</v>
      </c>
      <c r="BH533" s="4284">
        <f t="shared" si="313"/>
        <v>0</v>
      </c>
      <c r="BI533" s="4284">
        <f t="shared" si="314"/>
        <v>0</v>
      </c>
      <c r="BJ533" s="4284">
        <f t="shared" si="315"/>
        <v>0</v>
      </c>
      <c r="BK533" s="4284">
        <f t="shared" si="316"/>
        <v>0</v>
      </c>
      <c r="BL533" s="4284">
        <f t="shared" si="317"/>
        <v>0</v>
      </c>
      <c r="BM533" s="4284">
        <f t="shared" si="318"/>
        <v>0</v>
      </c>
      <c r="BN533" s="4284">
        <f t="shared" si="319"/>
        <v>0</v>
      </c>
      <c r="BO533" s="4284">
        <f t="shared" si="320"/>
        <v>0</v>
      </c>
      <c r="BP533" s="4284">
        <f t="shared" si="321"/>
        <v>0</v>
      </c>
      <c r="BQ533" s="4284">
        <f t="shared" si="322"/>
        <v>0</v>
      </c>
      <c r="BR533" s="4284">
        <f t="shared" si="323"/>
        <v>0</v>
      </c>
      <c r="BS533" s="4284">
        <f t="shared" si="324"/>
        <v>0</v>
      </c>
      <c r="BT533" s="4285">
        <f t="shared" si="325"/>
        <v>0</v>
      </c>
    </row>
    <row r="534" spans="1:72">
      <c r="A534" s="4278"/>
      <c r="B534" s="4279"/>
      <c r="C534" s="4279"/>
      <c r="D534" s="4280"/>
      <c r="E534" s="1188">
        <f t="shared" si="297"/>
        <v>0</v>
      </c>
      <c r="F534" s="1680"/>
      <c r="G534" s="4281">
        <f t="shared" si="301"/>
        <v>0</v>
      </c>
      <c r="H534" s="3457">
        <f t="shared" si="302"/>
        <v>0</v>
      </c>
      <c r="I534" s="4282"/>
      <c r="J534" s="4282"/>
      <c r="K534" s="4282"/>
      <c r="L534" s="4282"/>
      <c r="M534" s="4282"/>
      <c r="N534" s="4282"/>
      <c r="O534" s="4282"/>
      <c r="P534" s="4282"/>
      <c r="Q534" s="4282"/>
      <c r="R534" s="4282"/>
      <c r="S534" s="4282"/>
      <c r="T534" s="4282"/>
      <c r="U534" s="4282"/>
      <c r="V534" s="4282"/>
      <c r="W534" s="4282"/>
      <c r="X534" s="4282"/>
      <c r="Y534" s="4282"/>
      <c r="Z534" s="4282"/>
      <c r="AA534" s="4282"/>
      <c r="AB534" s="4282"/>
      <c r="AC534" s="1188">
        <f t="shared" si="303"/>
        <v>0</v>
      </c>
      <c r="AD534" s="4278"/>
      <c r="AE534" s="4278"/>
      <c r="AF534" s="4278"/>
      <c r="AG534" s="4278"/>
      <c r="AH534" s="4278"/>
      <c r="AI534" s="4278"/>
      <c r="AJ534" s="4278"/>
      <c r="AK534" s="4278"/>
      <c r="AL534" s="4278"/>
      <c r="AM534" s="4278"/>
      <c r="AN534" s="4278"/>
      <c r="AO534" s="4278"/>
      <c r="AP534" s="4278"/>
      <c r="AQ534" s="4278"/>
      <c r="AR534" s="4278"/>
      <c r="AS534" s="4278"/>
      <c r="AT534" s="4279"/>
      <c r="AU534" s="4283"/>
      <c r="AV534" s="1188">
        <f t="shared" si="298"/>
        <v>0</v>
      </c>
      <c r="AW534" s="1188">
        <f t="shared" si="299"/>
        <v>0</v>
      </c>
      <c r="AX534" s="1188">
        <f t="shared" si="300"/>
        <v>0</v>
      </c>
      <c r="AY534" s="1452">
        <f t="shared" si="304"/>
        <v>0</v>
      </c>
      <c r="AZ534" s="4284">
        <f t="shared" si="305"/>
        <v>0</v>
      </c>
      <c r="BA534" s="4284">
        <f t="shared" si="306"/>
        <v>0</v>
      </c>
      <c r="BB534" s="4284">
        <f t="shared" si="307"/>
        <v>0</v>
      </c>
      <c r="BC534" s="4284">
        <f t="shared" si="308"/>
        <v>0</v>
      </c>
      <c r="BD534" s="4284">
        <f t="shared" si="309"/>
        <v>0</v>
      </c>
      <c r="BE534" s="4284">
        <f t="shared" si="310"/>
        <v>0</v>
      </c>
      <c r="BF534" s="4284">
        <f t="shared" si="311"/>
        <v>0</v>
      </c>
      <c r="BG534" s="4284">
        <f t="shared" si="312"/>
        <v>0</v>
      </c>
      <c r="BH534" s="4284">
        <f t="shared" si="313"/>
        <v>0</v>
      </c>
      <c r="BI534" s="4284">
        <f t="shared" si="314"/>
        <v>0</v>
      </c>
      <c r="BJ534" s="4284">
        <f t="shared" si="315"/>
        <v>0</v>
      </c>
      <c r="BK534" s="4284">
        <f t="shared" si="316"/>
        <v>0</v>
      </c>
      <c r="BL534" s="4284">
        <f t="shared" si="317"/>
        <v>0</v>
      </c>
      <c r="BM534" s="4284">
        <f t="shared" si="318"/>
        <v>0</v>
      </c>
      <c r="BN534" s="4284">
        <f t="shared" si="319"/>
        <v>0</v>
      </c>
      <c r="BO534" s="4284">
        <f t="shared" si="320"/>
        <v>0</v>
      </c>
      <c r="BP534" s="4284">
        <f t="shared" si="321"/>
        <v>0</v>
      </c>
      <c r="BQ534" s="4284">
        <f t="shared" si="322"/>
        <v>0</v>
      </c>
      <c r="BR534" s="4284">
        <f t="shared" si="323"/>
        <v>0</v>
      </c>
      <c r="BS534" s="4284">
        <f t="shared" si="324"/>
        <v>0</v>
      </c>
      <c r="BT534" s="4285">
        <f t="shared" si="325"/>
        <v>0</v>
      </c>
    </row>
    <row r="535" spans="1:72">
      <c r="A535" s="4278"/>
      <c r="B535" s="4279"/>
      <c r="C535" s="4279"/>
      <c r="D535" s="4280"/>
      <c r="E535" s="1188">
        <f t="shared" si="297"/>
        <v>0</v>
      </c>
      <c r="F535" s="1680"/>
      <c r="G535" s="4281">
        <f t="shared" si="301"/>
        <v>0</v>
      </c>
      <c r="H535" s="3457">
        <f t="shared" si="302"/>
        <v>0</v>
      </c>
      <c r="I535" s="4282"/>
      <c r="J535" s="4282"/>
      <c r="K535" s="4282"/>
      <c r="L535" s="4282"/>
      <c r="M535" s="4282"/>
      <c r="N535" s="4282"/>
      <c r="O535" s="4282"/>
      <c r="P535" s="4282"/>
      <c r="Q535" s="4282"/>
      <c r="R535" s="4282"/>
      <c r="S535" s="4282"/>
      <c r="T535" s="4282"/>
      <c r="U535" s="4282"/>
      <c r="V535" s="4282"/>
      <c r="W535" s="4282"/>
      <c r="X535" s="4282"/>
      <c r="Y535" s="4282"/>
      <c r="Z535" s="4282"/>
      <c r="AA535" s="4282"/>
      <c r="AB535" s="4282"/>
      <c r="AC535" s="1188">
        <f t="shared" si="303"/>
        <v>0</v>
      </c>
      <c r="AD535" s="4278"/>
      <c r="AE535" s="4278"/>
      <c r="AF535" s="4278"/>
      <c r="AG535" s="4278"/>
      <c r="AH535" s="4278"/>
      <c r="AI535" s="4278"/>
      <c r="AJ535" s="4278"/>
      <c r="AK535" s="4278"/>
      <c r="AL535" s="4278"/>
      <c r="AM535" s="4278"/>
      <c r="AN535" s="4278"/>
      <c r="AO535" s="4278"/>
      <c r="AP535" s="4278"/>
      <c r="AQ535" s="4278"/>
      <c r="AR535" s="4278"/>
      <c r="AS535" s="4278"/>
      <c r="AT535" s="4279"/>
      <c r="AU535" s="4283"/>
      <c r="AV535" s="1188">
        <f t="shared" si="298"/>
        <v>0</v>
      </c>
      <c r="AW535" s="1188">
        <f t="shared" si="299"/>
        <v>0</v>
      </c>
      <c r="AX535" s="1188">
        <f t="shared" si="300"/>
        <v>0</v>
      </c>
      <c r="AY535" s="1452">
        <f t="shared" si="304"/>
        <v>0</v>
      </c>
      <c r="AZ535" s="4284">
        <f t="shared" si="305"/>
        <v>0</v>
      </c>
      <c r="BA535" s="4284">
        <f t="shared" si="306"/>
        <v>0</v>
      </c>
      <c r="BB535" s="4284">
        <f t="shared" si="307"/>
        <v>0</v>
      </c>
      <c r="BC535" s="4284">
        <f t="shared" si="308"/>
        <v>0</v>
      </c>
      <c r="BD535" s="4284">
        <f t="shared" si="309"/>
        <v>0</v>
      </c>
      <c r="BE535" s="4284">
        <f t="shared" si="310"/>
        <v>0</v>
      </c>
      <c r="BF535" s="4284">
        <f t="shared" si="311"/>
        <v>0</v>
      </c>
      <c r="BG535" s="4284">
        <f t="shared" si="312"/>
        <v>0</v>
      </c>
      <c r="BH535" s="4284">
        <f t="shared" si="313"/>
        <v>0</v>
      </c>
      <c r="BI535" s="4284">
        <f t="shared" si="314"/>
        <v>0</v>
      </c>
      <c r="BJ535" s="4284">
        <f t="shared" si="315"/>
        <v>0</v>
      </c>
      <c r="BK535" s="4284">
        <f t="shared" si="316"/>
        <v>0</v>
      </c>
      <c r="BL535" s="4284">
        <f t="shared" si="317"/>
        <v>0</v>
      </c>
      <c r="BM535" s="4284">
        <f t="shared" si="318"/>
        <v>0</v>
      </c>
      <c r="BN535" s="4284">
        <f t="shared" si="319"/>
        <v>0</v>
      </c>
      <c r="BO535" s="4284">
        <f t="shared" si="320"/>
        <v>0</v>
      </c>
      <c r="BP535" s="4284">
        <f t="shared" si="321"/>
        <v>0</v>
      </c>
      <c r="BQ535" s="4284">
        <f t="shared" si="322"/>
        <v>0</v>
      </c>
      <c r="BR535" s="4284">
        <f t="shared" si="323"/>
        <v>0</v>
      </c>
      <c r="BS535" s="4284">
        <f t="shared" si="324"/>
        <v>0</v>
      </c>
      <c r="BT535" s="4285">
        <f t="shared" si="325"/>
        <v>0</v>
      </c>
    </row>
    <row r="536" spans="1:72">
      <c r="A536" s="4278"/>
      <c r="B536" s="4279"/>
      <c r="C536" s="4279"/>
      <c r="D536" s="4280"/>
      <c r="E536" s="1188">
        <f t="shared" si="297"/>
        <v>0</v>
      </c>
      <c r="F536" s="1680"/>
      <c r="G536" s="4281">
        <f t="shared" si="301"/>
        <v>0</v>
      </c>
      <c r="H536" s="3457">
        <f t="shared" si="302"/>
        <v>0</v>
      </c>
      <c r="I536" s="4282"/>
      <c r="J536" s="4282"/>
      <c r="K536" s="4282"/>
      <c r="L536" s="4282"/>
      <c r="M536" s="4282"/>
      <c r="N536" s="4282"/>
      <c r="O536" s="4282"/>
      <c r="P536" s="4282"/>
      <c r="Q536" s="4282"/>
      <c r="R536" s="4282"/>
      <c r="S536" s="4282"/>
      <c r="T536" s="4282"/>
      <c r="U536" s="4282"/>
      <c r="V536" s="4282"/>
      <c r="W536" s="4282"/>
      <c r="X536" s="4282"/>
      <c r="Y536" s="4282"/>
      <c r="Z536" s="4282"/>
      <c r="AA536" s="4282"/>
      <c r="AB536" s="4282"/>
      <c r="AC536" s="1188">
        <f t="shared" si="303"/>
        <v>0</v>
      </c>
      <c r="AD536" s="4278"/>
      <c r="AE536" s="4278"/>
      <c r="AF536" s="4278"/>
      <c r="AG536" s="4278"/>
      <c r="AH536" s="4278"/>
      <c r="AI536" s="4278"/>
      <c r="AJ536" s="4278"/>
      <c r="AK536" s="4278"/>
      <c r="AL536" s="4278"/>
      <c r="AM536" s="4278"/>
      <c r="AN536" s="4278"/>
      <c r="AO536" s="4278"/>
      <c r="AP536" s="4278"/>
      <c r="AQ536" s="4278"/>
      <c r="AR536" s="4278"/>
      <c r="AS536" s="4278"/>
      <c r="AT536" s="4279"/>
      <c r="AU536" s="4283"/>
      <c r="AV536" s="1188">
        <f t="shared" si="298"/>
        <v>0</v>
      </c>
      <c r="AW536" s="1188">
        <f t="shared" si="299"/>
        <v>0</v>
      </c>
      <c r="AX536" s="1188">
        <f t="shared" si="300"/>
        <v>0</v>
      </c>
      <c r="AY536" s="1452">
        <f t="shared" si="304"/>
        <v>0</v>
      </c>
      <c r="AZ536" s="4284">
        <f t="shared" si="305"/>
        <v>0</v>
      </c>
      <c r="BA536" s="4284">
        <f t="shared" si="306"/>
        <v>0</v>
      </c>
      <c r="BB536" s="4284">
        <f t="shared" si="307"/>
        <v>0</v>
      </c>
      <c r="BC536" s="4284">
        <f t="shared" si="308"/>
        <v>0</v>
      </c>
      <c r="BD536" s="4284">
        <f t="shared" si="309"/>
        <v>0</v>
      </c>
      <c r="BE536" s="4284">
        <f t="shared" si="310"/>
        <v>0</v>
      </c>
      <c r="BF536" s="4284">
        <f t="shared" si="311"/>
        <v>0</v>
      </c>
      <c r="BG536" s="4284">
        <f t="shared" si="312"/>
        <v>0</v>
      </c>
      <c r="BH536" s="4284">
        <f t="shared" si="313"/>
        <v>0</v>
      </c>
      <c r="BI536" s="4284">
        <f t="shared" si="314"/>
        <v>0</v>
      </c>
      <c r="BJ536" s="4284">
        <f t="shared" si="315"/>
        <v>0</v>
      </c>
      <c r="BK536" s="4284">
        <f t="shared" si="316"/>
        <v>0</v>
      </c>
      <c r="BL536" s="4284">
        <f t="shared" si="317"/>
        <v>0</v>
      </c>
      <c r="BM536" s="4284">
        <f t="shared" si="318"/>
        <v>0</v>
      </c>
      <c r="BN536" s="4284">
        <f t="shared" si="319"/>
        <v>0</v>
      </c>
      <c r="BO536" s="4284">
        <f t="shared" si="320"/>
        <v>0</v>
      </c>
      <c r="BP536" s="4284">
        <f t="shared" si="321"/>
        <v>0</v>
      </c>
      <c r="BQ536" s="4284">
        <f t="shared" si="322"/>
        <v>0</v>
      </c>
      <c r="BR536" s="4284">
        <f t="shared" si="323"/>
        <v>0</v>
      </c>
      <c r="BS536" s="4284">
        <f t="shared" si="324"/>
        <v>0</v>
      </c>
      <c r="BT536" s="4285">
        <f t="shared" si="325"/>
        <v>0</v>
      </c>
    </row>
    <row r="537" spans="1:72">
      <c r="A537" s="4278"/>
      <c r="B537" s="4279"/>
      <c r="C537" s="4279"/>
      <c r="D537" s="4280"/>
      <c r="E537" s="1188">
        <f t="shared" si="297"/>
        <v>0</v>
      </c>
      <c r="F537" s="1680"/>
      <c r="G537" s="4281">
        <f t="shared" si="301"/>
        <v>0</v>
      </c>
      <c r="H537" s="3457">
        <f t="shared" si="302"/>
        <v>0</v>
      </c>
      <c r="I537" s="4282"/>
      <c r="J537" s="4282"/>
      <c r="K537" s="4282"/>
      <c r="L537" s="4282"/>
      <c r="M537" s="4282"/>
      <c r="N537" s="4282"/>
      <c r="O537" s="4282"/>
      <c r="P537" s="4282"/>
      <c r="Q537" s="4282"/>
      <c r="R537" s="4282"/>
      <c r="S537" s="4282"/>
      <c r="T537" s="4282"/>
      <c r="U537" s="4282"/>
      <c r="V537" s="4282"/>
      <c r="W537" s="4282"/>
      <c r="X537" s="4282"/>
      <c r="Y537" s="4282"/>
      <c r="Z537" s="4282"/>
      <c r="AA537" s="4282"/>
      <c r="AB537" s="4282"/>
      <c r="AC537" s="1188">
        <f t="shared" si="303"/>
        <v>0</v>
      </c>
      <c r="AD537" s="4278"/>
      <c r="AE537" s="4278"/>
      <c r="AF537" s="4278"/>
      <c r="AG537" s="4278"/>
      <c r="AH537" s="4278"/>
      <c r="AI537" s="4278"/>
      <c r="AJ537" s="4278"/>
      <c r="AK537" s="4278"/>
      <c r="AL537" s="4278"/>
      <c r="AM537" s="4278"/>
      <c r="AN537" s="4278"/>
      <c r="AO537" s="4278"/>
      <c r="AP537" s="4278"/>
      <c r="AQ537" s="4278"/>
      <c r="AR537" s="4278"/>
      <c r="AS537" s="4278"/>
      <c r="AT537" s="4279"/>
      <c r="AU537" s="4283"/>
      <c r="AV537" s="1188">
        <f t="shared" si="298"/>
        <v>0</v>
      </c>
      <c r="AW537" s="1188">
        <f t="shared" si="299"/>
        <v>0</v>
      </c>
      <c r="AX537" s="1188">
        <f t="shared" si="300"/>
        <v>0</v>
      </c>
      <c r="AY537" s="1452">
        <f t="shared" si="304"/>
        <v>0</v>
      </c>
      <c r="AZ537" s="4284">
        <f t="shared" si="305"/>
        <v>0</v>
      </c>
      <c r="BA537" s="4284">
        <f t="shared" si="306"/>
        <v>0</v>
      </c>
      <c r="BB537" s="4284">
        <f t="shared" si="307"/>
        <v>0</v>
      </c>
      <c r="BC537" s="4284">
        <f t="shared" si="308"/>
        <v>0</v>
      </c>
      <c r="BD537" s="4284">
        <f t="shared" si="309"/>
        <v>0</v>
      </c>
      <c r="BE537" s="4284">
        <f t="shared" si="310"/>
        <v>0</v>
      </c>
      <c r="BF537" s="4284">
        <f t="shared" si="311"/>
        <v>0</v>
      </c>
      <c r="BG537" s="4284">
        <f t="shared" si="312"/>
        <v>0</v>
      </c>
      <c r="BH537" s="4284">
        <f t="shared" si="313"/>
        <v>0</v>
      </c>
      <c r="BI537" s="4284">
        <f t="shared" si="314"/>
        <v>0</v>
      </c>
      <c r="BJ537" s="4284">
        <f t="shared" si="315"/>
        <v>0</v>
      </c>
      <c r="BK537" s="4284">
        <f t="shared" si="316"/>
        <v>0</v>
      </c>
      <c r="BL537" s="4284">
        <f t="shared" si="317"/>
        <v>0</v>
      </c>
      <c r="BM537" s="4284">
        <f t="shared" si="318"/>
        <v>0</v>
      </c>
      <c r="BN537" s="4284">
        <f t="shared" si="319"/>
        <v>0</v>
      </c>
      <c r="BO537" s="4284">
        <f t="shared" si="320"/>
        <v>0</v>
      </c>
      <c r="BP537" s="4284">
        <f t="shared" si="321"/>
        <v>0</v>
      </c>
      <c r="BQ537" s="4284">
        <f t="shared" si="322"/>
        <v>0</v>
      </c>
      <c r="BR537" s="4284">
        <f t="shared" si="323"/>
        <v>0</v>
      </c>
      <c r="BS537" s="4284">
        <f t="shared" si="324"/>
        <v>0</v>
      </c>
      <c r="BT537" s="4285">
        <f t="shared" si="325"/>
        <v>0</v>
      </c>
    </row>
    <row r="538" spans="1:72">
      <c r="A538" s="4278"/>
      <c r="B538" s="4279"/>
      <c r="C538" s="4279"/>
      <c r="D538" s="4280"/>
      <c r="E538" s="1188">
        <f t="shared" si="297"/>
        <v>0</v>
      </c>
      <c r="F538" s="1680"/>
      <c r="G538" s="4281">
        <f t="shared" si="301"/>
        <v>0</v>
      </c>
      <c r="H538" s="3457">
        <f t="shared" si="302"/>
        <v>0</v>
      </c>
      <c r="I538" s="4282"/>
      <c r="J538" s="4282"/>
      <c r="K538" s="4282"/>
      <c r="L538" s="4282"/>
      <c r="M538" s="4282"/>
      <c r="N538" s="4282"/>
      <c r="O538" s="4282"/>
      <c r="P538" s="4282"/>
      <c r="Q538" s="4282"/>
      <c r="R538" s="4282"/>
      <c r="S538" s="4282"/>
      <c r="T538" s="4282"/>
      <c r="U538" s="4282"/>
      <c r="V538" s="4282"/>
      <c r="W538" s="4282"/>
      <c r="X538" s="4282"/>
      <c r="Y538" s="4282"/>
      <c r="Z538" s="4282"/>
      <c r="AA538" s="4282"/>
      <c r="AB538" s="4282"/>
      <c r="AC538" s="1188">
        <f t="shared" si="303"/>
        <v>0</v>
      </c>
      <c r="AD538" s="4278"/>
      <c r="AE538" s="4278"/>
      <c r="AF538" s="4278"/>
      <c r="AG538" s="4278"/>
      <c r="AH538" s="4278"/>
      <c r="AI538" s="4278"/>
      <c r="AJ538" s="4278"/>
      <c r="AK538" s="4278"/>
      <c r="AL538" s="4278"/>
      <c r="AM538" s="4278"/>
      <c r="AN538" s="4278"/>
      <c r="AO538" s="4278"/>
      <c r="AP538" s="4278"/>
      <c r="AQ538" s="4278"/>
      <c r="AR538" s="4278"/>
      <c r="AS538" s="4278"/>
      <c r="AT538" s="4279"/>
      <c r="AU538" s="4283"/>
      <c r="AV538" s="1188">
        <f t="shared" si="298"/>
        <v>0</v>
      </c>
      <c r="AW538" s="1188">
        <f t="shared" si="299"/>
        <v>0</v>
      </c>
      <c r="AX538" s="1188">
        <f t="shared" si="300"/>
        <v>0</v>
      </c>
      <c r="AY538" s="1452">
        <f t="shared" si="304"/>
        <v>0</v>
      </c>
      <c r="AZ538" s="4284">
        <f t="shared" si="305"/>
        <v>0</v>
      </c>
      <c r="BA538" s="4284">
        <f t="shared" si="306"/>
        <v>0</v>
      </c>
      <c r="BB538" s="4284">
        <f t="shared" si="307"/>
        <v>0</v>
      </c>
      <c r="BC538" s="4284">
        <f t="shared" si="308"/>
        <v>0</v>
      </c>
      <c r="BD538" s="4284">
        <f t="shared" si="309"/>
        <v>0</v>
      </c>
      <c r="BE538" s="4284">
        <f t="shared" si="310"/>
        <v>0</v>
      </c>
      <c r="BF538" s="4284">
        <f t="shared" si="311"/>
        <v>0</v>
      </c>
      <c r="BG538" s="4284">
        <f t="shared" si="312"/>
        <v>0</v>
      </c>
      <c r="BH538" s="4284">
        <f t="shared" si="313"/>
        <v>0</v>
      </c>
      <c r="BI538" s="4284">
        <f t="shared" si="314"/>
        <v>0</v>
      </c>
      <c r="BJ538" s="4284">
        <f t="shared" si="315"/>
        <v>0</v>
      </c>
      <c r="BK538" s="4284">
        <f t="shared" si="316"/>
        <v>0</v>
      </c>
      <c r="BL538" s="4284">
        <f t="shared" si="317"/>
        <v>0</v>
      </c>
      <c r="BM538" s="4284">
        <f t="shared" si="318"/>
        <v>0</v>
      </c>
      <c r="BN538" s="4284">
        <f t="shared" si="319"/>
        <v>0</v>
      </c>
      <c r="BO538" s="4284">
        <f t="shared" si="320"/>
        <v>0</v>
      </c>
      <c r="BP538" s="4284">
        <f t="shared" si="321"/>
        <v>0</v>
      </c>
      <c r="BQ538" s="4284">
        <f t="shared" si="322"/>
        <v>0</v>
      </c>
      <c r="BR538" s="4284">
        <f t="shared" si="323"/>
        <v>0</v>
      </c>
      <c r="BS538" s="4284">
        <f t="shared" si="324"/>
        <v>0</v>
      </c>
      <c r="BT538" s="4285">
        <f t="shared" si="325"/>
        <v>0</v>
      </c>
    </row>
    <row r="539" spans="1:72">
      <c r="A539" s="4278"/>
      <c r="B539" s="4279"/>
      <c r="C539" s="4279"/>
      <c r="D539" s="4280"/>
      <c r="E539" s="1188">
        <f t="shared" si="297"/>
        <v>0</v>
      </c>
      <c r="F539" s="1680"/>
      <c r="G539" s="4281">
        <f t="shared" si="301"/>
        <v>0</v>
      </c>
      <c r="H539" s="3457">
        <f t="shared" si="302"/>
        <v>0</v>
      </c>
      <c r="I539" s="4282"/>
      <c r="J539" s="4282"/>
      <c r="K539" s="4282"/>
      <c r="L539" s="4282"/>
      <c r="M539" s="4282"/>
      <c r="N539" s="4282"/>
      <c r="O539" s="4282"/>
      <c r="P539" s="4282"/>
      <c r="Q539" s="4282"/>
      <c r="R539" s="4282"/>
      <c r="S539" s="4282"/>
      <c r="T539" s="4282"/>
      <c r="U539" s="4282"/>
      <c r="V539" s="4282"/>
      <c r="W539" s="4282"/>
      <c r="X539" s="4282"/>
      <c r="Y539" s="4282"/>
      <c r="Z539" s="4282"/>
      <c r="AA539" s="4282"/>
      <c r="AB539" s="4282"/>
      <c r="AC539" s="1188">
        <f t="shared" si="303"/>
        <v>0</v>
      </c>
      <c r="AD539" s="4278"/>
      <c r="AE539" s="4278"/>
      <c r="AF539" s="4278"/>
      <c r="AG539" s="4278"/>
      <c r="AH539" s="4278"/>
      <c r="AI539" s="4278"/>
      <c r="AJ539" s="4278"/>
      <c r="AK539" s="4278"/>
      <c r="AL539" s="4278"/>
      <c r="AM539" s="4278"/>
      <c r="AN539" s="4278"/>
      <c r="AO539" s="4278"/>
      <c r="AP539" s="4278"/>
      <c r="AQ539" s="4278"/>
      <c r="AR539" s="4278"/>
      <c r="AS539" s="4278"/>
      <c r="AT539" s="4279"/>
      <c r="AU539" s="4283"/>
      <c r="AV539" s="1188">
        <f t="shared" si="298"/>
        <v>0</v>
      </c>
      <c r="AW539" s="1188">
        <f t="shared" si="299"/>
        <v>0</v>
      </c>
      <c r="AX539" s="1188">
        <f t="shared" si="300"/>
        <v>0</v>
      </c>
      <c r="AY539" s="1452">
        <f t="shared" si="304"/>
        <v>0</v>
      </c>
      <c r="AZ539" s="4284">
        <f t="shared" si="305"/>
        <v>0</v>
      </c>
      <c r="BA539" s="4284">
        <f t="shared" si="306"/>
        <v>0</v>
      </c>
      <c r="BB539" s="4284">
        <f t="shared" si="307"/>
        <v>0</v>
      </c>
      <c r="BC539" s="4284">
        <f t="shared" si="308"/>
        <v>0</v>
      </c>
      <c r="BD539" s="4284">
        <f t="shared" si="309"/>
        <v>0</v>
      </c>
      <c r="BE539" s="4284">
        <f t="shared" si="310"/>
        <v>0</v>
      </c>
      <c r="BF539" s="4284">
        <f t="shared" si="311"/>
        <v>0</v>
      </c>
      <c r="BG539" s="4284">
        <f t="shared" si="312"/>
        <v>0</v>
      </c>
      <c r="BH539" s="4284">
        <f t="shared" si="313"/>
        <v>0</v>
      </c>
      <c r="BI539" s="4284">
        <f t="shared" si="314"/>
        <v>0</v>
      </c>
      <c r="BJ539" s="4284">
        <f t="shared" si="315"/>
        <v>0</v>
      </c>
      <c r="BK539" s="4284">
        <f t="shared" si="316"/>
        <v>0</v>
      </c>
      <c r="BL539" s="4284">
        <f t="shared" si="317"/>
        <v>0</v>
      </c>
      <c r="BM539" s="4284">
        <f t="shared" si="318"/>
        <v>0</v>
      </c>
      <c r="BN539" s="4284">
        <f t="shared" si="319"/>
        <v>0</v>
      </c>
      <c r="BO539" s="4284">
        <f t="shared" si="320"/>
        <v>0</v>
      </c>
      <c r="BP539" s="4284">
        <f t="shared" si="321"/>
        <v>0</v>
      </c>
      <c r="BQ539" s="4284">
        <f t="shared" si="322"/>
        <v>0</v>
      </c>
      <c r="BR539" s="4284">
        <f t="shared" si="323"/>
        <v>0</v>
      </c>
      <c r="BS539" s="4284">
        <f t="shared" si="324"/>
        <v>0</v>
      </c>
      <c r="BT539" s="4285">
        <f t="shared" si="325"/>
        <v>0</v>
      </c>
    </row>
    <row r="540" spans="1:72">
      <c r="A540" s="4278"/>
      <c r="B540" s="4279"/>
      <c r="C540" s="4279"/>
      <c r="D540" s="4280"/>
      <c r="E540" s="1188">
        <f t="shared" si="297"/>
        <v>0</v>
      </c>
      <c r="F540" s="1680"/>
      <c r="G540" s="4281">
        <f t="shared" si="301"/>
        <v>0</v>
      </c>
      <c r="H540" s="3457">
        <f t="shared" si="302"/>
        <v>0</v>
      </c>
      <c r="I540" s="4282"/>
      <c r="J540" s="4282"/>
      <c r="K540" s="4282"/>
      <c r="L540" s="4282"/>
      <c r="M540" s="4282"/>
      <c r="N540" s="4282"/>
      <c r="O540" s="4282"/>
      <c r="P540" s="4282"/>
      <c r="Q540" s="4282"/>
      <c r="R540" s="4282"/>
      <c r="S540" s="4282"/>
      <c r="T540" s="4282"/>
      <c r="U540" s="4282"/>
      <c r="V540" s="4282"/>
      <c r="W540" s="4282"/>
      <c r="X540" s="4282"/>
      <c r="Y540" s="4282"/>
      <c r="Z540" s="4282"/>
      <c r="AA540" s="4282"/>
      <c r="AB540" s="4282"/>
      <c r="AC540" s="1188">
        <f t="shared" si="303"/>
        <v>0</v>
      </c>
      <c r="AD540" s="4278"/>
      <c r="AE540" s="4278"/>
      <c r="AF540" s="4278"/>
      <c r="AG540" s="4278"/>
      <c r="AH540" s="4278"/>
      <c r="AI540" s="4278"/>
      <c r="AJ540" s="4278"/>
      <c r="AK540" s="4278"/>
      <c r="AL540" s="4278"/>
      <c r="AM540" s="4278"/>
      <c r="AN540" s="4278"/>
      <c r="AO540" s="4278"/>
      <c r="AP540" s="4278"/>
      <c r="AQ540" s="4278"/>
      <c r="AR540" s="4278"/>
      <c r="AS540" s="4278"/>
      <c r="AT540" s="4279"/>
      <c r="AU540" s="4283"/>
      <c r="AV540" s="1188">
        <f t="shared" si="298"/>
        <v>0</v>
      </c>
      <c r="AW540" s="1188">
        <f t="shared" si="299"/>
        <v>0</v>
      </c>
      <c r="AX540" s="1188">
        <f t="shared" si="300"/>
        <v>0</v>
      </c>
      <c r="AY540" s="1452">
        <f t="shared" si="304"/>
        <v>0</v>
      </c>
      <c r="AZ540" s="4284">
        <f t="shared" si="305"/>
        <v>0</v>
      </c>
      <c r="BA540" s="4284">
        <f t="shared" si="306"/>
        <v>0</v>
      </c>
      <c r="BB540" s="4284">
        <f t="shared" si="307"/>
        <v>0</v>
      </c>
      <c r="BC540" s="4284">
        <f t="shared" si="308"/>
        <v>0</v>
      </c>
      <c r="BD540" s="4284">
        <f t="shared" si="309"/>
        <v>0</v>
      </c>
      <c r="BE540" s="4284">
        <f t="shared" si="310"/>
        <v>0</v>
      </c>
      <c r="BF540" s="4284">
        <f t="shared" si="311"/>
        <v>0</v>
      </c>
      <c r="BG540" s="4284">
        <f t="shared" si="312"/>
        <v>0</v>
      </c>
      <c r="BH540" s="4284">
        <f t="shared" si="313"/>
        <v>0</v>
      </c>
      <c r="BI540" s="4284">
        <f t="shared" si="314"/>
        <v>0</v>
      </c>
      <c r="BJ540" s="4284">
        <f t="shared" si="315"/>
        <v>0</v>
      </c>
      <c r="BK540" s="4284">
        <f t="shared" si="316"/>
        <v>0</v>
      </c>
      <c r="BL540" s="4284">
        <f t="shared" si="317"/>
        <v>0</v>
      </c>
      <c r="BM540" s="4284">
        <f t="shared" si="318"/>
        <v>0</v>
      </c>
      <c r="BN540" s="4284">
        <f t="shared" si="319"/>
        <v>0</v>
      </c>
      <c r="BO540" s="4284">
        <f t="shared" si="320"/>
        <v>0</v>
      </c>
      <c r="BP540" s="4284">
        <f t="shared" si="321"/>
        <v>0</v>
      </c>
      <c r="BQ540" s="4284">
        <f t="shared" si="322"/>
        <v>0</v>
      </c>
      <c r="BR540" s="4284">
        <f t="shared" si="323"/>
        <v>0</v>
      </c>
      <c r="BS540" s="4284">
        <f t="shared" si="324"/>
        <v>0</v>
      </c>
      <c r="BT540" s="4285">
        <f t="shared" si="325"/>
        <v>0</v>
      </c>
    </row>
    <row r="541" spans="1:72">
      <c r="A541" s="4278"/>
      <c r="B541" s="4279"/>
      <c r="C541" s="4279"/>
      <c r="D541" s="4280"/>
      <c r="E541" s="1188">
        <f t="shared" si="297"/>
        <v>0</v>
      </c>
      <c r="F541" s="1680"/>
      <c r="G541" s="4281">
        <f t="shared" si="301"/>
        <v>0</v>
      </c>
      <c r="H541" s="3457">
        <f t="shared" si="302"/>
        <v>0</v>
      </c>
      <c r="I541" s="4282"/>
      <c r="J541" s="4282"/>
      <c r="K541" s="4282"/>
      <c r="L541" s="4282"/>
      <c r="M541" s="4282"/>
      <c r="N541" s="4282"/>
      <c r="O541" s="4282"/>
      <c r="P541" s="4282"/>
      <c r="Q541" s="4282"/>
      <c r="R541" s="4282"/>
      <c r="S541" s="4282"/>
      <c r="T541" s="4282"/>
      <c r="U541" s="4282"/>
      <c r="V541" s="4282"/>
      <c r="W541" s="4282"/>
      <c r="X541" s="4282"/>
      <c r="Y541" s="4282"/>
      <c r="Z541" s="4282"/>
      <c r="AA541" s="4282"/>
      <c r="AB541" s="4282"/>
      <c r="AC541" s="1188">
        <f t="shared" si="303"/>
        <v>0</v>
      </c>
      <c r="AD541" s="4278"/>
      <c r="AE541" s="4278"/>
      <c r="AF541" s="4278"/>
      <c r="AG541" s="4278"/>
      <c r="AH541" s="4278"/>
      <c r="AI541" s="4278"/>
      <c r="AJ541" s="4278"/>
      <c r="AK541" s="4278"/>
      <c r="AL541" s="4278"/>
      <c r="AM541" s="4278"/>
      <c r="AN541" s="4278"/>
      <c r="AO541" s="4278"/>
      <c r="AP541" s="4278"/>
      <c r="AQ541" s="4278"/>
      <c r="AR541" s="4278"/>
      <c r="AS541" s="4278"/>
      <c r="AT541" s="4279"/>
      <c r="AU541" s="4283"/>
      <c r="AV541" s="1188">
        <f t="shared" si="298"/>
        <v>0</v>
      </c>
      <c r="AW541" s="1188">
        <f t="shared" si="299"/>
        <v>0</v>
      </c>
      <c r="AX541" s="1188">
        <f t="shared" si="300"/>
        <v>0</v>
      </c>
      <c r="AY541" s="1452">
        <f t="shared" si="304"/>
        <v>0</v>
      </c>
      <c r="AZ541" s="4284">
        <f t="shared" si="305"/>
        <v>0</v>
      </c>
      <c r="BA541" s="4284">
        <f t="shared" si="306"/>
        <v>0</v>
      </c>
      <c r="BB541" s="4284">
        <f t="shared" si="307"/>
        <v>0</v>
      </c>
      <c r="BC541" s="4284">
        <f t="shared" si="308"/>
        <v>0</v>
      </c>
      <c r="BD541" s="4284">
        <f t="shared" si="309"/>
        <v>0</v>
      </c>
      <c r="BE541" s="4284">
        <f t="shared" si="310"/>
        <v>0</v>
      </c>
      <c r="BF541" s="4284">
        <f t="shared" si="311"/>
        <v>0</v>
      </c>
      <c r="BG541" s="4284">
        <f t="shared" si="312"/>
        <v>0</v>
      </c>
      <c r="BH541" s="4284">
        <f t="shared" si="313"/>
        <v>0</v>
      </c>
      <c r="BI541" s="4284">
        <f t="shared" si="314"/>
        <v>0</v>
      </c>
      <c r="BJ541" s="4284">
        <f t="shared" si="315"/>
        <v>0</v>
      </c>
      <c r="BK541" s="4284">
        <f t="shared" si="316"/>
        <v>0</v>
      </c>
      <c r="BL541" s="4284">
        <f t="shared" si="317"/>
        <v>0</v>
      </c>
      <c r="BM541" s="4284">
        <f t="shared" si="318"/>
        <v>0</v>
      </c>
      <c r="BN541" s="4284">
        <f t="shared" si="319"/>
        <v>0</v>
      </c>
      <c r="BO541" s="4284">
        <f t="shared" si="320"/>
        <v>0</v>
      </c>
      <c r="BP541" s="4284">
        <f t="shared" si="321"/>
        <v>0</v>
      </c>
      <c r="BQ541" s="4284">
        <f t="shared" si="322"/>
        <v>0</v>
      </c>
      <c r="BR541" s="4284">
        <f t="shared" si="323"/>
        <v>0</v>
      </c>
      <c r="BS541" s="4284">
        <f t="shared" si="324"/>
        <v>0</v>
      </c>
      <c r="BT541" s="4285">
        <f t="shared" si="325"/>
        <v>0</v>
      </c>
    </row>
    <row r="542" spans="1:72">
      <c r="A542" s="4278"/>
      <c r="B542" s="4279"/>
      <c r="C542" s="4279"/>
      <c r="D542" s="4280"/>
      <c r="E542" s="1188">
        <f t="shared" si="297"/>
        <v>0</v>
      </c>
      <c r="F542" s="1680"/>
      <c r="G542" s="4281">
        <f t="shared" si="301"/>
        <v>0</v>
      </c>
      <c r="H542" s="3457">
        <f t="shared" si="302"/>
        <v>0</v>
      </c>
      <c r="I542" s="4282"/>
      <c r="J542" s="4282"/>
      <c r="K542" s="4282"/>
      <c r="L542" s="4282"/>
      <c r="M542" s="4282"/>
      <c r="N542" s="4282"/>
      <c r="O542" s="4282"/>
      <c r="P542" s="4282"/>
      <c r="Q542" s="4282"/>
      <c r="R542" s="4282"/>
      <c r="S542" s="4282"/>
      <c r="T542" s="4282"/>
      <c r="U542" s="4282"/>
      <c r="V542" s="4282"/>
      <c r="W542" s="4282"/>
      <c r="X542" s="4282"/>
      <c r="Y542" s="4282"/>
      <c r="Z542" s="4282"/>
      <c r="AA542" s="4282"/>
      <c r="AB542" s="4282"/>
      <c r="AC542" s="1188">
        <f t="shared" si="303"/>
        <v>0</v>
      </c>
      <c r="AD542" s="4278"/>
      <c r="AE542" s="4278"/>
      <c r="AF542" s="4278"/>
      <c r="AG542" s="4278"/>
      <c r="AH542" s="4278"/>
      <c r="AI542" s="4278"/>
      <c r="AJ542" s="4278"/>
      <c r="AK542" s="4278"/>
      <c r="AL542" s="4278"/>
      <c r="AM542" s="4278"/>
      <c r="AN542" s="4278"/>
      <c r="AO542" s="4278"/>
      <c r="AP542" s="4278"/>
      <c r="AQ542" s="4278"/>
      <c r="AR542" s="4278"/>
      <c r="AS542" s="4278"/>
      <c r="AT542" s="4279"/>
      <c r="AU542" s="4283"/>
      <c r="AV542" s="1188">
        <f t="shared" si="298"/>
        <v>0</v>
      </c>
      <c r="AW542" s="1188">
        <f t="shared" si="299"/>
        <v>0</v>
      </c>
      <c r="AX542" s="1188">
        <f t="shared" si="300"/>
        <v>0</v>
      </c>
      <c r="AY542" s="1452">
        <f t="shared" si="304"/>
        <v>0</v>
      </c>
      <c r="AZ542" s="4284">
        <f t="shared" si="305"/>
        <v>0</v>
      </c>
      <c r="BA542" s="4284">
        <f t="shared" si="306"/>
        <v>0</v>
      </c>
      <c r="BB542" s="4284">
        <f t="shared" si="307"/>
        <v>0</v>
      </c>
      <c r="BC542" s="4284">
        <f t="shared" si="308"/>
        <v>0</v>
      </c>
      <c r="BD542" s="4284">
        <f t="shared" si="309"/>
        <v>0</v>
      </c>
      <c r="BE542" s="4284">
        <f t="shared" si="310"/>
        <v>0</v>
      </c>
      <c r="BF542" s="4284">
        <f t="shared" si="311"/>
        <v>0</v>
      </c>
      <c r="BG542" s="4284">
        <f t="shared" si="312"/>
        <v>0</v>
      </c>
      <c r="BH542" s="4284">
        <f t="shared" si="313"/>
        <v>0</v>
      </c>
      <c r="BI542" s="4284">
        <f t="shared" si="314"/>
        <v>0</v>
      </c>
      <c r="BJ542" s="4284">
        <f t="shared" si="315"/>
        <v>0</v>
      </c>
      <c r="BK542" s="4284">
        <f t="shared" si="316"/>
        <v>0</v>
      </c>
      <c r="BL542" s="4284">
        <f t="shared" si="317"/>
        <v>0</v>
      </c>
      <c r="BM542" s="4284">
        <f t="shared" si="318"/>
        <v>0</v>
      </c>
      <c r="BN542" s="4284">
        <f t="shared" si="319"/>
        <v>0</v>
      </c>
      <c r="BO542" s="4284">
        <f t="shared" si="320"/>
        <v>0</v>
      </c>
      <c r="BP542" s="4284">
        <f t="shared" si="321"/>
        <v>0</v>
      </c>
      <c r="BQ542" s="4284">
        <f t="shared" si="322"/>
        <v>0</v>
      </c>
      <c r="BR542" s="4284">
        <f t="shared" si="323"/>
        <v>0</v>
      </c>
      <c r="BS542" s="4284">
        <f t="shared" si="324"/>
        <v>0</v>
      </c>
      <c r="BT542" s="4285">
        <f t="shared" si="325"/>
        <v>0</v>
      </c>
    </row>
    <row r="543" spans="1:72">
      <c r="A543" s="4278"/>
      <c r="B543" s="4279"/>
      <c r="C543" s="4279"/>
      <c r="D543" s="4280"/>
      <c r="E543" s="1188">
        <f t="shared" si="297"/>
        <v>0</v>
      </c>
      <c r="F543" s="1680"/>
      <c r="G543" s="4281">
        <f t="shared" si="301"/>
        <v>0</v>
      </c>
      <c r="H543" s="3457">
        <f t="shared" si="302"/>
        <v>0</v>
      </c>
      <c r="I543" s="4282"/>
      <c r="J543" s="4282"/>
      <c r="K543" s="4282"/>
      <c r="L543" s="4282"/>
      <c r="M543" s="4282"/>
      <c r="N543" s="4282"/>
      <c r="O543" s="4282"/>
      <c r="P543" s="4282"/>
      <c r="Q543" s="4282"/>
      <c r="R543" s="4282"/>
      <c r="S543" s="4282"/>
      <c r="T543" s="4282"/>
      <c r="U543" s="4282"/>
      <c r="V543" s="4282"/>
      <c r="W543" s="4282"/>
      <c r="X543" s="4282"/>
      <c r="Y543" s="4282"/>
      <c r="Z543" s="4282"/>
      <c r="AA543" s="4282"/>
      <c r="AB543" s="4282"/>
      <c r="AC543" s="1188">
        <f t="shared" si="303"/>
        <v>0</v>
      </c>
      <c r="AD543" s="4278"/>
      <c r="AE543" s="4278"/>
      <c r="AF543" s="4278"/>
      <c r="AG543" s="4278"/>
      <c r="AH543" s="4278"/>
      <c r="AI543" s="4278"/>
      <c r="AJ543" s="4278"/>
      <c r="AK543" s="4278"/>
      <c r="AL543" s="4278"/>
      <c r="AM543" s="4278"/>
      <c r="AN543" s="4278"/>
      <c r="AO543" s="4278"/>
      <c r="AP543" s="4278"/>
      <c r="AQ543" s="4278"/>
      <c r="AR543" s="4278"/>
      <c r="AS543" s="4278"/>
      <c r="AT543" s="4279"/>
      <c r="AU543" s="4283"/>
      <c r="AV543" s="1188">
        <f t="shared" si="298"/>
        <v>0</v>
      </c>
      <c r="AW543" s="1188">
        <f t="shared" si="299"/>
        <v>0</v>
      </c>
      <c r="AX543" s="1188">
        <f t="shared" si="300"/>
        <v>0</v>
      </c>
      <c r="AY543" s="1452">
        <f t="shared" si="304"/>
        <v>0</v>
      </c>
      <c r="AZ543" s="4284">
        <f t="shared" si="305"/>
        <v>0</v>
      </c>
      <c r="BA543" s="4284">
        <f t="shared" si="306"/>
        <v>0</v>
      </c>
      <c r="BB543" s="4284">
        <f t="shared" si="307"/>
        <v>0</v>
      </c>
      <c r="BC543" s="4284">
        <f t="shared" si="308"/>
        <v>0</v>
      </c>
      <c r="BD543" s="4284">
        <f t="shared" si="309"/>
        <v>0</v>
      </c>
      <c r="BE543" s="4284">
        <f t="shared" si="310"/>
        <v>0</v>
      </c>
      <c r="BF543" s="4284">
        <f t="shared" si="311"/>
        <v>0</v>
      </c>
      <c r="BG543" s="4284">
        <f t="shared" si="312"/>
        <v>0</v>
      </c>
      <c r="BH543" s="4284">
        <f t="shared" si="313"/>
        <v>0</v>
      </c>
      <c r="BI543" s="4284">
        <f t="shared" si="314"/>
        <v>0</v>
      </c>
      <c r="BJ543" s="4284">
        <f t="shared" si="315"/>
        <v>0</v>
      </c>
      <c r="BK543" s="4284">
        <f t="shared" si="316"/>
        <v>0</v>
      </c>
      <c r="BL543" s="4284">
        <f t="shared" si="317"/>
        <v>0</v>
      </c>
      <c r="BM543" s="4284">
        <f t="shared" si="318"/>
        <v>0</v>
      </c>
      <c r="BN543" s="4284">
        <f t="shared" si="319"/>
        <v>0</v>
      </c>
      <c r="BO543" s="4284">
        <f t="shared" si="320"/>
        <v>0</v>
      </c>
      <c r="BP543" s="4284">
        <f t="shared" si="321"/>
        <v>0</v>
      </c>
      <c r="BQ543" s="4284">
        <f t="shared" si="322"/>
        <v>0</v>
      </c>
      <c r="BR543" s="4284">
        <f t="shared" si="323"/>
        <v>0</v>
      </c>
      <c r="BS543" s="4284">
        <f t="shared" si="324"/>
        <v>0</v>
      </c>
      <c r="BT543" s="4285">
        <f t="shared" si="325"/>
        <v>0</v>
      </c>
    </row>
    <row r="544" spans="1:72">
      <c r="A544" s="4278"/>
      <c r="B544" s="4279"/>
      <c r="C544" s="4279"/>
      <c r="D544" s="4280"/>
      <c r="E544" s="1188">
        <f t="shared" si="297"/>
        <v>0</v>
      </c>
      <c r="F544" s="1680"/>
      <c r="G544" s="4281">
        <f t="shared" si="301"/>
        <v>0</v>
      </c>
      <c r="H544" s="3457">
        <f t="shared" si="302"/>
        <v>0</v>
      </c>
      <c r="I544" s="4282"/>
      <c r="J544" s="4282"/>
      <c r="K544" s="4282"/>
      <c r="L544" s="4282"/>
      <c r="M544" s="4282"/>
      <c r="N544" s="4282"/>
      <c r="O544" s="4282"/>
      <c r="P544" s="4282"/>
      <c r="Q544" s="4282"/>
      <c r="R544" s="4282"/>
      <c r="S544" s="4282"/>
      <c r="T544" s="4282"/>
      <c r="U544" s="4282"/>
      <c r="V544" s="4282"/>
      <c r="W544" s="4282"/>
      <c r="X544" s="4282"/>
      <c r="Y544" s="4282"/>
      <c r="Z544" s="4282"/>
      <c r="AA544" s="4282"/>
      <c r="AB544" s="4282"/>
      <c r="AC544" s="1188">
        <f t="shared" si="303"/>
        <v>0</v>
      </c>
      <c r="AD544" s="4278"/>
      <c r="AE544" s="4278"/>
      <c r="AF544" s="4278"/>
      <c r="AG544" s="4278"/>
      <c r="AH544" s="4278"/>
      <c r="AI544" s="4278"/>
      <c r="AJ544" s="4278"/>
      <c r="AK544" s="4278"/>
      <c r="AL544" s="4278"/>
      <c r="AM544" s="4278"/>
      <c r="AN544" s="4278"/>
      <c r="AO544" s="4278"/>
      <c r="AP544" s="4278"/>
      <c r="AQ544" s="4278"/>
      <c r="AR544" s="4278"/>
      <c r="AS544" s="4278"/>
      <c r="AT544" s="4279"/>
      <c r="AU544" s="4283"/>
      <c r="AV544" s="1188">
        <f t="shared" si="298"/>
        <v>0</v>
      </c>
      <c r="AW544" s="1188">
        <f t="shared" si="299"/>
        <v>0</v>
      </c>
      <c r="AX544" s="1188">
        <f t="shared" si="300"/>
        <v>0</v>
      </c>
      <c r="AY544" s="1452">
        <f t="shared" si="304"/>
        <v>0</v>
      </c>
      <c r="AZ544" s="4284">
        <f t="shared" si="305"/>
        <v>0</v>
      </c>
      <c r="BA544" s="4284">
        <f t="shared" si="306"/>
        <v>0</v>
      </c>
      <c r="BB544" s="4284">
        <f t="shared" si="307"/>
        <v>0</v>
      </c>
      <c r="BC544" s="4284">
        <f t="shared" si="308"/>
        <v>0</v>
      </c>
      <c r="BD544" s="4284">
        <f t="shared" si="309"/>
        <v>0</v>
      </c>
      <c r="BE544" s="4284">
        <f t="shared" si="310"/>
        <v>0</v>
      </c>
      <c r="BF544" s="4284">
        <f t="shared" si="311"/>
        <v>0</v>
      </c>
      <c r="BG544" s="4284">
        <f t="shared" si="312"/>
        <v>0</v>
      </c>
      <c r="BH544" s="4284">
        <f t="shared" si="313"/>
        <v>0</v>
      </c>
      <c r="BI544" s="4284">
        <f t="shared" si="314"/>
        <v>0</v>
      </c>
      <c r="BJ544" s="4284">
        <f t="shared" si="315"/>
        <v>0</v>
      </c>
      <c r="BK544" s="4284">
        <f t="shared" si="316"/>
        <v>0</v>
      </c>
      <c r="BL544" s="4284">
        <f t="shared" si="317"/>
        <v>0</v>
      </c>
      <c r="BM544" s="4284">
        <f t="shared" si="318"/>
        <v>0</v>
      </c>
      <c r="BN544" s="4284">
        <f t="shared" si="319"/>
        <v>0</v>
      </c>
      <c r="BO544" s="4284">
        <f t="shared" si="320"/>
        <v>0</v>
      </c>
      <c r="BP544" s="4284">
        <f t="shared" si="321"/>
        <v>0</v>
      </c>
      <c r="BQ544" s="4284">
        <f t="shared" si="322"/>
        <v>0</v>
      </c>
      <c r="BR544" s="4284">
        <f t="shared" si="323"/>
        <v>0</v>
      </c>
      <c r="BS544" s="4284">
        <f t="shared" si="324"/>
        <v>0</v>
      </c>
      <c r="BT544" s="4285">
        <f t="shared" si="325"/>
        <v>0</v>
      </c>
    </row>
    <row r="545" spans="1:72">
      <c r="A545" s="4278"/>
      <c r="B545" s="4279"/>
      <c r="C545" s="4279"/>
      <c r="D545" s="4280"/>
      <c r="E545" s="1188">
        <f t="shared" si="297"/>
        <v>0</v>
      </c>
      <c r="F545" s="1680"/>
      <c r="G545" s="4281">
        <f t="shared" si="301"/>
        <v>0</v>
      </c>
      <c r="H545" s="3457">
        <f t="shared" si="302"/>
        <v>0</v>
      </c>
      <c r="I545" s="4282"/>
      <c r="J545" s="4282"/>
      <c r="K545" s="4282"/>
      <c r="L545" s="4282"/>
      <c r="M545" s="4282"/>
      <c r="N545" s="4282"/>
      <c r="O545" s="4282"/>
      <c r="P545" s="4282"/>
      <c r="Q545" s="4282"/>
      <c r="R545" s="4282"/>
      <c r="S545" s="4282"/>
      <c r="T545" s="4282"/>
      <c r="U545" s="4282"/>
      <c r="V545" s="4282"/>
      <c r="W545" s="4282"/>
      <c r="X545" s="4282"/>
      <c r="Y545" s="4282"/>
      <c r="Z545" s="4282"/>
      <c r="AA545" s="4282"/>
      <c r="AB545" s="4282"/>
      <c r="AC545" s="1188">
        <f t="shared" si="303"/>
        <v>0</v>
      </c>
      <c r="AD545" s="4278"/>
      <c r="AE545" s="4278"/>
      <c r="AF545" s="4278"/>
      <c r="AG545" s="4278"/>
      <c r="AH545" s="4278"/>
      <c r="AI545" s="4278"/>
      <c r="AJ545" s="4278"/>
      <c r="AK545" s="4278"/>
      <c r="AL545" s="4278"/>
      <c r="AM545" s="4278"/>
      <c r="AN545" s="4278"/>
      <c r="AO545" s="4278"/>
      <c r="AP545" s="4278"/>
      <c r="AQ545" s="4278"/>
      <c r="AR545" s="4278"/>
      <c r="AS545" s="4278"/>
      <c r="AT545" s="4279"/>
      <c r="AU545" s="4283"/>
      <c r="AV545" s="1188">
        <f t="shared" si="298"/>
        <v>0</v>
      </c>
      <c r="AW545" s="1188">
        <f t="shared" si="299"/>
        <v>0</v>
      </c>
      <c r="AX545" s="1188">
        <f t="shared" si="300"/>
        <v>0</v>
      </c>
      <c r="AY545" s="1452">
        <f t="shared" si="304"/>
        <v>0</v>
      </c>
      <c r="AZ545" s="4284">
        <f t="shared" si="305"/>
        <v>0</v>
      </c>
      <c r="BA545" s="4284">
        <f t="shared" si="306"/>
        <v>0</v>
      </c>
      <c r="BB545" s="4284">
        <f t="shared" si="307"/>
        <v>0</v>
      </c>
      <c r="BC545" s="4284">
        <f t="shared" si="308"/>
        <v>0</v>
      </c>
      <c r="BD545" s="4284">
        <f t="shared" si="309"/>
        <v>0</v>
      </c>
      <c r="BE545" s="4284">
        <f t="shared" si="310"/>
        <v>0</v>
      </c>
      <c r="BF545" s="4284">
        <f t="shared" si="311"/>
        <v>0</v>
      </c>
      <c r="BG545" s="4284">
        <f t="shared" si="312"/>
        <v>0</v>
      </c>
      <c r="BH545" s="4284">
        <f t="shared" si="313"/>
        <v>0</v>
      </c>
      <c r="BI545" s="4284">
        <f t="shared" si="314"/>
        <v>0</v>
      </c>
      <c r="BJ545" s="4284">
        <f t="shared" si="315"/>
        <v>0</v>
      </c>
      <c r="BK545" s="4284">
        <f t="shared" si="316"/>
        <v>0</v>
      </c>
      <c r="BL545" s="4284">
        <f t="shared" si="317"/>
        <v>0</v>
      </c>
      <c r="BM545" s="4284">
        <f t="shared" si="318"/>
        <v>0</v>
      </c>
      <c r="BN545" s="4284">
        <f t="shared" si="319"/>
        <v>0</v>
      </c>
      <c r="BO545" s="4284">
        <f t="shared" si="320"/>
        <v>0</v>
      </c>
      <c r="BP545" s="4284">
        <f t="shared" si="321"/>
        <v>0</v>
      </c>
      <c r="BQ545" s="4284">
        <f t="shared" si="322"/>
        <v>0</v>
      </c>
      <c r="BR545" s="4284">
        <f t="shared" si="323"/>
        <v>0</v>
      </c>
      <c r="BS545" s="4284">
        <f t="shared" si="324"/>
        <v>0</v>
      </c>
      <c r="BT545" s="4285">
        <f t="shared" si="325"/>
        <v>0</v>
      </c>
    </row>
    <row r="546" spans="1:72">
      <c r="A546" s="4278"/>
      <c r="B546" s="4279"/>
      <c r="C546" s="4279"/>
      <c r="D546" s="4280"/>
      <c r="E546" s="1188">
        <f t="shared" si="297"/>
        <v>0</v>
      </c>
      <c r="F546" s="1680"/>
      <c r="G546" s="4281">
        <f t="shared" si="301"/>
        <v>0</v>
      </c>
      <c r="H546" s="3457">
        <f t="shared" si="302"/>
        <v>0</v>
      </c>
      <c r="I546" s="4282"/>
      <c r="J546" s="4282"/>
      <c r="K546" s="4282"/>
      <c r="L546" s="4282"/>
      <c r="M546" s="4282"/>
      <c r="N546" s="4282"/>
      <c r="O546" s="4282"/>
      <c r="P546" s="4282"/>
      <c r="Q546" s="4282"/>
      <c r="R546" s="4282"/>
      <c r="S546" s="4282"/>
      <c r="T546" s="4282"/>
      <c r="U546" s="4282"/>
      <c r="V546" s="4282"/>
      <c r="W546" s="4282"/>
      <c r="X546" s="4282"/>
      <c r="Y546" s="4282"/>
      <c r="Z546" s="4282"/>
      <c r="AA546" s="4282"/>
      <c r="AB546" s="4282"/>
      <c r="AC546" s="1188">
        <f t="shared" si="303"/>
        <v>0</v>
      </c>
      <c r="AD546" s="4278"/>
      <c r="AE546" s="4278"/>
      <c r="AF546" s="4278"/>
      <c r="AG546" s="4278"/>
      <c r="AH546" s="4278"/>
      <c r="AI546" s="4278"/>
      <c r="AJ546" s="4278"/>
      <c r="AK546" s="4278"/>
      <c r="AL546" s="4278"/>
      <c r="AM546" s="4278"/>
      <c r="AN546" s="4278"/>
      <c r="AO546" s="4278"/>
      <c r="AP546" s="4278"/>
      <c r="AQ546" s="4278"/>
      <c r="AR546" s="4278"/>
      <c r="AS546" s="4278"/>
      <c r="AT546" s="4279"/>
      <c r="AU546" s="4283"/>
      <c r="AV546" s="1188">
        <f t="shared" si="298"/>
        <v>0</v>
      </c>
      <c r="AW546" s="1188">
        <f t="shared" si="299"/>
        <v>0</v>
      </c>
      <c r="AX546" s="1188">
        <f t="shared" si="300"/>
        <v>0</v>
      </c>
      <c r="AY546" s="1452">
        <f t="shared" si="304"/>
        <v>0</v>
      </c>
      <c r="AZ546" s="4284">
        <f t="shared" si="305"/>
        <v>0</v>
      </c>
      <c r="BA546" s="4284">
        <f t="shared" si="306"/>
        <v>0</v>
      </c>
      <c r="BB546" s="4284">
        <f t="shared" si="307"/>
        <v>0</v>
      </c>
      <c r="BC546" s="4284">
        <f t="shared" si="308"/>
        <v>0</v>
      </c>
      <c r="BD546" s="4284">
        <f t="shared" si="309"/>
        <v>0</v>
      </c>
      <c r="BE546" s="4284">
        <f t="shared" si="310"/>
        <v>0</v>
      </c>
      <c r="BF546" s="4284">
        <f t="shared" si="311"/>
        <v>0</v>
      </c>
      <c r="BG546" s="4284">
        <f t="shared" si="312"/>
        <v>0</v>
      </c>
      <c r="BH546" s="4284">
        <f t="shared" si="313"/>
        <v>0</v>
      </c>
      <c r="BI546" s="4284">
        <f t="shared" si="314"/>
        <v>0</v>
      </c>
      <c r="BJ546" s="4284">
        <f t="shared" si="315"/>
        <v>0</v>
      </c>
      <c r="BK546" s="4284">
        <f t="shared" si="316"/>
        <v>0</v>
      </c>
      <c r="BL546" s="4284">
        <f t="shared" si="317"/>
        <v>0</v>
      </c>
      <c r="BM546" s="4284">
        <f t="shared" si="318"/>
        <v>0</v>
      </c>
      <c r="BN546" s="4284">
        <f t="shared" si="319"/>
        <v>0</v>
      </c>
      <c r="BO546" s="4284">
        <f t="shared" si="320"/>
        <v>0</v>
      </c>
      <c r="BP546" s="4284">
        <f t="shared" si="321"/>
        <v>0</v>
      </c>
      <c r="BQ546" s="4284">
        <f t="shared" si="322"/>
        <v>0</v>
      </c>
      <c r="BR546" s="4284">
        <f t="shared" si="323"/>
        <v>0</v>
      </c>
      <c r="BS546" s="4284">
        <f t="shared" si="324"/>
        <v>0</v>
      </c>
      <c r="BT546" s="4285">
        <f t="shared" si="325"/>
        <v>0</v>
      </c>
    </row>
    <row r="547" spans="1:72">
      <c r="A547" s="4278"/>
      <c r="B547" s="4279"/>
      <c r="C547" s="4279"/>
      <c r="D547" s="4280"/>
      <c r="E547" s="1188">
        <f t="shared" si="297"/>
        <v>0</v>
      </c>
      <c r="F547" s="1680"/>
      <c r="G547" s="4281">
        <f t="shared" si="301"/>
        <v>0</v>
      </c>
      <c r="H547" s="3457">
        <f t="shared" si="302"/>
        <v>0</v>
      </c>
      <c r="I547" s="4282"/>
      <c r="J547" s="4282"/>
      <c r="K547" s="4282"/>
      <c r="L547" s="4282"/>
      <c r="M547" s="4282"/>
      <c r="N547" s="4282"/>
      <c r="O547" s="4282"/>
      <c r="P547" s="4282"/>
      <c r="Q547" s="4282"/>
      <c r="R547" s="4282"/>
      <c r="S547" s="4282"/>
      <c r="T547" s="4282"/>
      <c r="U547" s="4282"/>
      <c r="V547" s="4282"/>
      <c r="W547" s="4282"/>
      <c r="X547" s="4282"/>
      <c r="Y547" s="4282"/>
      <c r="Z547" s="4282"/>
      <c r="AA547" s="4282"/>
      <c r="AB547" s="4282"/>
      <c r="AC547" s="1188">
        <f t="shared" si="303"/>
        <v>0</v>
      </c>
      <c r="AD547" s="4278"/>
      <c r="AE547" s="4278"/>
      <c r="AF547" s="4278"/>
      <c r="AG547" s="4278"/>
      <c r="AH547" s="4278"/>
      <c r="AI547" s="4278"/>
      <c r="AJ547" s="4278"/>
      <c r="AK547" s="4278"/>
      <c r="AL547" s="4278"/>
      <c r="AM547" s="4278"/>
      <c r="AN547" s="4278"/>
      <c r="AO547" s="4278"/>
      <c r="AP547" s="4278"/>
      <c r="AQ547" s="4278"/>
      <c r="AR547" s="4278"/>
      <c r="AS547" s="4278"/>
      <c r="AT547" s="4279"/>
      <c r="AU547" s="4283"/>
      <c r="AV547" s="1188">
        <f t="shared" si="298"/>
        <v>0</v>
      </c>
      <c r="AW547" s="1188">
        <f t="shared" si="299"/>
        <v>0</v>
      </c>
      <c r="AX547" s="1188">
        <f t="shared" si="300"/>
        <v>0</v>
      </c>
      <c r="AY547" s="1452">
        <f t="shared" si="304"/>
        <v>0</v>
      </c>
      <c r="AZ547" s="4284">
        <f t="shared" si="305"/>
        <v>0</v>
      </c>
      <c r="BA547" s="4284">
        <f t="shared" si="306"/>
        <v>0</v>
      </c>
      <c r="BB547" s="4284">
        <f t="shared" si="307"/>
        <v>0</v>
      </c>
      <c r="BC547" s="4284">
        <f t="shared" si="308"/>
        <v>0</v>
      </c>
      <c r="BD547" s="4284">
        <f t="shared" si="309"/>
        <v>0</v>
      </c>
      <c r="BE547" s="4284">
        <f t="shared" si="310"/>
        <v>0</v>
      </c>
      <c r="BF547" s="4284">
        <f t="shared" si="311"/>
        <v>0</v>
      </c>
      <c r="BG547" s="4284">
        <f t="shared" si="312"/>
        <v>0</v>
      </c>
      <c r="BH547" s="4284">
        <f t="shared" si="313"/>
        <v>0</v>
      </c>
      <c r="BI547" s="4284">
        <f t="shared" si="314"/>
        <v>0</v>
      </c>
      <c r="BJ547" s="4284">
        <f t="shared" si="315"/>
        <v>0</v>
      </c>
      <c r="BK547" s="4284">
        <f t="shared" si="316"/>
        <v>0</v>
      </c>
      <c r="BL547" s="4284">
        <f t="shared" si="317"/>
        <v>0</v>
      </c>
      <c r="BM547" s="4284">
        <f t="shared" si="318"/>
        <v>0</v>
      </c>
      <c r="BN547" s="4284">
        <f t="shared" si="319"/>
        <v>0</v>
      </c>
      <c r="BO547" s="4284">
        <f t="shared" si="320"/>
        <v>0</v>
      </c>
      <c r="BP547" s="4284">
        <f t="shared" si="321"/>
        <v>0</v>
      </c>
      <c r="BQ547" s="4284">
        <f t="shared" si="322"/>
        <v>0</v>
      </c>
      <c r="BR547" s="4284">
        <f t="shared" si="323"/>
        <v>0</v>
      </c>
      <c r="BS547" s="4284">
        <f t="shared" si="324"/>
        <v>0</v>
      </c>
      <c r="BT547" s="4285">
        <f t="shared" si="325"/>
        <v>0</v>
      </c>
    </row>
    <row r="548" spans="1:72">
      <c r="A548" s="4278"/>
      <c r="B548" s="4279"/>
      <c r="C548" s="4279"/>
      <c r="D548" s="4280"/>
      <c r="E548" s="1188">
        <f t="shared" si="297"/>
        <v>0</v>
      </c>
      <c r="F548" s="1680"/>
      <c r="G548" s="4281">
        <f t="shared" si="301"/>
        <v>0</v>
      </c>
      <c r="H548" s="3457">
        <f t="shared" si="302"/>
        <v>0</v>
      </c>
      <c r="I548" s="4282"/>
      <c r="J548" s="4282"/>
      <c r="K548" s="4282"/>
      <c r="L548" s="4282"/>
      <c r="M548" s="4282"/>
      <c r="N548" s="4282"/>
      <c r="O548" s="4282"/>
      <c r="P548" s="4282"/>
      <c r="Q548" s="4282"/>
      <c r="R548" s="4282"/>
      <c r="S548" s="4282"/>
      <c r="T548" s="4282"/>
      <c r="U548" s="4282"/>
      <c r="V548" s="4282"/>
      <c r="W548" s="4282"/>
      <c r="X548" s="4282"/>
      <c r="Y548" s="4282"/>
      <c r="Z548" s="4282"/>
      <c r="AA548" s="4282"/>
      <c r="AB548" s="4282"/>
      <c r="AC548" s="1188">
        <f t="shared" si="303"/>
        <v>0</v>
      </c>
      <c r="AD548" s="4278"/>
      <c r="AE548" s="4278"/>
      <c r="AF548" s="4278"/>
      <c r="AG548" s="4278"/>
      <c r="AH548" s="4278"/>
      <c r="AI548" s="4278"/>
      <c r="AJ548" s="4278"/>
      <c r="AK548" s="4278"/>
      <c r="AL548" s="4278"/>
      <c r="AM548" s="4278"/>
      <c r="AN548" s="4278"/>
      <c r="AO548" s="4278"/>
      <c r="AP548" s="4278"/>
      <c r="AQ548" s="4278"/>
      <c r="AR548" s="4278"/>
      <c r="AS548" s="4278"/>
      <c r="AT548" s="4279"/>
      <c r="AU548" s="4283"/>
      <c r="AV548" s="1188">
        <f t="shared" si="298"/>
        <v>0</v>
      </c>
      <c r="AW548" s="1188">
        <f t="shared" si="299"/>
        <v>0</v>
      </c>
      <c r="AX548" s="1188">
        <f t="shared" si="300"/>
        <v>0</v>
      </c>
      <c r="AY548" s="1452">
        <f t="shared" si="304"/>
        <v>0</v>
      </c>
      <c r="AZ548" s="4284">
        <f t="shared" si="305"/>
        <v>0</v>
      </c>
      <c r="BA548" s="4284">
        <f t="shared" si="306"/>
        <v>0</v>
      </c>
      <c r="BB548" s="4284">
        <f t="shared" si="307"/>
        <v>0</v>
      </c>
      <c r="BC548" s="4284">
        <f t="shared" si="308"/>
        <v>0</v>
      </c>
      <c r="BD548" s="4284">
        <f t="shared" si="309"/>
        <v>0</v>
      </c>
      <c r="BE548" s="4284">
        <f t="shared" si="310"/>
        <v>0</v>
      </c>
      <c r="BF548" s="4284">
        <f t="shared" si="311"/>
        <v>0</v>
      </c>
      <c r="BG548" s="4284">
        <f t="shared" si="312"/>
        <v>0</v>
      </c>
      <c r="BH548" s="4284">
        <f t="shared" si="313"/>
        <v>0</v>
      </c>
      <c r="BI548" s="4284">
        <f t="shared" si="314"/>
        <v>0</v>
      </c>
      <c r="BJ548" s="4284">
        <f t="shared" si="315"/>
        <v>0</v>
      </c>
      <c r="BK548" s="4284">
        <f t="shared" si="316"/>
        <v>0</v>
      </c>
      <c r="BL548" s="4284">
        <f t="shared" si="317"/>
        <v>0</v>
      </c>
      <c r="BM548" s="4284">
        <f t="shared" si="318"/>
        <v>0</v>
      </c>
      <c r="BN548" s="4284">
        <f t="shared" si="319"/>
        <v>0</v>
      </c>
      <c r="BO548" s="4284">
        <f t="shared" si="320"/>
        <v>0</v>
      </c>
      <c r="BP548" s="4284">
        <f t="shared" si="321"/>
        <v>0</v>
      </c>
      <c r="BQ548" s="4284">
        <f t="shared" si="322"/>
        <v>0</v>
      </c>
      <c r="BR548" s="4284">
        <f t="shared" si="323"/>
        <v>0</v>
      </c>
      <c r="BS548" s="4284">
        <f t="shared" si="324"/>
        <v>0</v>
      </c>
      <c r="BT548" s="4285">
        <f t="shared" si="325"/>
        <v>0</v>
      </c>
    </row>
    <row r="549" spans="1:72">
      <c r="A549" s="4278"/>
      <c r="B549" s="4279"/>
      <c r="C549" s="4279"/>
      <c r="D549" s="4280"/>
      <c r="E549" s="1188">
        <f t="shared" si="297"/>
        <v>0</v>
      </c>
      <c r="F549" s="1680"/>
      <c r="G549" s="4281">
        <f t="shared" si="301"/>
        <v>0</v>
      </c>
      <c r="H549" s="3457">
        <f t="shared" si="302"/>
        <v>0</v>
      </c>
      <c r="I549" s="4282"/>
      <c r="J549" s="4282"/>
      <c r="K549" s="4282"/>
      <c r="L549" s="4282"/>
      <c r="M549" s="4282"/>
      <c r="N549" s="4282"/>
      <c r="O549" s="4282"/>
      <c r="P549" s="4282"/>
      <c r="Q549" s="4282"/>
      <c r="R549" s="4282"/>
      <c r="S549" s="4282"/>
      <c r="T549" s="4282"/>
      <c r="U549" s="4282"/>
      <c r="V549" s="4282"/>
      <c r="W549" s="4282"/>
      <c r="X549" s="4282"/>
      <c r="Y549" s="4282"/>
      <c r="Z549" s="4282"/>
      <c r="AA549" s="4282"/>
      <c r="AB549" s="4282"/>
      <c r="AC549" s="1188">
        <f t="shared" si="303"/>
        <v>0</v>
      </c>
      <c r="AD549" s="4278"/>
      <c r="AE549" s="4278"/>
      <c r="AF549" s="4278"/>
      <c r="AG549" s="4278"/>
      <c r="AH549" s="4278"/>
      <c r="AI549" s="4278"/>
      <c r="AJ549" s="4278"/>
      <c r="AK549" s="4278"/>
      <c r="AL549" s="4278"/>
      <c r="AM549" s="4278"/>
      <c r="AN549" s="4278"/>
      <c r="AO549" s="4278"/>
      <c r="AP549" s="4278"/>
      <c r="AQ549" s="4278"/>
      <c r="AR549" s="4278"/>
      <c r="AS549" s="4278"/>
      <c r="AT549" s="4279"/>
      <c r="AU549" s="4283"/>
      <c r="AV549" s="1188">
        <f t="shared" si="298"/>
        <v>0</v>
      </c>
      <c r="AW549" s="1188">
        <f t="shared" si="299"/>
        <v>0</v>
      </c>
      <c r="AX549" s="1188">
        <f t="shared" si="300"/>
        <v>0</v>
      </c>
      <c r="AY549" s="1452">
        <f t="shared" si="304"/>
        <v>0</v>
      </c>
      <c r="AZ549" s="4284">
        <f t="shared" si="305"/>
        <v>0</v>
      </c>
      <c r="BA549" s="4284">
        <f t="shared" si="306"/>
        <v>0</v>
      </c>
      <c r="BB549" s="4284">
        <f t="shared" si="307"/>
        <v>0</v>
      </c>
      <c r="BC549" s="4284">
        <f t="shared" si="308"/>
        <v>0</v>
      </c>
      <c r="BD549" s="4284">
        <f t="shared" si="309"/>
        <v>0</v>
      </c>
      <c r="BE549" s="4284">
        <f t="shared" si="310"/>
        <v>0</v>
      </c>
      <c r="BF549" s="4284">
        <f t="shared" si="311"/>
        <v>0</v>
      </c>
      <c r="BG549" s="4284">
        <f t="shared" si="312"/>
        <v>0</v>
      </c>
      <c r="BH549" s="4284">
        <f t="shared" si="313"/>
        <v>0</v>
      </c>
      <c r="BI549" s="4284">
        <f t="shared" si="314"/>
        <v>0</v>
      </c>
      <c r="BJ549" s="4284">
        <f t="shared" si="315"/>
        <v>0</v>
      </c>
      <c r="BK549" s="4284">
        <f t="shared" si="316"/>
        <v>0</v>
      </c>
      <c r="BL549" s="4284">
        <f t="shared" si="317"/>
        <v>0</v>
      </c>
      <c r="BM549" s="4284">
        <f t="shared" si="318"/>
        <v>0</v>
      </c>
      <c r="BN549" s="4284">
        <f t="shared" si="319"/>
        <v>0</v>
      </c>
      <c r="BO549" s="4284">
        <f t="shared" si="320"/>
        <v>0</v>
      </c>
      <c r="BP549" s="4284">
        <f t="shared" si="321"/>
        <v>0</v>
      </c>
      <c r="BQ549" s="4284">
        <f t="shared" si="322"/>
        <v>0</v>
      </c>
      <c r="BR549" s="4284">
        <f t="shared" si="323"/>
        <v>0</v>
      </c>
      <c r="BS549" s="4284">
        <f t="shared" si="324"/>
        <v>0</v>
      </c>
      <c r="BT549" s="4285">
        <f t="shared" si="325"/>
        <v>0</v>
      </c>
    </row>
    <row r="550" spans="1:72">
      <c r="A550" s="4278"/>
      <c r="B550" s="4279"/>
      <c r="C550" s="4279"/>
      <c r="D550" s="4280"/>
      <c r="E550" s="1188">
        <f t="shared" si="297"/>
        <v>0</v>
      </c>
      <c r="F550" s="1680"/>
      <c r="G550" s="4281">
        <f t="shared" si="301"/>
        <v>0</v>
      </c>
      <c r="H550" s="3457">
        <f t="shared" si="302"/>
        <v>0</v>
      </c>
      <c r="I550" s="4282"/>
      <c r="J550" s="4282"/>
      <c r="K550" s="4282"/>
      <c r="L550" s="4282"/>
      <c r="M550" s="4282"/>
      <c r="N550" s="4282"/>
      <c r="O550" s="4282"/>
      <c r="P550" s="4282"/>
      <c r="Q550" s="4282"/>
      <c r="R550" s="4282"/>
      <c r="S550" s="4282"/>
      <c r="T550" s="4282"/>
      <c r="U550" s="4282"/>
      <c r="V550" s="4282"/>
      <c r="W550" s="4282"/>
      <c r="X550" s="4282"/>
      <c r="Y550" s="4282"/>
      <c r="Z550" s="4282"/>
      <c r="AA550" s="4282"/>
      <c r="AB550" s="4282"/>
      <c r="AC550" s="1188">
        <f t="shared" si="303"/>
        <v>0</v>
      </c>
      <c r="AD550" s="4278"/>
      <c r="AE550" s="4278"/>
      <c r="AF550" s="4278"/>
      <c r="AG550" s="4278"/>
      <c r="AH550" s="4278"/>
      <c r="AI550" s="4278"/>
      <c r="AJ550" s="4278"/>
      <c r="AK550" s="4278"/>
      <c r="AL550" s="4278"/>
      <c r="AM550" s="4278"/>
      <c r="AN550" s="4278"/>
      <c r="AO550" s="4278"/>
      <c r="AP550" s="4278"/>
      <c r="AQ550" s="4278"/>
      <c r="AR550" s="4278"/>
      <c r="AS550" s="4278"/>
      <c r="AT550" s="4279"/>
      <c r="AU550" s="4283"/>
      <c r="AV550" s="1188">
        <f t="shared" si="298"/>
        <v>0</v>
      </c>
      <c r="AW550" s="1188">
        <f t="shared" si="299"/>
        <v>0</v>
      </c>
      <c r="AX550" s="1188">
        <f t="shared" si="300"/>
        <v>0</v>
      </c>
      <c r="AY550" s="1452">
        <f t="shared" si="304"/>
        <v>0</v>
      </c>
      <c r="AZ550" s="4284">
        <f t="shared" si="305"/>
        <v>0</v>
      </c>
      <c r="BA550" s="4284">
        <f t="shared" si="306"/>
        <v>0</v>
      </c>
      <c r="BB550" s="4284">
        <f t="shared" si="307"/>
        <v>0</v>
      </c>
      <c r="BC550" s="4284">
        <f t="shared" si="308"/>
        <v>0</v>
      </c>
      <c r="BD550" s="4284">
        <f t="shared" si="309"/>
        <v>0</v>
      </c>
      <c r="BE550" s="4284">
        <f t="shared" si="310"/>
        <v>0</v>
      </c>
      <c r="BF550" s="4284">
        <f t="shared" si="311"/>
        <v>0</v>
      </c>
      <c r="BG550" s="4284">
        <f t="shared" si="312"/>
        <v>0</v>
      </c>
      <c r="BH550" s="4284">
        <f t="shared" si="313"/>
        <v>0</v>
      </c>
      <c r="BI550" s="4284">
        <f t="shared" si="314"/>
        <v>0</v>
      </c>
      <c r="BJ550" s="4284">
        <f t="shared" si="315"/>
        <v>0</v>
      </c>
      <c r="BK550" s="4284">
        <f t="shared" si="316"/>
        <v>0</v>
      </c>
      <c r="BL550" s="4284">
        <f t="shared" si="317"/>
        <v>0</v>
      </c>
      <c r="BM550" s="4284">
        <f t="shared" si="318"/>
        <v>0</v>
      </c>
      <c r="BN550" s="4284">
        <f t="shared" si="319"/>
        <v>0</v>
      </c>
      <c r="BO550" s="4284">
        <f t="shared" si="320"/>
        <v>0</v>
      </c>
      <c r="BP550" s="4284">
        <f t="shared" si="321"/>
        <v>0</v>
      </c>
      <c r="BQ550" s="4284">
        <f t="shared" si="322"/>
        <v>0</v>
      </c>
      <c r="BR550" s="4284">
        <f t="shared" si="323"/>
        <v>0</v>
      </c>
      <c r="BS550" s="4284">
        <f t="shared" si="324"/>
        <v>0</v>
      </c>
      <c r="BT550" s="4285">
        <f t="shared" si="325"/>
        <v>0</v>
      </c>
    </row>
    <row r="551" spans="1:72">
      <c r="A551" s="4278"/>
      <c r="B551" s="4279"/>
      <c r="C551" s="4279"/>
      <c r="D551" s="4280"/>
      <c r="E551" s="1188">
        <f t="shared" si="297"/>
        <v>0</v>
      </c>
      <c r="F551" s="1680"/>
      <c r="G551" s="4281">
        <f t="shared" si="301"/>
        <v>0</v>
      </c>
      <c r="H551" s="3457">
        <f t="shared" si="302"/>
        <v>0</v>
      </c>
      <c r="I551" s="4282"/>
      <c r="J551" s="4282"/>
      <c r="K551" s="4282"/>
      <c r="L551" s="4282"/>
      <c r="M551" s="4282"/>
      <c r="N551" s="4282"/>
      <c r="O551" s="4282"/>
      <c r="P551" s="4282"/>
      <c r="Q551" s="4282"/>
      <c r="R551" s="4282"/>
      <c r="S551" s="4282"/>
      <c r="T551" s="4282"/>
      <c r="U551" s="4282"/>
      <c r="V551" s="4282"/>
      <c r="W551" s="4282"/>
      <c r="X551" s="4282"/>
      <c r="Y551" s="4282"/>
      <c r="Z551" s="4282"/>
      <c r="AA551" s="4282"/>
      <c r="AB551" s="4282"/>
      <c r="AC551" s="1188">
        <f t="shared" si="303"/>
        <v>0</v>
      </c>
      <c r="AD551" s="4278"/>
      <c r="AE551" s="4278"/>
      <c r="AF551" s="4278"/>
      <c r="AG551" s="4278"/>
      <c r="AH551" s="4278"/>
      <c r="AI551" s="4278"/>
      <c r="AJ551" s="4278"/>
      <c r="AK551" s="4278"/>
      <c r="AL551" s="4278"/>
      <c r="AM551" s="4278"/>
      <c r="AN551" s="4278"/>
      <c r="AO551" s="4278"/>
      <c r="AP551" s="4278"/>
      <c r="AQ551" s="4278"/>
      <c r="AR551" s="4278"/>
      <c r="AS551" s="4278"/>
      <c r="AT551" s="4279"/>
      <c r="AU551" s="4283"/>
      <c r="AV551" s="1188">
        <f t="shared" si="298"/>
        <v>0</v>
      </c>
      <c r="AW551" s="1188">
        <f t="shared" si="299"/>
        <v>0</v>
      </c>
      <c r="AX551" s="1188">
        <f t="shared" si="300"/>
        <v>0</v>
      </c>
      <c r="AY551" s="1452">
        <f t="shared" si="304"/>
        <v>0</v>
      </c>
      <c r="AZ551" s="4284">
        <f t="shared" si="305"/>
        <v>0</v>
      </c>
      <c r="BA551" s="4284">
        <f t="shared" si="306"/>
        <v>0</v>
      </c>
      <c r="BB551" s="4284">
        <f t="shared" si="307"/>
        <v>0</v>
      </c>
      <c r="BC551" s="4284">
        <f t="shared" si="308"/>
        <v>0</v>
      </c>
      <c r="BD551" s="4284">
        <f t="shared" si="309"/>
        <v>0</v>
      </c>
      <c r="BE551" s="4284">
        <f t="shared" si="310"/>
        <v>0</v>
      </c>
      <c r="BF551" s="4284">
        <f t="shared" si="311"/>
        <v>0</v>
      </c>
      <c r="BG551" s="4284">
        <f t="shared" si="312"/>
        <v>0</v>
      </c>
      <c r="BH551" s="4284">
        <f t="shared" si="313"/>
        <v>0</v>
      </c>
      <c r="BI551" s="4284">
        <f t="shared" si="314"/>
        <v>0</v>
      </c>
      <c r="BJ551" s="4284">
        <f t="shared" si="315"/>
        <v>0</v>
      </c>
      <c r="BK551" s="4284">
        <f t="shared" si="316"/>
        <v>0</v>
      </c>
      <c r="BL551" s="4284">
        <f t="shared" si="317"/>
        <v>0</v>
      </c>
      <c r="BM551" s="4284">
        <f t="shared" si="318"/>
        <v>0</v>
      </c>
      <c r="BN551" s="4284">
        <f t="shared" si="319"/>
        <v>0</v>
      </c>
      <c r="BO551" s="4284">
        <f t="shared" si="320"/>
        <v>0</v>
      </c>
      <c r="BP551" s="4284">
        <f t="shared" si="321"/>
        <v>0</v>
      </c>
      <c r="BQ551" s="4284">
        <f t="shared" si="322"/>
        <v>0</v>
      </c>
      <c r="BR551" s="4284">
        <f t="shared" si="323"/>
        <v>0</v>
      </c>
      <c r="BS551" s="4284">
        <f t="shared" si="324"/>
        <v>0</v>
      </c>
      <c r="BT551" s="4285">
        <f t="shared" si="325"/>
        <v>0</v>
      </c>
    </row>
    <row r="552" spans="1:72">
      <c r="A552" s="4278"/>
      <c r="B552" s="4279"/>
      <c r="C552" s="4279"/>
      <c r="D552" s="4280"/>
      <c r="E552" s="1188">
        <f t="shared" ref="E552:E587" si="326">IF($C$3="是",ROUND($A$3*G552/$B$3,2),ROUND($A$3*(G552-AT552)/$B$3,2))</f>
        <v>0</v>
      </c>
      <c r="F552" s="1680"/>
      <c r="G552" s="4281">
        <f t="shared" si="301"/>
        <v>0</v>
      </c>
      <c r="H552" s="3457">
        <f t="shared" si="302"/>
        <v>0</v>
      </c>
      <c r="I552" s="4282"/>
      <c r="J552" s="4282"/>
      <c r="K552" s="4282"/>
      <c r="L552" s="4282"/>
      <c r="M552" s="4282"/>
      <c r="N552" s="4282"/>
      <c r="O552" s="4282"/>
      <c r="P552" s="4282"/>
      <c r="Q552" s="4282"/>
      <c r="R552" s="4282"/>
      <c r="S552" s="4282"/>
      <c r="T552" s="4282"/>
      <c r="U552" s="4282"/>
      <c r="V552" s="4282"/>
      <c r="W552" s="4282"/>
      <c r="X552" s="4282"/>
      <c r="Y552" s="4282"/>
      <c r="Z552" s="4282"/>
      <c r="AA552" s="4282"/>
      <c r="AB552" s="4282"/>
      <c r="AC552" s="1188">
        <f t="shared" si="303"/>
        <v>0</v>
      </c>
      <c r="AD552" s="4278"/>
      <c r="AE552" s="4278"/>
      <c r="AF552" s="4278"/>
      <c r="AG552" s="4278"/>
      <c r="AH552" s="4278"/>
      <c r="AI552" s="4278"/>
      <c r="AJ552" s="4278"/>
      <c r="AK552" s="4278"/>
      <c r="AL552" s="4278"/>
      <c r="AM552" s="4278"/>
      <c r="AN552" s="4278"/>
      <c r="AO552" s="4278"/>
      <c r="AP552" s="4278"/>
      <c r="AQ552" s="4278"/>
      <c r="AR552" s="4278"/>
      <c r="AS552" s="4278"/>
      <c r="AT552" s="4279"/>
      <c r="AU552" s="4283"/>
      <c r="AV552" s="1188">
        <f t="shared" si="298"/>
        <v>0</v>
      </c>
      <c r="AW552" s="1188">
        <f t="shared" si="299"/>
        <v>0</v>
      </c>
      <c r="AX552" s="1188">
        <f t="shared" si="300"/>
        <v>0</v>
      </c>
      <c r="AY552" s="1452">
        <f t="shared" si="304"/>
        <v>0</v>
      </c>
      <c r="AZ552" s="4284">
        <f t="shared" si="305"/>
        <v>0</v>
      </c>
      <c r="BA552" s="4284">
        <f t="shared" si="306"/>
        <v>0</v>
      </c>
      <c r="BB552" s="4284">
        <f t="shared" si="307"/>
        <v>0</v>
      </c>
      <c r="BC552" s="4284">
        <f t="shared" si="308"/>
        <v>0</v>
      </c>
      <c r="BD552" s="4284">
        <f t="shared" si="309"/>
        <v>0</v>
      </c>
      <c r="BE552" s="4284">
        <f t="shared" si="310"/>
        <v>0</v>
      </c>
      <c r="BF552" s="4284">
        <f t="shared" si="311"/>
        <v>0</v>
      </c>
      <c r="BG552" s="4284">
        <f t="shared" si="312"/>
        <v>0</v>
      </c>
      <c r="BH552" s="4284">
        <f t="shared" si="313"/>
        <v>0</v>
      </c>
      <c r="BI552" s="4284">
        <f t="shared" si="314"/>
        <v>0</v>
      </c>
      <c r="BJ552" s="4284">
        <f t="shared" si="315"/>
        <v>0</v>
      </c>
      <c r="BK552" s="4284">
        <f t="shared" si="316"/>
        <v>0</v>
      </c>
      <c r="BL552" s="4284">
        <f t="shared" si="317"/>
        <v>0</v>
      </c>
      <c r="BM552" s="4284">
        <f t="shared" si="318"/>
        <v>0</v>
      </c>
      <c r="BN552" s="4284">
        <f t="shared" si="319"/>
        <v>0</v>
      </c>
      <c r="BO552" s="4284">
        <f t="shared" si="320"/>
        <v>0</v>
      </c>
      <c r="BP552" s="4284">
        <f t="shared" si="321"/>
        <v>0</v>
      </c>
      <c r="BQ552" s="4284">
        <f t="shared" si="322"/>
        <v>0</v>
      </c>
      <c r="BR552" s="4284">
        <f t="shared" si="323"/>
        <v>0</v>
      </c>
      <c r="BS552" s="4284">
        <f t="shared" si="324"/>
        <v>0</v>
      </c>
      <c r="BT552" s="4285">
        <f t="shared" si="325"/>
        <v>0</v>
      </c>
    </row>
    <row r="553" spans="1:72">
      <c r="A553" s="4278"/>
      <c r="B553" s="4279"/>
      <c r="C553" s="4279"/>
      <c r="D553" s="4280"/>
      <c r="E553" s="1188">
        <f t="shared" si="326"/>
        <v>0</v>
      </c>
      <c r="F553" s="1680"/>
      <c r="G553" s="4281">
        <f t="shared" ref="G553:G587" si="327">H553+AC553+AT553</f>
        <v>0</v>
      </c>
      <c r="H553" s="3457">
        <f t="shared" ref="H553:H587" si="328">SUMIF(I$12:AB$12,"总值",I553:AB553)</f>
        <v>0</v>
      </c>
      <c r="I553" s="4282"/>
      <c r="J553" s="4282"/>
      <c r="K553" s="4282"/>
      <c r="L553" s="4282"/>
      <c r="M553" s="4282"/>
      <c r="N553" s="4282"/>
      <c r="O553" s="4282"/>
      <c r="P553" s="4282"/>
      <c r="Q553" s="4282"/>
      <c r="R553" s="4282"/>
      <c r="S553" s="4282"/>
      <c r="T553" s="4282"/>
      <c r="U553" s="4282"/>
      <c r="V553" s="4282"/>
      <c r="W553" s="4282"/>
      <c r="X553" s="4282"/>
      <c r="Y553" s="4282"/>
      <c r="Z553" s="4282"/>
      <c r="AA553" s="4282"/>
      <c r="AB553" s="4282"/>
      <c r="AC553" s="1188">
        <f t="shared" ref="AC553:AC587" si="329">SUMIF(AD$12:AS$12,"总值",AD553:AS553)</f>
        <v>0</v>
      </c>
      <c r="AD553" s="4278"/>
      <c r="AE553" s="4278"/>
      <c r="AF553" s="4278"/>
      <c r="AG553" s="4278"/>
      <c r="AH553" s="4278"/>
      <c r="AI553" s="4278"/>
      <c r="AJ553" s="4278"/>
      <c r="AK553" s="4278"/>
      <c r="AL553" s="4278"/>
      <c r="AM553" s="4278"/>
      <c r="AN553" s="4278"/>
      <c r="AO553" s="4278"/>
      <c r="AP553" s="4278"/>
      <c r="AQ553" s="4278"/>
      <c r="AR553" s="4278"/>
      <c r="AS553" s="4278"/>
      <c r="AT553" s="4279"/>
      <c r="AU553" s="4283"/>
      <c r="AV553" s="1188">
        <f t="shared" ref="AV553:AV587" si="330">A553</f>
        <v>0</v>
      </c>
      <c r="AW553" s="1188">
        <f t="shared" ref="AW553:AW587" si="331">B553</f>
        <v>0</v>
      </c>
      <c r="AX553" s="1188">
        <f t="shared" ref="AX553:AX587" si="332">C553</f>
        <v>0</v>
      </c>
      <c r="AY553" s="1452">
        <f t="shared" ref="AY553:AY587" si="333">ROUND($AY$6*AZ553/$AZ$5,2)</f>
        <v>0</v>
      </c>
      <c r="AZ553" s="4284">
        <f t="shared" ref="AZ553:AZ587" si="334">BA553+BL553</f>
        <v>0</v>
      </c>
      <c r="BA553" s="4284">
        <f t="shared" ref="BA553:BA587" si="335">SUM(BB553:BK553)</f>
        <v>0</v>
      </c>
      <c r="BB553" s="4284">
        <f t="shared" ref="BB553:BB587" si="336">IF($D553="是",I553-J553,0)</f>
        <v>0</v>
      </c>
      <c r="BC553" s="4284">
        <f t="shared" ref="BC553:BC587" si="337">IF($D553="是",K553-L553,0)</f>
        <v>0</v>
      </c>
      <c r="BD553" s="4284">
        <f t="shared" ref="BD553:BD587" si="338">IF($D553="是",M553-N553,0)</f>
        <v>0</v>
      </c>
      <c r="BE553" s="4284">
        <f t="shared" ref="BE553:BE587" si="339">IF($D553="是",O553-P553,0)</f>
        <v>0</v>
      </c>
      <c r="BF553" s="4284">
        <f t="shared" ref="BF553:BF587" si="340">IF($D553="是",Q553-R553,0)</f>
        <v>0</v>
      </c>
      <c r="BG553" s="4284">
        <f t="shared" ref="BG553:BG587" si="341">IF($D553="是",S553-T553,0)</f>
        <v>0</v>
      </c>
      <c r="BH553" s="4284">
        <f t="shared" ref="BH553:BH587" si="342">IF($D553="是",U553-V553,0)</f>
        <v>0</v>
      </c>
      <c r="BI553" s="4284">
        <f t="shared" ref="BI553:BI587" si="343">IF($D553="是",W553-X553,0)</f>
        <v>0</v>
      </c>
      <c r="BJ553" s="4284">
        <f t="shared" ref="BJ553:BJ587" si="344">IF($D553="是",Y553-Z553,0)</f>
        <v>0</v>
      </c>
      <c r="BK553" s="4284">
        <f t="shared" ref="BK553:BK587" si="345">IF($D553="是",AA553-AB553,0)</f>
        <v>0</v>
      </c>
      <c r="BL553" s="4284">
        <f t="shared" ref="BL553:BL587" si="346">SUM(BM553:BT553)</f>
        <v>0</v>
      </c>
      <c r="BM553" s="4284">
        <f t="shared" ref="BM553:BM587" si="347">IF($D553="是",AD553-AE553,0)</f>
        <v>0</v>
      </c>
      <c r="BN553" s="4284">
        <f t="shared" ref="BN553:BN587" si="348">IF($D553="是",AF553-AG553,0)</f>
        <v>0</v>
      </c>
      <c r="BO553" s="4284">
        <f t="shared" ref="BO553:BO587" si="349">IF($D553="是",AH553-AI553,0)</f>
        <v>0</v>
      </c>
      <c r="BP553" s="4284">
        <f t="shared" ref="BP553:BP587" si="350">IF($D553="是",AJ553-AK553,0)</f>
        <v>0</v>
      </c>
      <c r="BQ553" s="4284">
        <f t="shared" ref="BQ553:BQ587" si="351">IF($D553="是",AL553-AM553,0)</f>
        <v>0</v>
      </c>
      <c r="BR553" s="4284">
        <f t="shared" ref="BR553:BR587" si="352">IF($D553="是",AN553-AO553,0)</f>
        <v>0</v>
      </c>
      <c r="BS553" s="4284">
        <f t="shared" ref="BS553:BS587" si="353">IF($D553="是",AP553-AQ553,0)</f>
        <v>0</v>
      </c>
      <c r="BT553" s="4285">
        <f t="shared" ref="BT553:BT587" si="354">IF($D553="是",AR553-AS553,0)</f>
        <v>0</v>
      </c>
    </row>
    <row r="554" spans="1:72">
      <c r="A554" s="4278"/>
      <c r="B554" s="4279"/>
      <c r="C554" s="4279"/>
      <c r="D554" s="4280"/>
      <c r="E554" s="1188">
        <f t="shared" si="326"/>
        <v>0</v>
      </c>
      <c r="F554" s="1680"/>
      <c r="G554" s="4281">
        <f t="shared" si="327"/>
        <v>0</v>
      </c>
      <c r="H554" s="3457">
        <f t="shared" si="328"/>
        <v>0</v>
      </c>
      <c r="I554" s="4282"/>
      <c r="J554" s="4282"/>
      <c r="K554" s="4282"/>
      <c r="L554" s="4282"/>
      <c r="M554" s="4282"/>
      <c r="N554" s="4282"/>
      <c r="O554" s="4282"/>
      <c r="P554" s="4282"/>
      <c r="Q554" s="4282"/>
      <c r="R554" s="4282"/>
      <c r="S554" s="4282"/>
      <c r="T554" s="4282"/>
      <c r="U554" s="4282"/>
      <c r="V554" s="4282"/>
      <c r="W554" s="4282"/>
      <c r="X554" s="4282"/>
      <c r="Y554" s="4282"/>
      <c r="Z554" s="4282"/>
      <c r="AA554" s="4282"/>
      <c r="AB554" s="4282"/>
      <c r="AC554" s="1188">
        <f t="shared" si="329"/>
        <v>0</v>
      </c>
      <c r="AD554" s="4278"/>
      <c r="AE554" s="4278"/>
      <c r="AF554" s="4278"/>
      <c r="AG554" s="4278"/>
      <c r="AH554" s="4278"/>
      <c r="AI554" s="4278"/>
      <c r="AJ554" s="4278"/>
      <c r="AK554" s="4278"/>
      <c r="AL554" s="4278"/>
      <c r="AM554" s="4278"/>
      <c r="AN554" s="4278"/>
      <c r="AO554" s="4278"/>
      <c r="AP554" s="4278"/>
      <c r="AQ554" s="4278"/>
      <c r="AR554" s="4278"/>
      <c r="AS554" s="4278"/>
      <c r="AT554" s="4279"/>
      <c r="AU554" s="4283"/>
      <c r="AV554" s="1188">
        <f t="shared" si="330"/>
        <v>0</v>
      </c>
      <c r="AW554" s="1188">
        <f t="shared" si="331"/>
        <v>0</v>
      </c>
      <c r="AX554" s="1188">
        <f t="shared" si="332"/>
        <v>0</v>
      </c>
      <c r="AY554" s="1452">
        <f t="shared" si="333"/>
        <v>0</v>
      </c>
      <c r="AZ554" s="4284">
        <f t="shared" si="334"/>
        <v>0</v>
      </c>
      <c r="BA554" s="4284">
        <f t="shared" si="335"/>
        <v>0</v>
      </c>
      <c r="BB554" s="4284">
        <f t="shared" si="336"/>
        <v>0</v>
      </c>
      <c r="BC554" s="4284">
        <f t="shared" si="337"/>
        <v>0</v>
      </c>
      <c r="BD554" s="4284">
        <f t="shared" si="338"/>
        <v>0</v>
      </c>
      <c r="BE554" s="4284">
        <f t="shared" si="339"/>
        <v>0</v>
      </c>
      <c r="BF554" s="4284">
        <f t="shared" si="340"/>
        <v>0</v>
      </c>
      <c r="BG554" s="4284">
        <f t="shared" si="341"/>
        <v>0</v>
      </c>
      <c r="BH554" s="4284">
        <f t="shared" si="342"/>
        <v>0</v>
      </c>
      <c r="BI554" s="4284">
        <f t="shared" si="343"/>
        <v>0</v>
      </c>
      <c r="BJ554" s="4284">
        <f t="shared" si="344"/>
        <v>0</v>
      </c>
      <c r="BK554" s="4284">
        <f t="shared" si="345"/>
        <v>0</v>
      </c>
      <c r="BL554" s="4284">
        <f t="shared" si="346"/>
        <v>0</v>
      </c>
      <c r="BM554" s="4284">
        <f t="shared" si="347"/>
        <v>0</v>
      </c>
      <c r="BN554" s="4284">
        <f t="shared" si="348"/>
        <v>0</v>
      </c>
      <c r="BO554" s="4284">
        <f t="shared" si="349"/>
        <v>0</v>
      </c>
      <c r="BP554" s="4284">
        <f t="shared" si="350"/>
        <v>0</v>
      </c>
      <c r="BQ554" s="4284">
        <f t="shared" si="351"/>
        <v>0</v>
      </c>
      <c r="BR554" s="4284">
        <f t="shared" si="352"/>
        <v>0</v>
      </c>
      <c r="BS554" s="4284">
        <f t="shared" si="353"/>
        <v>0</v>
      </c>
      <c r="BT554" s="4285">
        <f t="shared" si="354"/>
        <v>0</v>
      </c>
    </row>
    <row r="555" spans="1:72">
      <c r="A555" s="4278"/>
      <c r="B555" s="4279"/>
      <c r="C555" s="4279"/>
      <c r="D555" s="4280"/>
      <c r="E555" s="1188">
        <f t="shared" si="326"/>
        <v>0</v>
      </c>
      <c r="F555" s="1680"/>
      <c r="G555" s="4281">
        <f t="shared" si="327"/>
        <v>0</v>
      </c>
      <c r="H555" s="3457">
        <f t="shared" si="328"/>
        <v>0</v>
      </c>
      <c r="I555" s="4282"/>
      <c r="J555" s="4282"/>
      <c r="K555" s="4282"/>
      <c r="L555" s="4282"/>
      <c r="M555" s="4282"/>
      <c r="N555" s="4282"/>
      <c r="O555" s="4282"/>
      <c r="P555" s="4282"/>
      <c r="Q555" s="4282"/>
      <c r="R555" s="4282"/>
      <c r="S555" s="4282"/>
      <c r="T555" s="4282"/>
      <c r="U555" s="4282"/>
      <c r="V555" s="4282"/>
      <c r="W555" s="4282"/>
      <c r="X555" s="4282"/>
      <c r="Y555" s="4282"/>
      <c r="Z555" s="4282"/>
      <c r="AA555" s="4282"/>
      <c r="AB555" s="4282"/>
      <c r="AC555" s="1188">
        <f t="shared" si="329"/>
        <v>0</v>
      </c>
      <c r="AD555" s="4278"/>
      <c r="AE555" s="4278"/>
      <c r="AF555" s="4278"/>
      <c r="AG555" s="4278"/>
      <c r="AH555" s="4278"/>
      <c r="AI555" s="4278"/>
      <c r="AJ555" s="4278"/>
      <c r="AK555" s="4278"/>
      <c r="AL555" s="4278"/>
      <c r="AM555" s="4278"/>
      <c r="AN555" s="4278"/>
      <c r="AO555" s="4278"/>
      <c r="AP555" s="4278"/>
      <c r="AQ555" s="4278"/>
      <c r="AR555" s="4278"/>
      <c r="AS555" s="4278"/>
      <c r="AT555" s="4279"/>
      <c r="AU555" s="4283"/>
      <c r="AV555" s="1188">
        <f t="shared" si="330"/>
        <v>0</v>
      </c>
      <c r="AW555" s="1188">
        <f t="shared" si="331"/>
        <v>0</v>
      </c>
      <c r="AX555" s="1188">
        <f t="shared" si="332"/>
        <v>0</v>
      </c>
      <c r="AY555" s="1452">
        <f t="shared" si="333"/>
        <v>0</v>
      </c>
      <c r="AZ555" s="4284">
        <f t="shared" si="334"/>
        <v>0</v>
      </c>
      <c r="BA555" s="4284">
        <f t="shared" si="335"/>
        <v>0</v>
      </c>
      <c r="BB555" s="4284">
        <f t="shared" si="336"/>
        <v>0</v>
      </c>
      <c r="BC555" s="4284">
        <f t="shared" si="337"/>
        <v>0</v>
      </c>
      <c r="BD555" s="4284">
        <f t="shared" si="338"/>
        <v>0</v>
      </c>
      <c r="BE555" s="4284">
        <f t="shared" si="339"/>
        <v>0</v>
      </c>
      <c r="BF555" s="4284">
        <f t="shared" si="340"/>
        <v>0</v>
      </c>
      <c r="BG555" s="4284">
        <f t="shared" si="341"/>
        <v>0</v>
      </c>
      <c r="BH555" s="4284">
        <f t="shared" si="342"/>
        <v>0</v>
      </c>
      <c r="BI555" s="4284">
        <f t="shared" si="343"/>
        <v>0</v>
      </c>
      <c r="BJ555" s="4284">
        <f t="shared" si="344"/>
        <v>0</v>
      </c>
      <c r="BK555" s="4284">
        <f t="shared" si="345"/>
        <v>0</v>
      </c>
      <c r="BL555" s="4284">
        <f t="shared" si="346"/>
        <v>0</v>
      </c>
      <c r="BM555" s="4284">
        <f t="shared" si="347"/>
        <v>0</v>
      </c>
      <c r="BN555" s="4284">
        <f t="shared" si="348"/>
        <v>0</v>
      </c>
      <c r="BO555" s="4284">
        <f t="shared" si="349"/>
        <v>0</v>
      </c>
      <c r="BP555" s="4284">
        <f t="shared" si="350"/>
        <v>0</v>
      </c>
      <c r="BQ555" s="4284">
        <f t="shared" si="351"/>
        <v>0</v>
      </c>
      <c r="BR555" s="4284">
        <f t="shared" si="352"/>
        <v>0</v>
      </c>
      <c r="BS555" s="4284">
        <f t="shared" si="353"/>
        <v>0</v>
      </c>
      <c r="BT555" s="4285">
        <f t="shared" si="354"/>
        <v>0</v>
      </c>
    </row>
    <row r="556" spans="1:72">
      <c r="A556" s="4278"/>
      <c r="B556" s="4279"/>
      <c r="C556" s="4279"/>
      <c r="D556" s="4280"/>
      <c r="E556" s="1188">
        <f t="shared" si="326"/>
        <v>0</v>
      </c>
      <c r="F556" s="1680"/>
      <c r="G556" s="4281">
        <f t="shared" si="327"/>
        <v>0</v>
      </c>
      <c r="H556" s="3457">
        <f t="shared" si="328"/>
        <v>0</v>
      </c>
      <c r="I556" s="4282"/>
      <c r="J556" s="4282"/>
      <c r="K556" s="4282"/>
      <c r="L556" s="4282"/>
      <c r="M556" s="4282"/>
      <c r="N556" s="4282"/>
      <c r="O556" s="4282"/>
      <c r="P556" s="4282"/>
      <c r="Q556" s="4282"/>
      <c r="R556" s="4282"/>
      <c r="S556" s="4282"/>
      <c r="T556" s="4282"/>
      <c r="U556" s="4282"/>
      <c r="V556" s="4282"/>
      <c r="W556" s="4282"/>
      <c r="X556" s="4282"/>
      <c r="Y556" s="4282"/>
      <c r="Z556" s="4282"/>
      <c r="AA556" s="4282"/>
      <c r="AB556" s="4282"/>
      <c r="AC556" s="1188">
        <f t="shared" si="329"/>
        <v>0</v>
      </c>
      <c r="AD556" s="4278"/>
      <c r="AE556" s="4278"/>
      <c r="AF556" s="4278"/>
      <c r="AG556" s="4278"/>
      <c r="AH556" s="4278"/>
      <c r="AI556" s="4278"/>
      <c r="AJ556" s="4278"/>
      <c r="AK556" s="4278"/>
      <c r="AL556" s="4278"/>
      <c r="AM556" s="4278"/>
      <c r="AN556" s="4278"/>
      <c r="AO556" s="4278"/>
      <c r="AP556" s="4278"/>
      <c r="AQ556" s="4278"/>
      <c r="AR556" s="4278"/>
      <c r="AS556" s="4278"/>
      <c r="AT556" s="4279"/>
      <c r="AU556" s="4283"/>
      <c r="AV556" s="1188">
        <f t="shared" si="330"/>
        <v>0</v>
      </c>
      <c r="AW556" s="1188">
        <f t="shared" si="331"/>
        <v>0</v>
      </c>
      <c r="AX556" s="1188">
        <f t="shared" si="332"/>
        <v>0</v>
      </c>
      <c r="AY556" s="1452">
        <f t="shared" si="333"/>
        <v>0</v>
      </c>
      <c r="AZ556" s="4284">
        <f t="shared" si="334"/>
        <v>0</v>
      </c>
      <c r="BA556" s="4284">
        <f t="shared" si="335"/>
        <v>0</v>
      </c>
      <c r="BB556" s="4284">
        <f t="shared" si="336"/>
        <v>0</v>
      </c>
      <c r="BC556" s="4284">
        <f t="shared" si="337"/>
        <v>0</v>
      </c>
      <c r="BD556" s="4284">
        <f t="shared" si="338"/>
        <v>0</v>
      </c>
      <c r="BE556" s="4284">
        <f t="shared" si="339"/>
        <v>0</v>
      </c>
      <c r="BF556" s="4284">
        <f t="shared" si="340"/>
        <v>0</v>
      </c>
      <c r="BG556" s="4284">
        <f t="shared" si="341"/>
        <v>0</v>
      </c>
      <c r="BH556" s="4284">
        <f t="shared" si="342"/>
        <v>0</v>
      </c>
      <c r="BI556" s="4284">
        <f t="shared" si="343"/>
        <v>0</v>
      </c>
      <c r="BJ556" s="4284">
        <f t="shared" si="344"/>
        <v>0</v>
      </c>
      <c r="BK556" s="4284">
        <f t="shared" si="345"/>
        <v>0</v>
      </c>
      <c r="BL556" s="4284">
        <f t="shared" si="346"/>
        <v>0</v>
      </c>
      <c r="BM556" s="4284">
        <f t="shared" si="347"/>
        <v>0</v>
      </c>
      <c r="BN556" s="4284">
        <f t="shared" si="348"/>
        <v>0</v>
      </c>
      <c r="BO556" s="4284">
        <f t="shared" si="349"/>
        <v>0</v>
      </c>
      <c r="BP556" s="4284">
        <f t="shared" si="350"/>
        <v>0</v>
      </c>
      <c r="BQ556" s="4284">
        <f t="shared" si="351"/>
        <v>0</v>
      </c>
      <c r="BR556" s="4284">
        <f t="shared" si="352"/>
        <v>0</v>
      </c>
      <c r="BS556" s="4284">
        <f t="shared" si="353"/>
        <v>0</v>
      </c>
      <c r="BT556" s="4285">
        <f t="shared" si="354"/>
        <v>0</v>
      </c>
    </row>
    <row r="557" spans="1:72">
      <c r="A557" s="4278"/>
      <c r="B557" s="4279"/>
      <c r="C557" s="4279"/>
      <c r="D557" s="4280"/>
      <c r="E557" s="1188">
        <f t="shared" si="326"/>
        <v>0</v>
      </c>
      <c r="F557" s="1680"/>
      <c r="G557" s="4281">
        <f t="shared" si="327"/>
        <v>0</v>
      </c>
      <c r="H557" s="3457">
        <f t="shared" si="328"/>
        <v>0</v>
      </c>
      <c r="I557" s="4282"/>
      <c r="J557" s="4282"/>
      <c r="K557" s="4282"/>
      <c r="L557" s="4282"/>
      <c r="M557" s="4282"/>
      <c r="N557" s="4282"/>
      <c r="O557" s="4282"/>
      <c r="P557" s="4282"/>
      <c r="Q557" s="4282"/>
      <c r="R557" s="4282"/>
      <c r="S557" s="4282"/>
      <c r="T557" s="4282"/>
      <c r="U557" s="4282"/>
      <c r="V557" s="4282"/>
      <c r="W557" s="4282"/>
      <c r="X557" s="4282"/>
      <c r="Y557" s="4282"/>
      <c r="Z557" s="4282"/>
      <c r="AA557" s="4282"/>
      <c r="AB557" s="4282"/>
      <c r="AC557" s="1188">
        <f t="shared" si="329"/>
        <v>0</v>
      </c>
      <c r="AD557" s="4278"/>
      <c r="AE557" s="4278"/>
      <c r="AF557" s="4278"/>
      <c r="AG557" s="4278"/>
      <c r="AH557" s="4278"/>
      <c r="AI557" s="4278"/>
      <c r="AJ557" s="4278"/>
      <c r="AK557" s="4278"/>
      <c r="AL557" s="4278"/>
      <c r="AM557" s="4278"/>
      <c r="AN557" s="4278"/>
      <c r="AO557" s="4278"/>
      <c r="AP557" s="4278"/>
      <c r="AQ557" s="4278"/>
      <c r="AR557" s="4278"/>
      <c r="AS557" s="4278"/>
      <c r="AT557" s="4279"/>
      <c r="AU557" s="4283"/>
      <c r="AV557" s="1188">
        <f t="shared" si="330"/>
        <v>0</v>
      </c>
      <c r="AW557" s="1188">
        <f t="shared" si="331"/>
        <v>0</v>
      </c>
      <c r="AX557" s="1188">
        <f t="shared" si="332"/>
        <v>0</v>
      </c>
      <c r="AY557" s="1452">
        <f t="shared" si="333"/>
        <v>0</v>
      </c>
      <c r="AZ557" s="4284">
        <f t="shared" si="334"/>
        <v>0</v>
      </c>
      <c r="BA557" s="4284">
        <f t="shared" si="335"/>
        <v>0</v>
      </c>
      <c r="BB557" s="4284">
        <f t="shared" si="336"/>
        <v>0</v>
      </c>
      <c r="BC557" s="4284">
        <f t="shared" si="337"/>
        <v>0</v>
      </c>
      <c r="BD557" s="4284">
        <f t="shared" si="338"/>
        <v>0</v>
      </c>
      <c r="BE557" s="4284">
        <f t="shared" si="339"/>
        <v>0</v>
      </c>
      <c r="BF557" s="4284">
        <f t="shared" si="340"/>
        <v>0</v>
      </c>
      <c r="BG557" s="4284">
        <f t="shared" si="341"/>
        <v>0</v>
      </c>
      <c r="BH557" s="4284">
        <f t="shared" si="342"/>
        <v>0</v>
      </c>
      <c r="BI557" s="4284">
        <f t="shared" si="343"/>
        <v>0</v>
      </c>
      <c r="BJ557" s="4284">
        <f t="shared" si="344"/>
        <v>0</v>
      </c>
      <c r="BK557" s="4284">
        <f t="shared" si="345"/>
        <v>0</v>
      </c>
      <c r="BL557" s="4284">
        <f t="shared" si="346"/>
        <v>0</v>
      </c>
      <c r="BM557" s="4284">
        <f t="shared" si="347"/>
        <v>0</v>
      </c>
      <c r="BN557" s="4284">
        <f t="shared" si="348"/>
        <v>0</v>
      </c>
      <c r="BO557" s="4284">
        <f t="shared" si="349"/>
        <v>0</v>
      </c>
      <c r="BP557" s="4284">
        <f t="shared" si="350"/>
        <v>0</v>
      </c>
      <c r="BQ557" s="4284">
        <f t="shared" si="351"/>
        <v>0</v>
      </c>
      <c r="BR557" s="4284">
        <f t="shared" si="352"/>
        <v>0</v>
      </c>
      <c r="BS557" s="4284">
        <f t="shared" si="353"/>
        <v>0</v>
      </c>
      <c r="BT557" s="4285">
        <f t="shared" si="354"/>
        <v>0</v>
      </c>
    </row>
    <row r="558" spans="1:72">
      <c r="A558" s="4278"/>
      <c r="B558" s="4279"/>
      <c r="C558" s="4279"/>
      <c r="D558" s="4280"/>
      <c r="E558" s="1188">
        <f t="shared" si="326"/>
        <v>0</v>
      </c>
      <c r="F558" s="1680"/>
      <c r="G558" s="4281">
        <f t="shared" si="327"/>
        <v>0</v>
      </c>
      <c r="H558" s="3457">
        <f t="shared" si="328"/>
        <v>0</v>
      </c>
      <c r="I558" s="4282"/>
      <c r="J558" s="4282"/>
      <c r="K558" s="4282"/>
      <c r="L558" s="4282"/>
      <c r="M558" s="4282"/>
      <c r="N558" s="4282"/>
      <c r="O558" s="4282"/>
      <c r="P558" s="4282"/>
      <c r="Q558" s="4282"/>
      <c r="R558" s="4282"/>
      <c r="S558" s="4282"/>
      <c r="T558" s="4282"/>
      <c r="U558" s="4282"/>
      <c r="V558" s="4282"/>
      <c r="W558" s="4282"/>
      <c r="X558" s="4282"/>
      <c r="Y558" s="4282"/>
      <c r="Z558" s="4282"/>
      <c r="AA558" s="4282"/>
      <c r="AB558" s="4282"/>
      <c r="AC558" s="1188">
        <f t="shared" si="329"/>
        <v>0</v>
      </c>
      <c r="AD558" s="4278"/>
      <c r="AE558" s="4278"/>
      <c r="AF558" s="4278"/>
      <c r="AG558" s="4278"/>
      <c r="AH558" s="4278"/>
      <c r="AI558" s="4278"/>
      <c r="AJ558" s="4278"/>
      <c r="AK558" s="4278"/>
      <c r="AL558" s="4278"/>
      <c r="AM558" s="4278"/>
      <c r="AN558" s="4278"/>
      <c r="AO558" s="4278"/>
      <c r="AP558" s="4278"/>
      <c r="AQ558" s="4278"/>
      <c r="AR558" s="4278"/>
      <c r="AS558" s="4278"/>
      <c r="AT558" s="4279"/>
      <c r="AU558" s="4283"/>
      <c r="AV558" s="1188">
        <f t="shared" si="330"/>
        <v>0</v>
      </c>
      <c r="AW558" s="1188">
        <f t="shared" si="331"/>
        <v>0</v>
      </c>
      <c r="AX558" s="1188">
        <f t="shared" si="332"/>
        <v>0</v>
      </c>
      <c r="AY558" s="1452">
        <f t="shared" si="333"/>
        <v>0</v>
      </c>
      <c r="AZ558" s="4284">
        <f t="shared" si="334"/>
        <v>0</v>
      </c>
      <c r="BA558" s="4284">
        <f t="shared" si="335"/>
        <v>0</v>
      </c>
      <c r="BB558" s="4284">
        <f t="shared" si="336"/>
        <v>0</v>
      </c>
      <c r="BC558" s="4284">
        <f t="shared" si="337"/>
        <v>0</v>
      </c>
      <c r="BD558" s="4284">
        <f t="shared" si="338"/>
        <v>0</v>
      </c>
      <c r="BE558" s="4284">
        <f t="shared" si="339"/>
        <v>0</v>
      </c>
      <c r="BF558" s="4284">
        <f t="shared" si="340"/>
        <v>0</v>
      </c>
      <c r="BG558" s="4284">
        <f t="shared" si="341"/>
        <v>0</v>
      </c>
      <c r="BH558" s="4284">
        <f t="shared" si="342"/>
        <v>0</v>
      </c>
      <c r="BI558" s="4284">
        <f t="shared" si="343"/>
        <v>0</v>
      </c>
      <c r="BJ558" s="4284">
        <f t="shared" si="344"/>
        <v>0</v>
      </c>
      <c r="BK558" s="4284">
        <f t="shared" si="345"/>
        <v>0</v>
      </c>
      <c r="BL558" s="4284">
        <f t="shared" si="346"/>
        <v>0</v>
      </c>
      <c r="BM558" s="4284">
        <f t="shared" si="347"/>
        <v>0</v>
      </c>
      <c r="BN558" s="4284">
        <f t="shared" si="348"/>
        <v>0</v>
      </c>
      <c r="BO558" s="4284">
        <f t="shared" si="349"/>
        <v>0</v>
      </c>
      <c r="BP558" s="4284">
        <f t="shared" si="350"/>
        <v>0</v>
      </c>
      <c r="BQ558" s="4284">
        <f t="shared" si="351"/>
        <v>0</v>
      </c>
      <c r="BR558" s="4284">
        <f t="shared" si="352"/>
        <v>0</v>
      </c>
      <c r="BS558" s="4284">
        <f t="shared" si="353"/>
        <v>0</v>
      </c>
      <c r="BT558" s="4285">
        <f t="shared" si="354"/>
        <v>0</v>
      </c>
    </row>
    <row r="559" spans="1:72">
      <c r="A559" s="4278"/>
      <c r="B559" s="4279"/>
      <c r="C559" s="4279"/>
      <c r="D559" s="4280"/>
      <c r="E559" s="1188">
        <f t="shared" si="326"/>
        <v>0</v>
      </c>
      <c r="F559" s="1680"/>
      <c r="G559" s="4281">
        <f t="shared" si="327"/>
        <v>0</v>
      </c>
      <c r="H559" s="3457">
        <f t="shared" si="328"/>
        <v>0</v>
      </c>
      <c r="I559" s="4282"/>
      <c r="J559" s="4282"/>
      <c r="K559" s="4282"/>
      <c r="L559" s="4282"/>
      <c r="M559" s="4282"/>
      <c r="N559" s="4282"/>
      <c r="O559" s="4282"/>
      <c r="P559" s="4282"/>
      <c r="Q559" s="4282"/>
      <c r="R559" s="4282"/>
      <c r="S559" s="4282"/>
      <c r="T559" s="4282"/>
      <c r="U559" s="4282"/>
      <c r="V559" s="4282"/>
      <c r="W559" s="4282"/>
      <c r="X559" s="4282"/>
      <c r="Y559" s="4282"/>
      <c r="Z559" s="4282"/>
      <c r="AA559" s="4282"/>
      <c r="AB559" s="4282"/>
      <c r="AC559" s="1188">
        <f t="shared" si="329"/>
        <v>0</v>
      </c>
      <c r="AD559" s="4278"/>
      <c r="AE559" s="4278"/>
      <c r="AF559" s="4278"/>
      <c r="AG559" s="4278"/>
      <c r="AH559" s="4278"/>
      <c r="AI559" s="4278"/>
      <c r="AJ559" s="4278"/>
      <c r="AK559" s="4278"/>
      <c r="AL559" s="4278"/>
      <c r="AM559" s="4278"/>
      <c r="AN559" s="4278"/>
      <c r="AO559" s="4278"/>
      <c r="AP559" s="4278"/>
      <c r="AQ559" s="4278"/>
      <c r="AR559" s="4278"/>
      <c r="AS559" s="4278"/>
      <c r="AT559" s="4279"/>
      <c r="AU559" s="4283"/>
      <c r="AV559" s="1188">
        <f t="shared" si="330"/>
        <v>0</v>
      </c>
      <c r="AW559" s="1188">
        <f t="shared" si="331"/>
        <v>0</v>
      </c>
      <c r="AX559" s="1188">
        <f t="shared" si="332"/>
        <v>0</v>
      </c>
      <c r="AY559" s="1452">
        <f t="shared" si="333"/>
        <v>0</v>
      </c>
      <c r="AZ559" s="4284">
        <f t="shared" si="334"/>
        <v>0</v>
      </c>
      <c r="BA559" s="4284">
        <f t="shared" si="335"/>
        <v>0</v>
      </c>
      <c r="BB559" s="4284">
        <f t="shared" si="336"/>
        <v>0</v>
      </c>
      <c r="BC559" s="4284">
        <f t="shared" si="337"/>
        <v>0</v>
      </c>
      <c r="BD559" s="4284">
        <f t="shared" si="338"/>
        <v>0</v>
      </c>
      <c r="BE559" s="4284">
        <f t="shared" si="339"/>
        <v>0</v>
      </c>
      <c r="BF559" s="4284">
        <f t="shared" si="340"/>
        <v>0</v>
      </c>
      <c r="BG559" s="4284">
        <f t="shared" si="341"/>
        <v>0</v>
      </c>
      <c r="BH559" s="4284">
        <f t="shared" si="342"/>
        <v>0</v>
      </c>
      <c r="BI559" s="4284">
        <f t="shared" si="343"/>
        <v>0</v>
      </c>
      <c r="BJ559" s="4284">
        <f t="shared" si="344"/>
        <v>0</v>
      </c>
      <c r="BK559" s="4284">
        <f t="shared" si="345"/>
        <v>0</v>
      </c>
      <c r="BL559" s="4284">
        <f t="shared" si="346"/>
        <v>0</v>
      </c>
      <c r="BM559" s="4284">
        <f t="shared" si="347"/>
        <v>0</v>
      </c>
      <c r="BN559" s="4284">
        <f t="shared" si="348"/>
        <v>0</v>
      </c>
      <c r="BO559" s="4284">
        <f t="shared" si="349"/>
        <v>0</v>
      </c>
      <c r="BP559" s="4284">
        <f t="shared" si="350"/>
        <v>0</v>
      </c>
      <c r="BQ559" s="4284">
        <f t="shared" si="351"/>
        <v>0</v>
      </c>
      <c r="BR559" s="4284">
        <f t="shared" si="352"/>
        <v>0</v>
      </c>
      <c r="BS559" s="4284">
        <f t="shared" si="353"/>
        <v>0</v>
      </c>
      <c r="BT559" s="4285">
        <f t="shared" si="354"/>
        <v>0</v>
      </c>
    </row>
    <row r="560" spans="1:72">
      <c r="A560" s="4278"/>
      <c r="B560" s="4279"/>
      <c r="C560" s="4279"/>
      <c r="D560" s="4280"/>
      <c r="E560" s="1188">
        <f t="shared" si="326"/>
        <v>0</v>
      </c>
      <c r="F560" s="1680"/>
      <c r="G560" s="4281">
        <f t="shared" si="327"/>
        <v>0</v>
      </c>
      <c r="H560" s="3457">
        <f t="shared" si="328"/>
        <v>0</v>
      </c>
      <c r="I560" s="4282"/>
      <c r="J560" s="4282"/>
      <c r="K560" s="4282"/>
      <c r="L560" s="4282"/>
      <c r="M560" s="4282"/>
      <c r="N560" s="4282"/>
      <c r="O560" s="4282"/>
      <c r="P560" s="4282"/>
      <c r="Q560" s="4282"/>
      <c r="R560" s="4282"/>
      <c r="S560" s="4282"/>
      <c r="T560" s="4282"/>
      <c r="U560" s="4282"/>
      <c r="V560" s="4282"/>
      <c r="W560" s="4282"/>
      <c r="X560" s="4282"/>
      <c r="Y560" s="4282"/>
      <c r="Z560" s="4282"/>
      <c r="AA560" s="4282"/>
      <c r="AB560" s="4282"/>
      <c r="AC560" s="1188">
        <f t="shared" si="329"/>
        <v>0</v>
      </c>
      <c r="AD560" s="4278"/>
      <c r="AE560" s="4278"/>
      <c r="AF560" s="4278"/>
      <c r="AG560" s="4278"/>
      <c r="AH560" s="4278"/>
      <c r="AI560" s="4278"/>
      <c r="AJ560" s="4278"/>
      <c r="AK560" s="4278"/>
      <c r="AL560" s="4278"/>
      <c r="AM560" s="4278"/>
      <c r="AN560" s="4278"/>
      <c r="AO560" s="4278"/>
      <c r="AP560" s="4278"/>
      <c r="AQ560" s="4278"/>
      <c r="AR560" s="4278"/>
      <c r="AS560" s="4278"/>
      <c r="AT560" s="4279"/>
      <c r="AU560" s="4283"/>
      <c r="AV560" s="1188">
        <f t="shared" si="330"/>
        <v>0</v>
      </c>
      <c r="AW560" s="1188">
        <f t="shared" si="331"/>
        <v>0</v>
      </c>
      <c r="AX560" s="1188">
        <f t="shared" si="332"/>
        <v>0</v>
      </c>
      <c r="AY560" s="1452">
        <f t="shared" si="333"/>
        <v>0</v>
      </c>
      <c r="AZ560" s="4284">
        <f t="shared" si="334"/>
        <v>0</v>
      </c>
      <c r="BA560" s="4284">
        <f t="shared" si="335"/>
        <v>0</v>
      </c>
      <c r="BB560" s="4284">
        <f t="shared" si="336"/>
        <v>0</v>
      </c>
      <c r="BC560" s="4284">
        <f t="shared" si="337"/>
        <v>0</v>
      </c>
      <c r="BD560" s="4284">
        <f t="shared" si="338"/>
        <v>0</v>
      </c>
      <c r="BE560" s="4284">
        <f t="shared" si="339"/>
        <v>0</v>
      </c>
      <c r="BF560" s="4284">
        <f t="shared" si="340"/>
        <v>0</v>
      </c>
      <c r="BG560" s="4284">
        <f t="shared" si="341"/>
        <v>0</v>
      </c>
      <c r="BH560" s="4284">
        <f t="shared" si="342"/>
        <v>0</v>
      </c>
      <c r="BI560" s="4284">
        <f t="shared" si="343"/>
        <v>0</v>
      </c>
      <c r="BJ560" s="4284">
        <f t="shared" si="344"/>
        <v>0</v>
      </c>
      <c r="BK560" s="4284">
        <f t="shared" si="345"/>
        <v>0</v>
      </c>
      <c r="BL560" s="4284">
        <f t="shared" si="346"/>
        <v>0</v>
      </c>
      <c r="BM560" s="4284">
        <f t="shared" si="347"/>
        <v>0</v>
      </c>
      <c r="BN560" s="4284">
        <f t="shared" si="348"/>
        <v>0</v>
      </c>
      <c r="BO560" s="4284">
        <f t="shared" si="349"/>
        <v>0</v>
      </c>
      <c r="BP560" s="4284">
        <f t="shared" si="350"/>
        <v>0</v>
      </c>
      <c r="BQ560" s="4284">
        <f t="shared" si="351"/>
        <v>0</v>
      </c>
      <c r="BR560" s="4284">
        <f t="shared" si="352"/>
        <v>0</v>
      </c>
      <c r="BS560" s="4284">
        <f t="shared" si="353"/>
        <v>0</v>
      </c>
      <c r="BT560" s="4285">
        <f t="shared" si="354"/>
        <v>0</v>
      </c>
    </row>
    <row r="561" spans="1:72">
      <c r="A561" s="4278"/>
      <c r="B561" s="4279"/>
      <c r="C561" s="4279"/>
      <c r="D561" s="4280"/>
      <c r="E561" s="1188">
        <f t="shared" si="326"/>
        <v>0</v>
      </c>
      <c r="F561" s="1680"/>
      <c r="G561" s="4281">
        <f t="shared" si="327"/>
        <v>0</v>
      </c>
      <c r="H561" s="3457">
        <f t="shared" si="328"/>
        <v>0</v>
      </c>
      <c r="I561" s="4282"/>
      <c r="J561" s="4282"/>
      <c r="K561" s="4282"/>
      <c r="L561" s="4282"/>
      <c r="M561" s="4282"/>
      <c r="N561" s="4282"/>
      <c r="O561" s="4282"/>
      <c r="P561" s="4282"/>
      <c r="Q561" s="4282"/>
      <c r="R561" s="4282"/>
      <c r="S561" s="4282"/>
      <c r="T561" s="4282"/>
      <c r="U561" s="4282"/>
      <c r="V561" s="4282"/>
      <c r="W561" s="4282"/>
      <c r="X561" s="4282"/>
      <c r="Y561" s="4282"/>
      <c r="Z561" s="4282"/>
      <c r="AA561" s="4282"/>
      <c r="AB561" s="4282"/>
      <c r="AC561" s="1188">
        <f t="shared" si="329"/>
        <v>0</v>
      </c>
      <c r="AD561" s="4278"/>
      <c r="AE561" s="4278"/>
      <c r="AF561" s="4278"/>
      <c r="AG561" s="4278"/>
      <c r="AH561" s="4278"/>
      <c r="AI561" s="4278"/>
      <c r="AJ561" s="4278"/>
      <c r="AK561" s="4278"/>
      <c r="AL561" s="4278"/>
      <c r="AM561" s="4278"/>
      <c r="AN561" s="4278"/>
      <c r="AO561" s="4278"/>
      <c r="AP561" s="4278"/>
      <c r="AQ561" s="4278"/>
      <c r="AR561" s="4278"/>
      <c r="AS561" s="4278"/>
      <c r="AT561" s="4279"/>
      <c r="AU561" s="4283"/>
      <c r="AV561" s="1188">
        <f t="shared" si="330"/>
        <v>0</v>
      </c>
      <c r="AW561" s="1188">
        <f t="shared" si="331"/>
        <v>0</v>
      </c>
      <c r="AX561" s="1188">
        <f t="shared" si="332"/>
        <v>0</v>
      </c>
      <c r="AY561" s="1452">
        <f t="shared" si="333"/>
        <v>0</v>
      </c>
      <c r="AZ561" s="4284">
        <f t="shared" si="334"/>
        <v>0</v>
      </c>
      <c r="BA561" s="4284">
        <f t="shared" si="335"/>
        <v>0</v>
      </c>
      <c r="BB561" s="4284">
        <f t="shared" si="336"/>
        <v>0</v>
      </c>
      <c r="BC561" s="4284">
        <f t="shared" si="337"/>
        <v>0</v>
      </c>
      <c r="BD561" s="4284">
        <f t="shared" si="338"/>
        <v>0</v>
      </c>
      <c r="BE561" s="4284">
        <f t="shared" si="339"/>
        <v>0</v>
      </c>
      <c r="BF561" s="4284">
        <f t="shared" si="340"/>
        <v>0</v>
      </c>
      <c r="BG561" s="4284">
        <f t="shared" si="341"/>
        <v>0</v>
      </c>
      <c r="BH561" s="4284">
        <f t="shared" si="342"/>
        <v>0</v>
      </c>
      <c r="BI561" s="4284">
        <f t="shared" si="343"/>
        <v>0</v>
      </c>
      <c r="BJ561" s="4284">
        <f t="shared" si="344"/>
        <v>0</v>
      </c>
      <c r="BK561" s="4284">
        <f t="shared" si="345"/>
        <v>0</v>
      </c>
      <c r="BL561" s="4284">
        <f t="shared" si="346"/>
        <v>0</v>
      </c>
      <c r="BM561" s="4284">
        <f t="shared" si="347"/>
        <v>0</v>
      </c>
      <c r="BN561" s="4284">
        <f t="shared" si="348"/>
        <v>0</v>
      </c>
      <c r="BO561" s="4284">
        <f t="shared" si="349"/>
        <v>0</v>
      </c>
      <c r="BP561" s="4284">
        <f t="shared" si="350"/>
        <v>0</v>
      </c>
      <c r="BQ561" s="4284">
        <f t="shared" si="351"/>
        <v>0</v>
      </c>
      <c r="BR561" s="4284">
        <f t="shared" si="352"/>
        <v>0</v>
      </c>
      <c r="BS561" s="4284">
        <f t="shared" si="353"/>
        <v>0</v>
      </c>
      <c r="BT561" s="4285">
        <f t="shared" si="354"/>
        <v>0</v>
      </c>
    </row>
    <row r="562" spans="1:72">
      <c r="A562" s="4278"/>
      <c r="B562" s="4279"/>
      <c r="C562" s="4279"/>
      <c r="D562" s="4280"/>
      <c r="E562" s="1188">
        <f t="shared" si="326"/>
        <v>0</v>
      </c>
      <c r="F562" s="1680"/>
      <c r="G562" s="4281">
        <f t="shared" si="327"/>
        <v>0</v>
      </c>
      <c r="H562" s="3457">
        <f t="shared" si="328"/>
        <v>0</v>
      </c>
      <c r="I562" s="4282"/>
      <c r="J562" s="4282"/>
      <c r="K562" s="4282"/>
      <c r="L562" s="4282"/>
      <c r="M562" s="4282"/>
      <c r="N562" s="4282"/>
      <c r="O562" s="4282"/>
      <c r="P562" s="4282"/>
      <c r="Q562" s="4282"/>
      <c r="R562" s="4282"/>
      <c r="S562" s="4282"/>
      <c r="T562" s="4282"/>
      <c r="U562" s="4282"/>
      <c r="V562" s="4282"/>
      <c r="W562" s="4282"/>
      <c r="X562" s="4282"/>
      <c r="Y562" s="4282"/>
      <c r="Z562" s="4282"/>
      <c r="AA562" s="4282"/>
      <c r="AB562" s="4282"/>
      <c r="AC562" s="1188">
        <f t="shared" si="329"/>
        <v>0</v>
      </c>
      <c r="AD562" s="4278"/>
      <c r="AE562" s="4278"/>
      <c r="AF562" s="4278"/>
      <c r="AG562" s="4278"/>
      <c r="AH562" s="4278"/>
      <c r="AI562" s="4278"/>
      <c r="AJ562" s="4278"/>
      <c r="AK562" s="4278"/>
      <c r="AL562" s="4278"/>
      <c r="AM562" s="4278"/>
      <c r="AN562" s="4278"/>
      <c r="AO562" s="4278"/>
      <c r="AP562" s="4278"/>
      <c r="AQ562" s="4278"/>
      <c r="AR562" s="4278"/>
      <c r="AS562" s="4278"/>
      <c r="AT562" s="4279"/>
      <c r="AU562" s="4283"/>
      <c r="AV562" s="1188">
        <f t="shared" si="330"/>
        <v>0</v>
      </c>
      <c r="AW562" s="1188">
        <f t="shared" si="331"/>
        <v>0</v>
      </c>
      <c r="AX562" s="1188">
        <f t="shared" si="332"/>
        <v>0</v>
      </c>
      <c r="AY562" s="1452">
        <f t="shared" si="333"/>
        <v>0</v>
      </c>
      <c r="AZ562" s="4284">
        <f t="shared" si="334"/>
        <v>0</v>
      </c>
      <c r="BA562" s="4284">
        <f t="shared" si="335"/>
        <v>0</v>
      </c>
      <c r="BB562" s="4284">
        <f t="shared" si="336"/>
        <v>0</v>
      </c>
      <c r="BC562" s="4284">
        <f t="shared" si="337"/>
        <v>0</v>
      </c>
      <c r="BD562" s="4284">
        <f t="shared" si="338"/>
        <v>0</v>
      </c>
      <c r="BE562" s="4284">
        <f t="shared" si="339"/>
        <v>0</v>
      </c>
      <c r="BF562" s="4284">
        <f t="shared" si="340"/>
        <v>0</v>
      </c>
      <c r="BG562" s="4284">
        <f t="shared" si="341"/>
        <v>0</v>
      </c>
      <c r="BH562" s="4284">
        <f t="shared" si="342"/>
        <v>0</v>
      </c>
      <c r="BI562" s="4284">
        <f t="shared" si="343"/>
        <v>0</v>
      </c>
      <c r="BJ562" s="4284">
        <f t="shared" si="344"/>
        <v>0</v>
      </c>
      <c r="BK562" s="4284">
        <f t="shared" si="345"/>
        <v>0</v>
      </c>
      <c r="BL562" s="4284">
        <f t="shared" si="346"/>
        <v>0</v>
      </c>
      <c r="BM562" s="4284">
        <f t="shared" si="347"/>
        <v>0</v>
      </c>
      <c r="BN562" s="4284">
        <f t="shared" si="348"/>
        <v>0</v>
      </c>
      <c r="BO562" s="4284">
        <f t="shared" si="349"/>
        <v>0</v>
      </c>
      <c r="BP562" s="4284">
        <f t="shared" si="350"/>
        <v>0</v>
      </c>
      <c r="BQ562" s="4284">
        <f t="shared" si="351"/>
        <v>0</v>
      </c>
      <c r="BR562" s="4284">
        <f t="shared" si="352"/>
        <v>0</v>
      </c>
      <c r="BS562" s="4284">
        <f t="shared" si="353"/>
        <v>0</v>
      </c>
      <c r="BT562" s="4285">
        <f t="shared" si="354"/>
        <v>0</v>
      </c>
    </row>
    <row r="563" spans="1:72">
      <c r="A563" s="4278"/>
      <c r="B563" s="4279"/>
      <c r="C563" s="4279"/>
      <c r="D563" s="4280"/>
      <c r="E563" s="1188">
        <f t="shared" si="326"/>
        <v>0</v>
      </c>
      <c r="F563" s="1680"/>
      <c r="G563" s="4281">
        <f t="shared" si="327"/>
        <v>0</v>
      </c>
      <c r="H563" s="3457">
        <f t="shared" si="328"/>
        <v>0</v>
      </c>
      <c r="I563" s="4282"/>
      <c r="J563" s="4282"/>
      <c r="K563" s="4282"/>
      <c r="L563" s="4282"/>
      <c r="M563" s="4282"/>
      <c r="N563" s="4282"/>
      <c r="O563" s="4282"/>
      <c r="P563" s="4282"/>
      <c r="Q563" s="4282"/>
      <c r="R563" s="4282"/>
      <c r="S563" s="4282"/>
      <c r="T563" s="4282"/>
      <c r="U563" s="4282"/>
      <c r="V563" s="4282"/>
      <c r="W563" s="4282"/>
      <c r="X563" s="4282"/>
      <c r="Y563" s="4282"/>
      <c r="Z563" s="4282"/>
      <c r="AA563" s="4282"/>
      <c r="AB563" s="4282"/>
      <c r="AC563" s="1188">
        <f t="shared" si="329"/>
        <v>0</v>
      </c>
      <c r="AD563" s="4278"/>
      <c r="AE563" s="4278"/>
      <c r="AF563" s="4278"/>
      <c r="AG563" s="4278"/>
      <c r="AH563" s="4278"/>
      <c r="AI563" s="4278"/>
      <c r="AJ563" s="4278"/>
      <c r="AK563" s="4278"/>
      <c r="AL563" s="4278"/>
      <c r="AM563" s="4278"/>
      <c r="AN563" s="4278"/>
      <c r="AO563" s="4278"/>
      <c r="AP563" s="4278"/>
      <c r="AQ563" s="4278"/>
      <c r="AR563" s="4278"/>
      <c r="AS563" s="4278"/>
      <c r="AT563" s="4279"/>
      <c r="AU563" s="4283"/>
      <c r="AV563" s="1188">
        <f t="shared" si="330"/>
        <v>0</v>
      </c>
      <c r="AW563" s="1188">
        <f t="shared" si="331"/>
        <v>0</v>
      </c>
      <c r="AX563" s="1188">
        <f t="shared" si="332"/>
        <v>0</v>
      </c>
      <c r="AY563" s="1452">
        <f t="shared" si="333"/>
        <v>0</v>
      </c>
      <c r="AZ563" s="4284">
        <f t="shared" si="334"/>
        <v>0</v>
      </c>
      <c r="BA563" s="4284">
        <f t="shared" si="335"/>
        <v>0</v>
      </c>
      <c r="BB563" s="4284">
        <f t="shared" si="336"/>
        <v>0</v>
      </c>
      <c r="BC563" s="4284">
        <f t="shared" si="337"/>
        <v>0</v>
      </c>
      <c r="BD563" s="4284">
        <f t="shared" si="338"/>
        <v>0</v>
      </c>
      <c r="BE563" s="4284">
        <f t="shared" si="339"/>
        <v>0</v>
      </c>
      <c r="BF563" s="4284">
        <f t="shared" si="340"/>
        <v>0</v>
      </c>
      <c r="BG563" s="4284">
        <f t="shared" si="341"/>
        <v>0</v>
      </c>
      <c r="BH563" s="4284">
        <f t="shared" si="342"/>
        <v>0</v>
      </c>
      <c r="BI563" s="4284">
        <f t="shared" si="343"/>
        <v>0</v>
      </c>
      <c r="BJ563" s="4284">
        <f t="shared" si="344"/>
        <v>0</v>
      </c>
      <c r="BK563" s="4284">
        <f t="shared" si="345"/>
        <v>0</v>
      </c>
      <c r="BL563" s="4284">
        <f t="shared" si="346"/>
        <v>0</v>
      </c>
      <c r="BM563" s="4284">
        <f t="shared" si="347"/>
        <v>0</v>
      </c>
      <c r="BN563" s="4284">
        <f t="shared" si="348"/>
        <v>0</v>
      </c>
      <c r="BO563" s="4284">
        <f t="shared" si="349"/>
        <v>0</v>
      </c>
      <c r="BP563" s="4284">
        <f t="shared" si="350"/>
        <v>0</v>
      </c>
      <c r="BQ563" s="4284">
        <f t="shared" si="351"/>
        <v>0</v>
      </c>
      <c r="BR563" s="4284">
        <f t="shared" si="352"/>
        <v>0</v>
      </c>
      <c r="BS563" s="4284">
        <f t="shared" si="353"/>
        <v>0</v>
      </c>
      <c r="BT563" s="4285">
        <f t="shared" si="354"/>
        <v>0</v>
      </c>
    </row>
    <row r="564" spans="1:72">
      <c r="A564" s="4278"/>
      <c r="B564" s="4279"/>
      <c r="C564" s="4279"/>
      <c r="D564" s="4280"/>
      <c r="E564" s="1188">
        <f t="shared" si="326"/>
        <v>0</v>
      </c>
      <c r="F564" s="1680"/>
      <c r="G564" s="4281">
        <f t="shared" si="327"/>
        <v>0</v>
      </c>
      <c r="H564" s="3457">
        <f t="shared" si="328"/>
        <v>0</v>
      </c>
      <c r="I564" s="4282"/>
      <c r="J564" s="4282"/>
      <c r="K564" s="4282"/>
      <c r="L564" s="4282"/>
      <c r="M564" s="4282"/>
      <c r="N564" s="4282"/>
      <c r="O564" s="4282"/>
      <c r="P564" s="4282"/>
      <c r="Q564" s="4282"/>
      <c r="R564" s="4282"/>
      <c r="S564" s="4282"/>
      <c r="T564" s="4282"/>
      <c r="U564" s="4282"/>
      <c r="V564" s="4282"/>
      <c r="W564" s="4282"/>
      <c r="X564" s="4282"/>
      <c r="Y564" s="4282"/>
      <c r="Z564" s="4282"/>
      <c r="AA564" s="4282"/>
      <c r="AB564" s="4282"/>
      <c r="AC564" s="1188">
        <f t="shared" si="329"/>
        <v>0</v>
      </c>
      <c r="AD564" s="4278"/>
      <c r="AE564" s="4278"/>
      <c r="AF564" s="4278"/>
      <c r="AG564" s="4278"/>
      <c r="AH564" s="4278"/>
      <c r="AI564" s="4278"/>
      <c r="AJ564" s="4278"/>
      <c r="AK564" s="4278"/>
      <c r="AL564" s="4278"/>
      <c r="AM564" s="4278"/>
      <c r="AN564" s="4278"/>
      <c r="AO564" s="4278"/>
      <c r="AP564" s="4278"/>
      <c r="AQ564" s="4278"/>
      <c r="AR564" s="4278"/>
      <c r="AS564" s="4278"/>
      <c r="AT564" s="4279"/>
      <c r="AU564" s="4283"/>
      <c r="AV564" s="1188">
        <f t="shared" si="330"/>
        <v>0</v>
      </c>
      <c r="AW564" s="1188">
        <f t="shared" si="331"/>
        <v>0</v>
      </c>
      <c r="AX564" s="1188">
        <f t="shared" si="332"/>
        <v>0</v>
      </c>
      <c r="AY564" s="1452">
        <f t="shared" si="333"/>
        <v>0</v>
      </c>
      <c r="AZ564" s="4284">
        <f t="shared" si="334"/>
        <v>0</v>
      </c>
      <c r="BA564" s="4284">
        <f t="shared" si="335"/>
        <v>0</v>
      </c>
      <c r="BB564" s="4284">
        <f t="shared" si="336"/>
        <v>0</v>
      </c>
      <c r="BC564" s="4284">
        <f t="shared" si="337"/>
        <v>0</v>
      </c>
      <c r="BD564" s="4284">
        <f t="shared" si="338"/>
        <v>0</v>
      </c>
      <c r="BE564" s="4284">
        <f t="shared" si="339"/>
        <v>0</v>
      </c>
      <c r="BF564" s="4284">
        <f t="shared" si="340"/>
        <v>0</v>
      </c>
      <c r="BG564" s="4284">
        <f t="shared" si="341"/>
        <v>0</v>
      </c>
      <c r="BH564" s="4284">
        <f t="shared" si="342"/>
        <v>0</v>
      </c>
      <c r="BI564" s="4284">
        <f t="shared" si="343"/>
        <v>0</v>
      </c>
      <c r="BJ564" s="4284">
        <f t="shared" si="344"/>
        <v>0</v>
      </c>
      <c r="BK564" s="4284">
        <f t="shared" si="345"/>
        <v>0</v>
      </c>
      <c r="BL564" s="4284">
        <f t="shared" si="346"/>
        <v>0</v>
      </c>
      <c r="BM564" s="4284">
        <f t="shared" si="347"/>
        <v>0</v>
      </c>
      <c r="BN564" s="4284">
        <f t="shared" si="348"/>
        <v>0</v>
      </c>
      <c r="BO564" s="4284">
        <f t="shared" si="349"/>
        <v>0</v>
      </c>
      <c r="BP564" s="4284">
        <f t="shared" si="350"/>
        <v>0</v>
      </c>
      <c r="BQ564" s="4284">
        <f t="shared" si="351"/>
        <v>0</v>
      </c>
      <c r="BR564" s="4284">
        <f t="shared" si="352"/>
        <v>0</v>
      </c>
      <c r="BS564" s="4284">
        <f t="shared" si="353"/>
        <v>0</v>
      </c>
      <c r="BT564" s="4285">
        <f t="shared" si="354"/>
        <v>0</v>
      </c>
    </row>
    <row r="565" spans="1:72">
      <c r="A565" s="4278"/>
      <c r="B565" s="4279"/>
      <c r="C565" s="4279"/>
      <c r="D565" s="4280"/>
      <c r="E565" s="1188">
        <f t="shared" si="326"/>
        <v>0</v>
      </c>
      <c r="F565" s="1680"/>
      <c r="G565" s="4281">
        <f t="shared" si="327"/>
        <v>0</v>
      </c>
      <c r="H565" s="3457">
        <f t="shared" si="328"/>
        <v>0</v>
      </c>
      <c r="I565" s="4282"/>
      <c r="J565" s="4282"/>
      <c r="K565" s="4282"/>
      <c r="L565" s="4282"/>
      <c r="M565" s="4282"/>
      <c r="N565" s="4282"/>
      <c r="O565" s="4282"/>
      <c r="P565" s="4282"/>
      <c r="Q565" s="4282"/>
      <c r="R565" s="4282"/>
      <c r="S565" s="4282"/>
      <c r="T565" s="4282"/>
      <c r="U565" s="4282"/>
      <c r="V565" s="4282"/>
      <c r="W565" s="4282"/>
      <c r="X565" s="4282"/>
      <c r="Y565" s="4282"/>
      <c r="Z565" s="4282"/>
      <c r="AA565" s="4282"/>
      <c r="AB565" s="4282"/>
      <c r="AC565" s="1188">
        <f t="shared" si="329"/>
        <v>0</v>
      </c>
      <c r="AD565" s="4278"/>
      <c r="AE565" s="4278"/>
      <c r="AF565" s="4278"/>
      <c r="AG565" s="4278"/>
      <c r="AH565" s="4278"/>
      <c r="AI565" s="4278"/>
      <c r="AJ565" s="4278"/>
      <c r="AK565" s="4278"/>
      <c r="AL565" s="4278"/>
      <c r="AM565" s="4278"/>
      <c r="AN565" s="4278"/>
      <c r="AO565" s="4278"/>
      <c r="AP565" s="4278"/>
      <c r="AQ565" s="4278"/>
      <c r="AR565" s="4278"/>
      <c r="AS565" s="4278"/>
      <c r="AT565" s="4279"/>
      <c r="AU565" s="4283"/>
      <c r="AV565" s="1188">
        <f t="shared" si="330"/>
        <v>0</v>
      </c>
      <c r="AW565" s="1188">
        <f t="shared" si="331"/>
        <v>0</v>
      </c>
      <c r="AX565" s="1188">
        <f t="shared" si="332"/>
        <v>0</v>
      </c>
      <c r="AY565" s="1452">
        <f t="shared" si="333"/>
        <v>0</v>
      </c>
      <c r="AZ565" s="4284">
        <f t="shared" si="334"/>
        <v>0</v>
      </c>
      <c r="BA565" s="4284">
        <f t="shared" si="335"/>
        <v>0</v>
      </c>
      <c r="BB565" s="4284">
        <f t="shared" si="336"/>
        <v>0</v>
      </c>
      <c r="BC565" s="4284">
        <f t="shared" si="337"/>
        <v>0</v>
      </c>
      <c r="BD565" s="4284">
        <f t="shared" si="338"/>
        <v>0</v>
      </c>
      <c r="BE565" s="4284">
        <f t="shared" si="339"/>
        <v>0</v>
      </c>
      <c r="BF565" s="4284">
        <f t="shared" si="340"/>
        <v>0</v>
      </c>
      <c r="BG565" s="4284">
        <f t="shared" si="341"/>
        <v>0</v>
      </c>
      <c r="BH565" s="4284">
        <f t="shared" si="342"/>
        <v>0</v>
      </c>
      <c r="BI565" s="4284">
        <f t="shared" si="343"/>
        <v>0</v>
      </c>
      <c r="BJ565" s="4284">
        <f t="shared" si="344"/>
        <v>0</v>
      </c>
      <c r="BK565" s="4284">
        <f t="shared" si="345"/>
        <v>0</v>
      </c>
      <c r="BL565" s="4284">
        <f t="shared" si="346"/>
        <v>0</v>
      </c>
      <c r="BM565" s="4284">
        <f t="shared" si="347"/>
        <v>0</v>
      </c>
      <c r="BN565" s="4284">
        <f t="shared" si="348"/>
        <v>0</v>
      </c>
      <c r="BO565" s="4284">
        <f t="shared" si="349"/>
        <v>0</v>
      </c>
      <c r="BP565" s="4284">
        <f t="shared" si="350"/>
        <v>0</v>
      </c>
      <c r="BQ565" s="4284">
        <f t="shared" si="351"/>
        <v>0</v>
      </c>
      <c r="BR565" s="4284">
        <f t="shared" si="352"/>
        <v>0</v>
      </c>
      <c r="BS565" s="4284">
        <f t="shared" si="353"/>
        <v>0</v>
      </c>
      <c r="BT565" s="4285">
        <f t="shared" si="354"/>
        <v>0</v>
      </c>
    </row>
    <row r="566" spans="1:72">
      <c r="A566" s="4278"/>
      <c r="B566" s="4279"/>
      <c r="C566" s="4279"/>
      <c r="D566" s="4280"/>
      <c r="E566" s="1188">
        <f t="shared" si="326"/>
        <v>0</v>
      </c>
      <c r="F566" s="1680"/>
      <c r="G566" s="4281">
        <f t="shared" si="327"/>
        <v>0</v>
      </c>
      <c r="H566" s="3457">
        <f t="shared" si="328"/>
        <v>0</v>
      </c>
      <c r="I566" s="4282"/>
      <c r="J566" s="4282"/>
      <c r="K566" s="4282"/>
      <c r="L566" s="4282"/>
      <c r="M566" s="4282"/>
      <c r="N566" s="4282"/>
      <c r="O566" s="4282"/>
      <c r="P566" s="4282"/>
      <c r="Q566" s="4282"/>
      <c r="R566" s="4282"/>
      <c r="S566" s="4282"/>
      <c r="T566" s="4282"/>
      <c r="U566" s="4282"/>
      <c r="V566" s="4282"/>
      <c r="W566" s="4282"/>
      <c r="X566" s="4282"/>
      <c r="Y566" s="4282"/>
      <c r="Z566" s="4282"/>
      <c r="AA566" s="4282"/>
      <c r="AB566" s="4282"/>
      <c r="AC566" s="1188">
        <f t="shared" si="329"/>
        <v>0</v>
      </c>
      <c r="AD566" s="4278"/>
      <c r="AE566" s="4278"/>
      <c r="AF566" s="4278"/>
      <c r="AG566" s="4278"/>
      <c r="AH566" s="4278"/>
      <c r="AI566" s="4278"/>
      <c r="AJ566" s="4278"/>
      <c r="AK566" s="4278"/>
      <c r="AL566" s="4278"/>
      <c r="AM566" s="4278"/>
      <c r="AN566" s="4278"/>
      <c r="AO566" s="4278"/>
      <c r="AP566" s="4278"/>
      <c r="AQ566" s="4278"/>
      <c r="AR566" s="4278"/>
      <c r="AS566" s="4278"/>
      <c r="AT566" s="4279"/>
      <c r="AU566" s="4283"/>
      <c r="AV566" s="1188">
        <f t="shared" si="330"/>
        <v>0</v>
      </c>
      <c r="AW566" s="1188">
        <f t="shared" si="331"/>
        <v>0</v>
      </c>
      <c r="AX566" s="1188">
        <f t="shared" si="332"/>
        <v>0</v>
      </c>
      <c r="AY566" s="1452">
        <f t="shared" si="333"/>
        <v>0</v>
      </c>
      <c r="AZ566" s="4284">
        <f t="shared" si="334"/>
        <v>0</v>
      </c>
      <c r="BA566" s="4284">
        <f t="shared" si="335"/>
        <v>0</v>
      </c>
      <c r="BB566" s="4284">
        <f t="shared" si="336"/>
        <v>0</v>
      </c>
      <c r="BC566" s="4284">
        <f t="shared" si="337"/>
        <v>0</v>
      </c>
      <c r="BD566" s="4284">
        <f t="shared" si="338"/>
        <v>0</v>
      </c>
      <c r="BE566" s="4284">
        <f t="shared" si="339"/>
        <v>0</v>
      </c>
      <c r="BF566" s="4284">
        <f t="shared" si="340"/>
        <v>0</v>
      </c>
      <c r="BG566" s="4284">
        <f t="shared" si="341"/>
        <v>0</v>
      </c>
      <c r="BH566" s="4284">
        <f t="shared" si="342"/>
        <v>0</v>
      </c>
      <c r="BI566" s="4284">
        <f t="shared" si="343"/>
        <v>0</v>
      </c>
      <c r="BJ566" s="4284">
        <f t="shared" si="344"/>
        <v>0</v>
      </c>
      <c r="BK566" s="4284">
        <f t="shared" si="345"/>
        <v>0</v>
      </c>
      <c r="BL566" s="4284">
        <f t="shared" si="346"/>
        <v>0</v>
      </c>
      <c r="BM566" s="4284">
        <f t="shared" si="347"/>
        <v>0</v>
      </c>
      <c r="BN566" s="4284">
        <f t="shared" si="348"/>
        <v>0</v>
      </c>
      <c r="BO566" s="4284">
        <f t="shared" si="349"/>
        <v>0</v>
      </c>
      <c r="BP566" s="4284">
        <f t="shared" si="350"/>
        <v>0</v>
      </c>
      <c r="BQ566" s="4284">
        <f t="shared" si="351"/>
        <v>0</v>
      </c>
      <c r="BR566" s="4284">
        <f t="shared" si="352"/>
        <v>0</v>
      </c>
      <c r="BS566" s="4284">
        <f t="shared" si="353"/>
        <v>0</v>
      </c>
      <c r="BT566" s="4285">
        <f t="shared" si="354"/>
        <v>0</v>
      </c>
    </row>
    <row r="567" spans="1:72">
      <c r="A567" s="4278"/>
      <c r="B567" s="4279"/>
      <c r="C567" s="4279"/>
      <c r="D567" s="4280"/>
      <c r="E567" s="1188">
        <f t="shared" si="326"/>
        <v>0</v>
      </c>
      <c r="F567" s="1680"/>
      <c r="G567" s="4281">
        <f t="shared" si="327"/>
        <v>0</v>
      </c>
      <c r="H567" s="3457">
        <f t="shared" si="328"/>
        <v>0</v>
      </c>
      <c r="I567" s="4282"/>
      <c r="J567" s="4282"/>
      <c r="K567" s="4282"/>
      <c r="L567" s="4282"/>
      <c r="M567" s="4282"/>
      <c r="N567" s="4282"/>
      <c r="O567" s="4282"/>
      <c r="P567" s="4282"/>
      <c r="Q567" s="4282"/>
      <c r="R567" s="4282"/>
      <c r="S567" s="4282"/>
      <c r="T567" s="4282"/>
      <c r="U567" s="4282"/>
      <c r="V567" s="4282"/>
      <c r="W567" s="4282"/>
      <c r="X567" s="4282"/>
      <c r="Y567" s="4282"/>
      <c r="Z567" s="4282"/>
      <c r="AA567" s="4282"/>
      <c r="AB567" s="4282"/>
      <c r="AC567" s="1188">
        <f t="shared" si="329"/>
        <v>0</v>
      </c>
      <c r="AD567" s="4278"/>
      <c r="AE567" s="4278"/>
      <c r="AF567" s="4278"/>
      <c r="AG567" s="4278"/>
      <c r="AH567" s="4278"/>
      <c r="AI567" s="4278"/>
      <c r="AJ567" s="4278"/>
      <c r="AK567" s="4278"/>
      <c r="AL567" s="4278"/>
      <c r="AM567" s="4278"/>
      <c r="AN567" s="4278"/>
      <c r="AO567" s="4278"/>
      <c r="AP567" s="4278"/>
      <c r="AQ567" s="4278"/>
      <c r="AR567" s="4278"/>
      <c r="AS567" s="4278"/>
      <c r="AT567" s="4279"/>
      <c r="AU567" s="4283"/>
      <c r="AV567" s="1188">
        <f t="shared" si="330"/>
        <v>0</v>
      </c>
      <c r="AW567" s="1188">
        <f t="shared" si="331"/>
        <v>0</v>
      </c>
      <c r="AX567" s="1188">
        <f t="shared" si="332"/>
        <v>0</v>
      </c>
      <c r="AY567" s="1452">
        <f t="shared" si="333"/>
        <v>0</v>
      </c>
      <c r="AZ567" s="4284">
        <f t="shared" si="334"/>
        <v>0</v>
      </c>
      <c r="BA567" s="4284">
        <f t="shared" si="335"/>
        <v>0</v>
      </c>
      <c r="BB567" s="4284">
        <f t="shared" si="336"/>
        <v>0</v>
      </c>
      <c r="BC567" s="4284">
        <f t="shared" si="337"/>
        <v>0</v>
      </c>
      <c r="BD567" s="4284">
        <f t="shared" si="338"/>
        <v>0</v>
      </c>
      <c r="BE567" s="4284">
        <f t="shared" si="339"/>
        <v>0</v>
      </c>
      <c r="BF567" s="4284">
        <f t="shared" si="340"/>
        <v>0</v>
      </c>
      <c r="BG567" s="4284">
        <f t="shared" si="341"/>
        <v>0</v>
      </c>
      <c r="BH567" s="4284">
        <f t="shared" si="342"/>
        <v>0</v>
      </c>
      <c r="BI567" s="4284">
        <f t="shared" si="343"/>
        <v>0</v>
      </c>
      <c r="BJ567" s="4284">
        <f t="shared" si="344"/>
        <v>0</v>
      </c>
      <c r="BK567" s="4284">
        <f t="shared" si="345"/>
        <v>0</v>
      </c>
      <c r="BL567" s="4284">
        <f t="shared" si="346"/>
        <v>0</v>
      </c>
      <c r="BM567" s="4284">
        <f t="shared" si="347"/>
        <v>0</v>
      </c>
      <c r="BN567" s="4284">
        <f t="shared" si="348"/>
        <v>0</v>
      </c>
      <c r="BO567" s="4284">
        <f t="shared" si="349"/>
        <v>0</v>
      </c>
      <c r="BP567" s="4284">
        <f t="shared" si="350"/>
        <v>0</v>
      </c>
      <c r="BQ567" s="4284">
        <f t="shared" si="351"/>
        <v>0</v>
      </c>
      <c r="BR567" s="4284">
        <f t="shared" si="352"/>
        <v>0</v>
      </c>
      <c r="BS567" s="4284">
        <f t="shared" si="353"/>
        <v>0</v>
      </c>
      <c r="BT567" s="4285">
        <f t="shared" si="354"/>
        <v>0</v>
      </c>
    </row>
    <row r="568" spans="1:72">
      <c r="A568" s="4278"/>
      <c r="B568" s="4279"/>
      <c r="C568" s="4279"/>
      <c r="D568" s="4280"/>
      <c r="E568" s="1188">
        <f t="shared" si="326"/>
        <v>0</v>
      </c>
      <c r="F568" s="1680"/>
      <c r="G568" s="4281">
        <f t="shared" si="327"/>
        <v>0</v>
      </c>
      <c r="H568" s="3457">
        <f t="shared" si="328"/>
        <v>0</v>
      </c>
      <c r="I568" s="4282"/>
      <c r="J568" s="4282"/>
      <c r="K568" s="4282"/>
      <c r="L568" s="4282"/>
      <c r="M568" s="4282"/>
      <c r="N568" s="4282"/>
      <c r="O568" s="4282"/>
      <c r="P568" s="4282"/>
      <c r="Q568" s="4282"/>
      <c r="R568" s="4282"/>
      <c r="S568" s="4282"/>
      <c r="T568" s="4282"/>
      <c r="U568" s="4282"/>
      <c r="V568" s="4282"/>
      <c r="W568" s="4282"/>
      <c r="X568" s="4282"/>
      <c r="Y568" s="4282"/>
      <c r="Z568" s="4282"/>
      <c r="AA568" s="4282"/>
      <c r="AB568" s="4282"/>
      <c r="AC568" s="1188">
        <f t="shared" si="329"/>
        <v>0</v>
      </c>
      <c r="AD568" s="4278"/>
      <c r="AE568" s="4278"/>
      <c r="AF568" s="4278"/>
      <c r="AG568" s="4278"/>
      <c r="AH568" s="4278"/>
      <c r="AI568" s="4278"/>
      <c r="AJ568" s="4278"/>
      <c r="AK568" s="4278"/>
      <c r="AL568" s="4278"/>
      <c r="AM568" s="4278"/>
      <c r="AN568" s="4278"/>
      <c r="AO568" s="4278"/>
      <c r="AP568" s="4278"/>
      <c r="AQ568" s="4278"/>
      <c r="AR568" s="4278"/>
      <c r="AS568" s="4278"/>
      <c r="AT568" s="4279"/>
      <c r="AU568" s="4283"/>
      <c r="AV568" s="1188">
        <f t="shared" si="330"/>
        <v>0</v>
      </c>
      <c r="AW568" s="1188">
        <f t="shared" si="331"/>
        <v>0</v>
      </c>
      <c r="AX568" s="1188">
        <f t="shared" si="332"/>
        <v>0</v>
      </c>
      <c r="AY568" s="1452">
        <f t="shared" si="333"/>
        <v>0</v>
      </c>
      <c r="AZ568" s="4284">
        <f t="shared" si="334"/>
        <v>0</v>
      </c>
      <c r="BA568" s="4284">
        <f t="shared" si="335"/>
        <v>0</v>
      </c>
      <c r="BB568" s="4284">
        <f t="shared" si="336"/>
        <v>0</v>
      </c>
      <c r="BC568" s="4284">
        <f t="shared" si="337"/>
        <v>0</v>
      </c>
      <c r="BD568" s="4284">
        <f t="shared" si="338"/>
        <v>0</v>
      </c>
      <c r="BE568" s="4284">
        <f t="shared" si="339"/>
        <v>0</v>
      </c>
      <c r="BF568" s="4284">
        <f t="shared" si="340"/>
        <v>0</v>
      </c>
      <c r="BG568" s="4284">
        <f t="shared" si="341"/>
        <v>0</v>
      </c>
      <c r="BH568" s="4284">
        <f t="shared" si="342"/>
        <v>0</v>
      </c>
      <c r="BI568" s="4284">
        <f t="shared" si="343"/>
        <v>0</v>
      </c>
      <c r="BJ568" s="4284">
        <f t="shared" si="344"/>
        <v>0</v>
      </c>
      <c r="BK568" s="4284">
        <f t="shared" si="345"/>
        <v>0</v>
      </c>
      <c r="BL568" s="4284">
        <f t="shared" si="346"/>
        <v>0</v>
      </c>
      <c r="BM568" s="4284">
        <f t="shared" si="347"/>
        <v>0</v>
      </c>
      <c r="BN568" s="4284">
        <f t="shared" si="348"/>
        <v>0</v>
      </c>
      <c r="BO568" s="4284">
        <f t="shared" si="349"/>
        <v>0</v>
      </c>
      <c r="BP568" s="4284">
        <f t="shared" si="350"/>
        <v>0</v>
      </c>
      <c r="BQ568" s="4284">
        <f t="shared" si="351"/>
        <v>0</v>
      </c>
      <c r="BR568" s="4284">
        <f t="shared" si="352"/>
        <v>0</v>
      </c>
      <c r="BS568" s="4284">
        <f t="shared" si="353"/>
        <v>0</v>
      </c>
      <c r="BT568" s="4285">
        <f t="shared" si="354"/>
        <v>0</v>
      </c>
    </row>
    <row r="569" spans="1:72">
      <c r="A569" s="4278"/>
      <c r="B569" s="4279"/>
      <c r="C569" s="4279"/>
      <c r="D569" s="4280"/>
      <c r="E569" s="1188">
        <f t="shared" si="326"/>
        <v>0</v>
      </c>
      <c r="F569" s="1680"/>
      <c r="G569" s="4281">
        <f t="shared" si="327"/>
        <v>0</v>
      </c>
      <c r="H569" s="3457">
        <f t="shared" si="328"/>
        <v>0</v>
      </c>
      <c r="I569" s="4282"/>
      <c r="J569" s="4282"/>
      <c r="K569" s="4282"/>
      <c r="L569" s="4282"/>
      <c r="M569" s="4282"/>
      <c r="N569" s="4282"/>
      <c r="O569" s="4282"/>
      <c r="P569" s="4282"/>
      <c r="Q569" s="4282"/>
      <c r="R569" s="4282"/>
      <c r="S569" s="4282"/>
      <c r="T569" s="4282"/>
      <c r="U569" s="4282"/>
      <c r="V569" s="4282"/>
      <c r="W569" s="4282"/>
      <c r="X569" s="4282"/>
      <c r="Y569" s="4282"/>
      <c r="Z569" s="4282"/>
      <c r="AA569" s="4282"/>
      <c r="AB569" s="4282"/>
      <c r="AC569" s="1188">
        <f t="shared" si="329"/>
        <v>0</v>
      </c>
      <c r="AD569" s="4278"/>
      <c r="AE569" s="4278"/>
      <c r="AF569" s="4278"/>
      <c r="AG569" s="4278"/>
      <c r="AH569" s="4278"/>
      <c r="AI569" s="4278"/>
      <c r="AJ569" s="4278"/>
      <c r="AK569" s="4278"/>
      <c r="AL569" s="4278"/>
      <c r="AM569" s="4278"/>
      <c r="AN569" s="4278"/>
      <c r="AO569" s="4278"/>
      <c r="AP569" s="4278"/>
      <c r="AQ569" s="4278"/>
      <c r="AR569" s="4278"/>
      <c r="AS569" s="4278"/>
      <c r="AT569" s="4279"/>
      <c r="AU569" s="4283"/>
      <c r="AV569" s="1188">
        <f t="shared" si="330"/>
        <v>0</v>
      </c>
      <c r="AW569" s="1188">
        <f t="shared" si="331"/>
        <v>0</v>
      </c>
      <c r="AX569" s="1188">
        <f t="shared" si="332"/>
        <v>0</v>
      </c>
      <c r="AY569" s="1452">
        <f t="shared" si="333"/>
        <v>0</v>
      </c>
      <c r="AZ569" s="4284">
        <f t="shared" si="334"/>
        <v>0</v>
      </c>
      <c r="BA569" s="4284">
        <f t="shared" si="335"/>
        <v>0</v>
      </c>
      <c r="BB569" s="4284">
        <f t="shared" si="336"/>
        <v>0</v>
      </c>
      <c r="BC569" s="4284">
        <f t="shared" si="337"/>
        <v>0</v>
      </c>
      <c r="BD569" s="4284">
        <f t="shared" si="338"/>
        <v>0</v>
      </c>
      <c r="BE569" s="4284">
        <f t="shared" si="339"/>
        <v>0</v>
      </c>
      <c r="BF569" s="4284">
        <f t="shared" si="340"/>
        <v>0</v>
      </c>
      <c r="BG569" s="4284">
        <f t="shared" si="341"/>
        <v>0</v>
      </c>
      <c r="BH569" s="4284">
        <f t="shared" si="342"/>
        <v>0</v>
      </c>
      <c r="BI569" s="4284">
        <f t="shared" si="343"/>
        <v>0</v>
      </c>
      <c r="BJ569" s="4284">
        <f t="shared" si="344"/>
        <v>0</v>
      </c>
      <c r="BK569" s="4284">
        <f t="shared" si="345"/>
        <v>0</v>
      </c>
      <c r="BL569" s="4284">
        <f t="shared" si="346"/>
        <v>0</v>
      </c>
      <c r="BM569" s="4284">
        <f t="shared" si="347"/>
        <v>0</v>
      </c>
      <c r="BN569" s="4284">
        <f t="shared" si="348"/>
        <v>0</v>
      </c>
      <c r="BO569" s="4284">
        <f t="shared" si="349"/>
        <v>0</v>
      </c>
      <c r="BP569" s="4284">
        <f t="shared" si="350"/>
        <v>0</v>
      </c>
      <c r="BQ569" s="4284">
        <f t="shared" si="351"/>
        <v>0</v>
      </c>
      <c r="BR569" s="4284">
        <f t="shared" si="352"/>
        <v>0</v>
      </c>
      <c r="BS569" s="4284">
        <f t="shared" si="353"/>
        <v>0</v>
      </c>
      <c r="BT569" s="4285">
        <f t="shared" si="354"/>
        <v>0</v>
      </c>
    </row>
    <row r="570" spans="1:72">
      <c r="A570" s="4278"/>
      <c r="B570" s="4279"/>
      <c r="C570" s="4279"/>
      <c r="D570" s="4280"/>
      <c r="E570" s="1188">
        <f t="shared" si="326"/>
        <v>0</v>
      </c>
      <c r="F570" s="1680"/>
      <c r="G570" s="4281">
        <f t="shared" si="327"/>
        <v>0</v>
      </c>
      <c r="H570" s="3457">
        <f t="shared" si="328"/>
        <v>0</v>
      </c>
      <c r="I570" s="4282"/>
      <c r="J570" s="4282"/>
      <c r="K570" s="4282"/>
      <c r="L570" s="4282"/>
      <c r="M570" s="4282"/>
      <c r="N570" s="4282"/>
      <c r="O570" s="4282"/>
      <c r="P570" s="4282"/>
      <c r="Q570" s="4282"/>
      <c r="R570" s="4282"/>
      <c r="S570" s="4282"/>
      <c r="T570" s="4282"/>
      <c r="U570" s="4282"/>
      <c r="V570" s="4282"/>
      <c r="W570" s="4282"/>
      <c r="X570" s="4282"/>
      <c r="Y570" s="4282"/>
      <c r="Z570" s="4282"/>
      <c r="AA570" s="4282"/>
      <c r="AB570" s="4282"/>
      <c r="AC570" s="1188">
        <f t="shared" si="329"/>
        <v>0</v>
      </c>
      <c r="AD570" s="4278"/>
      <c r="AE570" s="4278"/>
      <c r="AF570" s="4278"/>
      <c r="AG570" s="4278"/>
      <c r="AH570" s="4278"/>
      <c r="AI570" s="4278"/>
      <c r="AJ570" s="4278"/>
      <c r="AK570" s="4278"/>
      <c r="AL570" s="4278"/>
      <c r="AM570" s="4278"/>
      <c r="AN570" s="4278"/>
      <c r="AO570" s="4278"/>
      <c r="AP570" s="4278"/>
      <c r="AQ570" s="4278"/>
      <c r="AR570" s="4278"/>
      <c r="AS570" s="4278"/>
      <c r="AT570" s="4279"/>
      <c r="AU570" s="4283"/>
      <c r="AV570" s="1188">
        <f t="shared" si="330"/>
        <v>0</v>
      </c>
      <c r="AW570" s="1188">
        <f t="shared" si="331"/>
        <v>0</v>
      </c>
      <c r="AX570" s="1188">
        <f t="shared" si="332"/>
        <v>0</v>
      </c>
      <c r="AY570" s="1452">
        <f t="shared" si="333"/>
        <v>0</v>
      </c>
      <c r="AZ570" s="4284">
        <f t="shared" si="334"/>
        <v>0</v>
      </c>
      <c r="BA570" s="4284">
        <f t="shared" si="335"/>
        <v>0</v>
      </c>
      <c r="BB570" s="4284">
        <f t="shared" si="336"/>
        <v>0</v>
      </c>
      <c r="BC570" s="4284">
        <f t="shared" si="337"/>
        <v>0</v>
      </c>
      <c r="BD570" s="4284">
        <f t="shared" si="338"/>
        <v>0</v>
      </c>
      <c r="BE570" s="4284">
        <f t="shared" si="339"/>
        <v>0</v>
      </c>
      <c r="BF570" s="4284">
        <f t="shared" si="340"/>
        <v>0</v>
      </c>
      <c r="BG570" s="4284">
        <f t="shared" si="341"/>
        <v>0</v>
      </c>
      <c r="BH570" s="4284">
        <f t="shared" si="342"/>
        <v>0</v>
      </c>
      <c r="BI570" s="4284">
        <f t="shared" si="343"/>
        <v>0</v>
      </c>
      <c r="BJ570" s="4284">
        <f t="shared" si="344"/>
        <v>0</v>
      </c>
      <c r="BK570" s="4284">
        <f t="shared" si="345"/>
        <v>0</v>
      </c>
      <c r="BL570" s="4284">
        <f t="shared" si="346"/>
        <v>0</v>
      </c>
      <c r="BM570" s="4284">
        <f t="shared" si="347"/>
        <v>0</v>
      </c>
      <c r="BN570" s="4284">
        <f t="shared" si="348"/>
        <v>0</v>
      </c>
      <c r="BO570" s="4284">
        <f t="shared" si="349"/>
        <v>0</v>
      </c>
      <c r="BP570" s="4284">
        <f t="shared" si="350"/>
        <v>0</v>
      </c>
      <c r="BQ570" s="4284">
        <f t="shared" si="351"/>
        <v>0</v>
      </c>
      <c r="BR570" s="4284">
        <f t="shared" si="352"/>
        <v>0</v>
      </c>
      <c r="BS570" s="4284">
        <f t="shared" si="353"/>
        <v>0</v>
      </c>
      <c r="BT570" s="4285">
        <f t="shared" si="354"/>
        <v>0</v>
      </c>
    </row>
    <row r="571" spans="1:72">
      <c r="A571" s="4278"/>
      <c r="B571" s="4279"/>
      <c r="C571" s="4279"/>
      <c r="D571" s="4280"/>
      <c r="E571" s="1188">
        <f t="shared" si="326"/>
        <v>0</v>
      </c>
      <c r="F571" s="1680"/>
      <c r="G571" s="4281">
        <f t="shared" si="327"/>
        <v>0</v>
      </c>
      <c r="H571" s="3457">
        <f t="shared" si="328"/>
        <v>0</v>
      </c>
      <c r="I571" s="4282"/>
      <c r="J571" s="4282"/>
      <c r="K571" s="4282"/>
      <c r="L571" s="4282"/>
      <c r="M571" s="4282"/>
      <c r="N571" s="4282"/>
      <c r="O571" s="4282"/>
      <c r="P571" s="4282"/>
      <c r="Q571" s="4282"/>
      <c r="R571" s="4282"/>
      <c r="S571" s="4282"/>
      <c r="T571" s="4282"/>
      <c r="U571" s="4282"/>
      <c r="V571" s="4282"/>
      <c r="W571" s="4282"/>
      <c r="X571" s="4282"/>
      <c r="Y571" s="4282"/>
      <c r="Z571" s="4282"/>
      <c r="AA571" s="4282"/>
      <c r="AB571" s="4282"/>
      <c r="AC571" s="1188">
        <f t="shared" si="329"/>
        <v>0</v>
      </c>
      <c r="AD571" s="4278"/>
      <c r="AE571" s="4278"/>
      <c r="AF571" s="4278"/>
      <c r="AG571" s="4278"/>
      <c r="AH571" s="4278"/>
      <c r="AI571" s="4278"/>
      <c r="AJ571" s="4278"/>
      <c r="AK571" s="4278"/>
      <c r="AL571" s="4278"/>
      <c r="AM571" s="4278"/>
      <c r="AN571" s="4278"/>
      <c r="AO571" s="4278"/>
      <c r="AP571" s="4278"/>
      <c r="AQ571" s="4278"/>
      <c r="AR571" s="4278"/>
      <c r="AS571" s="4278"/>
      <c r="AT571" s="4279"/>
      <c r="AU571" s="4283"/>
      <c r="AV571" s="1188">
        <f t="shared" si="330"/>
        <v>0</v>
      </c>
      <c r="AW571" s="1188">
        <f t="shared" si="331"/>
        <v>0</v>
      </c>
      <c r="AX571" s="1188">
        <f t="shared" si="332"/>
        <v>0</v>
      </c>
      <c r="AY571" s="1452">
        <f t="shared" si="333"/>
        <v>0</v>
      </c>
      <c r="AZ571" s="4284">
        <f t="shared" si="334"/>
        <v>0</v>
      </c>
      <c r="BA571" s="4284">
        <f t="shared" si="335"/>
        <v>0</v>
      </c>
      <c r="BB571" s="4284">
        <f t="shared" si="336"/>
        <v>0</v>
      </c>
      <c r="BC571" s="4284">
        <f t="shared" si="337"/>
        <v>0</v>
      </c>
      <c r="BD571" s="4284">
        <f t="shared" si="338"/>
        <v>0</v>
      </c>
      <c r="BE571" s="4284">
        <f t="shared" si="339"/>
        <v>0</v>
      </c>
      <c r="BF571" s="4284">
        <f t="shared" si="340"/>
        <v>0</v>
      </c>
      <c r="BG571" s="4284">
        <f t="shared" si="341"/>
        <v>0</v>
      </c>
      <c r="BH571" s="4284">
        <f t="shared" si="342"/>
        <v>0</v>
      </c>
      <c r="BI571" s="4284">
        <f t="shared" si="343"/>
        <v>0</v>
      </c>
      <c r="BJ571" s="4284">
        <f t="shared" si="344"/>
        <v>0</v>
      </c>
      <c r="BK571" s="4284">
        <f t="shared" si="345"/>
        <v>0</v>
      </c>
      <c r="BL571" s="4284">
        <f t="shared" si="346"/>
        <v>0</v>
      </c>
      <c r="BM571" s="4284">
        <f t="shared" si="347"/>
        <v>0</v>
      </c>
      <c r="BN571" s="4284">
        <f t="shared" si="348"/>
        <v>0</v>
      </c>
      <c r="BO571" s="4284">
        <f t="shared" si="349"/>
        <v>0</v>
      </c>
      <c r="BP571" s="4284">
        <f t="shared" si="350"/>
        <v>0</v>
      </c>
      <c r="BQ571" s="4284">
        <f t="shared" si="351"/>
        <v>0</v>
      </c>
      <c r="BR571" s="4284">
        <f t="shared" si="352"/>
        <v>0</v>
      </c>
      <c r="BS571" s="4284">
        <f t="shared" si="353"/>
        <v>0</v>
      </c>
      <c r="BT571" s="4285">
        <f t="shared" si="354"/>
        <v>0</v>
      </c>
    </row>
    <row r="572" spans="1:72">
      <c r="A572" s="4278"/>
      <c r="B572" s="4279"/>
      <c r="C572" s="4279"/>
      <c r="D572" s="4280"/>
      <c r="E572" s="1188">
        <f t="shared" si="326"/>
        <v>0</v>
      </c>
      <c r="F572" s="1680"/>
      <c r="G572" s="4281">
        <f t="shared" si="327"/>
        <v>0</v>
      </c>
      <c r="H572" s="3457">
        <f t="shared" si="328"/>
        <v>0</v>
      </c>
      <c r="I572" s="4282"/>
      <c r="J572" s="4282"/>
      <c r="K572" s="4282"/>
      <c r="L572" s="4282"/>
      <c r="M572" s="4282"/>
      <c r="N572" s="4282"/>
      <c r="O572" s="4282"/>
      <c r="P572" s="4282"/>
      <c r="Q572" s="4282"/>
      <c r="R572" s="4282"/>
      <c r="S572" s="4282"/>
      <c r="T572" s="4282"/>
      <c r="U572" s="4282"/>
      <c r="V572" s="4282"/>
      <c r="W572" s="4282"/>
      <c r="X572" s="4282"/>
      <c r="Y572" s="4282"/>
      <c r="Z572" s="4282"/>
      <c r="AA572" s="4282"/>
      <c r="AB572" s="4282"/>
      <c r="AC572" s="1188">
        <f t="shared" si="329"/>
        <v>0</v>
      </c>
      <c r="AD572" s="4278"/>
      <c r="AE572" s="4278"/>
      <c r="AF572" s="4278"/>
      <c r="AG572" s="4278"/>
      <c r="AH572" s="4278"/>
      <c r="AI572" s="4278"/>
      <c r="AJ572" s="4278"/>
      <c r="AK572" s="4278"/>
      <c r="AL572" s="4278"/>
      <c r="AM572" s="4278"/>
      <c r="AN572" s="4278"/>
      <c r="AO572" s="4278"/>
      <c r="AP572" s="4278"/>
      <c r="AQ572" s="4278"/>
      <c r="AR572" s="4278"/>
      <c r="AS572" s="4278"/>
      <c r="AT572" s="4279"/>
      <c r="AU572" s="4283"/>
      <c r="AV572" s="1188">
        <f t="shared" si="330"/>
        <v>0</v>
      </c>
      <c r="AW572" s="1188">
        <f t="shared" si="331"/>
        <v>0</v>
      </c>
      <c r="AX572" s="1188">
        <f t="shared" si="332"/>
        <v>0</v>
      </c>
      <c r="AY572" s="1452">
        <f t="shared" si="333"/>
        <v>0</v>
      </c>
      <c r="AZ572" s="4284">
        <f t="shared" si="334"/>
        <v>0</v>
      </c>
      <c r="BA572" s="4284">
        <f t="shared" si="335"/>
        <v>0</v>
      </c>
      <c r="BB572" s="4284">
        <f t="shared" si="336"/>
        <v>0</v>
      </c>
      <c r="BC572" s="4284">
        <f t="shared" si="337"/>
        <v>0</v>
      </c>
      <c r="BD572" s="4284">
        <f t="shared" si="338"/>
        <v>0</v>
      </c>
      <c r="BE572" s="4284">
        <f t="shared" si="339"/>
        <v>0</v>
      </c>
      <c r="BF572" s="4284">
        <f t="shared" si="340"/>
        <v>0</v>
      </c>
      <c r="BG572" s="4284">
        <f t="shared" si="341"/>
        <v>0</v>
      </c>
      <c r="BH572" s="4284">
        <f t="shared" si="342"/>
        <v>0</v>
      </c>
      <c r="BI572" s="4284">
        <f t="shared" si="343"/>
        <v>0</v>
      </c>
      <c r="BJ572" s="4284">
        <f t="shared" si="344"/>
        <v>0</v>
      </c>
      <c r="BK572" s="4284">
        <f t="shared" si="345"/>
        <v>0</v>
      </c>
      <c r="BL572" s="4284">
        <f t="shared" si="346"/>
        <v>0</v>
      </c>
      <c r="BM572" s="4284">
        <f t="shared" si="347"/>
        <v>0</v>
      </c>
      <c r="BN572" s="4284">
        <f t="shared" si="348"/>
        <v>0</v>
      </c>
      <c r="BO572" s="4284">
        <f t="shared" si="349"/>
        <v>0</v>
      </c>
      <c r="BP572" s="4284">
        <f t="shared" si="350"/>
        <v>0</v>
      </c>
      <c r="BQ572" s="4284">
        <f t="shared" si="351"/>
        <v>0</v>
      </c>
      <c r="BR572" s="4284">
        <f t="shared" si="352"/>
        <v>0</v>
      </c>
      <c r="BS572" s="4284">
        <f t="shared" si="353"/>
        <v>0</v>
      </c>
      <c r="BT572" s="4285">
        <f t="shared" si="354"/>
        <v>0</v>
      </c>
    </row>
    <row r="573" spans="1:72">
      <c r="A573" s="4278"/>
      <c r="B573" s="4279"/>
      <c r="C573" s="4279"/>
      <c r="D573" s="4280"/>
      <c r="E573" s="1188">
        <f t="shared" si="326"/>
        <v>0</v>
      </c>
      <c r="F573" s="1680"/>
      <c r="G573" s="4281">
        <f t="shared" si="327"/>
        <v>0</v>
      </c>
      <c r="H573" s="3457">
        <f t="shared" si="328"/>
        <v>0</v>
      </c>
      <c r="I573" s="4282"/>
      <c r="J573" s="4282"/>
      <c r="K573" s="4282"/>
      <c r="L573" s="4282"/>
      <c r="M573" s="4282"/>
      <c r="N573" s="4282"/>
      <c r="O573" s="4282"/>
      <c r="P573" s="4282"/>
      <c r="Q573" s="4282"/>
      <c r="R573" s="4282"/>
      <c r="S573" s="4282"/>
      <c r="T573" s="4282"/>
      <c r="U573" s="4282"/>
      <c r="V573" s="4282"/>
      <c r="W573" s="4282"/>
      <c r="X573" s="4282"/>
      <c r="Y573" s="4282"/>
      <c r="Z573" s="4282"/>
      <c r="AA573" s="4282"/>
      <c r="AB573" s="4282"/>
      <c r="AC573" s="1188">
        <f t="shared" si="329"/>
        <v>0</v>
      </c>
      <c r="AD573" s="4278"/>
      <c r="AE573" s="4278"/>
      <c r="AF573" s="4278"/>
      <c r="AG573" s="4278"/>
      <c r="AH573" s="4278"/>
      <c r="AI573" s="4278"/>
      <c r="AJ573" s="4278"/>
      <c r="AK573" s="4278"/>
      <c r="AL573" s="4278"/>
      <c r="AM573" s="4278"/>
      <c r="AN573" s="4278"/>
      <c r="AO573" s="4278"/>
      <c r="AP573" s="4278"/>
      <c r="AQ573" s="4278"/>
      <c r="AR573" s="4278"/>
      <c r="AS573" s="4278"/>
      <c r="AT573" s="4279"/>
      <c r="AU573" s="4283"/>
      <c r="AV573" s="1188">
        <f t="shared" si="330"/>
        <v>0</v>
      </c>
      <c r="AW573" s="1188">
        <f t="shared" si="331"/>
        <v>0</v>
      </c>
      <c r="AX573" s="1188">
        <f t="shared" si="332"/>
        <v>0</v>
      </c>
      <c r="AY573" s="1452">
        <f t="shared" si="333"/>
        <v>0</v>
      </c>
      <c r="AZ573" s="4284">
        <f t="shared" si="334"/>
        <v>0</v>
      </c>
      <c r="BA573" s="4284">
        <f t="shared" si="335"/>
        <v>0</v>
      </c>
      <c r="BB573" s="4284">
        <f t="shared" si="336"/>
        <v>0</v>
      </c>
      <c r="BC573" s="4284">
        <f t="shared" si="337"/>
        <v>0</v>
      </c>
      <c r="BD573" s="4284">
        <f t="shared" si="338"/>
        <v>0</v>
      </c>
      <c r="BE573" s="4284">
        <f t="shared" si="339"/>
        <v>0</v>
      </c>
      <c r="BF573" s="4284">
        <f t="shared" si="340"/>
        <v>0</v>
      </c>
      <c r="BG573" s="4284">
        <f t="shared" si="341"/>
        <v>0</v>
      </c>
      <c r="BH573" s="4284">
        <f t="shared" si="342"/>
        <v>0</v>
      </c>
      <c r="BI573" s="4284">
        <f t="shared" si="343"/>
        <v>0</v>
      </c>
      <c r="BJ573" s="4284">
        <f t="shared" si="344"/>
        <v>0</v>
      </c>
      <c r="BK573" s="4284">
        <f t="shared" si="345"/>
        <v>0</v>
      </c>
      <c r="BL573" s="4284">
        <f t="shared" si="346"/>
        <v>0</v>
      </c>
      <c r="BM573" s="4284">
        <f t="shared" si="347"/>
        <v>0</v>
      </c>
      <c r="BN573" s="4284">
        <f t="shared" si="348"/>
        <v>0</v>
      </c>
      <c r="BO573" s="4284">
        <f t="shared" si="349"/>
        <v>0</v>
      </c>
      <c r="BP573" s="4284">
        <f t="shared" si="350"/>
        <v>0</v>
      </c>
      <c r="BQ573" s="4284">
        <f t="shared" si="351"/>
        <v>0</v>
      </c>
      <c r="BR573" s="4284">
        <f t="shared" si="352"/>
        <v>0</v>
      </c>
      <c r="BS573" s="4284">
        <f t="shared" si="353"/>
        <v>0</v>
      </c>
      <c r="BT573" s="4285">
        <f t="shared" si="354"/>
        <v>0</v>
      </c>
    </row>
    <row r="574" spans="1:72">
      <c r="A574" s="4278"/>
      <c r="B574" s="4279"/>
      <c r="C574" s="4279"/>
      <c r="D574" s="4280"/>
      <c r="E574" s="1188">
        <f t="shared" si="326"/>
        <v>0</v>
      </c>
      <c r="F574" s="1680"/>
      <c r="G574" s="4281">
        <f t="shared" si="327"/>
        <v>0</v>
      </c>
      <c r="H574" s="3457">
        <f t="shared" si="328"/>
        <v>0</v>
      </c>
      <c r="I574" s="4282"/>
      <c r="J574" s="4282"/>
      <c r="K574" s="4282"/>
      <c r="L574" s="4282"/>
      <c r="M574" s="4282"/>
      <c r="N574" s="4282"/>
      <c r="O574" s="4282"/>
      <c r="P574" s="4282"/>
      <c r="Q574" s="4282"/>
      <c r="R574" s="4282"/>
      <c r="S574" s="4282"/>
      <c r="T574" s="4282"/>
      <c r="U574" s="4282"/>
      <c r="V574" s="4282"/>
      <c r="W574" s="4282"/>
      <c r="X574" s="4282"/>
      <c r="Y574" s="4282"/>
      <c r="Z574" s="4282"/>
      <c r="AA574" s="4282"/>
      <c r="AB574" s="4282"/>
      <c r="AC574" s="1188">
        <f t="shared" si="329"/>
        <v>0</v>
      </c>
      <c r="AD574" s="4278"/>
      <c r="AE574" s="4278"/>
      <c r="AF574" s="4278"/>
      <c r="AG574" s="4278"/>
      <c r="AH574" s="4278"/>
      <c r="AI574" s="4278"/>
      <c r="AJ574" s="4278"/>
      <c r="AK574" s="4278"/>
      <c r="AL574" s="4278"/>
      <c r="AM574" s="4278"/>
      <c r="AN574" s="4278"/>
      <c r="AO574" s="4278"/>
      <c r="AP574" s="4278"/>
      <c r="AQ574" s="4278"/>
      <c r="AR574" s="4278"/>
      <c r="AS574" s="4278"/>
      <c r="AT574" s="4279"/>
      <c r="AU574" s="4283"/>
      <c r="AV574" s="1188">
        <f t="shared" si="330"/>
        <v>0</v>
      </c>
      <c r="AW574" s="1188">
        <f t="shared" si="331"/>
        <v>0</v>
      </c>
      <c r="AX574" s="1188">
        <f t="shared" si="332"/>
        <v>0</v>
      </c>
      <c r="AY574" s="1452">
        <f t="shared" si="333"/>
        <v>0</v>
      </c>
      <c r="AZ574" s="4284">
        <f t="shared" si="334"/>
        <v>0</v>
      </c>
      <c r="BA574" s="4284">
        <f t="shared" si="335"/>
        <v>0</v>
      </c>
      <c r="BB574" s="4284">
        <f t="shared" si="336"/>
        <v>0</v>
      </c>
      <c r="BC574" s="4284">
        <f t="shared" si="337"/>
        <v>0</v>
      </c>
      <c r="BD574" s="4284">
        <f t="shared" si="338"/>
        <v>0</v>
      </c>
      <c r="BE574" s="4284">
        <f t="shared" si="339"/>
        <v>0</v>
      </c>
      <c r="BF574" s="4284">
        <f t="shared" si="340"/>
        <v>0</v>
      </c>
      <c r="BG574" s="4284">
        <f t="shared" si="341"/>
        <v>0</v>
      </c>
      <c r="BH574" s="4284">
        <f t="shared" si="342"/>
        <v>0</v>
      </c>
      <c r="BI574" s="4284">
        <f t="shared" si="343"/>
        <v>0</v>
      </c>
      <c r="BJ574" s="4284">
        <f t="shared" si="344"/>
        <v>0</v>
      </c>
      <c r="BK574" s="4284">
        <f t="shared" si="345"/>
        <v>0</v>
      </c>
      <c r="BL574" s="4284">
        <f t="shared" si="346"/>
        <v>0</v>
      </c>
      <c r="BM574" s="4284">
        <f t="shared" si="347"/>
        <v>0</v>
      </c>
      <c r="BN574" s="4284">
        <f t="shared" si="348"/>
        <v>0</v>
      </c>
      <c r="BO574" s="4284">
        <f t="shared" si="349"/>
        <v>0</v>
      </c>
      <c r="BP574" s="4284">
        <f t="shared" si="350"/>
        <v>0</v>
      </c>
      <c r="BQ574" s="4284">
        <f t="shared" si="351"/>
        <v>0</v>
      </c>
      <c r="BR574" s="4284">
        <f t="shared" si="352"/>
        <v>0</v>
      </c>
      <c r="BS574" s="4284">
        <f t="shared" si="353"/>
        <v>0</v>
      </c>
      <c r="BT574" s="4285">
        <f t="shared" si="354"/>
        <v>0</v>
      </c>
    </row>
    <row r="575" spans="1:72">
      <c r="A575" s="4278"/>
      <c r="B575" s="4279"/>
      <c r="C575" s="4279"/>
      <c r="D575" s="4280"/>
      <c r="E575" s="1188">
        <f t="shared" si="326"/>
        <v>0</v>
      </c>
      <c r="F575" s="1680"/>
      <c r="G575" s="4281">
        <f t="shared" si="327"/>
        <v>0</v>
      </c>
      <c r="H575" s="3457">
        <f t="shared" si="328"/>
        <v>0</v>
      </c>
      <c r="I575" s="4282"/>
      <c r="J575" s="4282"/>
      <c r="K575" s="4282"/>
      <c r="L575" s="4282"/>
      <c r="M575" s="4282"/>
      <c r="N575" s="4282"/>
      <c r="O575" s="4282"/>
      <c r="P575" s="4282"/>
      <c r="Q575" s="4282"/>
      <c r="R575" s="4282"/>
      <c r="S575" s="4282"/>
      <c r="T575" s="4282"/>
      <c r="U575" s="4282"/>
      <c r="V575" s="4282"/>
      <c r="W575" s="4282"/>
      <c r="X575" s="4282"/>
      <c r="Y575" s="4282"/>
      <c r="Z575" s="4282"/>
      <c r="AA575" s="4282"/>
      <c r="AB575" s="4282"/>
      <c r="AC575" s="1188">
        <f t="shared" si="329"/>
        <v>0</v>
      </c>
      <c r="AD575" s="4278"/>
      <c r="AE575" s="4278"/>
      <c r="AF575" s="4278"/>
      <c r="AG575" s="4278"/>
      <c r="AH575" s="4278"/>
      <c r="AI575" s="4278"/>
      <c r="AJ575" s="4278"/>
      <c r="AK575" s="4278"/>
      <c r="AL575" s="4278"/>
      <c r="AM575" s="4278"/>
      <c r="AN575" s="4278"/>
      <c r="AO575" s="4278"/>
      <c r="AP575" s="4278"/>
      <c r="AQ575" s="4278"/>
      <c r="AR575" s="4278"/>
      <c r="AS575" s="4278"/>
      <c r="AT575" s="4279"/>
      <c r="AU575" s="4283"/>
      <c r="AV575" s="1188">
        <f t="shared" si="330"/>
        <v>0</v>
      </c>
      <c r="AW575" s="1188">
        <f t="shared" si="331"/>
        <v>0</v>
      </c>
      <c r="AX575" s="1188">
        <f t="shared" si="332"/>
        <v>0</v>
      </c>
      <c r="AY575" s="1452">
        <f t="shared" si="333"/>
        <v>0</v>
      </c>
      <c r="AZ575" s="4284">
        <f t="shared" si="334"/>
        <v>0</v>
      </c>
      <c r="BA575" s="4284">
        <f t="shared" si="335"/>
        <v>0</v>
      </c>
      <c r="BB575" s="4284">
        <f t="shared" si="336"/>
        <v>0</v>
      </c>
      <c r="BC575" s="4284">
        <f t="shared" si="337"/>
        <v>0</v>
      </c>
      <c r="BD575" s="4284">
        <f t="shared" si="338"/>
        <v>0</v>
      </c>
      <c r="BE575" s="4284">
        <f t="shared" si="339"/>
        <v>0</v>
      </c>
      <c r="BF575" s="4284">
        <f t="shared" si="340"/>
        <v>0</v>
      </c>
      <c r="BG575" s="4284">
        <f t="shared" si="341"/>
        <v>0</v>
      </c>
      <c r="BH575" s="4284">
        <f t="shared" si="342"/>
        <v>0</v>
      </c>
      <c r="BI575" s="4284">
        <f t="shared" si="343"/>
        <v>0</v>
      </c>
      <c r="BJ575" s="4284">
        <f t="shared" si="344"/>
        <v>0</v>
      </c>
      <c r="BK575" s="4284">
        <f t="shared" si="345"/>
        <v>0</v>
      </c>
      <c r="BL575" s="4284">
        <f t="shared" si="346"/>
        <v>0</v>
      </c>
      <c r="BM575" s="4284">
        <f t="shared" si="347"/>
        <v>0</v>
      </c>
      <c r="BN575" s="4284">
        <f t="shared" si="348"/>
        <v>0</v>
      </c>
      <c r="BO575" s="4284">
        <f t="shared" si="349"/>
        <v>0</v>
      </c>
      <c r="BP575" s="4284">
        <f t="shared" si="350"/>
        <v>0</v>
      </c>
      <c r="BQ575" s="4284">
        <f t="shared" si="351"/>
        <v>0</v>
      </c>
      <c r="BR575" s="4284">
        <f t="shared" si="352"/>
        <v>0</v>
      </c>
      <c r="BS575" s="4284">
        <f t="shared" si="353"/>
        <v>0</v>
      </c>
      <c r="BT575" s="4285">
        <f t="shared" si="354"/>
        <v>0</v>
      </c>
    </row>
    <row r="576" spans="1:72">
      <c r="A576" s="4278"/>
      <c r="B576" s="4279"/>
      <c r="C576" s="4279"/>
      <c r="D576" s="4280"/>
      <c r="E576" s="1188">
        <f t="shared" si="326"/>
        <v>0</v>
      </c>
      <c r="F576" s="1680"/>
      <c r="G576" s="4281">
        <f t="shared" si="327"/>
        <v>0</v>
      </c>
      <c r="H576" s="3457">
        <f t="shared" si="328"/>
        <v>0</v>
      </c>
      <c r="I576" s="4282"/>
      <c r="J576" s="4282"/>
      <c r="K576" s="4282"/>
      <c r="L576" s="4282"/>
      <c r="M576" s="4282"/>
      <c r="N576" s="4282"/>
      <c r="O576" s="4282"/>
      <c r="P576" s="4282"/>
      <c r="Q576" s="4282"/>
      <c r="R576" s="4282"/>
      <c r="S576" s="4282"/>
      <c r="T576" s="4282"/>
      <c r="U576" s="4282"/>
      <c r="V576" s="4282"/>
      <c r="W576" s="4282"/>
      <c r="X576" s="4282"/>
      <c r="Y576" s="4282"/>
      <c r="Z576" s="4282"/>
      <c r="AA576" s="4282"/>
      <c r="AB576" s="4282"/>
      <c r="AC576" s="1188">
        <f t="shared" si="329"/>
        <v>0</v>
      </c>
      <c r="AD576" s="4278"/>
      <c r="AE576" s="4278"/>
      <c r="AF576" s="4278"/>
      <c r="AG576" s="4278"/>
      <c r="AH576" s="4278"/>
      <c r="AI576" s="4278"/>
      <c r="AJ576" s="4278"/>
      <c r="AK576" s="4278"/>
      <c r="AL576" s="4278"/>
      <c r="AM576" s="4278"/>
      <c r="AN576" s="4278"/>
      <c r="AO576" s="4278"/>
      <c r="AP576" s="4278"/>
      <c r="AQ576" s="4278"/>
      <c r="AR576" s="4278"/>
      <c r="AS576" s="4278"/>
      <c r="AT576" s="4279"/>
      <c r="AU576" s="4283"/>
      <c r="AV576" s="1188">
        <f t="shared" si="330"/>
        <v>0</v>
      </c>
      <c r="AW576" s="1188">
        <f t="shared" si="331"/>
        <v>0</v>
      </c>
      <c r="AX576" s="1188">
        <f t="shared" si="332"/>
        <v>0</v>
      </c>
      <c r="AY576" s="1452">
        <f t="shared" si="333"/>
        <v>0</v>
      </c>
      <c r="AZ576" s="4284">
        <f t="shared" si="334"/>
        <v>0</v>
      </c>
      <c r="BA576" s="4284">
        <f t="shared" si="335"/>
        <v>0</v>
      </c>
      <c r="BB576" s="4284">
        <f t="shared" si="336"/>
        <v>0</v>
      </c>
      <c r="BC576" s="4284">
        <f t="shared" si="337"/>
        <v>0</v>
      </c>
      <c r="BD576" s="4284">
        <f t="shared" si="338"/>
        <v>0</v>
      </c>
      <c r="BE576" s="4284">
        <f t="shared" si="339"/>
        <v>0</v>
      </c>
      <c r="BF576" s="4284">
        <f t="shared" si="340"/>
        <v>0</v>
      </c>
      <c r="BG576" s="4284">
        <f t="shared" si="341"/>
        <v>0</v>
      </c>
      <c r="BH576" s="4284">
        <f t="shared" si="342"/>
        <v>0</v>
      </c>
      <c r="BI576" s="4284">
        <f t="shared" si="343"/>
        <v>0</v>
      </c>
      <c r="BJ576" s="4284">
        <f t="shared" si="344"/>
        <v>0</v>
      </c>
      <c r="BK576" s="4284">
        <f t="shared" si="345"/>
        <v>0</v>
      </c>
      <c r="BL576" s="4284">
        <f t="shared" si="346"/>
        <v>0</v>
      </c>
      <c r="BM576" s="4284">
        <f t="shared" si="347"/>
        <v>0</v>
      </c>
      <c r="BN576" s="4284">
        <f t="shared" si="348"/>
        <v>0</v>
      </c>
      <c r="BO576" s="4284">
        <f t="shared" si="349"/>
        <v>0</v>
      </c>
      <c r="BP576" s="4284">
        <f t="shared" si="350"/>
        <v>0</v>
      </c>
      <c r="BQ576" s="4284">
        <f t="shared" si="351"/>
        <v>0</v>
      </c>
      <c r="BR576" s="4284">
        <f t="shared" si="352"/>
        <v>0</v>
      </c>
      <c r="BS576" s="4284">
        <f t="shared" si="353"/>
        <v>0</v>
      </c>
      <c r="BT576" s="4285">
        <f t="shared" si="354"/>
        <v>0</v>
      </c>
    </row>
    <row r="577" spans="1:72">
      <c r="A577" s="4278"/>
      <c r="B577" s="4279"/>
      <c r="C577" s="4279"/>
      <c r="D577" s="4280"/>
      <c r="E577" s="1188">
        <f t="shared" si="326"/>
        <v>0</v>
      </c>
      <c r="F577" s="1680"/>
      <c r="G577" s="4281">
        <f t="shared" si="327"/>
        <v>0</v>
      </c>
      <c r="H577" s="3457">
        <f t="shared" si="328"/>
        <v>0</v>
      </c>
      <c r="I577" s="4282"/>
      <c r="J577" s="4282"/>
      <c r="K577" s="4282"/>
      <c r="L577" s="4282"/>
      <c r="M577" s="4282"/>
      <c r="N577" s="4282"/>
      <c r="O577" s="4282"/>
      <c r="P577" s="4282"/>
      <c r="Q577" s="4282"/>
      <c r="R577" s="4282"/>
      <c r="S577" s="4282"/>
      <c r="T577" s="4282"/>
      <c r="U577" s="4282"/>
      <c r="V577" s="4282"/>
      <c r="W577" s="4282"/>
      <c r="X577" s="4282"/>
      <c r="Y577" s="4282"/>
      <c r="Z577" s="4282"/>
      <c r="AA577" s="4282"/>
      <c r="AB577" s="4282"/>
      <c r="AC577" s="1188">
        <f t="shared" si="329"/>
        <v>0</v>
      </c>
      <c r="AD577" s="4278"/>
      <c r="AE577" s="4278"/>
      <c r="AF577" s="4278"/>
      <c r="AG577" s="4278"/>
      <c r="AH577" s="4278"/>
      <c r="AI577" s="4278"/>
      <c r="AJ577" s="4278"/>
      <c r="AK577" s="4278"/>
      <c r="AL577" s="4278"/>
      <c r="AM577" s="4278"/>
      <c r="AN577" s="4278"/>
      <c r="AO577" s="4278"/>
      <c r="AP577" s="4278"/>
      <c r="AQ577" s="4278"/>
      <c r="AR577" s="4278"/>
      <c r="AS577" s="4278"/>
      <c r="AT577" s="4279"/>
      <c r="AU577" s="4283"/>
      <c r="AV577" s="1188">
        <f t="shared" si="330"/>
        <v>0</v>
      </c>
      <c r="AW577" s="1188">
        <f t="shared" si="331"/>
        <v>0</v>
      </c>
      <c r="AX577" s="1188">
        <f t="shared" si="332"/>
        <v>0</v>
      </c>
      <c r="AY577" s="1452">
        <f t="shared" si="333"/>
        <v>0</v>
      </c>
      <c r="AZ577" s="4284">
        <f t="shared" si="334"/>
        <v>0</v>
      </c>
      <c r="BA577" s="4284">
        <f t="shared" si="335"/>
        <v>0</v>
      </c>
      <c r="BB577" s="4284">
        <f t="shared" si="336"/>
        <v>0</v>
      </c>
      <c r="BC577" s="4284">
        <f t="shared" si="337"/>
        <v>0</v>
      </c>
      <c r="BD577" s="4284">
        <f t="shared" si="338"/>
        <v>0</v>
      </c>
      <c r="BE577" s="4284">
        <f t="shared" si="339"/>
        <v>0</v>
      </c>
      <c r="BF577" s="4284">
        <f t="shared" si="340"/>
        <v>0</v>
      </c>
      <c r="BG577" s="4284">
        <f t="shared" si="341"/>
        <v>0</v>
      </c>
      <c r="BH577" s="4284">
        <f t="shared" si="342"/>
        <v>0</v>
      </c>
      <c r="BI577" s="4284">
        <f t="shared" si="343"/>
        <v>0</v>
      </c>
      <c r="BJ577" s="4284">
        <f t="shared" si="344"/>
        <v>0</v>
      </c>
      <c r="BK577" s="4284">
        <f t="shared" si="345"/>
        <v>0</v>
      </c>
      <c r="BL577" s="4284">
        <f t="shared" si="346"/>
        <v>0</v>
      </c>
      <c r="BM577" s="4284">
        <f t="shared" si="347"/>
        <v>0</v>
      </c>
      <c r="BN577" s="4284">
        <f t="shared" si="348"/>
        <v>0</v>
      </c>
      <c r="BO577" s="4284">
        <f t="shared" si="349"/>
        <v>0</v>
      </c>
      <c r="BP577" s="4284">
        <f t="shared" si="350"/>
        <v>0</v>
      </c>
      <c r="BQ577" s="4284">
        <f t="shared" si="351"/>
        <v>0</v>
      </c>
      <c r="BR577" s="4284">
        <f t="shared" si="352"/>
        <v>0</v>
      </c>
      <c r="BS577" s="4284">
        <f t="shared" si="353"/>
        <v>0</v>
      </c>
      <c r="BT577" s="4285">
        <f t="shared" si="354"/>
        <v>0</v>
      </c>
    </row>
    <row r="578" spans="1:72">
      <c r="A578" s="4278"/>
      <c r="B578" s="4279"/>
      <c r="C578" s="4279"/>
      <c r="D578" s="4280"/>
      <c r="E578" s="1188">
        <f t="shared" si="326"/>
        <v>0</v>
      </c>
      <c r="F578" s="1680"/>
      <c r="G578" s="4281">
        <f t="shared" si="327"/>
        <v>0</v>
      </c>
      <c r="H578" s="3457">
        <f t="shared" si="328"/>
        <v>0</v>
      </c>
      <c r="I578" s="4282"/>
      <c r="J578" s="4282"/>
      <c r="K578" s="4282"/>
      <c r="L578" s="4282"/>
      <c r="M578" s="4282"/>
      <c r="N578" s="4282"/>
      <c r="O578" s="4282"/>
      <c r="P578" s="4282"/>
      <c r="Q578" s="4282"/>
      <c r="R578" s="4282"/>
      <c r="S578" s="4282"/>
      <c r="T578" s="4282"/>
      <c r="U578" s="4282"/>
      <c r="V578" s="4282"/>
      <c r="W578" s="4282"/>
      <c r="X578" s="4282"/>
      <c r="Y578" s="4282"/>
      <c r="Z578" s="4282"/>
      <c r="AA578" s="4282"/>
      <c r="AB578" s="4282"/>
      <c r="AC578" s="1188">
        <f t="shared" si="329"/>
        <v>0</v>
      </c>
      <c r="AD578" s="4278"/>
      <c r="AE578" s="4278"/>
      <c r="AF578" s="4278"/>
      <c r="AG578" s="4278"/>
      <c r="AH578" s="4278"/>
      <c r="AI578" s="4278"/>
      <c r="AJ578" s="4278"/>
      <c r="AK578" s="4278"/>
      <c r="AL578" s="4278"/>
      <c r="AM578" s="4278"/>
      <c r="AN578" s="4278"/>
      <c r="AO578" s="4278"/>
      <c r="AP578" s="4278"/>
      <c r="AQ578" s="4278"/>
      <c r="AR578" s="4278"/>
      <c r="AS578" s="4278"/>
      <c r="AT578" s="4279"/>
      <c r="AU578" s="4283"/>
      <c r="AV578" s="1188">
        <f t="shared" si="330"/>
        <v>0</v>
      </c>
      <c r="AW578" s="1188">
        <f t="shared" si="331"/>
        <v>0</v>
      </c>
      <c r="AX578" s="1188">
        <f t="shared" si="332"/>
        <v>0</v>
      </c>
      <c r="AY578" s="1452">
        <f t="shared" si="333"/>
        <v>0</v>
      </c>
      <c r="AZ578" s="4284">
        <f t="shared" si="334"/>
        <v>0</v>
      </c>
      <c r="BA578" s="4284">
        <f t="shared" si="335"/>
        <v>0</v>
      </c>
      <c r="BB578" s="4284">
        <f t="shared" si="336"/>
        <v>0</v>
      </c>
      <c r="BC578" s="4284">
        <f t="shared" si="337"/>
        <v>0</v>
      </c>
      <c r="BD578" s="4284">
        <f t="shared" si="338"/>
        <v>0</v>
      </c>
      <c r="BE578" s="4284">
        <f t="shared" si="339"/>
        <v>0</v>
      </c>
      <c r="BF578" s="4284">
        <f t="shared" si="340"/>
        <v>0</v>
      </c>
      <c r="BG578" s="4284">
        <f t="shared" si="341"/>
        <v>0</v>
      </c>
      <c r="BH578" s="4284">
        <f t="shared" si="342"/>
        <v>0</v>
      </c>
      <c r="BI578" s="4284">
        <f t="shared" si="343"/>
        <v>0</v>
      </c>
      <c r="BJ578" s="4284">
        <f t="shared" si="344"/>
        <v>0</v>
      </c>
      <c r="BK578" s="4284">
        <f t="shared" si="345"/>
        <v>0</v>
      </c>
      <c r="BL578" s="4284">
        <f t="shared" si="346"/>
        <v>0</v>
      </c>
      <c r="BM578" s="4284">
        <f t="shared" si="347"/>
        <v>0</v>
      </c>
      <c r="BN578" s="4284">
        <f t="shared" si="348"/>
        <v>0</v>
      </c>
      <c r="BO578" s="4284">
        <f t="shared" si="349"/>
        <v>0</v>
      </c>
      <c r="BP578" s="4284">
        <f t="shared" si="350"/>
        <v>0</v>
      </c>
      <c r="BQ578" s="4284">
        <f t="shared" si="351"/>
        <v>0</v>
      </c>
      <c r="BR578" s="4284">
        <f t="shared" si="352"/>
        <v>0</v>
      </c>
      <c r="BS578" s="4284">
        <f t="shared" si="353"/>
        <v>0</v>
      </c>
      <c r="BT578" s="4285">
        <f t="shared" si="354"/>
        <v>0</v>
      </c>
    </row>
    <row r="579" spans="1:72">
      <c r="A579" s="4278"/>
      <c r="B579" s="4279"/>
      <c r="C579" s="4279"/>
      <c r="D579" s="4280"/>
      <c r="E579" s="1188">
        <f t="shared" si="326"/>
        <v>0</v>
      </c>
      <c r="F579" s="1680"/>
      <c r="G579" s="4281">
        <f t="shared" si="327"/>
        <v>0</v>
      </c>
      <c r="H579" s="3457">
        <f t="shared" si="328"/>
        <v>0</v>
      </c>
      <c r="I579" s="4282"/>
      <c r="J579" s="4282"/>
      <c r="K579" s="4282"/>
      <c r="L579" s="4282"/>
      <c r="M579" s="4282"/>
      <c r="N579" s="4282"/>
      <c r="O579" s="4282"/>
      <c r="P579" s="4282"/>
      <c r="Q579" s="4282"/>
      <c r="R579" s="4282"/>
      <c r="S579" s="4282"/>
      <c r="T579" s="4282"/>
      <c r="U579" s="4282"/>
      <c r="V579" s="4282"/>
      <c r="W579" s="4282"/>
      <c r="X579" s="4282"/>
      <c r="Y579" s="4282"/>
      <c r="Z579" s="4282"/>
      <c r="AA579" s="4282"/>
      <c r="AB579" s="4282"/>
      <c r="AC579" s="1188">
        <f t="shared" si="329"/>
        <v>0</v>
      </c>
      <c r="AD579" s="4278"/>
      <c r="AE579" s="4278"/>
      <c r="AF579" s="4278"/>
      <c r="AG579" s="4278"/>
      <c r="AH579" s="4278"/>
      <c r="AI579" s="4278"/>
      <c r="AJ579" s="4278"/>
      <c r="AK579" s="4278"/>
      <c r="AL579" s="4278"/>
      <c r="AM579" s="4278"/>
      <c r="AN579" s="4278"/>
      <c r="AO579" s="4278"/>
      <c r="AP579" s="4278"/>
      <c r="AQ579" s="4278"/>
      <c r="AR579" s="4278"/>
      <c r="AS579" s="4278"/>
      <c r="AT579" s="4279"/>
      <c r="AU579" s="4283"/>
      <c r="AV579" s="1188">
        <f t="shared" si="330"/>
        <v>0</v>
      </c>
      <c r="AW579" s="1188">
        <f t="shared" si="331"/>
        <v>0</v>
      </c>
      <c r="AX579" s="1188">
        <f t="shared" si="332"/>
        <v>0</v>
      </c>
      <c r="AY579" s="1452">
        <f t="shared" si="333"/>
        <v>0</v>
      </c>
      <c r="AZ579" s="4284">
        <f t="shared" si="334"/>
        <v>0</v>
      </c>
      <c r="BA579" s="4284">
        <f t="shared" si="335"/>
        <v>0</v>
      </c>
      <c r="BB579" s="4284">
        <f t="shared" si="336"/>
        <v>0</v>
      </c>
      <c r="BC579" s="4284">
        <f t="shared" si="337"/>
        <v>0</v>
      </c>
      <c r="BD579" s="4284">
        <f t="shared" si="338"/>
        <v>0</v>
      </c>
      <c r="BE579" s="4284">
        <f t="shared" si="339"/>
        <v>0</v>
      </c>
      <c r="BF579" s="4284">
        <f t="shared" si="340"/>
        <v>0</v>
      </c>
      <c r="BG579" s="4284">
        <f t="shared" si="341"/>
        <v>0</v>
      </c>
      <c r="BH579" s="4284">
        <f t="shared" si="342"/>
        <v>0</v>
      </c>
      <c r="BI579" s="4284">
        <f t="shared" si="343"/>
        <v>0</v>
      </c>
      <c r="BJ579" s="4284">
        <f t="shared" si="344"/>
        <v>0</v>
      </c>
      <c r="BK579" s="4284">
        <f t="shared" si="345"/>
        <v>0</v>
      </c>
      <c r="BL579" s="4284">
        <f t="shared" si="346"/>
        <v>0</v>
      </c>
      <c r="BM579" s="4284">
        <f t="shared" si="347"/>
        <v>0</v>
      </c>
      <c r="BN579" s="4284">
        <f t="shared" si="348"/>
        <v>0</v>
      </c>
      <c r="BO579" s="4284">
        <f t="shared" si="349"/>
        <v>0</v>
      </c>
      <c r="BP579" s="4284">
        <f t="shared" si="350"/>
        <v>0</v>
      </c>
      <c r="BQ579" s="4284">
        <f t="shared" si="351"/>
        <v>0</v>
      </c>
      <c r="BR579" s="4284">
        <f t="shared" si="352"/>
        <v>0</v>
      </c>
      <c r="BS579" s="4284">
        <f t="shared" si="353"/>
        <v>0</v>
      </c>
      <c r="BT579" s="4285">
        <f t="shared" si="354"/>
        <v>0</v>
      </c>
    </row>
    <row r="580" spans="1:72">
      <c r="A580" s="4278"/>
      <c r="B580" s="4279"/>
      <c r="C580" s="4279"/>
      <c r="D580" s="4280"/>
      <c r="E580" s="1188">
        <f t="shared" si="326"/>
        <v>0</v>
      </c>
      <c r="F580" s="1680"/>
      <c r="G580" s="4281">
        <f t="shared" si="327"/>
        <v>0</v>
      </c>
      <c r="H580" s="3457">
        <f t="shared" si="328"/>
        <v>0</v>
      </c>
      <c r="I580" s="4282"/>
      <c r="J580" s="4282"/>
      <c r="K580" s="4282"/>
      <c r="L580" s="4282"/>
      <c r="M580" s="4282"/>
      <c r="N580" s="4282"/>
      <c r="O580" s="4282"/>
      <c r="P580" s="4282"/>
      <c r="Q580" s="4282"/>
      <c r="R580" s="4282"/>
      <c r="S580" s="4282"/>
      <c r="T580" s="4282"/>
      <c r="U580" s="4282"/>
      <c r="V580" s="4282"/>
      <c r="W580" s="4282"/>
      <c r="X580" s="4282"/>
      <c r="Y580" s="4282"/>
      <c r="Z580" s="4282"/>
      <c r="AA580" s="4282"/>
      <c r="AB580" s="4282"/>
      <c r="AC580" s="1188">
        <f t="shared" si="329"/>
        <v>0</v>
      </c>
      <c r="AD580" s="4278"/>
      <c r="AE580" s="4278"/>
      <c r="AF580" s="4278"/>
      <c r="AG580" s="4278"/>
      <c r="AH580" s="4278"/>
      <c r="AI580" s="4278"/>
      <c r="AJ580" s="4278"/>
      <c r="AK580" s="4278"/>
      <c r="AL580" s="4278"/>
      <c r="AM580" s="4278"/>
      <c r="AN580" s="4278"/>
      <c r="AO580" s="4278"/>
      <c r="AP580" s="4278"/>
      <c r="AQ580" s="4278"/>
      <c r="AR580" s="4278"/>
      <c r="AS580" s="4278"/>
      <c r="AT580" s="4279"/>
      <c r="AU580" s="4283"/>
      <c r="AV580" s="1188">
        <f t="shared" si="330"/>
        <v>0</v>
      </c>
      <c r="AW580" s="1188">
        <f t="shared" si="331"/>
        <v>0</v>
      </c>
      <c r="AX580" s="1188">
        <f t="shared" si="332"/>
        <v>0</v>
      </c>
      <c r="AY580" s="1452">
        <f t="shared" si="333"/>
        <v>0</v>
      </c>
      <c r="AZ580" s="4284">
        <f t="shared" si="334"/>
        <v>0</v>
      </c>
      <c r="BA580" s="4284">
        <f t="shared" si="335"/>
        <v>0</v>
      </c>
      <c r="BB580" s="4284">
        <f t="shared" si="336"/>
        <v>0</v>
      </c>
      <c r="BC580" s="4284">
        <f t="shared" si="337"/>
        <v>0</v>
      </c>
      <c r="BD580" s="4284">
        <f t="shared" si="338"/>
        <v>0</v>
      </c>
      <c r="BE580" s="4284">
        <f t="shared" si="339"/>
        <v>0</v>
      </c>
      <c r="BF580" s="4284">
        <f t="shared" si="340"/>
        <v>0</v>
      </c>
      <c r="BG580" s="4284">
        <f t="shared" si="341"/>
        <v>0</v>
      </c>
      <c r="BH580" s="4284">
        <f t="shared" si="342"/>
        <v>0</v>
      </c>
      <c r="BI580" s="4284">
        <f t="shared" si="343"/>
        <v>0</v>
      </c>
      <c r="BJ580" s="4284">
        <f t="shared" si="344"/>
        <v>0</v>
      </c>
      <c r="BK580" s="4284">
        <f t="shared" si="345"/>
        <v>0</v>
      </c>
      <c r="BL580" s="4284">
        <f t="shared" si="346"/>
        <v>0</v>
      </c>
      <c r="BM580" s="4284">
        <f t="shared" si="347"/>
        <v>0</v>
      </c>
      <c r="BN580" s="4284">
        <f t="shared" si="348"/>
        <v>0</v>
      </c>
      <c r="BO580" s="4284">
        <f t="shared" si="349"/>
        <v>0</v>
      </c>
      <c r="BP580" s="4284">
        <f t="shared" si="350"/>
        <v>0</v>
      </c>
      <c r="BQ580" s="4284">
        <f t="shared" si="351"/>
        <v>0</v>
      </c>
      <c r="BR580" s="4284">
        <f t="shared" si="352"/>
        <v>0</v>
      </c>
      <c r="BS580" s="4284">
        <f t="shared" si="353"/>
        <v>0</v>
      </c>
      <c r="BT580" s="4285">
        <f t="shared" si="354"/>
        <v>0</v>
      </c>
    </row>
    <row r="581" spans="1:72">
      <c r="A581" s="4278"/>
      <c r="B581" s="4279"/>
      <c r="C581" s="4279"/>
      <c r="D581" s="4280"/>
      <c r="E581" s="1188">
        <f t="shared" si="326"/>
        <v>0</v>
      </c>
      <c r="F581" s="1680"/>
      <c r="G581" s="4281">
        <f t="shared" si="327"/>
        <v>0</v>
      </c>
      <c r="H581" s="3457">
        <f t="shared" si="328"/>
        <v>0</v>
      </c>
      <c r="I581" s="4282"/>
      <c r="J581" s="4282"/>
      <c r="K581" s="4282"/>
      <c r="L581" s="4282"/>
      <c r="M581" s="4282"/>
      <c r="N581" s="4282"/>
      <c r="O581" s="4282"/>
      <c r="P581" s="4282"/>
      <c r="Q581" s="4282"/>
      <c r="R581" s="4282"/>
      <c r="S581" s="4282"/>
      <c r="T581" s="4282"/>
      <c r="U581" s="4282"/>
      <c r="V581" s="4282"/>
      <c r="W581" s="4282"/>
      <c r="X581" s="4282"/>
      <c r="Y581" s="4282"/>
      <c r="Z581" s="4282"/>
      <c r="AA581" s="4282"/>
      <c r="AB581" s="4282"/>
      <c r="AC581" s="1188">
        <f t="shared" si="329"/>
        <v>0</v>
      </c>
      <c r="AD581" s="4278"/>
      <c r="AE581" s="4278"/>
      <c r="AF581" s="4278"/>
      <c r="AG581" s="4278"/>
      <c r="AH581" s="4278"/>
      <c r="AI581" s="4278"/>
      <c r="AJ581" s="4278"/>
      <c r="AK581" s="4278"/>
      <c r="AL581" s="4278"/>
      <c r="AM581" s="4278"/>
      <c r="AN581" s="4278"/>
      <c r="AO581" s="4278"/>
      <c r="AP581" s="4278"/>
      <c r="AQ581" s="4278"/>
      <c r="AR581" s="4278"/>
      <c r="AS581" s="4278"/>
      <c r="AT581" s="4279"/>
      <c r="AU581" s="4283"/>
      <c r="AV581" s="1188">
        <f t="shared" si="330"/>
        <v>0</v>
      </c>
      <c r="AW581" s="1188">
        <f t="shared" si="331"/>
        <v>0</v>
      </c>
      <c r="AX581" s="1188">
        <f t="shared" si="332"/>
        <v>0</v>
      </c>
      <c r="AY581" s="1452">
        <f t="shared" si="333"/>
        <v>0</v>
      </c>
      <c r="AZ581" s="4284">
        <f t="shared" si="334"/>
        <v>0</v>
      </c>
      <c r="BA581" s="4284">
        <f t="shared" si="335"/>
        <v>0</v>
      </c>
      <c r="BB581" s="4284">
        <f t="shared" si="336"/>
        <v>0</v>
      </c>
      <c r="BC581" s="4284">
        <f t="shared" si="337"/>
        <v>0</v>
      </c>
      <c r="BD581" s="4284">
        <f t="shared" si="338"/>
        <v>0</v>
      </c>
      <c r="BE581" s="4284">
        <f t="shared" si="339"/>
        <v>0</v>
      </c>
      <c r="BF581" s="4284">
        <f t="shared" si="340"/>
        <v>0</v>
      </c>
      <c r="BG581" s="4284">
        <f t="shared" si="341"/>
        <v>0</v>
      </c>
      <c r="BH581" s="4284">
        <f t="shared" si="342"/>
        <v>0</v>
      </c>
      <c r="BI581" s="4284">
        <f t="shared" si="343"/>
        <v>0</v>
      </c>
      <c r="BJ581" s="4284">
        <f t="shared" si="344"/>
        <v>0</v>
      </c>
      <c r="BK581" s="4284">
        <f t="shared" si="345"/>
        <v>0</v>
      </c>
      <c r="BL581" s="4284">
        <f t="shared" si="346"/>
        <v>0</v>
      </c>
      <c r="BM581" s="4284">
        <f t="shared" si="347"/>
        <v>0</v>
      </c>
      <c r="BN581" s="4284">
        <f t="shared" si="348"/>
        <v>0</v>
      </c>
      <c r="BO581" s="4284">
        <f t="shared" si="349"/>
        <v>0</v>
      </c>
      <c r="BP581" s="4284">
        <f t="shared" si="350"/>
        <v>0</v>
      </c>
      <c r="BQ581" s="4284">
        <f t="shared" si="351"/>
        <v>0</v>
      </c>
      <c r="BR581" s="4284">
        <f t="shared" si="352"/>
        <v>0</v>
      </c>
      <c r="BS581" s="4284">
        <f t="shared" si="353"/>
        <v>0</v>
      </c>
      <c r="BT581" s="4285">
        <f t="shared" si="354"/>
        <v>0</v>
      </c>
    </row>
    <row r="582" spans="1:72">
      <c r="A582" s="4278"/>
      <c r="B582" s="4279"/>
      <c r="C582" s="4279"/>
      <c r="D582" s="4280"/>
      <c r="E582" s="1188">
        <f t="shared" si="326"/>
        <v>0</v>
      </c>
      <c r="F582" s="1680"/>
      <c r="G582" s="4281">
        <f t="shared" si="327"/>
        <v>0</v>
      </c>
      <c r="H582" s="3457">
        <f t="shared" si="328"/>
        <v>0</v>
      </c>
      <c r="I582" s="4282"/>
      <c r="J582" s="4282"/>
      <c r="K582" s="4282"/>
      <c r="L582" s="4282"/>
      <c r="M582" s="4282"/>
      <c r="N582" s="4282"/>
      <c r="O582" s="4282"/>
      <c r="P582" s="4282"/>
      <c r="Q582" s="4282"/>
      <c r="R582" s="4282"/>
      <c r="S582" s="4282"/>
      <c r="T582" s="4282"/>
      <c r="U582" s="4282"/>
      <c r="V582" s="4282"/>
      <c r="W582" s="4282"/>
      <c r="X582" s="4282"/>
      <c r="Y582" s="4282"/>
      <c r="Z582" s="4282"/>
      <c r="AA582" s="4282"/>
      <c r="AB582" s="4282"/>
      <c r="AC582" s="1188">
        <f t="shared" si="329"/>
        <v>0</v>
      </c>
      <c r="AD582" s="4278"/>
      <c r="AE582" s="4278"/>
      <c r="AF582" s="4278"/>
      <c r="AG582" s="4278"/>
      <c r="AH582" s="4278"/>
      <c r="AI582" s="4278"/>
      <c r="AJ582" s="4278"/>
      <c r="AK582" s="4278"/>
      <c r="AL582" s="4278"/>
      <c r="AM582" s="4278"/>
      <c r="AN582" s="4278"/>
      <c r="AO582" s="4278"/>
      <c r="AP582" s="4278"/>
      <c r="AQ582" s="4278"/>
      <c r="AR582" s="4278"/>
      <c r="AS582" s="4278"/>
      <c r="AT582" s="4279"/>
      <c r="AU582" s="4283"/>
      <c r="AV582" s="1188">
        <f t="shared" si="330"/>
        <v>0</v>
      </c>
      <c r="AW582" s="1188">
        <f t="shared" si="331"/>
        <v>0</v>
      </c>
      <c r="AX582" s="1188">
        <f t="shared" si="332"/>
        <v>0</v>
      </c>
      <c r="AY582" s="1452">
        <f t="shared" si="333"/>
        <v>0</v>
      </c>
      <c r="AZ582" s="4284">
        <f t="shared" si="334"/>
        <v>0</v>
      </c>
      <c r="BA582" s="4284">
        <f t="shared" si="335"/>
        <v>0</v>
      </c>
      <c r="BB582" s="4284">
        <f t="shared" si="336"/>
        <v>0</v>
      </c>
      <c r="BC582" s="4284">
        <f t="shared" si="337"/>
        <v>0</v>
      </c>
      <c r="BD582" s="4284">
        <f t="shared" si="338"/>
        <v>0</v>
      </c>
      <c r="BE582" s="4284">
        <f t="shared" si="339"/>
        <v>0</v>
      </c>
      <c r="BF582" s="4284">
        <f t="shared" si="340"/>
        <v>0</v>
      </c>
      <c r="BG582" s="4284">
        <f t="shared" si="341"/>
        <v>0</v>
      </c>
      <c r="BH582" s="4284">
        <f t="shared" si="342"/>
        <v>0</v>
      </c>
      <c r="BI582" s="4284">
        <f t="shared" si="343"/>
        <v>0</v>
      </c>
      <c r="BJ582" s="4284">
        <f t="shared" si="344"/>
        <v>0</v>
      </c>
      <c r="BK582" s="4284">
        <f t="shared" si="345"/>
        <v>0</v>
      </c>
      <c r="BL582" s="4284">
        <f t="shared" si="346"/>
        <v>0</v>
      </c>
      <c r="BM582" s="4284">
        <f t="shared" si="347"/>
        <v>0</v>
      </c>
      <c r="BN582" s="4284">
        <f t="shared" si="348"/>
        <v>0</v>
      </c>
      <c r="BO582" s="4284">
        <f t="shared" si="349"/>
        <v>0</v>
      </c>
      <c r="BP582" s="4284">
        <f t="shared" si="350"/>
        <v>0</v>
      </c>
      <c r="BQ582" s="4284">
        <f t="shared" si="351"/>
        <v>0</v>
      </c>
      <c r="BR582" s="4284">
        <f t="shared" si="352"/>
        <v>0</v>
      </c>
      <c r="BS582" s="4284">
        <f t="shared" si="353"/>
        <v>0</v>
      </c>
      <c r="BT582" s="4285">
        <f t="shared" si="354"/>
        <v>0</v>
      </c>
    </row>
    <row r="583" spans="1:72">
      <c r="A583" s="4278"/>
      <c r="B583" s="4279"/>
      <c r="C583" s="4279"/>
      <c r="D583" s="4280"/>
      <c r="E583" s="1188">
        <f t="shared" si="326"/>
        <v>0</v>
      </c>
      <c r="F583" s="1680"/>
      <c r="G583" s="4281">
        <f t="shared" si="327"/>
        <v>0</v>
      </c>
      <c r="H583" s="3457">
        <f t="shared" si="328"/>
        <v>0</v>
      </c>
      <c r="I583" s="4282"/>
      <c r="J583" s="4282"/>
      <c r="K583" s="4282"/>
      <c r="L583" s="4282"/>
      <c r="M583" s="4282"/>
      <c r="N583" s="4282"/>
      <c r="O583" s="4282"/>
      <c r="P583" s="4282"/>
      <c r="Q583" s="4282"/>
      <c r="R583" s="4282"/>
      <c r="S583" s="4282"/>
      <c r="T583" s="4282"/>
      <c r="U583" s="4282"/>
      <c r="V583" s="4282"/>
      <c r="W583" s="4282"/>
      <c r="X583" s="4282"/>
      <c r="Y583" s="4282"/>
      <c r="Z583" s="4282"/>
      <c r="AA583" s="4282"/>
      <c r="AB583" s="4282"/>
      <c r="AC583" s="1188">
        <f t="shared" si="329"/>
        <v>0</v>
      </c>
      <c r="AD583" s="4278"/>
      <c r="AE583" s="4278"/>
      <c r="AF583" s="4278"/>
      <c r="AG583" s="4278"/>
      <c r="AH583" s="4278"/>
      <c r="AI583" s="4278"/>
      <c r="AJ583" s="4278"/>
      <c r="AK583" s="4278"/>
      <c r="AL583" s="4278"/>
      <c r="AM583" s="4278"/>
      <c r="AN583" s="4278"/>
      <c r="AO583" s="4278"/>
      <c r="AP583" s="4278"/>
      <c r="AQ583" s="4278"/>
      <c r="AR583" s="4278"/>
      <c r="AS583" s="4278"/>
      <c r="AT583" s="4279"/>
      <c r="AU583" s="4283"/>
      <c r="AV583" s="1188">
        <f t="shared" si="330"/>
        <v>0</v>
      </c>
      <c r="AW583" s="1188">
        <f t="shared" si="331"/>
        <v>0</v>
      </c>
      <c r="AX583" s="1188">
        <f t="shared" si="332"/>
        <v>0</v>
      </c>
      <c r="AY583" s="1452">
        <f t="shared" si="333"/>
        <v>0</v>
      </c>
      <c r="AZ583" s="4284">
        <f t="shared" si="334"/>
        <v>0</v>
      </c>
      <c r="BA583" s="4284">
        <f t="shared" si="335"/>
        <v>0</v>
      </c>
      <c r="BB583" s="4284">
        <f t="shared" si="336"/>
        <v>0</v>
      </c>
      <c r="BC583" s="4284">
        <f t="shared" si="337"/>
        <v>0</v>
      </c>
      <c r="BD583" s="4284">
        <f t="shared" si="338"/>
        <v>0</v>
      </c>
      <c r="BE583" s="4284">
        <f t="shared" si="339"/>
        <v>0</v>
      </c>
      <c r="BF583" s="4284">
        <f t="shared" si="340"/>
        <v>0</v>
      </c>
      <c r="BG583" s="4284">
        <f t="shared" si="341"/>
        <v>0</v>
      </c>
      <c r="BH583" s="4284">
        <f t="shared" si="342"/>
        <v>0</v>
      </c>
      <c r="BI583" s="4284">
        <f t="shared" si="343"/>
        <v>0</v>
      </c>
      <c r="BJ583" s="4284">
        <f t="shared" si="344"/>
        <v>0</v>
      </c>
      <c r="BK583" s="4284">
        <f t="shared" si="345"/>
        <v>0</v>
      </c>
      <c r="BL583" s="4284">
        <f t="shared" si="346"/>
        <v>0</v>
      </c>
      <c r="BM583" s="4284">
        <f t="shared" si="347"/>
        <v>0</v>
      </c>
      <c r="BN583" s="4284">
        <f t="shared" si="348"/>
        <v>0</v>
      </c>
      <c r="BO583" s="4284">
        <f t="shared" si="349"/>
        <v>0</v>
      </c>
      <c r="BP583" s="4284">
        <f t="shared" si="350"/>
        <v>0</v>
      </c>
      <c r="BQ583" s="4284">
        <f t="shared" si="351"/>
        <v>0</v>
      </c>
      <c r="BR583" s="4284">
        <f t="shared" si="352"/>
        <v>0</v>
      </c>
      <c r="BS583" s="4284">
        <f t="shared" si="353"/>
        <v>0</v>
      </c>
      <c r="BT583" s="4285">
        <f t="shared" si="354"/>
        <v>0</v>
      </c>
    </row>
    <row r="584" spans="1:72">
      <c r="A584" s="4278"/>
      <c r="B584" s="4279"/>
      <c r="C584" s="4279"/>
      <c r="D584" s="4280"/>
      <c r="E584" s="1188">
        <f t="shared" si="326"/>
        <v>0</v>
      </c>
      <c r="F584" s="1680"/>
      <c r="G584" s="4281">
        <f t="shared" si="327"/>
        <v>0</v>
      </c>
      <c r="H584" s="3457">
        <f t="shared" si="328"/>
        <v>0</v>
      </c>
      <c r="I584" s="4282"/>
      <c r="J584" s="4282"/>
      <c r="K584" s="4282"/>
      <c r="L584" s="4282"/>
      <c r="M584" s="4282"/>
      <c r="N584" s="4282"/>
      <c r="O584" s="4282"/>
      <c r="P584" s="4282"/>
      <c r="Q584" s="4282"/>
      <c r="R584" s="4282"/>
      <c r="S584" s="4282"/>
      <c r="T584" s="4282"/>
      <c r="U584" s="4282"/>
      <c r="V584" s="4282"/>
      <c r="W584" s="4282"/>
      <c r="X584" s="4282"/>
      <c r="Y584" s="4282"/>
      <c r="Z584" s="4282"/>
      <c r="AA584" s="4282"/>
      <c r="AB584" s="4282"/>
      <c r="AC584" s="1188">
        <f t="shared" si="329"/>
        <v>0</v>
      </c>
      <c r="AD584" s="4278"/>
      <c r="AE584" s="4278"/>
      <c r="AF584" s="4278"/>
      <c r="AG584" s="4278"/>
      <c r="AH584" s="4278"/>
      <c r="AI584" s="4278"/>
      <c r="AJ584" s="4278"/>
      <c r="AK584" s="4278"/>
      <c r="AL584" s="4278"/>
      <c r="AM584" s="4278"/>
      <c r="AN584" s="4278"/>
      <c r="AO584" s="4278"/>
      <c r="AP584" s="4278"/>
      <c r="AQ584" s="4278"/>
      <c r="AR584" s="4278"/>
      <c r="AS584" s="4278"/>
      <c r="AT584" s="4279"/>
      <c r="AU584" s="4283"/>
      <c r="AV584" s="1188">
        <f t="shared" si="330"/>
        <v>0</v>
      </c>
      <c r="AW584" s="1188">
        <f t="shared" si="331"/>
        <v>0</v>
      </c>
      <c r="AX584" s="1188">
        <f t="shared" si="332"/>
        <v>0</v>
      </c>
      <c r="AY584" s="1452">
        <f t="shared" si="333"/>
        <v>0</v>
      </c>
      <c r="AZ584" s="4284">
        <f t="shared" si="334"/>
        <v>0</v>
      </c>
      <c r="BA584" s="4284">
        <f t="shared" si="335"/>
        <v>0</v>
      </c>
      <c r="BB584" s="4284">
        <f t="shared" si="336"/>
        <v>0</v>
      </c>
      <c r="BC584" s="4284">
        <f t="shared" si="337"/>
        <v>0</v>
      </c>
      <c r="BD584" s="4284">
        <f t="shared" si="338"/>
        <v>0</v>
      </c>
      <c r="BE584" s="4284">
        <f t="shared" si="339"/>
        <v>0</v>
      </c>
      <c r="BF584" s="4284">
        <f t="shared" si="340"/>
        <v>0</v>
      </c>
      <c r="BG584" s="4284">
        <f t="shared" si="341"/>
        <v>0</v>
      </c>
      <c r="BH584" s="4284">
        <f t="shared" si="342"/>
        <v>0</v>
      </c>
      <c r="BI584" s="4284">
        <f t="shared" si="343"/>
        <v>0</v>
      </c>
      <c r="BJ584" s="4284">
        <f t="shared" si="344"/>
        <v>0</v>
      </c>
      <c r="BK584" s="4284">
        <f t="shared" si="345"/>
        <v>0</v>
      </c>
      <c r="BL584" s="4284">
        <f t="shared" si="346"/>
        <v>0</v>
      </c>
      <c r="BM584" s="4284">
        <f t="shared" si="347"/>
        <v>0</v>
      </c>
      <c r="BN584" s="4284">
        <f t="shared" si="348"/>
        <v>0</v>
      </c>
      <c r="BO584" s="4284">
        <f t="shared" si="349"/>
        <v>0</v>
      </c>
      <c r="BP584" s="4284">
        <f t="shared" si="350"/>
        <v>0</v>
      </c>
      <c r="BQ584" s="4284">
        <f t="shared" si="351"/>
        <v>0</v>
      </c>
      <c r="BR584" s="4284">
        <f t="shared" si="352"/>
        <v>0</v>
      </c>
      <c r="BS584" s="4284">
        <f t="shared" si="353"/>
        <v>0</v>
      </c>
      <c r="BT584" s="4285">
        <f t="shared" si="354"/>
        <v>0</v>
      </c>
    </row>
    <row r="585" spans="1:72">
      <c r="A585" s="4278"/>
      <c r="B585" s="4278"/>
      <c r="C585" s="4278"/>
      <c r="D585" s="4280"/>
      <c r="E585" s="1188">
        <f t="shared" si="326"/>
        <v>0</v>
      </c>
      <c r="F585" s="1667"/>
      <c r="G585" s="4281">
        <f t="shared" si="327"/>
        <v>0</v>
      </c>
      <c r="H585" s="3457">
        <f t="shared" si="328"/>
        <v>0</v>
      </c>
      <c r="I585" s="4282"/>
      <c r="J585" s="4282"/>
      <c r="K585" s="4282"/>
      <c r="L585" s="4282"/>
      <c r="M585" s="4282"/>
      <c r="N585" s="4282"/>
      <c r="O585" s="4282"/>
      <c r="P585" s="4282"/>
      <c r="Q585" s="4282"/>
      <c r="R585" s="4282"/>
      <c r="S585" s="4282"/>
      <c r="T585" s="4282"/>
      <c r="U585" s="4282"/>
      <c r="V585" s="4282"/>
      <c r="W585" s="4282"/>
      <c r="X585" s="4282"/>
      <c r="Y585" s="4282"/>
      <c r="Z585" s="4282"/>
      <c r="AA585" s="4282"/>
      <c r="AB585" s="4282"/>
      <c r="AC585" s="1188">
        <f t="shared" si="329"/>
        <v>0</v>
      </c>
      <c r="AD585" s="4278"/>
      <c r="AE585" s="4278"/>
      <c r="AF585" s="4278"/>
      <c r="AG585" s="4278"/>
      <c r="AH585" s="4278"/>
      <c r="AI585" s="4278"/>
      <c r="AJ585" s="4278"/>
      <c r="AK585" s="4278"/>
      <c r="AL585" s="4278"/>
      <c r="AM585" s="4278"/>
      <c r="AN585" s="4278"/>
      <c r="AO585" s="4278"/>
      <c r="AP585" s="4278"/>
      <c r="AQ585" s="4278"/>
      <c r="AR585" s="4278"/>
      <c r="AS585" s="4278"/>
      <c r="AT585" s="4278"/>
      <c r="AU585" s="4286"/>
      <c r="AV585" s="1188">
        <f t="shared" si="330"/>
        <v>0</v>
      </c>
      <c r="AW585" s="1188">
        <f t="shared" si="331"/>
        <v>0</v>
      </c>
      <c r="AX585" s="1188">
        <f t="shared" si="332"/>
        <v>0</v>
      </c>
      <c r="AY585" s="1452">
        <f t="shared" si="333"/>
        <v>0</v>
      </c>
      <c r="AZ585" s="4284">
        <f t="shared" si="334"/>
        <v>0</v>
      </c>
      <c r="BA585" s="4284">
        <f t="shared" si="335"/>
        <v>0</v>
      </c>
      <c r="BB585" s="4284">
        <f t="shared" si="336"/>
        <v>0</v>
      </c>
      <c r="BC585" s="4284">
        <f t="shared" si="337"/>
        <v>0</v>
      </c>
      <c r="BD585" s="4284">
        <f t="shared" si="338"/>
        <v>0</v>
      </c>
      <c r="BE585" s="4284">
        <f t="shared" si="339"/>
        <v>0</v>
      </c>
      <c r="BF585" s="4284">
        <f t="shared" si="340"/>
        <v>0</v>
      </c>
      <c r="BG585" s="4284">
        <f t="shared" si="341"/>
        <v>0</v>
      </c>
      <c r="BH585" s="4284">
        <f t="shared" si="342"/>
        <v>0</v>
      </c>
      <c r="BI585" s="4284">
        <f t="shared" si="343"/>
        <v>0</v>
      </c>
      <c r="BJ585" s="4284">
        <f t="shared" si="344"/>
        <v>0</v>
      </c>
      <c r="BK585" s="4284">
        <f t="shared" si="345"/>
        <v>0</v>
      </c>
      <c r="BL585" s="4284">
        <f t="shared" si="346"/>
        <v>0</v>
      </c>
      <c r="BM585" s="4284">
        <f t="shared" si="347"/>
        <v>0</v>
      </c>
      <c r="BN585" s="4284">
        <f t="shared" si="348"/>
        <v>0</v>
      </c>
      <c r="BO585" s="4284">
        <f t="shared" si="349"/>
        <v>0</v>
      </c>
      <c r="BP585" s="4284">
        <f t="shared" si="350"/>
        <v>0</v>
      </c>
      <c r="BQ585" s="4284">
        <f t="shared" si="351"/>
        <v>0</v>
      </c>
      <c r="BR585" s="4284">
        <f t="shared" si="352"/>
        <v>0</v>
      </c>
      <c r="BS585" s="4284">
        <f t="shared" si="353"/>
        <v>0</v>
      </c>
      <c r="BT585" s="4285">
        <f t="shared" si="354"/>
        <v>0</v>
      </c>
    </row>
    <row r="586" spans="1:72">
      <c r="A586" s="4278"/>
      <c r="B586" s="4278"/>
      <c r="C586" s="4278"/>
      <c r="D586" s="4280"/>
      <c r="E586" s="1188">
        <f t="shared" si="326"/>
        <v>0</v>
      </c>
      <c r="F586" s="1667"/>
      <c r="G586" s="4281">
        <f t="shared" si="327"/>
        <v>0</v>
      </c>
      <c r="H586" s="3457">
        <f t="shared" si="328"/>
        <v>0</v>
      </c>
      <c r="I586" s="4282"/>
      <c r="J586" s="4282"/>
      <c r="K586" s="4282"/>
      <c r="L586" s="4282"/>
      <c r="M586" s="4282"/>
      <c r="N586" s="4282"/>
      <c r="O586" s="4282"/>
      <c r="P586" s="4282"/>
      <c r="Q586" s="4282"/>
      <c r="R586" s="4282"/>
      <c r="S586" s="4282"/>
      <c r="T586" s="4282"/>
      <c r="U586" s="4282"/>
      <c r="V586" s="4282"/>
      <c r="W586" s="4282"/>
      <c r="X586" s="4282"/>
      <c r="Y586" s="4282"/>
      <c r="Z586" s="4282"/>
      <c r="AA586" s="4282"/>
      <c r="AB586" s="4282"/>
      <c r="AC586" s="1188">
        <f t="shared" si="329"/>
        <v>0</v>
      </c>
      <c r="AD586" s="4278"/>
      <c r="AE586" s="4278"/>
      <c r="AF586" s="4278"/>
      <c r="AG586" s="4278"/>
      <c r="AH586" s="4278"/>
      <c r="AI586" s="4278"/>
      <c r="AJ586" s="4278"/>
      <c r="AK586" s="4278"/>
      <c r="AL586" s="4278"/>
      <c r="AM586" s="4278"/>
      <c r="AN586" s="4278"/>
      <c r="AO586" s="4278"/>
      <c r="AP586" s="4278"/>
      <c r="AQ586" s="4278"/>
      <c r="AR586" s="4278"/>
      <c r="AS586" s="4278"/>
      <c r="AT586" s="4278"/>
      <c r="AU586" s="4286"/>
      <c r="AV586" s="1188">
        <f t="shared" si="330"/>
        <v>0</v>
      </c>
      <c r="AW586" s="1188">
        <f t="shared" si="331"/>
        <v>0</v>
      </c>
      <c r="AX586" s="1188">
        <f t="shared" si="332"/>
        <v>0</v>
      </c>
      <c r="AY586" s="1452">
        <f t="shared" si="333"/>
        <v>0</v>
      </c>
      <c r="AZ586" s="4284">
        <f t="shared" si="334"/>
        <v>0</v>
      </c>
      <c r="BA586" s="4284">
        <f t="shared" si="335"/>
        <v>0</v>
      </c>
      <c r="BB586" s="4284">
        <f t="shared" si="336"/>
        <v>0</v>
      </c>
      <c r="BC586" s="4284">
        <f t="shared" si="337"/>
        <v>0</v>
      </c>
      <c r="BD586" s="4284">
        <f t="shared" si="338"/>
        <v>0</v>
      </c>
      <c r="BE586" s="4284">
        <f t="shared" si="339"/>
        <v>0</v>
      </c>
      <c r="BF586" s="4284">
        <f t="shared" si="340"/>
        <v>0</v>
      </c>
      <c r="BG586" s="4284">
        <f t="shared" si="341"/>
        <v>0</v>
      </c>
      <c r="BH586" s="4284">
        <f t="shared" si="342"/>
        <v>0</v>
      </c>
      <c r="BI586" s="4284">
        <f t="shared" si="343"/>
        <v>0</v>
      </c>
      <c r="BJ586" s="4284">
        <f t="shared" si="344"/>
        <v>0</v>
      </c>
      <c r="BK586" s="4284">
        <f t="shared" si="345"/>
        <v>0</v>
      </c>
      <c r="BL586" s="4284">
        <f t="shared" si="346"/>
        <v>0</v>
      </c>
      <c r="BM586" s="4284">
        <f t="shared" si="347"/>
        <v>0</v>
      </c>
      <c r="BN586" s="4284">
        <f t="shared" si="348"/>
        <v>0</v>
      </c>
      <c r="BO586" s="4284">
        <f t="shared" si="349"/>
        <v>0</v>
      </c>
      <c r="BP586" s="4284">
        <f t="shared" si="350"/>
        <v>0</v>
      </c>
      <c r="BQ586" s="4284">
        <f t="shared" si="351"/>
        <v>0</v>
      </c>
      <c r="BR586" s="4284">
        <f t="shared" si="352"/>
        <v>0</v>
      </c>
      <c r="BS586" s="4284">
        <f t="shared" si="353"/>
        <v>0</v>
      </c>
      <c r="BT586" s="4285">
        <f t="shared" si="354"/>
        <v>0</v>
      </c>
    </row>
    <row r="587" spans="1:72">
      <c r="A587" s="4278"/>
      <c r="B587" s="4278"/>
      <c r="C587" s="4278"/>
      <c r="D587" s="4280"/>
      <c r="E587" s="1188">
        <f t="shared" si="326"/>
        <v>0</v>
      </c>
      <c r="F587" s="1667"/>
      <c r="G587" s="4281">
        <f t="shared" si="327"/>
        <v>0</v>
      </c>
      <c r="H587" s="3457">
        <f t="shared" si="328"/>
        <v>0</v>
      </c>
      <c r="I587" s="4282"/>
      <c r="J587" s="4282"/>
      <c r="K587" s="4282"/>
      <c r="L587" s="4282"/>
      <c r="M587" s="4282"/>
      <c r="N587" s="4282"/>
      <c r="O587" s="4282"/>
      <c r="P587" s="4282"/>
      <c r="Q587" s="4282"/>
      <c r="R587" s="4282"/>
      <c r="S587" s="4282"/>
      <c r="T587" s="4282"/>
      <c r="U587" s="4282"/>
      <c r="V587" s="4282"/>
      <c r="W587" s="4282"/>
      <c r="X587" s="4282"/>
      <c r="Y587" s="4282"/>
      <c r="Z587" s="4282"/>
      <c r="AA587" s="4282"/>
      <c r="AB587" s="4282"/>
      <c r="AC587" s="1188">
        <f t="shared" si="329"/>
        <v>0</v>
      </c>
      <c r="AD587" s="4278"/>
      <c r="AE587" s="4278"/>
      <c r="AF587" s="4278"/>
      <c r="AG587" s="4278"/>
      <c r="AH587" s="4278"/>
      <c r="AI587" s="4278"/>
      <c r="AJ587" s="4278"/>
      <c r="AK587" s="4278"/>
      <c r="AL587" s="4278"/>
      <c r="AM587" s="4278"/>
      <c r="AN587" s="4278"/>
      <c r="AO587" s="4278"/>
      <c r="AP587" s="4278"/>
      <c r="AQ587" s="4278"/>
      <c r="AR587" s="4278"/>
      <c r="AS587" s="4278"/>
      <c r="AT587" s="4278"/>
      <c r="AU587" s="4286"/>
      <c r="AV587" s="1188">
        <f t="shared" si="330"/>
        <v>0</v>
      </c>
      <c r="AW587" s="1188">
        <f t="shared" si="331"/>
        <v>0</v>
      </c>
      <c r="AX587" s="1188">
        <f t="shared" si="332"/>
        <v>0</v>
      </c>
      <c r="AY587" s="1452">
        <f t="shared" si="333"/>
        <v>0</v>
      </c>
      <c r="AZ587" s="4284">
        <f t="shared" si="334"/>
        <v>0</v>
      </c>
      <c r="BA587" s="4284">
        <f t="shared" si="335"/>
        <v>0</v>
      </c>
      <c r="BB587" s="4284">
        <f t="shared" si="336"/>
        <v>0</v>
      </c>
      <c r="BC587" s="4284">
        <f t="shared" si="337"/>
        <v>0</v>
      </c>
      <c r="BD587" s="4284">
        <f t="shared" si="338"/>
        <v>0</v>
      </c>
      <c r="BE587" s="4284">
        <f t="shared" si="339"/>
        <v>0</v>
      </c>
      <c r="BF587" s="4284">
        <f t="shared" si="340"/>
        <v>0</v>
      </c>
      <c r="BG587" s="4284">
        <f t="shared" si="341"/>
        <v>0</v>
      </c>
      <c r="BH587" s="4284">
        <f t="shared" si="342"/>
        <v>0</v>
      </c>
      <c r="BI587" s="4284">
        <f t="shared" si="343"/>
        <v>0</v>
      </c>
      <c r="BJ587" s="4284">
        <f t="shared" si="344"/>
        <v>0</v>
      </c>
      <c r="BK587" s="4284">
        <f t="shared" si="345"/>
        <v>0</v>
      </c>
      <c r="BL587" s="4284">
        <f t="shared" si="346"/>
        <v>0</v>
      </c>
      <c r="BM587" s="4284">
        <f t="shared" si="347"/>
        <v>0</v>
      </c>
      <c r="BN587" s="4284">
        <f t="shared" si="348"/>
        <v>0</v>
      </c>
      <c r="BO587" s="4284">
        <f t="shared" si="349"/>
        <v>0</v>
      </c>
      <c r="BP587" s="4284">
        <f t="shared" si="350"/>
        <v>0</v>
      </c>
      <c r="BQ587" s="4284">
        <f t="shared" si="351"/>
        <v>0</v>
      </c>
      <c r="BR587" s="4284">
        <f t="shared" si="352"/>
        <v>0</v>
      </c>
      <c r="BS587" s="4284">
        <f t="shared" si="353"/>
        <v>0</v>
      </c>
      <c r="BT587" s="4285">
        <f t="shared" si="354"/>
        <v>0</v>
      </c>
    </row>
    <row r="588" s="4215" customFormat="1" spans="1:72">
      <c r="A588" s="4287"/>
      <c r="B588" s="4287"/>
      <c r="C588" s="4287"/>
      <c r="D588" s="4287"/>
      <c r="E588" s="4288"/>
      <c r="F588" s="4288"/>
      <c r="G588" s="4287"/>
      <c r="H588" s="4288"/>
      <c r="I588" s="4288"/>
      <c r="J588" s="4288"/>
      <c r="K588" s="4288"/>
      <c r="L588" s="4288"/>
      <c r="M588" s="4288"/>
      <c r="N588" s="4288"/>
      <c r="O588" s="4288"/>
      <c r="P588" s="4288"/>
      <c r="Q588" s="4288"/>
      <c r="R588" s="4288"/>
      <c r="S588" s="4288"/>
      <c r="T588" s="4288"/>
      <c r="U588" s="4288"/>
      <c r="V588" s="4288"/>
      <c r="W588" s="4288"/>
      <c r="X588" s="4288"/>
      <c r="Y588" s="4288"/>
      <c r="Z588" s="4288"/>
      <c r="AA588" s="4288"/>
      <c r="AB588" s="4288"/>
      <c r="AC588" s="4288"/>
      <c r="AD588" s="4288"/>
      <c r="AE588" s="4288"/>
      <c r="AF588" s="4288"/>
      <c r="AG588" s="4288"/>
      <c r="AH588" s="4288"/>
      <c r="AI588" s="4288"/>
      <c r="AJ588" s="4288"/>
      <c r="AK588" s="4288"/>
      <c r="AL588" s="4288"/>
      <c r="AM588" s="4288"/>
      <c r="AN588" s="4288"/>
      <c r="AO588" s="4288"/>
      <c r="AP588" s="4288"/>
      <c r="AQ588" s="4288"/>
      <c r="AR588" s="4288"/>
      <c r="AS588" s="4288"/>
      <c r="AT588" s="4288"/>
      <c r="AU588" s="4287"/>
      <c r="AV588" s="4287"/>
      <c r="AW588" s="4287"/>
      <c r="AX588" s="4287"/>
    </row>
    <row r="589" s="4216" customFormat="1" spans="1:72">
      <c r="C589" s="4289"/>
      <c r="D589" s="4289"/>
    </row>
    <row r="590" s="4216" customFormat="1" spans="1:72">
      <c r="C590" s="4289"/>
      <c r="D590" s="4289"/>
    </row>
    <row r="593" spans="2:2">
      <c r="B593" s="428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9" sqref="G19"/>
    </sheetView>
  </sheetViews>
  <sheetFormatPr defaultColWidth="9.25" defaultRowHeight="14.25"/>
  <cols>
    <col min="1" max="1" width="12.125" style="4135" customWidth="1"/>
    <col min="2" max="2" width="10.25" style="4135" customWidth="1"/>
    <col min="3" max="3" width="18.5" style="4135" customWidth="1"/>
    <col min="4" max="4" width="11.625" style="4135" customWidth="1"/>
    <col min="5" max="5" width="13.375" style="4135" customWidth="1"/>
    <col min="6" max="8" width="11.5" style="4135" customWidth="1"/>
    <col min="9" max="9" width="11.125" style="4135" customWidth="1"/>
    <col min="10" max="10" width="3.125" style="4136" customWidth="1"/>
    <col min="11" max="16" width="10" style="4135" customWidth="1"/>
    <col min="17" max="17" width="2.625" style="4135" customWidth="1"/>
    <col min="18" max="18" width="9.625" style="4135" customWidth="1"/>
    <col min="19" max="19" width="10.625" style="4135" customWidth="1"/>
    <col min="20" max="16384" width="9.25" style="4135"/>
  </cols>
  <sheetData>
    <row r="1" ht="19.5" spans="1:16">
      <c r="A1" s="3446" t="s">
        <v>638</v>
      </c>
      <c r="B1" s="3543"/>
      <c r="C1" s="3543"/>
      <c r="D1" s="3543"/>
      <c r="E1" s="3543"/>
      <c r="F1" s="3543"/>
      <c r="G1" s="3543"/>
      <c r="H1" s="3543"/>
      <c r="I1" s="3543"/>
      <c r="J1" s="3543"/>
      <c r="K1" s="3543"/>
      <c r="L1" s="3543"/>
      <c r="M1" s="3543"/>
      <c r="N1" s="3543"/>
      <c r="O1" s="3543"/>
      <c r="P1" s="3543"/>
    </row>
    <row r="2" spans="1:16">
      <c r="A2" s="774" t="s">
        <v>639</v>
      </c>
      <c r="B2" s="774"/>
      <c r="C2" s="774"/>
      <c r="D2" s="774" t="s">
        <v>640</v>
      </c>
      <c r="E2" s="4137" t="s">
        <v>641</v>
      </c>
      <c r="F2" s="4138"/>
      <c r="G2" s="4139"/>
      <c r="H2" s="4140"/>
      <c r="I2" s="3755" t="s">
        <v>642</v>
      </c>
      <c r="J2" s="4138"/>
      <c r="K2" s="4138"/>
      <c r="L2" s="4138"/>
      <c r="M2" s="4138"/>
      <c r="N2" s="1670"/>
      <c r="O2" s="4138"/>
      <c r="P2" s="4138"/>
    </row>
    <row r="3" ht="15.75" spans="1:16">
      <c r="A3" s="4141" t="s">
        <v>643</v>
      </c>
      <c r="B3" s="4141"/>
      <c r="C3" s="4141"/>
      <c r="D3" s="4142">
        <f>'数据-基础表'!AY6</f>
        <v>0</v>
      </c>
      <c r="E3" s="4142">
        <f>'数据-基础表'!AZ5</f>
        <v>20903.38</v>
      </c>
      <c r="F3" s="4138"/>
      <c r="G3" s="4143"/>
      <c r="H3" s="3481" t="s">
        <v>644</v>
      </c>
      <c r="I3" s="4144" t="e">
        <f>ROUND('数据-基础表'!B3/'数据-基础表'!A3,2)</f>
        <v>#DIV/0!</v>
      </c>
      <c r="J3" s="4138"/>
      <c r="K3" s="4138"/>
      <c r="L3" s="4138"/>
      <c r="M3" s="4138"/>
      <c r="N3" s="1670"/>
      <c r="O3" s="4138"/>
      <c r="P3" s="4138"/>
    </row>
    <row r="4" ht="15" spans="1:16">
      <c r="A4" s="3753"/>
      <c r="B4" s="3754"/>
      <c r="C4" s="4145"/>
      <c r="D4" s="1360" t="s">
        <v>640</v>
      </c>
      <c r="E4" s="4146" t="s">
        <v>641</v>
      </c>
      <c r="F4" s="4138"/>
      <c r="G4" s="4147" t="s">
        <v>645</v>
      </c>
      <c r="H4" s="3481" t="s">
        <v>646</v>
      </c>
      <c r="I4" s="4144" t="e">
        <f>ROUND(SUMIF('数据-基础表'!I9:AS9,"地上",'数据-基础表'!I5:AS5)/'数据-基础表'!A3,2)</f>
        <v>#DIV/0!</v>
      </c>
      <c r="J4" s="4138"/>
      <c r="K4" s="4138"/>
      <c r="L4" s="4138"/>
      <c r="M4" s="4138"/>
      <c r="N4" s="1670"/>
      <c r="O4" s="4138"/>
      <c r="P4" s="4138"/>
    </row>
    <row r="5" spans="1:16">
      <c r="A5" s="4148" t="s">
        <v>647</v>
      </c>
      <c r="B5" s="1462" t="s">
        <v>648</v>
      </c>
      <c r="C5" s="1462"/>
      <c r="D5" s="3982">
        <f>ROUND($D$3*E5/$E$3,2)</f>
        <v>0</v>
      </c>
      <c r="E5" s="3782">
        <f>SUMIF('数据-基础表'!$11:$11,"住宅",'数据-基础表'!$5:$5)</f>
        <v>0</v>
      </c>
      <c r="F5" s="4138"/>
      <c r="G5" s="4143"/>
      <c r="H5" s="3481" t="s">
        <v>644</v>
      </c>
      <c r="I5" s="4144" t="e">
        <f>ROUND(E31/D31,2)</f>
        <v>#DIV/0!</v>
      </c>
      <c r="J5" s="4138"/>
      <c r="K5" s="4138"/>
      <c r="L5" s="4138"/>
      <c r="M5" s="4138"/>
      <c r="N5" s="4138"/>
      <c r="O5" s="4138"/>
      <c r="P5" s="4138"/>
    </row>
    <row r="6" ht="15" spans="1:16">
      <c r="A6" s="4149"/>
      <c r="B6" s="1462" t="s">
        <v>649</v>
      </c>
      <c r="C6" s="1462"/>
      <c r="D6" s="3982">
        <f>ROUND($D$3*E6/$E$3,2)</f>
        <v>0</v>
      </c>
      <c r="E6" s="3782">
        <f>E3-E5</f>
        <v>20903.38</v>
      </c>
      <c r="F6" s="4138"/>
      <c r="G6" s="4150" t="s">
        <v>650</v>
      </c>
      <c r="H6" s="3487" t="s">
        <v>646</v>
      </c>
      <c r="I6" s="4151" t="e">
        <f>ROUND(F31/D31,2)</f>
        <v>#DIV/0!</v>
      </c>
      <c r="J6" s="4138"/>
      <c r="K6" s="4138"/>
      <c r="L6" s="4138"/>
      <c r="M6" s="4138"/>
      <c r="N6" s="4138"/>
      <c r="O6" s="4138"/>
      <c r="P6" s="4138"/>
    </row>
    <row r="7" ht="15" spans="1:16">
      <c r="A7" s="4152"/>
      <c r="B7" s="4153"/>
      <c r="C7" s="4154"/>
      <c r="D7" s="1360" t="s">
        <v>640</v>
      </c>
      <c r="E7" s="4155" t="s">
        <v>651</v>
      </c>
      <c r="F7" s="4138"/>
      <c r="G7" s="4156" t="s">
        <v>652</v>
      </c>
      <c r="H7" s="4157"/>
      <c r="I7" s="4158">
        <v>1</v>
      </c>
      <c r="J7" s="4138"/>
      <c r="K7" s="4138"/>
      <c r="L7" s="4138"/>
      <c r="M7" s="4138"/>
      <c r="N7" s="4138"/>
      <c r="O7" s="4138"/>
      <c r="P7" s="4138"/>
    </row>
    <row r="8" spans="1:16">
      <c r="A8" s="4148" t="s">
        <v>653</v>
      </c>
      <c r="B8" s="4159" t="s">
        <v>654</v>
      </c>
      <c r="C8" s="1294" t="s">
        <v>655</v>
      </c>
      <c r="D8" s="3982">
        <f t="shared" ref="D8:D15" si="0">ROUND($D$3*E8/$E$3,2)</f>
        <v>0</v>
      </c>
      <c r="E8" s="3782">
        <f>SUMIF('数据-基础表'!BB10:BK10,"地上",'数据-基础表'!BB5:BK5)</f>
        <v>20386.47</v>
      </c>
      <c r="F8" s="4138"/>
      <c r="G8" s="4160"/>
      <c r="H8" s="4160"/>
      <c r="I8" s="4138"/>
      <c r="J8" s="4138"/>
      <c r="K8" s="4138"/>
      <c r="L8" s="4138"/>
      <c r="M8" s="4138"/>
      <c r="N8" s="4138"/>
      <c r="O8" s="4138"/>
      <c r="P8" s="4138"/>
    </row>
    <row r="9" spans="1:16">
      <c r="A9" s="4161"/>
      <c r="B9" s="4162"/>
      <c r="C9" s="1294" t="s">
        <v>656</v>
      </c>
      <c r="D9" s="3982">
        <f t="shared" si="0"/>
        <v>0</v>
      </c>
      <c r="E9" s="4163"/>
      <c r="F9" s="4138"/>
      <c r="G9" s="4160"/>
      <c r="H9" s="4160"/>
      <c r="I9" s="4138"/>
      <c r="J9" s="4138"/>
      <c r="K9" s="4138"/>
      <c r="L9" s="4138"/>
      <c r="M9" s="4138"/>
      <c r="N9" s="4138"/>
      <c r="O9" s="4138"/>
      <c r="P9" s="4138"/>
    </row>
    <row r="10" spans="1:16">
      <c r="A10" s="4161"/>
      <c r="B10" s="4162"/>
      <c r="C10" s="1294" t="s">
        <v>657</v>
      </c>
      <c r="D10" s="3982">
        <f t="shared" si="0"/>
        <v>0</v>
      </c>
      <c r="E10" s="3782">
        <f>SUMPRODUCT(('数据-基础表'!BB10:BK10="地下")*('数据-基础表'!BB11:BK11="商业")*('数据-基础表'!BB5:BK5))</f>
        <v>0</v>
      </c>
      <c r="F10" s="4138"/>
      <c r="G10" s="4160"/>
      <c r="H10" s="4160"/>
      <c r="I10" s="4138"/>
      <c r="J10" s="4138"/>
      <c r="K10" s="4138"/>
      <c r="L10" s="4138"/>
      <c r="M10" s="4138"/>
      <c r="N10" s="4138"/>
      <c r="O10" s="4138"/>
      <c r="P10" s="4138"/>
    </row>
    <row r="11" spans="1:16">
      <c r="A11" s="4161"/>
      <c r="B11" s="4162"/>
      <c r="C11" s="1294" t="s">
        <v>658</v>
      </c>
      <c r="D11" s="3982">
        <f t="shared" si="0"/>
        <v>0</v>
      </c>
      <c r="E11" s="3782">
        <f>SUMPRODUCT(('数据-基础表'!BB10:BK10="地下")*('数据-基础表'!BB11:BK11="办公")*('数据-基础表'!BB5:BK5))+'数据-基础表'!BP5</f>
        <v>0</v>
      </c>
      <c r="F11" s="4138"/>
      <c r="G11" s="4160"/>
      <c r="H11" s="4160"/>
      <c r="I11" s="4138"/>
      <c r="J11" s="4138"/>
      <c r="K11" s="4138"/>
      <c r="L11" s="4138"/>
      <c r="M11" s="4138"/>
      <c r="N11" s="4138"/>
      <c r="O11" s="4138"/>
      <c r="P11" s="4138"/>
    </row>
    <row r="12" spans="1:16">
      <c r="A12" s="4161"/>
      <c r="B12" s="4162"/>
      <c r="C12" s="1294" t="s">
        <v>659</v>
      </c>
      <c r="D12" s="3982">
        <f t="shared" si="0"/>
        <v>0</v>
      </c>
      <c r="E12" s="3782">
        <f>SUMPRODUCT(('数据-基础表'!BB10:BK10="地下")*('数据-基础表'!BB11:BK11="仓储")*('数据-基础表'!BB5:BK5))</f>
        <v>0</v>
      </c>
      <c r="F12" s="4138"/>
      <c r="G12" s="4160"/>
      <c r="H12" s="4160"/>
      <c r="I12" s="4138"/>
      <c r="J12" s="4138"/>
      <c r="K12" s="4138"/>
      <c r="L12" s="4138"/>
      <c r="M12" s="4138"/>
      <c r="N12" s="4138"/>
      <c r="O12" s="4138"/>
      <c r="P12" s="4138"/>
    </row>
    <row r="13" spans="1:16">
      <c r="A13" s="4161"/>
      <c r="B13" s="4162"/>
      <c r="C13" s="1294" t="s">
        <v>660</v>
      </c>
      <c r="D13" s="3982">
        <f t="shared" si="0"/>
        <v>0</v>
      </c>
      <c r="E13" s="3782">
        <f>SUMPRODUCT(('数据-基础表'!BB10:BK10="地下")*('数据-基础表'!BB11:BK11="车库")*('数据-基础表'!BB5:BK5))</f>
        <v>0</v>
      </c>
      <c r="F13" s="4138"/>
      <c r="G13" s="4160"/>
      <c r="H13" s="4160"/>
      <c r="I13" s="4138"/>
      <c r="J13" s="4138"/>
      <c r="K13" s="4138"/>
      <c r="L13" s="4138"/>
      <c r="M13" s="4138"/>
      <c r="N13" s="4138"/>
      <c r="O13" s="4138"/>
      <c r="P13" s="4138"/>
    </row>
    <row r="14" spans="1:16">
      <c r="A14" s="4161"/>
      <c r="B14" s="4162"/>
      <c r="C14" s="1294" t="s">
        <v>661</v>
      </c>
      <c r="D14" s="3982">
        <f t="shared" si="0"/>
        <v>0</v>
      </c>
      <c r="E14" s="3782">
        <f>SUMPRODUCT(('数据-基础表'!BB10:BK10="地下")*('数据-基础表'!BB11:BK11="车库—商业")*('数据-基础表'!BB5:BK5))</f>
        <v>0</v>
      </c>
      <c r="F14" s="4138"/>
      <c r="G14" s="4160"/>
      <c r="H14" s="4160"/>
      <c r="I14" s="4138"/>
      <c r="J14" s="4138"/>
      <c r="K14" s="4138"/>
      <c r="L14" s="4138"/>
      <c r="M14" s="4138"/>
      <c r="N14" s="4138"/>
      <c r="O14" s="4138"/>
      <c r="P14" s="4138"/>
    </row>
    <row r="15" ht="15" spans="1:16">
      <c r="A15" s="4161"/>
      <c r="B15" s="4162"/>
      <c r="C15" s="1294" t="s">
        <v>662</v>
      </c>
      <c r="D15" s="3982">
        <f t="shared" si="0"/>
        <v>0</v>
      </c>
      <c r="E15" s="3782">
        <f>SUMPRODUCT(('数据-基础表'!BB10:BK10="地下")*('数据-基础表'!BB11:BK11="车库—办公")*('数据-基础表'!BB5:BK5))</f>
        <v>0</v>
      </c>
      <c r="F15" s="4138"/>
      <c r="G15" s="4160"/>
      <c r="H15" s="4160"/>
      <c r="I15" s="4138"/>
      <c r="J15" s="4138"/>
      <c r="K15" s="4138"/>
      <c r="L15" s="4138"/>
      <c r="M15" s="4138"/>
      <c r="N15" s="4138"/>
      <c r="O15" s="4138"/>
      <c r="P15" s="4138"/>
    </row>
    <row r="16" ht="15" spans="1:16">
      <c r="A16" s="4149"/>
      <c r="B16" s="4162"/>
      <c r="C16" s="4159" t="s">
        <v>663</v>
      </c>
      <c r="D16" s="3472">
        <f>SUM(D8:D15)</f>
        <v>0</v>
      </c>
      <c r="E16" s="4164">
        <f>SUM(E8:E15)</f>
        <v>20386.47</v>
      </c>
      <c r="F16" s="4138"/>
      <c r="G16" s="4160"/>
      <c r="H16" s="4165" t="s">
        <v>664</v>
      </c>
      <c r="I16" s="4166"/>
      <c r="J16" s="3543"/>
      <c r="K16" s="4167" t="s">
        <v>664</v>
      </c>
      <c r="L16" s="4168"/>
      <c r="M16" s="4168"/>
      <c r="N16" s="4168"/>
      <c r="O16" s="4168"/>
      <c r="P16" s="4169"/>
    </row>
    <row r="17" ht="15" spans="1:19">
      <c r="A17" s="3948" t="s">
        <v>665</v>
      </c>
      <c r="B17" s="4170" t="s">
        <v>666</v>
      </c>
      <c r="C17" s="3947" t="s">
        <v>667</v>
      </c>
      <c r="D17" s="4168" t="s">
        <v>640</v>
      </c>
      <c r="E17" s="4171" t="s">
        <v>641</v>
      </c>
      <c r="F17" s="4172"/>
      <c r="G17" s="4173"/>
      <c r="H17" s="4174" t="s">
        <v>668</v>
      </c>
      <c r="I17" s="4175" t="s">
        <v>669</v>
      </c>
      <c r="J17" s="3543"/>
      <c r="K17" s="4176" t="s">
        <v>670</v>
      </c>
      <c r="L17" s="4177"/>
      <c r="M17" s="4178"/>
      <c r="N17" s="4176" t="s">
        <v>671</v>
      </c>
      <c r="O17" s="4177"/>
      <c r="P17" s="4178"/>
      <c r="R17" s="4179" t="s">
        <v>672</v>
      </c>
      <c r="S17" s="4180"/>
    </row>
    <row r="18" ht="15" spans="1:19">
      <c r="A18" s="4161"/>
      <c r="B18" s="4181"/>
      <c r="C18" s="4182"/>
      <c r="D18" s="4183"/>
      <c r="E18" s="4184" t="s">
        <v>673</v>
      </c>
      <c r="F18" s="4185" t="s">
        <v>646</v>
      </c>
      <c r="G18" s="4186" t="s">
        <v>674</v>
      </c>
      <c r="H18" s="3991" t="s">
        <v>675</v>
      </c>
      <c r="I18" s="4187" t="s">
        <v>676</v>
      </c>
      <c r="J18" s="3543"/>
      <c r="K18" s="3991" t="s">
        <v>677</v>
      </c>
      <c r="L18" s="3776" t="s">
        <v>678</v>
      </c>
      <c r="M18" s="2080" t="s">
        <v>679</v>
      </c>
      <c r="N18" s="3991" t="s">
        <v>677</v>
      </c>
      <c r="O18" s="3776" t="s">
        <v>678</v>
      </c>
      <c r="P18" s="2080" t="s">
        <v>679</v>
      </c>
      <c r="R18" s="3481" t="s">
        <v>675</v>
      </c>
      <c r="S18" s="3481" t="s">
        <v>676</v>
      </c>
    </row>
    <row r="19" spans="1:19">
      <c r="A19" s="4188"/>
      <c r="B19" s="4159" t="s">
        <v>680</v>
      </c>
      <c r="C19" s="4189" t="s">
        <v>681</v>
      </c>
      <c r="D19" s="3982">
        <f>ROUND($D$3*E19/$E$3,2)</f>
        <v>0</v>
      </c>
      <c r="E19" s="3982">
        <f t="shared" ref="E19:E26" si="1">SUM(F19:G19)</f>
        <v>20903.38</v>
      </c>
      <c r="F19" s="4190">
        <f>'数据-基础表'!I13</f>
        <v>20386.47</v>
      </c>
      <c r="G19" s="3554">
        <f>'数据-基础表'!K13</f>
        <v>516.91</v>
      </c>
      <c r="H19" s="4191">
        <f>ROUND($D$3*I19/$E$3,2)</f>
        <v>0</v>
      </c>
      <c r="I19" s="3782">
        <f t="shared" ref="I19:I26" si="2">IF($I$17="自定义",P19,M19)</f>
        <v>0</v>
      </c>
      <c r="J19" s="3543"/>
      <c r="K19" s="4191">
        <f t="shared" ref="K19:K26" si="3">ROUND(E$28*E19/E$27,2)</f>
        <v>0</v>
      </c>
      <c r="L19" s="3982">
        <f t="shared" ref="L19:L26" si="4">ROUND(IF(COUNTIF(C19,"*住宅*")&gt;0,E$29*E19/E$32,0),2)</f>
        <v>0</v>
      </c>
      <c r="M19" s="3782">
        <f>K19+L19</f>
        <v>0</v>
      </c>
      <c r="N19" s="4192"/>
      <c r="O19" s="3464"/>
      <c r="P19" s="3782">
        <f>N19+O19</f>
        <v>0</v>
      </c>
      <c r="R19" s="3982">
        <f t="shared" ref="R19:S26" si="5">D19+H19</f>
        <v>0</v>
      </c>
      <c r="S19" s="3982">
        <f t="shared" si="5"/>
        <v>20903.38</v>
      </c>
    </row>
    <row r="20" spans="1:19">
      <c r="A20" s="4193"/>
      <c r="B20" s="4159" t="s">
        <v>680</v>
      </c>
      <c r="C20" s="4189"/>
      <c r="D20" s="3982">
        <f t="shared" ref="D20:D26" si="6">ROUND($D$3*E20/$E$3,2)</f>
        <v>0</v>
      </c>
      <c r="E20" s="3982">
        <f t="shared" si="1"/>
        <v>0</v>
      </c>
      <c r="F20" s="4190"/>
      <c r="G20" s="3554"/>
      <c r="H20" s="4191">
        <f t="shared" ref="H20:H26" si="7">ROUND($D$3*I20/$E$3,2)</f>
        <v>0</v>
      </c>
      <c r="I20" s="3782">
        <f t="shared" si="2"/>
        <v>0</v>
      </c>
      <c r="J20" s="3543"/>
      <c r="K20" s="4191">
        <f t="shared" si="3"/>
        <v>0</v>
      </c>
      <c r="L20" s="3982">
        <f t="shared" si="4"/>
        <v>0</v>
      </c>
      <c r="M20" s="3782">
        <f t="shared" ref="M20:M26" si="8">K20+L20</f>
        <v>0</v>
      </c>
      <c r="N20" s="4192"/>
      <c r="O20" s="3464"/>
      <c r="P20" s="3782">
        <f t="shared" ref="P20:P26" si="9">N20+O20</f>
        <v>0</v>
      </c>
      <c r="R20" s="3982">
        <f t="shared" si="5"/>
        <v>0</v>
      </c>
      <c r="S20" s="3982">
        <f t="shared" si="5"/>
        <v>0</v>
      </c>
    </row>
    <row r="21" spans="1:19">
      <c r="A21" s="4193"/>
      <c r="B21" s="4159" t="s">
        <v>680</v>
      </c>
      <c r="C21" s="4189"/>
      <c r="D21" s="3982">
        <f t="shared" si="6"/>
        <v>0</v>
      </c>
      <c r="E21" s="3982">
        <f t="shared" si="1"/>
        <v>0</v>
      </c>
      <c r="F21" s="4190"/>
      <c r="G21" s="3554"/>
      <c r="H21" s="4191">
        <f t="shared" si="7"/>
        <v>0</v>
      </c>
      <c r="I21" s="3782">
        <f t="shared" si="2"/>
        <v>0</v>
      </c>
      <c r="J21" s="3543"/>
      <c r="K21" s="4191">
        <f t="shared" si="3"/>
        <v>0</v>
      </c>
      <c r="L21" s="3982">
        <f t="shared" si="4"/>
        <v>0</v>
      </c>
      <c r="M21" s="3782">
        <f t="shared" si="8"/>
        <v>0</v>
      </c>
      <c r="N21" s="4192"/>
      <c r="O21" s="3464"/>
      <c r="P21" s="3782">
        <f t="shared" si="9"/>
        <v>0</v>
      </c>
      <c r="R21" s="3982">
        <f t="shared" si="5"/>
        <v>0</v>
      </c>
      <c r="S21" s="3982">
        <f t="shared" si="5"/>
        <v>0</v>
      </c>
    </row>
    <row r="22" spans="1:19">
      <c r="A22" s="4193"/>
      <c r="B22" s="4159" t="s">
        <v>680</v>
      </c>
      <c r="C22" s="4194"/>
      <c r="D22" s="3982">
        <f t="shared" si="6"/>
        <v>0</v>
      </c>
      <c r="E22" s="3982">
        <f t="shared" si="1"/>
        <v>0</v>
      </c>
      <c r="F22" s="4195"/>
      <c r="G22" s="4196"/>
      <c r="H22" s="4191">
        <f t="shared" si="7"/>
        <v>0</v>
      </c>
      <c r="I22" s="3782">
        <f t="shared" si="2"/>
        <v>0</v>
      </c>
      <c r="J22" s="3543"/>
      <c r="K22" s="4191">
        <f t="shared" si="3"/>
        <v>0</v>
      </c>
      <c r="L22" s="3982">
        <f t="shared" si="4"/>
        <v>0</v>
      </c>
      <c r="M22" s="3782">
        <f t="shared" si="8"/>
        <v>0</v>
      </c>
      <c r="N22" s="4192"/>
      <c r="O22" s="3464"/>
      <c r="P22" s="3782">
        <f t="shared" si="9"/>
        <v>0</v>
      </c>
      <c r="R22" s="3982">
        <f t="shared" si="5"/>
        <v>0</v>
      </c>
      <c r="S22" s="3982">
        <f t="shared" si="5"/>
        <v>0</v>
      </c>
    </row>
    <row r="23" spans="1:19">
      <c r="A23" s="4193"/>
      <c r="B23" s="4159" t="s">
        <v>680</v>
      </c>
      <c r="C23" s="4194"/>
      <c r="D23" s="3982">
        <f t="shared" si="6"/>
        <v>0</v>
      </c>
      <c r="E23" s="3982">
        <f t="shared" si="1"/>
        <v>0</v>
      </c>
      <c r="F23" s="4195"/>
      <c r="G23" s="4196"/>
      <c r="H23" s="4191">
        <f t="shared" si="7"/>
        <v>0</v>
      </c>
      <c r="I23" s="3782">
        <f t="shared" si="2"/>
        <v>0</v>
      </c>
      <c r="J23" s="3543"/>
      <c r="K23" s="4191">
        <f t="shared" si="3"/>
        <v>0</v>
      </c>
      <c r="L23" s="3982">
        <f t="shared" si="4"/>
        <v>0</v>
      </c>
      <c r="M23" s="3782">
        <f t="shared" si="8"/>
        <v>0</v>
      </c>
      <c r="N23" s="4192"/>
      <c r="O23" s="3464"/>
      <c r="P23" s="3782">
        <f t="shared" si="9"/>
        <v>0</v>
      </c>
      <c r="R23" s="3982">
        <f t="shared" si="5"/>
        <v>0</v>
      </c>
      <c r="S23" s="3982">
        <f t="shared" si="5"/>
        <v>0</v>
      </c>
    </row>
    <row r="24" spans="1:19">
      <c r="A24" s="4193"/>
      <c r="B24" s="4159" t="s">
        <v>680</v>
      </c>
      <c r="C24" s="4194"/>
      <c r="D24" s="3982">
        <f t="shared" si="6"/>
        <v>0</v>
      </c>
      <c r="E24" s="3982">
        <f t="shared" si="1"/>
        <v>0</v>
      </c>
      <c r="F24" s="4195"/>
      <c r="G24" s="4196"/>
      <c r="H24" s="4191">
        <f t="shared" si="7"/>
        <v>0</v>
      </c>
      <c r="I24" s="3782">
        <f t="shared" si="2"/>
        <v>0</v>
      </c>
      <c r="J24" s="3543"/>
      <c r="K24" s="4191">
        <f t="shared" si="3"/>
        <v>0</v>
      </c>
      <c r="L24" s="3982">
        <f t="shared" si="4"/>
        <v>0</v>
      </c>
      <c r="M24" s="3782">
        <f t="shared" si="8"/>
        <v>0</v>
      </c>
      <c r="N24" s="4192"/>
      <c r="O24" s="3464"/>
      <c r="P24" s="3782">
        <f t="shared" si="9"/>
        <v>0</v>
      </c>
      <c r="R24" s="3982">
        <f t="shared" si="5"/>
        <v>0</v>
      </c>
      <c r="S24" s="3982">
        <f t="shared" si="5"/>
        <v>0</v>
      </c>
    </row>
    <row r="25" spans="1:19">
      <c r="A25" s="4193"/>
      <c r="B25" s="4159" t="s">
        <v>680</v>
      </c>
      <c r="C25" s="4194"/>
      <c r="D25" s="3982">
        <f t="shared" si="6"/>
        <v>0</v>
      </c>
      <c r="E25" s="3982">
        <f t="shared" si="1"/>
        <v>0</v>
      </c>
      <c r="F25" s="4195"/>
      <c r="G25" s="4196"/>
      <c r="H25" s="4197">
        <f t="shared" si="7"/>
        <v>0</v>
      </c>
      <c r="I25" s="3782">
        <f t="shared" si="2"/>
        <v>0</v>
      </c>
      <c r="J25" s="3543"/>
      <c r="K25" s="4191">
        <f t="shared" si="3"/>
        <v>0</v>
      </c>
      <c r="L25" s="3982">
        <f t="shared" si="4"/>
        <v>0</v>
      </c>
      <c r="M25" s="3782">
        <f t="shared" si="8"/>
        <v>0</v>
      </c>
      <c r="N25" s="4192"/>
      <c r="O25" s="3464"/>
      <c r="P25" s="3782">
        <f t="shared" si="9"/>
        <v>0</v>
      </c>
      <c r="R25" s="3982">
        <f t="shared" si="5"/>
        <v>0</v>
      </c>
      <c r="S25" s="3982">
        <f t="shared" si="5"/>
        <v>0</v>
      </c>
    </row>
    <row r="26" spans="1:19">
      <c r="A26" s="4193"/>
      <c r="B26" s="4159" t="s">
        <v>680</v>
      </c>
      <c r="C26" s="4198"/>
      <c r="D26" s="3982">
        <f t="shared" si="6"/>
        <v>0</v>
      </c>
      <c r="E26" s="3982">
        <f t="shared" si="1"/>
        <v>0</v>
      </c>
      <c r="F26" s="4195"/>
      <c r="G26" s="4196"/>
      <c r="H26" s="4197">
        <f t="shared" si="7"/>
        <v>0</v>
      </c>
      <c r="I26" s="3782">
        <f t="shared" si="2"/>
        <v>0</v>
      </c>
      <c r="J26" s="3543"/>
      <c r="K26" s="4197">
        <f t="shared" si="3"/>
        <v>0</v>
      </c>
      <c r="L26" s="3472">
        <f t="shared" si="4"/>
        <v>0</v>
      </c>
      <c r="M26" s="4164">
        <f t="shared" si="8"/>
        <v>0</v>
      </c>
      <c r="N26" s="4199"/>
      <c r="O26" s="3463"/>
      <c r="P26" s="4164">
        <f t="shared" si="9"/>
        <v>0</v>
      </c>
      <c r="R26" s="3982">
        <f t="shared" si="5"/>
        <v>0</v>
      </c>
      <c r="S26" s="3982">
        <f t="shared" si="5"/>
        <v>0</v>
      </c>
    </row>
    <row r="27" ht="15.75" spans="1:19">
      <c r="A27" s="4193"/>
      <c r="B27" s="1294"/>
      <c r="C27" s="3760" t="s">
        <v>682</v>
      </c>
      <c r="D27" s="1332">
        <f>SUM(D19:D26)</f>
        <v>0</v>
      </c>
      <c r="E27" s="1332">
        <f>IF(SUM(E19:E26)='数据-基础表'!BA5,SUM(E19:E26),IF(F27="地上面积有误","面积有误","地下面积有误"))</f>
        <v>20903.38</v>
      </c>
      <c r="F27" s="1332">
        <f>IF(SUM(F19:F26)=E8,SUM(F19:F26),"地上面积有误")</f>
        <v>20386.47</v>
      </c>
      <c r="G27" s="3763">
        <f>SUM(G19:G26)</f>
        <v>516.91</v>
      </c>
      <c r="H27" s="4200">
        <f>SUM(H19:H26)</f>
        <v>0</v>
      </c>
      <c r="I27" s="4201">
        <f>SUM(I19:I26)</f>
        <v>0</v>
      </c>
      <c r="J27" s="3543"/>
      <c r="K27" s="4200">
        <f>SUM(K19:K26)</f>
        <v>0</v>
      </c>
      <c r="L27" s="4202">
        <f>SUM(L19:L26)</f>
        <v>0</v>
      </c>
      <c r="M27" s="4203">
        <f>SUM(M19:M26)</f>
        <v>0</v>
      </c>
      <c r="N27" s="4200">
        <f t="shared" ref="N27:P27" si="10">SUM(N19:N26)</f>
        <v>0</v>
      </c>
      <c r="O27" s="4202">
        <f t="shared" si="10"/>
        <v>0</v>
      </c>
      <c r="P27" s="3486">
        <f t="shared" si="10"/>
        <v>0</v>
      </c>
      <c r="R27" s="3462">
        <f>IF(SUM(R19:R26)=$D$3,SUM(R19:R26),SUM(R19:R26)&amp;"误差"&amp;ROUND(SUM(R19:R26)-$D$3,2))</f>
        <v>0</v>
      </c>
      <c r="S27" s="3982">
        <f>IF(SUM(S19:S26)=$E$3,SUM(S19:S26),SUM(S19:S26)&amp;"误差"&amp;ROUND(SUM(S19:S26)-E3,2))</f>
        <v>20903.38</v>
      </c>
    </row>
    <row r="28" spans="1:19">
      <c r="A28" s="4193"/>
      <c r="B28" s="4159" t="s">
        <v>683</v>
      </c>
      <c r="C28" s="4019" t="s">
        <v>684</v>
      </c>
      <c r="D28" s="3982">
        <f>ROUND($D$3*E28/$E$3,2)</f>
        <v>0</v>
      </c>
      <c r="E28" s="3982">
        <f>SUM(F28:G28)</f>
        <v>0</v>
      </c>
      <c r="F28" s="1458">
        <f>'数据-基础表'!BQ5+'数据-基础表'!BS5</f>
        <v>0</v>
      </c>
      <c r="G28" s="4204">
        <f>'数据-基础表'!BR5+'数据-基础表'!BT5</f>
        <v>0</v>
      </c>
      <c r="H28" s="4138"/>
      <c r="I28" s="4138"/>
      <c r="J28" s="4138"/>
      <c r="K28" s="4138"/>
      <c r="L28" s="4138"/>
      <c r="M28" s="4138"/>
      <c r="N28" s="4138"/>
      <c r="O28" s="4138"/>
      <c r="P28" s="4138"/>
    </row>
    <row r="29" spans="1:19">
      <c r="A29" s="4193"/>
      <c r="B29" s="4159" t="s">
        <v>683</v>
      </c>
      <c r="C29" s="1464" t="s">
        <v>685</v>
      </c>
      <c r="D29" s="3982">
        <f>ROUND($D$3*E29/$E$3,2)</f>
        <v>0</v>
      </c>
      <c r="E29" s="3982">
        <f>SUM(F29:G29)</f>
        <v>0</v>
      </c>
      <c r="F29" s="4205">
        <f>'数据-基础表'!BM5+'数据-基础表'!BO5</f>
        <v>0</v>
      </c>
      <c r="G29" s="4164">
        <f>'数据-基础表'!BN5+'数据-基础表'!BP5</f>
        <v>0</v>
      </c>
      <c r="H29" s="4138"/>
      <c r="I29" s="4138"/>
      <c r="J29" s="4138"/>
      <c r="K29" s="4138"/>
      <c r="L29" s="4138"/>
      <c r="M29" s="4138"/>
      <c r="N29" s="4138"/>
      <c r="O29" s="4138"/>
      <c r="P29" s="4138"/>
    </row>
    <row r="30" ht="15" spans="1:19">
      <c r="A30" s="4193"/>
      <c r="B30" s="4159"/>
      <c r="C30" s="4206" t="s">
        <v>682</v>
      </c>
      <c r="D30" s="1332">
        <f>SUM(D28:D29)</f>
        <v>0</v>
      </c>
      <c r="E30" s="1332">
        <f>SUM(E28:E29)</f>
        <v>0</v>
      </c>
      <c r="F30" s="1332">
        <f>SUM(F28:F29)</f>
        <v>0</v>
      </c>
      <c r="G30" s="3763">
        <f>SUM(G28:G29)</f>
        <v>0</v>
      </c>
      <c r="H30" s="4138"/>
      <c r="I30" s="4138"/>
      <c r="J30" s="4138"/>
      <c r="K30" s="4138"/>
      <c r="L30" s="4138"/>
      <c r="M30" s="4138"/>
      <c r="N30" s="4138"/>
      <c r="O30" s="4138"/>
      <c r="P30" s="4138"/>
    </row>
    <row r="31" ht="15.75" spans="1:19">
      <c r="A31" s="4207"/>
      <c r="B31" s="4208"/>
      <c r="C31" s="4209" t="s">
        <v>686</v>
      </c>
      <c r="D31" s="4210">
        <f>D27+D30</f>
        <v>0</v>
      </c>
      <c r="E31" s="4210">
        <f>E27+E30</f>
        <v>20903.38</v>
      </c>
      <c r="F31" s="4202">
        <f>F27+F30</f>
        <v>20386.47</v>
      </c>
      <c r="G31" s="4203">
        <f>G27+G30</f>
        <v>516.91</v>
      </c>
      <c r="H31" s="4138"/>
      <c r="I31" s="4138"/>
      <c r="J31" s="4138"/>
      <c r="K31" s="4138"/>
      <c r="L31" s="4138"/>
      <c r="M31" s="4138"/>
      <c r="N31" s="4138"/>
      <c r="O31" s="4138"/>
      <c r="P31" s="4138"/>
    </row>
    <row r="32" spans="1:19">
      <c r="A32" s="4211"/>
      <c r="B32" s="4211" t="s">
        <v>687</v>
      </c>
      <c r="C32" s="4211"/>
      <c r="D32" s="3469"/>
      <c r="E32" s="3469">
        <f>SUMIF(C19:C26,"*住宅*",E19:E26)</f>
        <v>0</v>
      </c>
      <c r="F32" s="3469"/>
      <c r="G32" s="3469"/>
      <c r="H32" s="4138"/>
      <c r="I32" s="4138"/>
      <c r="J32" s="4138"/>
      <c r="K32" s="4138"/>
      <c r="L32" s="4138"/>
      <c r="M32" s="4138"/>
      <c r="N32" s="4138"/>
      <c r="O32" s="4138"/>
      <c r="P32" s="4138"/>
    </row>
    <row r="33" spans="4:4">
      <c r="D33" s="421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U24" sqref="U24"/>
    </sheetView>
  </sheetViews>
  <sheetFormatPr defaultColWidth="13.75" defaultRowHeight="12.75"/>
  <cols>
    <col min="1" max="1" width="31.625" style="3922" customWidth="1"/>
    <col min="2" max="2" width="12" style="3923" customWidth="1"/>
    <col min="3" max="3" width="12.75" style="3923" customWidth="1"/>
    <col min="4" max="4" width="9.125" style="3924" customWidth="1"/>
    <col min="5" max="5" width="15" style="3923" customWidth="1"/>
    <col min="6" max="10" width="8.875" style="3923" customWidth="1"/>
    <col min="11" max="12" width="12.375" style="3925" customWidth="1"/>
    <col min="13" max="13" width="8.625" style="3923" customWidth="1"/>
    <col min="14" max="14" width="11.875" style="3923" customWidth="1"/>
    <col min="15" max="15" width="8.5" style="3923" customWidth="1"/>
    <col min="16" max="17" width="10.875" style="3923" customWidth="1"/>
    <col min="18" max="19" width="12.5" style="3923" customWidth="1"/>
    <col min="20" max="20" width="12.125" style="3923" customWidth="1"/>
    <col min="21" max="21" width="7.5" style="3923" customWidth="1"/>
    <col min="22" max="22" width="6.375" style="3923" customWidth="1"/>
    <col min="23" max="30" width="6.75" style="3923" customWidth="1"/>
    <col min="31" max="31" width="8" style="3923" customWidth="1"/>
    <col min="32" max="33" width="7.25" style="3923" customWidth="1"/>
    <col min="34" max="34" width="9.625" style="3923" customWidth="1"/>
    <col min="35" max="39" width="8" style="3923" customWidth="1"/>
    <col min="40" max="40" width="13.75" style="3921"/>
    <col min="41" max="45" width="14.375" style="3926" customWidth="1"/>
    <col min="46" max="67" width="13.75" style="3921"/>
    <col min="68" max="16384" width="13.75" style="3923"/>
  </cols>
  <sheetData>
    <row r="1" ht="19.5" spans="1:67">
      <c r="A1" s="3927" t="s">
        <v>688</v>
      </c>
      <c r="B1" s="3928"/>
      <c r="C1" s="732"/>
      <c r="D1" s="3929"/>
      <c r="E1" s="732"/>
      <c r="F1" s="732"/>
      <c r="G1" s="732"/>
      <c r="H1" s="732"/>
      <c r="I1" s="732"/>
      <c r="J1" s="732"/>
      <c r="K1" s="3363"/>
      <c r="L1" s="3363"/>
      <c r="M1" s="732"/>
      <c r="N1" s="732"/>
      <c r="O1" s="732"/>
      <c r="P1" s="732"/>
      <c r="Q1" s="732"/>
      <c r="R1" s="732"/>
      <c r="S1" s="732"/>
      <c r="T1" s="732"/>
      <c r="U1" s="732"/>
      <c r="V1" s="732"/>
      <c r="W1" s="732"/>
      <c r="X1" s="732"/>
      <c r="Y1" s="732"/>
      <c r="Z1" s="732"/>
      <c r="AA1" s="732"/>
      <c r="AB1" s="732"/>
      <c r="AC1" s="732"/>
      <c r="AD1" s="732"/>
      <c r="AE1" s="732"/>
      <c r="AF1" s="732"/>
      <c r="AG1" s="732"/>
      <c r="AH1" s="732"/>
      <c r="AI1" s="732"/>
      <c r="AJ1" s="732"/>
      <c r="AK1" s="732"/>
      <c r="AL1" s="732"/>
      <c r="AM1" s="732"/>
      <c r="AN1" s="736"/>
      <c r="AO1" s="3930"/>
      <c r="AP1" s="3930"/>
      <c r="AQ1" s="3930"/>
      <c r="AR1" s="3930"/>
    </row>
    <row r="2" s="3918" customFormat="1" ht="15.75" spans="1:67">
      <c r="A2" s="3931" t="s">
        <v>689</v>
      </c>
      <c r="B2" s="3932">
        <f>项目基本情况!D3</f>
        <v>46086</v>
      </c>
      <c r="C2" s="3933"/>
      <c r="D2" s="3934"/>
      <c r="E2" s="3933"/>
      <c r="F2" s="3933"/>
      <c r="G2" s="3933"/>
      <c r="H2" s="3933"/>
      <c r="I2" s="3933"/>
      <c r="J2" s="3933"/>
      <c r="K2" s="3935"/>
      <c r="L2" s="3935"/>
      <c r="M2" s="3933"/>
      <c r="N2" s="3933"/>
      <c r="O2" s="3933"/>
      <c r="P2" s="3933"/>
      <c r="Q2" s="3933"/>
      <c r="R2" s="3933"/>
      <c r="S2" s="3933"/>
      <c r="T2" s="3933"/>
      <c r="U2" s="3933"/>
      <c r="V2" s="3933"/>
      <c r="W2" s="3933"/>
      <c r="X2" s="3933"/>
      <c r="Y2" s="3933"/>
      <c r="Z2" s="3933"/>
      <c r="AA2" s="3933"/>
      <c r="AB2" s="3933"/>
      <c r="AC2" s="3933"/>
      <c r="AD2" s="3933"/>
      <c r="AE2" s="3933"/>
      <c r="AF2" s="3933"/>
      <c r="AG2" s="3933"/>
      <c r="AH2" s="3933"/>
      <c r="AI2" s="3933"/>
      <c r="AJ2" s="3933"/>
      <c r="AK2" s="3933"/>
      <c r="AL2" s="3933"/>
      <c r="AM2" s="3933"/>
      <c r="AN2" s="3936"/>
      <c r="AO2" s="3937"/>
      <c r="AP2" s="3937"/>
      <c r="AQ2" s="3937"/>
      <c r="AR2" s="3937"/>
      <c r="AS2" s="3938"/>
      <c r="AT2" s="3857"/>
      <c r="AU2" s="3857"/>
      <c r="AV2" s="3857"/>
      <c r="AW2" s="3857"/>
      <c r="AX2" s="3857"/>
      <c r="AY2" s="3857"/>
      <c r="AZ2" s="3857"/>
      <c r="BA2" s="3857"/>
      <c r="BB2" s="3857"/>
      <c r="BC2" s="3857"/>
      <c r="BD2" s="3857"/>
      <c r="BE2" s="3857"/>
      <c r="BF2" s="3857"/>
      <c r="BG2" s="3857"/>
      <c r="BH2" s="3857"/>
      <c r="BI2" s="3857"/>
      <c r="BJ2" s="3857"/>
      <c r="BK2" s="3857"/>
      <c r="BL2" s="3857"/>
      <c r="BM2" s="3857"/>
      <c r="BN2" s="3857"/>
      <c r="BO2" s="3857"/>
    </row>
    <row r="3" s="3918" customFormat="1" ht="15" spans="1:67">
      <c r="A3" s="3939"/>
      <c r="B3" s="3940"/>
      <c r="C3" s="3933"/>
      <c r="D3" s="3934"/>
      <c r="E3" s="3933"/>
      <c r="F3" s="3933"/>
      <c r="G3" s="3933"/>
      <c r="H3" s="3933"/>
      <c r="I3" s="3933"/>
      <c r="J3" s="3933"/>
      <c r="K3" s="3935"/>
      <c r="L3" s="3935"/>
      <c r="M3" s="3933"/>
      <c r="N3" s="3933"/>
      <c r="O3" s="3933"/>
      <c r="P3" s="3933"/>
      <c r="Q3" s="3933"/>
      <c r="R3" s="3933"/>
      <c r="S3" s="3933"/>
      <c r="T3" s="3933"/>
      <c r="U3" s="3933"/>
      <c r="V3" s="3933"/>
      <c r="W3" s="3933"/>
      <c r="X3" s="3933"/>
      <c r="Y3" s="3933"/>
      <c r="Z3" s="3933"/>
      <c r="AA3" s="3933"/>
      <c r="AB3" s="3933"/>
      <c r="AC3" s="3933"/>
      <c r="AD3" s="3933"/>
      <c r="AE3" s="3933"/>
      <c r="AF3" s="3933"/>
      <c r="AG3" s="3933"/>
      <c r="AH3" s="3933"/>
      <c r="AI3" s="3933"/>
      <c r="AJ3" s="3933"/>
      <c r="AK3" s="3933"/>
      <c r="AL3" s="3933"/>
      <c r="AM3" s="3933"/>
      <c r="AN3" s="3936"/>
      <c r="AO3" s="3937"/>
      <c r="AP3" s="3937"/>
      <c r="AQ3" s="3937"/>
      <c r="AR3" s="3937"/>
      <c r="AS3" s="3938"/>
      <c r="AT3" s="3857"/>
      <c r="AU3" s="3857"/>
      <c r="AV3" s="3857"/>
      <c r="AW3" s="3857"/>
      <c r="AX3" s="3857"/>
      <c r="AY3" s="3857"/>
      <c r="AZ3" s="3857"/>
      <c r="BA3" s="3857"/>
      <c r="BB3" s="3857"/>
      <c r="BC3" s="3857"/>
      <c r="BD3" s="3857"/>
      <c r="BE3" s="3857"/>
      <c r="BF3" s="3857"/>
      <c r="BG3" s="3857"/>
      <c r="BH3" s="3857"/>
      <c r="BI3" s="3857"/>
      <c r="BJ3" s="3857"/>
      <c r="BK3" s="3857"/>
      <c r="BL3" s="3857"/>
      <c r="BM3" s="3857"/>
      <c r="BN3" s="3857"/>
      <c r="BO3" s="3857"/>
    </row>
    <row r="4" s="3918" customFormat="1" ht="15" spans="1:67">
      <c r="A4" s="2015" t="s">
        <v>690</v>
      </c>
      <c r="B4" s="3488"/>
      <c r="C4" s="3941"/>
      <c r="D4" s="3942"/>
      <c r="E4" s="3941" t="s">
        <v>691</v>
      </c>
      <c r="F4" s="3941"/>
      <c r="G4" s="3941"/>
      <c r="H4" s="3941"/>
      <c r="I4" s="3941"/>
      <c r="J4" s="3943"/>
      <c r="K4" s="3944"/>
      <c r="L4" s="3945"/>
      <c r="M4" s="3941"/>
      <c r="N4" s="3941" t="s">
        <v>692</v>
      </c>
      <c r="O4" s="3941"/>
      <c r="P4" s="3941"/>
      <c r="Q4" s="3941"/>
      <c r="R4" s="3941"/>
      <c r="S4" s="3943"/>
      <c r="T4" s="3946" t="str">
        <f>'数据-汇总表'!I17</f>
        <v>按面积比例</v>
      </c>
      <c r="U4" s="3488" t="s">
        <v>693</v>
      </c>
      <c r="V4" s="3941"/>
      <c r="W4" s="3941"/>
      <c r="X4" s="3941"/>
      <c r="Y4" s="3943"/>
      <c r="Z4" s="3947" t="s">
        <v>694</v>
      </c>
      <c r="AA4" s="3947"/>
      <c r="AB4" s="3947"/>
      <c r="AC4" s="3947"/>
      <c r="AD4" s="3947"/>
      <c r="AE4" s="3948" t="s">
        <v>695</v>
      </c>
      <c r="AF4" s="3947"/>
      <c r="AG4" s="3949"/>
      <c r="AH4" s="3488"/>
      <c r="AI4" s="3941"/>
      <c r="AJ4" s="3941"/>
      <c r="AK4" s="3941"/>
      <c r="AL4" s="3941"/>
      <c r="AM4" s="3943"/>
      <c r="AN4" s="3936"/>
      <c r="AO4" s="3937"/>
      <c r="AP4" s="3937"/>
      <c r="AQ4" s="3937"/>
      <c r="AR4" s="3937"/>
      <c r="AS4" s="3938"/>
      <c r="AT4" s="3857"/>
      <c r="AU4" s="3857"/>
      <c r="AV4" s="3857"/>
      <c r="AW4" s="3857"/>
      <c r="AX4" s="3857"/>
      <c r="AY4" s="3857"/>
      <c r="AZ4" s="3857"/>
      <c r="BA4" s="3857"/>
      <c r="BB4" s="3857"/>
      <c r="BC4" s="3857"/>
      <c r="BD4" s="3857"/>
      <c r="BE4" s="3857"/>
      <c r="BF4" s="3857"/>
      <c r="BG4" s="3857"/>
      <c r="BH4" s="3857"/>
      <c r="BI4" s="3857"/>
      <c r="BJ4" s="3857"/>
      <c r="BK4" s="3857"/>
      <c r="BL4" s="3857"/>
      <c r="BM4" s="3857"/>
      <c r="BN4" s="3857"/>
      <c r="BO4" s="3857"/>
    </row>
    <row r="5" s="3919" customFormat="1" ht="42" spans="1:67">
      <c r="A5" s="3950" t="s">
        <v>667</v>
      </c>
      <c r="B5" s="3951" t="s">
        <v>666</v>
      </c>
      <c r="C5" s="3952" t="s">
        <v>696</v>
      </c>
      <c r="D5" s="3953" t="s">
        <v>697</v>
      </c>
      <c r="E5" s="1737" t="s">
        <v>698</v>
      </c>
      <c r="F5" s="3954" t="s">
        <v>699</v>
      </c>
      <c r="G5" s="1737" t="s">
        <v>700</v>
      </c>
      <c r="H5" s="1737" t="s">
        <v>701</v>
      </c>
      <c r="I5" s="1737" t="s">
        <v>702</v>
      </c>
      <c r="J5" s="1772" t="s">
        <v>703</v>
      </c>
      <c r="K5" s="3955" t="s">
        <v>676</v>
      </c>
      <c r="L5" s="3956" t="s">
        <v>704</v>
      </c>
      <c r="M5" s="3957" t="s">
        <v>705</v>
      </c>
      <c r="N5" s="3958" t="s">
        <v>706</v>
      </c>
      <c r="O5" s="3956" t="s">
        <v>707</v>
      </c>
      <c r="P5" s="3959" t="s">
        <v>708</v>
      </c>
      <c r="Q5" s="1935" t="s">
        <v>709</v>
      </c>
      <c r="R5" s="3960" t="s">
        <v>710</v>
      </c>
      <c r="S5" s="3961" t="s">
        <v>711</v>
      </c>
      <c r="T5" s="3962" t="s">
        <v>712</v>
      </c>
      <c r="U5" s="3963" t="s">
        <v>713</v>
      </c>
      <c r="V5" s="1737" t="s">
        <v>714</v>
      </c>
      <c r="W5" s="1737" t="s">
        <v>715</v>
      </c>
      <c r="X5" s="1916"/>
      <c r="Y5" s="1920" t="s">
        <v>716</v>
      </c>
      <c r="Z5" s="1662" t="s">
        <v>713</v>
      </c>
      <c r="AA5" s="1737" t="s">
        <v>714</v>
      </c>
      <c r="AB5" s="1737" t="s">
        <v>715</v>
      </c>
      <c r="AC5" s="1916"/>
      <c r="AD5" s="1916" t="s">
        <v>716</v>
      </c>
      <c r="AE5" s="3963" t="s">
        <v>717</v>
      </c>
      <c r="AF5" s="1737" t="s">
        <v>718</v>
      </c>
      <c r="AG5" s="1920" t="s">
        <v>719</v>
      </c>
      <c r="AH5" s="3963" t="s">
        <v>720</v>
      </c>
      <c r="AI5" s="1662" t="s">
        <v>721</v>
      </c>
      <c r="AJ5" s="1662" t="s">
        <v>722</v>
      </c>
      <c r="AK5" s="1737" t="s">
        <v>723</v>
      </c>
      <c r="AL5" s="1737" t="s">
        <v>724</v>
      </c>
      <c r="AM5" s="1920" t="s">
        <v>725</v>
      </c>
      <c r="AN5" s="3964" t="s">
        <v>726</v>
      </c>
      <c r="AO5" s="3462" t="s">
        <v>727</v>
      </c>
      <c r="AP5" s="3462" t="s">
        <v>728</v>
      </c>
      <c r="AQ5" s="3965" t="s">
        <v>729</v>
      </c>
      <c r="AR5" s="3965" t="s">
        <v>730</v>
      </c>
      <c r="AS5" s="3966" t="s">
        <v>731</v>
      </c>
      <c r="AT5" s="3858"/>
      <c r="AU5" s="3858"/>
      <c r="AV5" s="3858"/>
      <c r="AW5" s="3858"/>
      <c r="AX5" s="3858"/>
      <c r="AY5" s="3858"/>
      <c r="AZ5" s="3858"/>
      <c r="BA5" s="3858"/>
      <c r="BB5" s="3858"/>
      <c r="BC5" s="3858"/>
      <c r="BD5" s="3858"/>
      <c r="BE5" s="3858"/>
      <c r="BF5" s="3858"/>
      <c r="BG5" s="3858"/>
      <c r="BH5" s="3858"/>
      <c r="BI5" s="3858"/>
      <c r="BJ5" s="3858"/>
      <c r="BK5" s="3858"/>
      <c r="BL5" s="3858"/>
      <c r="BM5" s="3858"/>
      <c r="BN5" s="3858"/>
      <c r="BO5" s="3858"/>
    </row>
    <row r="6" s="3918" customFormat="1" ht="14.25" spans="1:67">
      <c r="A6" s="3967" t="str">
        <f>'数据-汇总表'!C19</f>
        <v>北工大软件园</v>
      </c>
      <c r="B6" s="3968" t="str">
        <f>IF(A6=0,"","经营性")</f>
        <v>经营性</v>
      </c>
      <c r="C6" s="3969" t="s">
        <v>233</v>
      </c>
      <c r="D6" s="3970">
        <f>SUMIF(项目基本情况!C$12:I$12,C6,项目基本情况!C$14:I$14)</f>
        <v>50</v>
      </c>
      <c r="E6" s="3971">
        <f>IF(B6="","",SUMIF(项目基本情况!C$12:I$12,C6,项目基本情况!C$13:I$13))</f>
        <v>55590</v>
      </c>
      <c r="F6" s="3972">
        <f>SUMIF(项目基本情况!C$12:I$12,C6,项目基本情况!C$15:I$15)</f>
        <v>26.03</v>
      </c>
      <c r="G6" s="3973">
        <f t="shared" ref="G6:G13" si="0">IF(ISERROR(ROUND(POWER(1+H6,D6-F6)*(POWER(1+H6,F6)-1)/(POWER(1+H6,D6)-1),4)),0,ROUND(POWER(1+H6,D6-F6)*(POWER(1+H6,F6)-1)/(POWER(1+H6,D6)-1),4))</f>
        <v>0.7879</v>
      </c>
      <c r="H6" s="3974">
        <v>0.05</v>
      </c>
      <c r="I6" s="3974">
        <v>0.055</v>
      </c>
      <c r="J6" s="3975">
        <v>0.07</v>
      </c>
      <c r="K6" s="3976">
        <f>SUMIF('数据-汇总表'!C$19:C$33,A6,'数据-汇总表'!E$19:E$33)</f>
        <v>20903.38</v>
      </c>
      <c r="L6" s="3977">
        <v>3200</v>
      </c>
      <c r="M6" s="3978">
        <f t="shared" ref="M6:M14" si="1">ROUND(K6*L6/10000,0)</f>
        <v>6689</v>
      </c>
      <c r="N6" s="3979">
        <v>0.74</v>
      </c>
      <c r="O6" s="3978" t="str">
        <f>IF($N$5="成新度","——",ROUND(M6*N6,0))</f>
        <v>——</v>
      </c>
      <c r="P6" s="2078" t="str">
        <f>IF($N$5="成新度","——",M6-O6)</f>
        <v>——</v>
      </c>
      <c r="Q6" s="3980">
        <v>0.1</v>
      </c>
      <c r="R6" s="3981">
        <f ca="1">SUMIF('数据-汇总表'!C$19:C$33,A6,'数据-汇总表'!R$19:R$27)</f>
        <v>0</v>
      </c>
      <c r="S6" s="3982">
        <f>IF('数据-汇总表'!$I$17="按面积比例",SUMIF('数据-汇总表'!C$19:C$33,A6,'数据-汇总表'!K$19:K$33),SUMIF('数据-汇总表'!C$19:C$33,A6,'数据-汇总表'!N$19:N$33))</f>
        <v>0</v>
      </c>
      <c r="T6" s="3983">
        <f>ROUND($L$14*S6/10000,0)</f>
        <v>0</v>
      </c>
      <c r="U6" s="3984">
        <v>2.2</v>
      </c>
      <c r="V6" s="3985">
        <v>0.02</v>
      </c>
      <c r="W6" s="3985">
        <v>0.1</v>
      </c>
      <c r="X6" s="3986"/>
      <c r="Y6" s="3987">
        <f>N6</f>
        <v>0.74</v>
      </c>
      <c r="Z6" s="3988"/>
      <c r="AA6" s="3989"/>
      <c r="AB6" s="3989"/>
      <c r="AC6" s="3986"/>
      <c r="AD6" s="3990"/>
      <c r="AE6" s="3991">
        <f ca="1">IF(AN6="",0,SUMIF(INDIRECT("'"&amp;AN6&amp;"'"&amp;"!E:E"),$AE$5,INDIRECT("'"&amp;AN6&amp;"'"&amp;"!F:F")))</f>
        <v>26.03</v>
      </c>
      <c r="AF6" s="3992"/>
      <c r="AG6" s="2242">
        <f ca="1">IF(AF6="",0,AE6-AF6)</f>
        <v>0</v>
      </c>
      <c r="AH6" s="3984"/>
      <c r="AI6" s="3993">
        <v>365</v>
      </c>
      <c r="AJ6" s="3992"/>
      <c r="AK6" s="3994">
        <v>0.002</v>
      </c>
      <c r="AL6" s="3995">
        <v>0.001</v>
      </c>
      <c r="AM6" s="3996">
        <v>0.005</v>
      </c>
      <c r="AN6" s="3997" t="s">
        <v>732</v>
      </c>
      <c r="AO6" s="3982">
        <f ca="1">SUMIF(INDIRECT("'"&amp;AN6&amp;"'"&amp;"!A:A"),"总价",INDIRECT("'"&amp;AN6&amp;"'"&amp;"!B:B"))</f>
        <v>23965</v>
      </c>
      <c r="AP6" s="3982">
        <f>IF(C6="住宅",K6*L6,0)</f>
        <v>0</v>
      </c>
      <c r="AQ6" s="3982">
        <f>ROUND($L$14*$N$14*S6/10000,0)</f>
        <v>0</v>
      </c>
      <c r="AR6" s="3982">
        <f>ROUND($L$14*(1-$N$14)*S6/10000,0)</f>
        <v>0</v>
      </c>
      <c r="AS6" s="3982">
        <f>ROUND(1-1/(1+H6)^F6,3)</f>
        <v>0.719</v>
      </c>
      <c r="AT6" s="3857"/>
      <c r="AU6" s="3857"/>
      <c r="AV6" s="3857"/>
      <c r="AW6" s="3857"/>
      <c r="AX6" s="3857"/>
      <c r="AY6" s="3857"/>
      <c r="AZ6" s="3857"/>
      <c r="BA6" s="3857"/>
      <c r="BB6" s="3857"/>
      <c r="BC6" s="3857"/>
      <c r="BD6" s="3857"/>
      <c r="BE6" s="3857"/>
      <c r="BF6" s="3857"/>
      <c r="BG6" s="3857"/>
      <c r="BH6" s="3857"/>
      <c r="BI6" s="3857"/>
      <c r="BJ6" s="3857"/>
      <c r="BK6" s="3857"/>
      <c r="BL6" s="3857"/>
      <c r="BM6" s="3857"/>
      <c r="BN6" s="3857"/>
      <c r="BO6" s="3857"/>
    </row>
    <row r="7" s="3918" customFormat="1" ht="14.25" spans="1:67">
      <c r="A7" s="3967">
        <f>'数据-汇总表'!C20</f>
        <v>0</v>
      </c>
      <c r="B7" s="3968" t="str">
        <f t="shared" ref="B7:B13" si="2">IF(A7=0,"","经营性")</f>
        <v/>
      </c>
      <c r="C7" s="3969"/>
      <c r="D7" s="3970">
        <f>SUMIF(项目基本情况!C$12:I$12,C7,项目基本情况!C$14:I$14)</f>
        <v>0</v>
      </c>
      <c r="E7" s="3971" t="str">
        <f>IF(B7="","",SUMIF(项目基本情况!C$12:I$12,C7,项目基本情况!C$13:I$13))</f>
        <v/>
      </c>
      <c r="F7" s="3972">
        <f>SUMIF(项目基本情况!C$12:I$12,C7,项目基本情况!C$15:I$15)</f>
        <v>0</v>
      </c>
      <c r="G7" s="3973">
        <f t="shared" si="0"/>
        <v>0</v>
      </c>
      <c r="H7" s="3974"/>
      <c r="I7" s="3974"/>
      <c r="J7" s="3975"/>
      <c r="K7" s="3976">
        <f>SUMIF('数据-汇总表'!C$19:C$33,A7,'数据-汇总表'!E$19:E$33)</f>
        <v>0</v>
      </c>
      <c r="L7" s="3977"/>
      <c r="M7" s="3978">
        <f t="shared" si="1"/>
        <v>0</v>
      </c>
      <c r="N7" s="3979"/>
      <c r="O7" s="3978" t="str">
        <f t="shared" ref="O7:O14" si="3">IF($N$5="成新度","——",ROUND(M7*N7,0))</f>
        <v>——</v>
      </c>
      <c r="P7" s="2078" t="str">
        <f t="shared" ref="P7:P14" si="4">IF($N$5="成新度","——",M7-O7)</f>
        <v>——</v>
      </c>
      <c r="Q7" s="3980"/>
      <c r="R7" s="3981">
        <f ca="1">SUMIF('数据-汇总表'!C$19:C$33,A7,'数据-汇总表'!R$19:R$27)</f>
        <v>0</v>
      </c>
      <c r="S7" s="3982">
        <f>IF('数据-汇总表'!$I$17="按面积比例",SUMIF('数据-汇总表'!C$19:C$33,A7,'数据-汇总表'!K$19:K$33),SUMIF('数据-汇总表'!C$19:C$33,A7,'数据-汇总表'!N$19:N$33))</f>
        <v>0</v>
      </c>
      <c r="T7" s="3983">
        <f t="shared" ref="T7:T13" si="5">ROUND($L$14*S7/10000,0)</f>
        <v>0</v>
      </c>
      <c r="U7" s="3984"/>
      <c r="V7" s="3985"/>
      <c r="W7" s="3985"/>
      <c r="X7" s="3986"/>
      <c r="Y7" s="3987"/>
      <c r="Z7" s="3988"/>
      <c r="AA7" s="3989"/>
      <c r="AB7" s="3989"/>
      <c r="AC7" s="3986"/>
      <c r="AD7" s="3990"/>
      <c r="AE7" s="3991">
        <f ca="1" t="shared" ref="AE7:AE13" si="6">IF(AN7="",0,SUMIF(INDIRECT("'"&amp;AN7&amp;"'"&amp;"!E:E"),$AE$5,INDIRECT("'"&amp;AN7&amp;"'"&amp;"!F:F")))</f>
        <v>0</v>
      </c>
      <c r="AF7" s="3992"/>
      <c r="AG7" s="2242">
        <f ca="1" t="shared" ref="AG7:AG13" si="7">IF(AF7="",0,AE7-AF7)</f>
        <v>0</v>
      </c>
      <c r="AH7" s="3984"/>
      <c r="AI7" s="3993"/>
      <c r="AJ7" s="3992"/>
      <c r="AK7" s="3994"/>
      <c r="AL7" s="3995"/>
      <c r="AM7" s="3996"/>
      <c r="AN7" s="3997"/>
      <c r="AO7" s="3982" t="e">
        <f ca="1" t="shared" ref="AO7:AO13" si="8">SUMIF(INDIRECT("'"&amp;AN7&amp;"'"&amp;"!A:A"),"总价",INDIRECT("'"&amp;AN7&amp;"'"&amp;"!B:B"))</f>
        <v>#REF!</v>
      </c>
      <c r="AP7" s="3982">
        <f t="shared" ref="AP7:AP13" si="9">IF(C7="住宅",K7*L7,0)</f>
        <v>0</v>
      </c>
      <c r="AQ7" s="3982">
        <f t="shared" ref="AQ7:AQ13" si="10">ROUND($L$14*$N$14*S7/10000,0)</f>
        <v>0</v>
      </c>
      <c r="AR7" s="3982">
        <f t="shared" ref="AR7:AR13" si="11">ROUND($L$14*(1-$N$14)*S7/10000,0)</f>
        <v>0</v>
      </c>
      <c r="AS7" s="3982">
        <f t="shared" ref="AS7:AS13" si="12">ROUND(1-1/(1+H7)^F7,3)</f>
        <v>0</v>
      </c>
      <c r="AT7" s="3857"/>
      <c r="AU7" s="3857"/>
      <c r="AV7" s="3857"/>
      <c r="AW7" s="3857"/>
      <c r="AX7" s="3857"/>
      <c r="AY7" s="3857"/>
      <c r="AZ7" s="3857"/>
      <c r="BA7" s="3857"/>
      <c r="BB7" s="3857"/>
      <c r="BC7" s="3857"/>
      <c r="BD7" s="3857"/>
      <c r="BE7" s="3857"/>
      <c r="BF7" s="3857"/>
      <c r="BG7" s="3857"/>
      <c r="BH7" s="3857"/>
      <c r="BI7" s="3857"/>
      <c r="BJ7" s="3857"/>
      <c r="BK7" s="3857"/>
      <c r="BL7" s="3857"/>
      <c r="BM7" s="3857"/>
      <c r="BN7" s="3857"/>
      <c r="BO7" s="3857"/>
    </row>
    <row r="8" s="3918" customFormat="1" ht="14.25" spans="1:67">
      <c r="A8" s="3967">
        <f>'数据-汇总表'!C21</f>
        <v>0</v>
      </c>
      <c r="B8" s="3968" t="str">
        <f t="shared" si="2"/>
        <v/>
      </c>
      <c r="C8" s="3969"/>
      <c r="D8" s="3970">
        <f>SUMIF(项目基本情况!C$12:I$12,C8,项目基本情况!C$14:I$14)</f>
        <v>0</v>
      </c>
      <c r="E8" s="3971" t="str">
        <f>IF(B8="","",SUMIF(项目基本情况!C$12:I$12,C8,项目基本情况!C$13:I$13))</f>
        <v/>
      </c>
      <c r="F8" s="3972">
        <f>SUMIF(项目基本情况!C$12:I$12,C8,项目基本情况!C$15:I$15)</f>
        <v>0</v>
      </c>
      <c r="G8" s="3973">
        <f t="shared" si="0"/>
        <v>0</v>
      </c>
      <c r="H8" s="3974"/>
      <c r="I8" s="3974"/>
      <c r="J8" s="3975"/>
      <c r="K8" s="3976">
        <f>SUMIF('数据-汇总表'!C$19:C$33,A8,'数据-汇总表'!E$19:E$33)</f>
        <v>0</v>
      </c>
      <c r="L8" s="3977"/>
      <c r="M8" s="3978">
        <f t="shared" si="1"/>
        <v>0</v>
      </c>
      <c r="N8" s="3979"/>
      <c r="O8" s="3978" t="str">
        <f t="shared" si="3"/>
        <v>——</v>
      </c>
      <c r="P8" s="2078" t="str">
        <f t="shared" si="4"/>
        <v>——</v>
      </c>
      <c r="Q8" s="3980"/>
      <c r="R8" s="3981">
        <f ca="1">SUMIF('数据-汇总表'!C$19:C$33,A8,'数据-汇总表'!R$19:R$27)</f>
        <v>0</v>
      </c>
      <c r="S8" s="3982">
        <f>IF('数据-汇总表'!$I$17="按面积比例",SUMIF('数据-汇总表'!C$19:C$33,A8,'数据-汇总表'!K$19:K$33),SUMIF('数据-汇总表'!C$19:C$33,A8,'数据-汇总表'!N$19:N$33))</f>
        <v>0</v>
      </c>
      <c r="T8" s="3983">
        <f t="shared" si="5"/>
        <v>0</v>
      </c>
      <c r="U8" s="3998"/>
      <c r="V8" s="3999"/>
      <c r="W8" s="3999"/>
      <c r="X8" s="3986"/>
      <c r="Y8" s="3987"/>
      <c r="Z8" s="3988"/>
      <c r="AA8" s="3989"/>
      <c r="AB8" s="3989"/>
      <c r="AC8" s="3986"/>
      <c r="AD8" s="3990"/>
      <c r="AE8" s="3991">
        <f ca="1" t="shared" si="6"/>
        <v>0</v>
      </c>
      <c r="AF8" s="3992"/>
      <c r="AG8" s="2242">
        <f ca="1" t="shared" si="7"/>
        <v>0</v>
      </c>
      <c r="AH8" s="3998"/>
      <c r="AI8" s="3993"/>
      <c r="AJ8" s="3992"/>
      <c r="AK8" s="4000"/>
      <c r="AL8" s="4001"/>
      <c r="AM8" s="4002"/>
      <c r="AN8" s="3997"/>
      <c r="AO8" s="3982" t="e">
        <f ca="1" t="shared" si="8"/>
        <v>#REF!</v>
      </c>
      <c r="AP8" s="3982">
        <f t="shared" si="9"/>
        <v>0</v>
      </c>
      <c r="AQ8" s="3982">
        <f t="shared" si="10"/>
        <v>0</v>
      </c>
      <c r="AR8" s="3982">
        <f t="shared" si="11"/>
        <v>0</v>
      </c>
      <c r="AS8" s="3982">
        <f t="shared" si="12"/>
        <v>0</v>
      </c>
      <c r="AT8" s="3857"/>
      <c r="AU8" s="3857"/>
      <c r="AV8" s="3857"/>
      <c r="AW8" s="3857"/>
      <c r="AX8" s="3857"/>
      <c r="AY8" s="3857"/>
      <c r="AZ8" s="3857"/>
      <c r="BA8" s="3857"/>
      <c r="BB8" s="3857"/>
      <c r="BC8" s="3857"/>
      <c r="BD8" s="3857"/>
      <c r="BE8" s="3857"/>
      <c r="BF8" s="3857"/>
      <c r="BG8" s="3857"/>
      <c r="BH8" s="3857"/>
      <c r="BI8" s="3857"/>
      <c r="BJ8" s="3857"/>
      <c r="BK8" s="3857"/>
      <c r="BL8" s="3857"/>
      <c r="BM8" s="3857"/>
      <c r="BN8" s="3857"/>
      <c r="BO8" s="3857"/>
    </row>
    <row r="9" s="3918" customFormat="1" ht="14.25" spans="1:67">
      <c r="A9" s="3967">
        <f>'数据-汇总表'!C22</f>
        <v>0</v>
      </c>
      <c r="B9" s="3968" t="str">
        <f t="shared" si="2"/>
        <v/>
      </c>
      <c r="C9" s="3969"/>
      <c r="D9" s="3970">
        <f>SUMIF(项目基本情况!C$12:I$12,C9,项目基本情况!C$14:I$14)</f>
        <v>0</v>
      </c>
      <c r="E9" s="3971" t="str">
        <f>IF(B9="","",SUMIF(项目基本情况!C$12:I$12,C9,项目基本情况!C$13:I$13))</f>
        <v/>
      </c>
      <c r="F9" s="3972">
        <f>SUMIF(项目基本情况!C$12:I$12,C9,项目基本情况!C$15:I$15)</f>
        <v>0</v>
      </c>
      <c r="G9" s="3973">
        <f t="shared" si="0"/>
        <v>0</v>
      </c>
      <c r="H9" s="3974"/>
      <c r="I9" s="3974"/>
      <c r="J9" s="3975"/>
      <c r="K9" s="3976">
        <f>SUMIF('数据-汇总表'!C$19:C$33,A9,'数据-汇总表'!E$19:E$33)</f>
        <v>0</v>
      </c>
      <c r="L9" s="3977"/>
      <c r="M9" s="3978">
        <f t="shared" si="1"/>
        <v>0</v>
      </c>
      <c r="N9" s="3979"/>
      <c r="O9" s="3978" t="str">
        <f t="shared" si="3"/>
        <v>——</v>
      </c>
      <c r="P9" s="2078" t="str">
        <f t="shared" si="4"/>
        <v>——</v>
      </c>
      <c r="Q9" s="4003"/>
      <c r="R9" s="3981">
        <f ca="1">SUMIF('数据-汇总表'!C$19:C$33,A9,'数据-汇总表'!R$19:R$27)</f>
        <v>0</v>
      </c>
      <c r="S9" s="3982">
        <f>IF('数据-汇总表'!$I$17="按面积比例",SUMIF('数据-汇总表'!C$19:C$33,A9,'数据-汇总表'!K$19:K$33),SUMIF('数据-汇总表'!C$19:C$33,A9,'数据-汇总表'!N$19:N$33))</f>
        <v>0</v>
      </c>
      <c r="T9" s="3983">
        <f t="shared" si="5"/>
        <v>0</v>
      </c>
      <c r="U9" s="3984"/>
      <c r="V9" s="3985"/>
      <c r="W9" s="3985"/>
      <c r="X9" s="3986"/>
      <c r="Y9" s="3987"/>
      <c r="Z9" s="3988"/>
      <c r="AA9" s="3989"/>
      <c r="AB9" s="3989"/>
      <c r="AC9" s="3986"/>
      <c r="AD9" s="3990"/>
      <c r="AE9" s="3991">
        <f ca="1" t="shared" si="6"/>
        <v>0</v>
      </c>
      <c r="AF9" s="3992"/>
      <c r="AG9" s="2242">
        <f ca="1" t="shared" si="7"/>
        <v>0</v>
      </c>
      <c r="AH9" s="3984"/>
      <c r="AI9" s="3993"/>
      <c r="AJ9" s="3992"/>
      <c r="AK9" s="3994"/>
      <c r="AL9" s="3995"/>
      <c r="AM9" s="3996"/>
      <c r="AN9" s="3997"/>
      <c r="AO9" s="3982" t="e">
        <f ca="1" t="shared" si="8"/>
        <v>#REF!</v>
      </c>
      <c r="AP9" s="3982">
        <f t="shared" si="9"/>
        <v>0</v>
      </c>
      <c r="AQ9" s="3982">
        <f t="shared" si="10"/>
        <v>0</v>
      </c>
      <c r="AR9" s="3982">
        <f t="shared" si="11"/>
        <v>0</v>
      </c>
      <c r="AS9" s="3982">
        <f t="shared" si="12"/>
        <v>0</v>
      </c>
      <c r="AT9" s="3857"/>
      <c r="AU9" s="3857"/>
      <c r="AV9" s="3857"/>
      <c r="AW9" s="3857"/>
      <c r="AX9" s="3857"/>
      <c r="AY9" s="3857"/>
      <c r="AZ9" s="3857"/>
      <c r="BA9" s="3857"/>
      <c r="BB9" s="3857"/>
      <c r="BC9" s="3857"/>
      <c r="BD9" s="3857"/>
      <c r="BE9" s="3857"/>
      <c r="BF9" s="3857"/>
      <c r="BG9" s="3857"/>
      <c r="BH9" s="3857"/>
      <c r="BI9" s="3857"/>
      <c r="BJ9" s="3857"/>
      <c r="BK9" s="3857"/>
      <c r="BL9" s="3857"/>
      <c r="BM9" s="3857"/>
      <c r="BN9" s="3857"/>
      <c r="BO9" s="3857"/>
    </row>
    <row r="10" s="3918" customFormat="1" ht="14.25" spans="1:67">
      <c r="A10" s="3967">
        <f>'数据-汇总表'!C23</f>
        <v>0</v>
      </c>
      <c r="B10" s="3968" t="str">
        <f t="shared" si="2"/>
        <v/>
      </c>
      <c r="C10" s="3969"/>
      <c r="D10" s="3970">
        <f>SUMIF(项目基本情况!C$12:I$12,C10,项目基本情况!C$14:I$14)</f>
        <v>0</v>
      </c>
      <c r="E10" s="3971" t="str">
        <f>IF(B10="","",SUMIF(项目基本情况!C$12:I$12,C10,项目基本情况!C$13:I$13))</f>
        <v/>
      </c>
      <c r="F10" s="3972">
        <f>SUMIF(项目基本情况!C$12:I$12,C10,项目基本情况!C$15:I$15)</f>
        <v>0</v>
      </c>
      <c r="G10" s="3973">
        <f t="shared" si="0"/>
        <v>0</v>
      </c>
      <c r="H10" s="3975"/>
      <c r="I10" s="3975"/>
      <c r="J10" s="3975"/>
      <c r="K10" s="3976">
        <f>SUMIF('数据-汇总表'!C$19:C$33,A10,'数据-汇总表'!E$19:E$33)</f>
        <v>0</v>
      </c>
      <c r="L10" s="3977"/>
      <c r="M10" s="3978">
        <f t="shared" si="1"/>
        <v>0</v>
      </c>
      <c r="N10" s="3979"/>
      <c r="O10" s="3978" t="str">
        <f t="shared" si="3"/>
        <v>——</v>
      </c>
      <c r="P10" s="2078" t="str">
        <f t="shared" si="4"/>
        <v>——</v>
      </c>
      <c r="Q10" s="4003"/>
      <c r="R10" s="3981">
        <f ca="1">SUMIF('数据-汇总表'!C$19:C$33,A10,'数据-汇总表'!R$19:R$27)</f>
        <v>0</v>
      </c>
      <c r="S10" s="3982">
        <f>IF('数据-汇总表'!$I$17="按面积比例",SUMIF('数据-汇总表'!C$19:C$33,A10,'数据-汇总表'!K$19:K$33),SUMIF('数据-汇总表'!C$19:C$33,A10,'数据-汇总表'!N$19:N$33))</f>
        <v>0</v>
      </c>
      <c r="T10" s="3983">
        <f t="shared" si="5"/>
        <v>0</v>
      </c>
      <c r="U10" s="3984"/>
      <c r="V10" s="3985"/>
      <c r="W10" s="3985"/>
      <c r="X10" s="3986"/>
      <c r="Y10" s="3987"/>
      <c r="Z10" s="3988"/>
      <c r="AA10" s="3989"/>
      <c r="AB10" s="3989"/>
      <c r="AC10" s="3986"/>
      <c r="AD10" s="3990"/>
      <c r="AE10" s="3991">
        <f ca="1" t="shared" si="6"/>
        <v>0</v>
      </c>
      <c r="AF10" s="3992"/>
      <c r="AG10" s="2242">
        <f ca="1" t="shared" si="7"/>
        <v>0</v>
      </c>
      <c r="AH10" s="3984"/>
      <c r="AI10" s="3993"/>
      <c r="AJ10" s="3992"/>
      <c r="AK10" s="3994"/>
      <c r="AL10" s="3995"/>
      <c r="AM10" s="3996"/>
      <c r="AN10" s="3997"/>
      <c r="AO10" s="3982" t="e">
        <f ca="1" t="shared" si="8"/>
        <v>#REF!</v>
      </c>
      <c r="AP10" s="3982">
        <f t="shared" si="9"/>
        <v>0</v>
      </c>
      <c r="AQ10" s="3982">
        <f t="shared" si="10"/>
        <v>0</v>
      </c>
      <c r="AR10" s="3982">
        <f t="shared" si="11"/>
        <v>0</v>
      </c>
      <c r="AS10" s="3982">
        <f t="shared" si="12"/>
        <v>0</v>
      </c>
      <c r="AT10" s="3857"/>
      <c r="AU10" s="3857"/>
      <c r="AV10" s="3857"/>
      <c r="AW10" s="3857"/>
      <c r="AX10" s="3857"/>
      <c r="AY10" s="3857"/>
      <c r="AZ10" s="3857"/>
      <c r="BA10" s="3857"/>
      <c r="BB10" s="3857"/>
      <c r="BC10" s="3857"/>
      <c r="BD10" s="3857"/>
      <c r="BE10" s="3857"/>
      <c r="BF10" s="3857"/>
      <c r="BG10" s="3857"/>
      <c r="BH10" s="3857"/>
      <c r="BI10" s="3857"/>
      <c r="BJ10" s="3857"/>
      <c r="BK10" s="3857"/>
      <c r="BL10" s="3857"/>
      <c r="BM10" s="3857"/>
      <c r="BN10" s="3857"/>
      <c r="BO10" s="3857"/>
    </row>
    <row r="11" s="3918" customFormat="1" ht="14.25" spans="1:67">
      <c r="A11" s="3967">
        <f>'数据-汇总表'!C24</f>
        <v>0</v>
      </c>
      <c r="B11" s="3968" t="str">
        <f t="shared" si="2"/>
        <v/>
      </c>
      <c r="C11" s="3969"/>
      <c r="D11" s="3970">
        <f>SUMIF(项目基本情况!C$12:I$12,C11,项目基本情况!C$14:I$14)</f>
        <v>0</v>
      </c>
      <c r="E11" s="3971" t="str">
        <f>IF(B11="","",SUMIF(项目基本情况!C$12:I$12,C11,项目基本情况!C$13:I$13))</f>
        <v/>
      </c>
      <c r="F11" s="3972">
        <f>SUMIF(项目基本情况!C$12:I$12,C11,项目基本情况!C$15:I$15)</f>
        <v>0</v>
      </c>
      <c r="G11" s="3973">
        <f t="shared" si="0"/>
        <v>0</v>
      </c>
      <c r="H11" s="3975"/>
      <c r="I11" s="3975"/>
      <c r="J11" s="3975"/>
      <c r="K11" s="3976">
        <f>SUMIF('数据-汇总表'!C$19:C$33,A11,'数据-汇总表'!E$19:E$33)</f>
        <v>0</v>
      </c>
      <c r="L11" s="4004"/>
      <c r="M11" s="3978">
        <f t="shared" si="1"/>
        <v>0</v>
      </c>
      <c r="N11" s="3979"/>
      <c r="O11" s="3978" t="str">
        <f t="shared" si="3"/>
        <v>——</v>
      </c>
      <c r="P11" s="2078" t="str">
        <f t="shared" si="4"/>
        <v>——</v>
      </c>
      <c r="Q11" s="4003"/>
      <c r="R11" s="3981">
        <f ca="1">SUMIF('数据-汇总表'!C$19:C$33,A11,'数据-汇总表'!R$19:R$27)</f>
        <v>0</v>
      </c>
      <c r="S11" s="3982">
        <f>IF('数据-汇总表'!$I$17="按面积比例",SUMIF('数据-汇总表'!C$19:C$33,A11,'数据-汇总表'!K$19:K$33),SUMIF('数据-汇总表'!C$19:C$33,A11,'数据-汇总表'!N$19:N$33))</f>
        <v>0</v>
      </c>
      <c r="T11" s="3983">
        <f t="shared" si="5"/>
        <v>0</v>
      </c>
      <c r="U11" s="3984"/>
      <c r="V11" s="3989"/>
      <c r="W11" s="3989"/>
      <c r="X11" s="3986"/>
      <c r="Y11" s="3987"/>
      <c r="Z11" s="4005"/>
      <c r="AA11" s="3989"/>
      <c r="AB11" s="3989"/>
      <c r="AC11" s="3986"/>
      <c r="AD11" s="3990"/>
      <c r="AE11" s="3991">
        <f ca="1" t="shared" si="6"/>
        <v>0</v>
      </c>
      <c r="AF11" s="3992"/>
      <c r="AG11" s="2242">
        <f ca="1" t="shared" si="7"/>
        <v>0</v>
      </c>
      <c r="AH11" s="3984"/>
      <c r="AI11" s="3993"/>
      <c r="AJ11" s="3992"/>
      <c r="AK11" s="4006"/>
      <c r="AL11" s="4007"/>
      <c r="AM11" s="4008"/>
      <c r="AN11" s="3997"/>
      <c r="AO11" s="3982" t="e">
        <f ca="1" t="shared" si="8"/>
        <v>#REF!</v>
      </c>
      <c r="AP11" s="3982">
        <f t="shared" si="9"/>
        <v>0</v>
      </c>
      <c r="AQ11" s="3982">
        <f t="shared" si="10"/>
        <v>0</v>
      </c>
      <c r="AR11" s="3982">
        <f t="shared" si="11"/>
        <v>0</v>
      </c>
      <c r="AS11" s="3982">
        <f t="shared" si="12"/>
        <v>0</v>
      </c>
      <c r="AT11" s="3857"/>
      <c r="AU11" s="3857"/>
      <c r="AV11" s="3857"/>
      <c r="AW11" s="3857"/>
      <c r="AX11" s="3857"/>
      <c r="AY11" s="3857"/>
      <c r="AZ11" s="3857"/>
      <c r="BA11" s="3857"/>
      <c r="BB11" s="3857"/>
      <c r="BC11" s="3857"/>
      <c r="BD11" s="3857"/>
      <c r="BE11" s="3857"/>
      <c r="BF11" s="3857"/>
      <c r="BG11" s="3857"/>
      <c r="BH11" s="3857"/>
      <c r="BI11" s="3857"/>
      <c r="BJ11" s="3857"/>
      <c r="BK11" s="3857"/>
      <c r="BL11" s="3857"/>
      <c r="BM11" s="3857"/>
      <c r="BN11" s="3857"/>
      <c r="BO11" s="3857"/>
    </row>
    <row r="12" s="3918" customFormat="1" ht="14.25" spans="1:67">
      <c r="A12" s="3967">
        <f>'数据-汇总表'!C25</f>
        <v>0</v>
      </c>
      <c r="B12" s="3968" t="str">
        <f t="shared" si="2"/>
        <v/>
      </c>
      <c r="C12" s="3969"/>
      <c r="D12" s="3970">
        <f>SUMIF(项目基本情况!C$12:I$12,C12,项目基本情况!C$14:I$14)</f>
        <v>0</v>
      </c>
      <c r="E12" s="3971" t="str">
        <f>IF(B12="","",SUMIF(项目基本情况!C$12:I$12,C12,项目基本情况!C$13:I$13))</f>
        <v/>
      </c>
      <c r="F12" s="3972">
        <f>SUMIF(项目基本情况!C$12:I$12,C12,项目基本情况!C$15:I$15)</f>
        <v>0</v>
      </c>
      <c r="G12" s="3973">
        <f t="shared" si="0"/>
        <v>0</v>
      </c>
      <c r="H12" s="3975"/>
      <c r="I12" s="3975"/>
      <c r="J12" s="3975"/>
      <c r="K12" s="3976">
        <f>SUMIF('数据-汇总表'!C$19:C$33,A12,'数据-汇总表'!E$19:E$33)</f>
        <v>0</v>
      </c>
      <c r="L12" s="4004"/>
      <c r="M12" s="3978">
        <f t="shared" si="1"/>
        <v>0</v>
      </c>
      <c r="N12" s="3979"/>
      <c r="O12" s="3978" t="str">
        <f t="shared" si="3"/>
        <v>——</v>
      </c>
      <c r="P12" s="2078" t="str">
        <f t="shared" si="4"/>
        <v>——</v>
      </c>
      <c r="Q12" s="4003"/>
      <c r="R12" s="3981">
        <f ca="1">SUMIF('数据-汇总表'!C$19:C$33,A12,'数据-汇总表'!R$19:R$27)</f>
        <v>0</v>
      </c>
      <c r="S12" s="3982">
        <f>IF('数据-汇总表'!$I$17="按面积比例",SUMIF('数据-汇总表'!C$19:C$33,A12,'数据-汇总表'!K$19:K$33),SUMIF('数据-汇总表'!C$19:C$33,A12,'数据-汇总表'!N$19:N$33))</f>
        <v>0</v>
      </c>
      <c r="T12" s="3983">
        <f t="shared" si="5"/>
        <v>0</v>
      </c>
      <c r="U12" s="3984"/>
      <c r="V12" s="3989"/>
      <c r="W12" s="3989"/>
      <c r="X12" s="3986"/>
      <c r="Y12" s="3987"/>
      <c r="Z12" s="4005"/>
      <c r="AA12" s="3989"/>
      <c r="AB12" s="3989"/>
      <c r="AC12" s="3986"/>
      <c r="AD12" s="3990"/>
      <c r="AE12" s="3991">
        <f ca="1" t="shared" si="6"/>
        <v>0</v>
      </c>
      <c r="AF12" s="3992"/>
      <c r="AG12" s="2242">
        <f ca="1" t="shared" si="7"/>
        <v>0</v>
      </c>
      <c r="AH12" s="3984"/>
      <c r="AI12" s="3993"/>
      <c r="AJ12" s="3992"/>
      <c r="AK12" s="4006"/>
      <c r="AL12" s="4007"/>
      <c r="AM12" s="4008"/>
      <c r="AN12" s="3997"/>
      <c r="AO12" s="3982" t="e">
        <f ca="1" t="shared" si="8"/>
        <v>#REF!</v>
      </c>
      <c r="AP12" s="3982">
        <f t="shared" si="9"/>
        <v>0</v>
      </c>
      <c r="AQ12" s="3982">
        <f t="shared" si="10"/>
        <v>0</v>
      </c>
      <c r="AR12" s="3982">
        <f t="shared" si="11"/>
        <v>0</v>
      </c>
      <c r="AS12" s="3982">
        <f t="shared" si="12"/>
        <v>0</v>
      </c>
      <c r="AT12" s="3857"/>
      <c r="AU12" s="3857"/>
      <c r="AV12" s="3857"/>
      <c r="AW12" s="3857"/>
      <c r="AX12" s="3857"/>
      <c r="AY12" s="3857"/>
      <c r="AZ12" s="3857"/>
      <c r="BA12" s="3857"/>
      <c r="BB12" s="3857"/>
      <c r="BC12" s="3857"/>
      <c r="BD12" s="3857"/>
      <c r="BE12" s="3857"/>
      <c r="BF12" s="3857"/>
      <c r="BG12" s="3857"/>
      <c r="BH12" s="3857"/>
      <c r="BI12" s="3857"/>
      <c r="BJ12" s="3857"/>
      <c r="BK12" s="3857"/>
      <c r="BL12" s="3857"/>
      <c r="BM12" s="3857"/>
      <c r="BN12" s="3857"/>
      <c r="BO12" s="3857"/>
    </row>
    <row r="13" s="3918" customFormat="1" ht="14.25" spans="1:67">
      <c r="A13" s="3967">
        <f>'数据-汇总表'!C26</f>
        <v>0</v>
      </c>
      <c r="B13" s="3968" t="str">
        <f t="shared" si="2"/>
        <v/>
      </c>
      <c r="C13" s="3969"/>
      <c r="D13" s="3970">
        <f>SUMIF(项目基本情况!C$12:I$12,C13,项目基本情况!C$14:I$14)</f>
        <v>0</v>
      </c>
      <c r="E13" s="3971" t="str">
        <f>IF(B13="","",SUMIF(项目基本情况!C$12:I$12,C13,项目基本情况!C$13:I$13))</f>
        <v/>
      </c>
      <c r="F13" s="3972">
        <f>SUMIF(项目基本情况!C$12:I$12,C13,项目基本情况!C$15:I$15)</f>
        <v>0</v>
      </c>
      <c r="G13" s="3973">
        <f t="shared" si="0"/>
        <v>0</v>
      </c>
      <c r="H13" s="3975"/>
      <c r="I13" s="3975"/>
      <c r="J13" s="3975"/>
      <c r="K13" s="3976">
        <f>SUMIF('数据-汇总表'!C$19:C$33,A13,'数据-汇总表'!E$19:E$33)</f>
        <v>0</v>
      </c>
      <c r="L13" s="4004"/>
      <c r="M13" s="3978">
        <f t="shared" si="1"/>
        <v>0</v>
      </c>
      <c r="N13" s="4009"/>
      <c r="O13" s="3978" t="str">
        <f t="shared" si="3"/>
        <v>——</v>
      </c>
      <c r="P13" s="2078" t="str">
        <f t="shared" si="4"/>
        <v>——</v>
      </c>
      <c r="Q13" s="4003"/>
      <c r="R13" s="3981">
        <f ca="1">SUMIF('数据-汇总表'!C$19:C$33,A13,'数据-汇总表'!R$19:R$27)</f>
        <v>0</v>
      </c>
      <c r="S13" s="3982">
        <f>IF('数据-汇总表'!$I$17="按面积比例",SUMIF('数据-汇总表'!C$19:C$33,A13,'数据-汇总表'!K$19:K$33),SUMIF('数据-汇总表'!C$19:C$33,A13,'数据-汇总表'!N$19:N$33))</f>
        <v>0</v>
      </c>
      <c r="T13" s="3983">
        <f t="shared" si="5"/>
        <v>0</v>
      </c>
      <c r="U13" s="4010"/>
      <c r="V13" s="3985"/>
      <c r="W13" s="3985"/>
      <c r="X13" s="3986"/>
      <c r="Y13" s="3987"/>
      <c r="Z13" s="3988"/>
      <c r="AA13" s="3989"/>
      <c r="AB13" s="3989"/>
      <c r="AC13" s="3986"/>
      <c r="AD13" s="3990"/>
      <c r="AE13" s="3991">
        <f ca="1" t="shared" si="6"/>
        <v>0</v>
      </c>
      <c r="AF13" s="3992"/>
      <c r="AG13" s="2242">
        <f ca="1" t="shared" si="7"/>
        <v>0</v>
      </c>
      <c r="AH13" s="3984"/>
      <c r="AI13" s="3993"/>
      <c r="AJ13" s="3992"/>
      <c r="AK13" s="3994"/>
      <c r="AL13" s="3995"/>
      <c r="AM13" s="3996"/>
      <c r="AN13" s="3997"/>
      <c r="AO13" s="3982" t="e">
        <f ca="1" t="shared" si="8"/>
        <v>#REF!</v>
      </c>
      <c r="AP13" s="3982">
        <f t="shared" si="9"/>
        <v>0</v>
      </c>
      <c r="AQ13" s="3982">
        <f t="shared" si="10"/>
        <v>0</v>
      </c>
      <c r="AR13" s="3982">
        <f t="shared" si="11"/>
        <v>0</v>
      </c>
      <c r="AS13" s="3982">
        <f t="shared" si="12"/>
        <v>0</v>
      </c>
      <c r="AT13" s="3857"/>
      <c r="AU13" s="3857"/>
      <c r="AV13" s="3857"/>
      <c r="AW13" s="3857"/>
      <c r="AX13" s="3857"/>
      <c r="AY13" s="3857"/>
      <c r="AZ13" s="3857"/>
      <c r="BA13" s="3857"/>
      <c r="BB13" s="3857"/>
      <c r="BC13" s="3857"/>
      <c r="BD13" s="3857"/>
      <c r="BE13" s="3857"/>
      <c r="BF13" s="3857"/>
      <c r="BG13" s="3857"/>
      <c r="BH13" s="3857"/>
      <c r="BI13" s="3857"/>
      <c r="BJ13" s="3857"/>
      <c r="BK13" s="3857"/>
      <c r="BL13" s="3857"/>
      <c r="BM13" s="3857"/>
      <c r="BN13" s="3857"/>
      <c r="BO13" s="3857"/>
    </row>
    <row r="14" s="3918" customFormat="1" ht="14.25" spans="1:67">
      <c r="A14" s="4011" t="s">
        <v>684</v>
      </c>
      <c r="B14" s="3968" t="s">
        <v>683</v>
      </c>
      <c r="C14" s="4012" t="s">
        <v>684</v>
      </c>
      <c r="D14" s="3970"/>
      <c r="E14" s="3971"/>
      <c r="F14" s="3972"/>
      <c r="G14" s="3973"/>
      <c r="H14" s="4013"/>
      <c r="I14" s="4013"/>
      <c r="J14" s="4013"/>
      <c r="K14" s="3976">
        <f>SUMIF('数据-汇总表'!C$19:C$33,A14,'数据-汇总表'!E$19:E$33)</f>
        <v>0</v>
      </c>
      <c r="L14" s="4004"/>
      <c r="M14" s="3978">
        <f t="shared" si="1"/>
        <v>0</v>
      </c>
      <c r="N14" s="4009"/>
      <c r="O14" s="3978" t="str">
        <f t="shared" si="3"/>
        <v>——</v>
      </c>
      <c r="P14" s="2078" t="str">
        <f t="shared" si="4"/>
        <v>——</v>
      </c>
      <c r="Q14" s="4014"/>
      <c r="R14" s="3981"/>
      <c r="S14" s="3982"/>
      <c r="T14" s="3983"/>
      <c r="U14" s="4015"/>
      <c r="V14" s="4016"/>
      <c r="W14" s="4016"/>
      <c r="X14" s="4017"/>
      <c r="Y14" s="4018"/>
      <c r="Z14" s="4019"/>
      <c r="AA14" s="4020"/>
      <c r="AB14" s="4020"/>
      <c r="AC14" s="3986"/>
      <c r="AD14" s="4017"/>
      <c r="AE14" s="3991"/>
      <c r="AF14" s="1462"/>
      <c r="AG14" s="2242"/>
      <c r="AH14" s="3991"/>
      <c r="AI14" s="1461"/>
      <c r="AJ14" s="1462"/>
      <c r="AK14" s="4021"/>
      <c r="AL14" s="4022"/>
      <c r="AM14" s="4023"/>
      <c r="AN14" s="736"/>
      <c r="AO14" s="3937"/>
      <c r="AP14" s="3937"/>
      <c r="AQ14" s="3937"/>
      <c r="AR14" s="3937"/>
      <c r="AS14" s="3938"/>
      <c r="AT14" s="3857"/>
      <c r="AU14" s="3857"/>
      <c r="AV14" s="3857"/>
      <c r="AW14" s="3857"/>
      <c r="AX14" s="3857"/>
      <c r="AY14" s="3857"/>
      <c r="AZ14" s="3857"/>
      <c r="BA14" s="3857"/>
      <c r="BB14" s="3857"/>
      <c r="BC14" s="3857"/>
      <c r="BD14" s="3857"/>
      <c r="BE14" s="3857"/>
      <c r="BF14" s="3857"/>
      <c r="BG14" s="3857"/>
      <c r="BH14" s="3857"/>
      <c r="BI14" s="3857"/>
      <c r="BJ14" s="3857"/>
      <c r="BK14" s="3857"/>
      <c r="BL14" s="3857"/>
      <c r="BM14" s="3857"/>
      <c r="BN14" s="3857"/>
      <c r="BO14" s="3857"/>
    </row>
    <row r="15" s="3918" customFormat="1" ht="14.25" spans="1:67">
      <c r="A15" s="4011" t="s">
        <v>685</v>
      </c>
      <c r="B15" s="3968" t="s">
        <v>683</v>
      </c>
      <c r="C15" s="4012" t="s">
        <v>733</v>
      </c>
      <c r="D15" s="3970"/>
      <c r="E15" s="3971"/>
      <c r="F15" s="3972"/>
      <c r="G15" s="3973"/>
      <c r="H15" s="4013"/>
      <c r="I15" s="4013"/>
      <c r="J15" s="4013"/>
      <c r="K15" s="3976">
        <f>SUMIF('数据-汇总表'!C$19:C$33,A15,'数据-汇总表'!E$19:E$33)</f>
        <v>0</v>
      </c>
      <c r="L15" s="3978"/>
      <c r="M15" s="3978"/>
      <c r="N15" s="4024"/>
      <c r="O15" s="3978"/>
      <c r="P15" s="2078"/>
      <c r="Q15" s="4014"/>
      <c r="R15" s="3981"/>
      <c r="S15" s="3982"/>
      <c r="T15" s="3983"/>
      <c r="U15" s="4015"/>
      <c r="V15" s="4016"/>
      <c r="W15" s="4016"/>
      <c r="X15" s="4017"/>
      <c r="Y15" s="4018"/>
      <c r="Z15" s="4019"/>
      <c r="AA15" s="4020"/>
      <c r="AB15" s="4020"/>
      <c r="AC15" s="3986"/>
      <c r="AD15" s="4017"/>
      <c r="AE15" s="3991"/>
      <c r="AF15" s="1462"/>
      <c r="AG15" s="2242"/>
      <c r="AH15" s="3991"/>
      <c r="AI15" s="1461"/>
      <c r="AJ15" s="1462"/>
      <c r="AK15" s="4021"/>
      <c r="AL15" s="4022"/>
      <c r="AM15" s="4023"/>
      <c r="AN15" s="736"/>
      <c r="AO15" s="3937"/>
      <c r="AP15" s="3937"/>
      <c r="AQ15" s="3937"/>
      <c r="AR15" s="3937"/>
      <c r="AS15" s="3938"/>
      <c r="AT15" s="3857"/>
      <c r="AU15" s="3857"/>
      <c r="AV15" s="3857"/>
      <c r="AW15" s="3857"/>
      <c r="AX15" s="3857"/>
      <c r="AY15" s="3857"/>
      <c r="AZ15" s="3857"/>
      <c r="BA15" s="3857"/>
      <c r="BB15" s="3857"/>
      <c r="BC15" s="3857"/>
      <c r="BD15" s="3857"/>
      <c r="BE15" s="3857"/>
      <c r="BF15" s="3857"/>
      <c r="BG15" s="3857"/>
      <c r="BH15" s="3857"/>
      <c r="BI15" s="3857"/>
      <c r="BJ15" s="3857"/>
      <c r="BK15" s="3857"/>
      <c r="BL15" s="3857"/>
      <c r="BM15" s="3857"/>
      <c r="BN15" s="3857"/>
      <c r="BO15" s="3857"/>
    </row>
    <row r="16" s="3918" customFormat="1" ht="15.75" spans="1:67">
      <c r="A16" s="4025" t="s">
        <v>686</v>
      </c>
      <c r="B16" s="4026"/>
      <c r="C16" s="4027"/>
      <c r="D16" s="4028"/>
      <c r="E16" s="4026"/>
      <c r="F16" s="4029"/>
      <c r="G16" s="4030">
        <f>ROUND(SUMPRODUCT(G6:G13,K6:K13)/SUMPRODUCT((G6:G13&gt;0)*(K6:K13)),4)</f>
        <v>0.7879</v>
      </c>
      <c r="H16" s="4031">
        <f>ROUND(SUMPRODUCT(H6:H13,K6:K13)/SUMPRODUCT((H6:H13&gt;0)*(K6:K13)),3)</f>
        <v>0.05</v>
      </c>
      <c r="I16" s="4032"/>
      <c r="J16" s="4032"/>
      <c r="K16" s="4033">
        <f>SUM(K6:K15)</f>
        <v>20903.38</v>
      </c>
      <c r="L16" s="4034">
        <f>ROUND(M16*10000/SUM(K6:K14),0)</f>
        <v>3200</v>
      </c>
      <c r="M16" s="4034">
        <f>SUM(M6:M14)</f>
        <v>6689</v>
      </c>
      <c r="N16" s="4035">
        <f>ROUND(SUMPRODUCT(M6:M14,N6:N14)/M16,3)</f>
        <v>0.74</v>
      </c>
      <c r="O16" s="4034">
        <f>SUM(O6:O14)</f>
        <v>0</v>
      </c>
      <c r="P16" s="4034">
        <f>SUM(P6:P14)</f>
        <v>0</v>
      </c>
      <c r="Q16" s="4036">
        <f>ROUND(SUMPRODUCT(Q6:Q13,K6:K13)/SUMPRODUCT((Q6:Q13&gt;0)*(K6:K13)),2)</f>
        <v>0.1</v>
      </c>
      <c r="R16" s="4037">
        <f ca="1">SUM(R6:R13)</f>
        <v>0</v>
      </c>
      <c r="S16" s="4038">
        <f>SUM(S6:S13)</f>
        <v>0</v>
      </c>
      <c r="T16" s="4039">
        <f>IF(SUMIF(T6:T13,"&lt;9E307")=M14,SUMIF(T6:T13,"&lt;9E307"),"有误，请检查")</f>
        <v>0</v>
      </c>
      <c r="U16" s="4040"/>
      <c r="V16" s="4041"/>
      <c r="W16" s="4041"/>
      <c r="X16" s="4042"/>
      <c r="Y16" s="4043"/>
      <c r="Z16" s="4044"/>
      <c r="AA16" s="4041"/>
      <c r="AB16" s="4041"/>
      <c r="AC16" s="4042"/>
      <c r="AD16" s="4042"/>
      <c r="AE16" s="4040"/>
      <c r="AF16" s="4041"/>
      <c r="AG16" s="4043"/>
      <c r="AH16" s="4040"/>
      <c r="AI16" s="4044"/>
      <c r="AJ16" s="4044"/>
      <c r="AK16" s="4041"/>
      <c r="AL16" s="4041"/>
      <c r="AM16" s="4043"/>
      <c r="AN16" s="736"/>
      <c r="AO16" s="3937"/>
      <c r="AP16" s="3937"/>
      <c r="AQ16" s="3937"/>
      <c r="AR16" s="3937"/>
      <c r="AS16" s="3982">
        <f>ROUND(SUMPRODUCT(AS6:AS13,K6:K13)/SUMPRODUCT((AS6:AS13&gt;0)*(K6:K13)),3)</f>
        <v>0.719</v>
      </c>
      <c r="AT16" s="3857"/>
      <c r="AU16" s="3857"/>
      <c r="AV16" s="3857"/>
      <c r="AW16" s="3857"/>
      <c r="AX16" s="3857"/>
      <c r="AY16" s="3857"/>
      <c r="AZ16" s="3857"/>
      <c r="BA16" s="3857"/>
      <c r="BB16" s="3857"/>
      <c r="BC16" s="3857"/>
      <c r="BD16" s="3857"/>
      <c r="BE16" s="3857"/>
      <c r="BF16" s="3857"/>
      <c r="BG16" s="3857"/>
      <c r="BH16" s="3857"/>
      <c r="BI16" s="3857"/>
      <c r="BJ16" s="3857"/>
      <c r="BK16" s="3857"/>
      <c r="BL16" s="3857"/>
      <c r="BM16" s="3857"/>
      <c r="BN16" s="3857"/>
      <c r="BO16" s="3857"/>
    </row>
    <row r="17" ht="13.5" spans="1:67">
      <c r="A17" s="4045"/>
      <c r="B17" s="4046"/>
      <c r="C17" s="736"/>
      <c r="D17" s="4047"/>
      <c r="E17" s="4047"/>
      <c r="F17" s="736"/>
      <c r="G17" s="736"/>
      <c r="H17" s="736"/>
      <c r="I17" s="736"/>
      <c r="J17" s="736"/>
      <c r="K17" s="4048"/>
      <c r="L17" s="4048"/>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3930"/>
      <c r="AP17" s="3930"/>
      <c r="AQ17" s="3930"/>
      <c r="AR17" s="3930"/>
    </row>
    <row r="18" ht="15" spans="1:67">
      <c r="A18" s="2015" t="s">
        <v>734</v>
      </c>
      <c r="B18" s="4049"/>
      <c r="C18" s="3936"/>
      <c r="D18" s="4050"/>
      <c r="E18" s="3936"/>
      <c r="F18" s="3936"/>
      <c r="G18" s="3936"/>
      <c r="H18" s="3936"/>
      <c r="I18" s="3936"/>
      <c r="J18" s="3936"/>
      <c r="K18" s="4048"/>
      <c r="L18" s="4048">
        <f>3500/1.09</f>
        <v>3211.00917431193</v>
      </c>
      <c r="M18" s="736"/>
      <c r="N18" s="736">
        <v>2004</v>
      </c>
      <c r="O18" s="736"/>
      <c r="P18" s="736"/>
      <c r="Q18" s="736"/>
      <c r="R18" s="736"/>
      <c r="S18" s="736"/>
      <c r="T18" s="736"/>
      <c r="U18" s="736">
        <f>2.4/1.09</f>
        <v>2.20183486238532</v>
      </c>
      <c r="V18" s="736"/>
      <c r="W18" s="736"/>
      <c r="X18" s="736"/>
      <c r="Y18" s="736"/>
      <c r="Z18" s="736"/>
      <c r="AA18" s="736"/>
      <c r="AB18" s="736"/>
      <c r="AC18" s="736"/>
      <c r="AD18" s="736"/>
      <c r="AE18" s="736"/>
      <c r="AF18" s="736"/>
      <c r="AG18" s="736"/>
      <c r="AH18" s="736"/>
      <c r="AI18" s="736"/>
      <c r="AJ18" s="736"/>
      <c r="AK18" s="736"/>
      <c r="AL18" s="736"/>
      <c r="AM18" s="736"/>
      <c r="AN18" s="736"/>
      <c r="AO18" s="3930"/>
      <c r="AP18" s="3930"/>
      <c r="AQ18" s="3930"/>
      <c r="AR18" s="3930"/>
    </row>
    <row r="19" ht="14.25" spans="1:67">
      <c r="A19" s="4051" t="s">
        <v>735</v>
      </c>
      <c r="B19" s="4052">
        <v>0</v>
      </c>
      <c r="C19" s="4053" t="s">
        <v>736</v>
      </c>
      <c r="D19" s="4054"/>
      <c r="E19" s="4055"/>
      <c r="F19" s="4055"/>
      <c r="G19" s="4055"/>
      <c r="H19" s="3936"/>
      <c r="I19" s="3936"/>
      <c r="J19" s="3936"/>
      <c r="K19" s="4048"/>
      <c r="L19" s="4048"/>
      <c r="M19" s="736"/>
      <c r="N19" s="736">
        <f>ROUND(1-(2026-N18)/60,2)</f>
        <v>0.63</v>
      </c>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3930"/>
      <c r="AP19" s="3930"/>
      <c r="AQ19" s="3930"/>
      <c r="AR19" s="3930"/>
    </row>
    <row r="20" ht="14.25" spans="1:67">
      <c r="A20" s="4056" t="s">
        <v>737</v>
      </c>
      <c r="B20" s="4057">
        <v>2</v>
      </c>
      <c r="C20" s="4058" t="s">
        <v>738</v>
      </c>
      <c r="D20" s="4054"/>
      <c r="E20" s="4055"/>
      <c r="F20" s="4055"/>
      <c r="G20" s="4055"/>
      <c r="H20" s="3936"/>
      <c r="I20" s="3936"/>
      <c r="J20" s="3936"/>
      <c r="K20" s="4048"/>
      <c r="L20" s="4048"/>
      <c r="M20" s="736"/>
      <c r="N20" s="736">
        <v>0.85</v>
      </c>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3930"/>
      <c r="AP20" s="3930"/>
      <c r="AQ20" s="3930"/>
      <c r="AR20" s="3930"/>
    </row>
    <row r="21" ht="14.25" spans="1:67">
      <c r="A21" s="4059" t="s">
        <v>739</v>
      </c>
      <c r="B21" s="4057">
        <v>2</v>
      </c>
      <c r="C21" s="3936"/>
      <c r="D21" s="4050"/>
      <c r="E21" s="3936"/>
      <c r="F21" s="3936"/>
      <c r="G21" s="3936"/>
      <c r="H21" s="3936"/>
      <c r="I21" s="3936"/>
      <c r="J21" s="3936"/>
      <c r="K21" s="4048"/>
      <c r="L21" s="4048"/>
      <c r="M21" s="736"/>
      <c r="N21" s="736">
        <f>(N19+N20)/2</f>
        <v>0.74</v>
      </c>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3930"/>
      <c r="AP21" s="3930"/>
      <c r="AQ21" s="3930"/>
      <c r="AR21" s="3930"/>
    </row>
    <row r="22" ht="14.25" spans="1:67">
      <c r="A22" s="4056" t="s">
        <v>740</v>
      </c>
      <c r="B22" s="4060">
        <f>B19+B20</f>
        <v>2</v>
      </c>
      <c r="C22" s="3936"/>
      <c r="D22" s="4050"/>
      <c r="E22" s="3936"/>
      <c r="F22" s="3936"/>
      <c r="G22" s="3936"/>
      <c r="H22" s="3936"/>
      <c r="I22" s="3936"/>
      <c r="J22" s="3936"/>
      <c r="K22" s="4048"/>
      <c r="L22" s="4048"/>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3930"/>
      <c r="AP22" s="3930"/>
      <c r="AQ22" s="3930"/>
      <c r="AR22" s="3930"/>
    </row>
    <row r="23" ht="14.25" spans="1:67">
      <c r="A23" s="4059" t="s">
        <v>741</v>
      </c>
      <c r="B23" s="4060">
        <f>B19+B21</f>
        <v>2</v>
      </c>
      <c r="C23" s="3936"/>
      <c r="D23" s="4050"/>
      <c r="E23" s="3936"/>
      <c r="F23" s="3936"/>
      <c r="G23" s="3936"/>
      <c r="H23" s="3936"/>
      <c r="I23" s="3936"/>
      <c r="J23" s="3936"/>
      <c r="K23" s="4048"/>
      <c r="L23" s="4048"/>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3930"/>
      <c r="AP23" s="3930"/>
      <c r="AQ23" s="3930"/>
      <c r="AR23" s="3930"/>
    </row>
    <row r="24" ht="15" spans="1:67">
      <c r="A24" s="4061" t="s">
        <v>742</v>
      </c>
      <c r="B24" s="4062">
        <f>B20-B21</f>
        <v>0</v>
      </c>
      <c r="C24" s="3936"/>
      <c r="D24" s="4050"/>
      <c r="E24" s="3936"/>
      <c r="F24" s="3936"/>
      <c r="G24" s="3936"/>
      <c r="H24" s="3936"/>
      <c r="I24" s="3936"/>
      <c r="J24" s="3936"/>
      <c r="K24" s="4048"/>
      <c r="L24" s="4048"/>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3930"/>
      <c r="AP24" s="3930"/>
      <c r="AQ24" s="3930"/>
      <c r="AR24" s="3930"/>
    </row>
    <row r="25" ht="15" spans="1:67">
      <c r="A25" s="3939"/>
      <c r="B25" s="3940"/>
      <c r="C25" s="3936"/>
      <c r="D25" s="4050"/>
      <c r="E25" s="3936"/>
      <c r="F25" s="4063"/>
      <c r="G25" s="3936"/>
      <c r="H25" s="3936"/>
      <c r="I25" s="3936"/>
      <c r="J25" s="3936"/>
      <c r="K25" s="4048"/>
      <c r="L25" s="4048"/>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3930"/>
      <c r="AP25" s="3930"/>
      <c r="AQ25" s="3930"/>
      <c r="AR25" s="3930"/>
    </row>
    <row r="26" ht="15" spans="1:67">
      <c r="A26" s="3931" t="s">
        <v>743</v>
      </c>
      <c r="B26" s="4064" t="s">
        <v>744</v>
      </c>
      <c r="C26" s="3936"/>
      <c r="D26" s="4050"/>
      <c r="E26" s="3936"/>
      <c r="F26" s="3936"/>
      <c r="G26" s="3936"/>
      <c r="H26" s="3936"/>
      <c r="I26" s="3936"/>
      <c r="J26" s="3936"/>
      <c r="K26" s="4048"/>
      <c r="L26" s="4048"/>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3930"/>
      <c r="AP26" s="3930"/>
      <c r="AQ26" s="3930"/>
      <c r="AR26" s="3930"/>
    </row>
    <row r="27" s="3920" customFormat="1" ht="14.25" spans="1:67">
      <c r="A27" s="4065" t="s">
        <v>745</v>
      </c>
      <c r="B27" s="4066"/>
      <c r="C27" s="4067" t="s">
        <v>746</v>
      </c>
      <c r="D27" s="4068"/>
      <c r="E27" s="4069"/>
      <c r="F27" s="4069"/>
      <c r="G27" s="4055"/>
      <c r="H27" s="3936"/>
      <c r="I27" s="3936"/>
      <c r="J27" s="3936"/>
      <c r="K27" s="4048"/>
      <c r="L27" s="4048"/>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3930"/>
      <c r="AP27" s="3930"/>
      <c r="AQ27" s="3930"/>
      <c r="AR27" s="3930"/>
      <c r="AS27" s="4070"/>
      <c r="AT27" s="721"/>
      <c r="AU27" s="721"/>
      <c r="AV27" s="721"/>
      <c r="AW27" s="721"/>
      <c r="AX27" s="721"/>
      <c r="AY27" s="721"/>
      <c r="AZ27" s="721"/>
      <c r="BA27" s="721"/>
      <c r="BB27" s="721"/>
      <c r="BC27" s="721"/>
      <c r="BD27" s="721"/>
      <c r="BE27" s="721"/>
      <c r="BF27" s="721"/>
      <c r="BG27" s="721"/>
      <c r="BH27" s="721"/>
      <c r="BI27" s="721"/>
      <c r="BJ27" s="721"/>
      <c r="BK27" s="721"/>
      <c r="BL27" s="721"/>
      <c r="BM27" s="721"/>
      <c r="BN27" s="721"/>
      <c r="BO27" s="721"/>
    </row>
    <row r="28" s="3920" customFormat="1" ht="14.25" spans="1:67">
      <c r="A28" s="4071" t="s">
        <v>747</v>
      </c>
      <c r="B28" s="4072">
        <v>200</v>
      </c>
      <c r="C28" s="4073"/>
      <c r="D28" s="4068"/>
      <c r="E28" s="4069"/>
      <c r="F28" s="4069"/>
      <c r="G28" s="4055"/>
      <c r="H28" s="3936"/>
      <c r="I28" s="3936"/>
      <c r="J28" s="3936"/>
      <c r="K28" s="4048"/>
      <c r="L28" s="4048"/>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3930"/>
      <c r="AP28" s="3930"/>
      <c r="AQ28" s="3930"/>
      <c r="AR28" s="3930"/>
      <c r="AS28" s="4070"/>
      <c r="AT28" s="721"/>
      <c r="AU28" s="721"/>
      <c r="AV28" s="721"/>
      <c r="AW28" s="721"/>
      <c r="AX28" s="721"/>
      <c r="AY28" s="721"/>
      <c r="AZ28" s="721"/>
      <c r="BA28" s="721"/>
      <c r="BB28" s="721"/>
      <c r="BC28" s="721"/>
      <c r="BD28" s="721"/>
      <c r="BE28" s="721"/>
      <c r="BF28" s="721"/>
      <c r="BG28" s="721"/>
      <c r="BH28" s="721"/>
      <c r="BI28" s="721"/>
      <c r="BJ28" s="721"/>
      <c r="BK28" s="721"/>
      <c r="BL28" s="721"/>
      <c r="BM28" s="721"/>
      <c r="BN28" s="721"/>
      <c r="BO28" s="721"/>
    </row>
    <row r="29" s="3920" customFormat="1" ht="15" spans="1:67">
      <c r="A29" s="4074" t="s">
        <v>748</v>
      </c>
      <c r="B29" s="4075"/>
      <c r="C29" s="4076" t="s">
        <v>749</v>
      </c>
      <c r="D29" s="4068"/>
      <c r="E29" s="4069"/>
      <c r="F29" s="4069"/>
      <c r="G29" s="4055"/>
      <c r="H29" s="3936"/>
      <c r="I29" s="3936"/>
      <c r="J29" s="3936"/>
      <c r="K29" s="4048"/>
      <c r="L29" s="4048"/>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3930"/>
      <c r="AP29" s="3930"/>
      <c r="AQ29" s="3930"/>
      <c r="AR29" s="3930"/>
      <c r="AS29" s="4070"/>
      <c r="AT29" s="721"/>
      <c r="AU29" s="721"/>
      <c r="AV29" s="721"/>
      <c r="AW29" s="721"/>
      <c r="AX29" s="721"/>
      <c r="AY29" s="721"/>
      <c r="AZ29" s="721"/>
      <c r="BA29" s="721"/>
      <c r="BB29" s="721"/>
      <c r="BC29" s="721"/>
      <c r="BD29" s="721"/>
      <c r="BE29" s="721"/>
      <c r="BF29" s="721"/>
      <c r="BG29" s="721"/>
      <c r="BH29" s="721"/>
      <c r="BI29" s="721"/>
      <c r="BJ29" s="721"/>
      <c r="BK29" s="721"/>
      <c r="BL29" s="721"/>
      <c r="BM29" s="721"/>
      <c r="BN29" s="721"/>
      <c r="BO29" s="721"/>
    </row>
    <row r="30" s="3920" customFormat="1" ht="14.25" spans="1:67">
      <c r="A30" s="4077" t="s">
        <v>750</v>
      </c>
      <c r="B30" s="4078">
        <v>280</v>
      </c>
      <c r="C30" s="4079" t="s">
        <v>751</v>
      </c>
      <c r="D30" s="4068"/>
      <c r="E30" s="4069"/>
      <c r="F30" s="4069"/>
      <c r="G30" s="4055"/>
      <c r="H30" s="3936"/>
      <c r="I30" s="3936"/>
      <c r="J30" s="3936"/>
      <c r="K30" s="4048"/>
      <c r="L30" s="4048"/>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3930"/>
      <c r="AP30" s="3930"/>
      <c r="AQ30" s="3930"/>
      <c r="AR30" s="3930"/>
      <c r="AS30" s="4070"/>
      <c r="AT30" s="721"/>
      <c r="AU30" s="721"/>
      <c r="AV30" s="721"/>
      <c r="AW30" s="721"/>
      <c r="AX30" s="721"/>
      <c r="AY30" s="721"/>
      <c r="AZ30" s="721"/>
      <c r="BA30" s="721"/>
      <c r="BB30" s="721"/>
      <c r="BC30" s="721"/>
      <c r="BD30" s="721"/>
      <c r="BE30" s="721"/>
      <c r="BF30" s="721"/>
      <c r="BG30" s="721"/>
      <c r="BH30" s="721"/>
      <c r="BI30" s="721"/>
      <c r="BJ30" s="721"/>
      <c r="BK30" s="721"/>
      <c r="BL30" s="721"/>
      <c r="BM30" s="721"/>
      <c r="BN30" s="721"/>
      <c r="BO30" s="721"/>
    </row>
    <row r="31" s="3920" customFormat="1" ht="14.25" spans="1:67">
      <c r="A31" s="4071" t="s">
        <v>752</v>
      </c>
      <c r="B31" s="4060">
        <f>B30-B32</f>
        <v>280</v>
      </c>
      <c r="C31" s="4080"/>
      <c r="D31" s="4081"/>
      <c r="E31" s="1670"/>
      <c r="F31" s="1670"/>
      <c r="G31" s="3936"/>
      <c r="H31" s="3936"/>
      <c r="I31" s="3936"/>
      <c r="J31" s="3936"/>
      <c r="K31" s="4048"/>
      <c r="L31" s="4048"/>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736"/>
      <c r="AM31" s="736"/>
      <c r="AN31" s="736"/>
      <c r="AO31" s="3930"/>
      <c r="AP31" s="3930"/>
      <c r="AQ31" s="3930"/>
      <c r="AR31" s="3930"/>
      <c r="AS31" s="4070"/>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row>
    <row r="32" s="3920" customFormat="1" ht="15" spans="1:67">
      <c r="A32" s="4082" t="s">
        <v>753</v>
      </c>
      <c r="B32" s="4083">
        <v>0</v>
      </c>
      <c r="C32" s="4084"/>
      <c r="D32" s="4050"/>
      <c r="E32" s="3936"/>
      <c r="F32" s="3936"/>
      <c r="G32" s="3936"/>
      <c r="H32" s="3936"/>
      <c r="I32" s="3936"/>
      <c r="J32" s="3936"/>
      <c r="K32" s="4048"/>
      <c r="L32" s="4048"/>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3930"/>
      <c r="AP32" s="3930"/>
      <c r="AQ32" s="3930"/>
      <c r="AR32" s="3930"/>
      <c r="AS32" s="4070"/>
      <c r="AT32" s="721"/>
      <c r="AU32" s="721"/>
      <c r="AV32" s="721"/>
      <c r="AW32" s="721"/>
      <c r="AX32" s="721"/>
      <c r="AY32" s="721"/>
      <c r="AZ32" s="721"/>
      <c r="BA32" s="721"/>
      <c r="BB32" s="721"/>
      <c r="BC32" s="721"/>
      <c r="BD32" s="721"/>
      <c r="BE32" s="721"/>
      <c r="BF32" s="721"/>
      <c r="BG32" s="721"/>
      <c r="BH32" s="721"/>
      <c r="BI32" s="721"/>
      <c r="BJ32" s="721"/>
      <c r="BK32" s="721"/>
      <c r="BL32" s="721"/>
      <c r="BM32" s="721"/>
      <c r="BN32" s="721"/>
      <c r="BO32" s="721"/>
    </row>
    <row r="33" s="3920" customFormat="1" ht="14.25" spans="1:67">
      <c r="A33" s="4085" t="s">
        <v>754</v>
      </c>
      <c r="B33" s="4086">
        <v>0.07</v>
      </c>
      <c r="C33" s="4087" t="s">
        <v>755</v>
      </c>
      <c r="D33" s="4054"/>
      <c r="E33" s="4055"/>
      <c r="F33" s="4055"/>
      <c r="G33" s="4055"/>
      <c r="H33" s="3936">
        <v>220</v>
      </c>
      <c r="I33" s="3936">
        <f>H33*K16/M16/10000</f>
        <v>0.0687508386903872</v>
      </c>
      <c r="J33" s="3936"/>
      <c r="K33" s="4048"/>
      <c r="L33" s="4048"/>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3930"/>
      <c r="AP33" s="3930"/>
      <c r="AQ33" s="3930"/>
      <c r="AR33" s="3930"/>
      <c r="AS33" s="4070"/>
      <c r="AT33" s="721"/>
      <c r="AU33" s="721"/>
      <c r="AV33" s="721"/>
      <c r="AW33" s="721"/>
      <c r="AX33" s="721"/>
      <c r="AY33" s="721"/>
      <c r="AZ33" s="721"/>
      <c r="BA33" s="721"/>
      <c r="BB33" s="721"/>
      <c r="BC33" s="721"/>
      <c r="BD33" s="721"/>
      <c r="BE33" s="721"/>
      <c r="BF33" s="721"/>
      <c r="BG33" s="721"/>
      <c r="BH33" s="721"/>
      <c r="BI33" s="721"/>
      <c r="BJ33" s="721"/>
      <c r="BK33" s="721"/>
      <c r="BL33" s="721"/>
      <c r="BM33" s="721"/>
      <c r="BN33" s="721"/>
      <c r="BO33" s="721"/>
    </row>
    <row r="34" s="3920" customFormat="1" ht="14.25" spans="1:67">
      <c r="A34" s="4071" t="s">
        <v>756</v>
      </c>
      <c r="B34" s="4088">
        <v>0</v>
      </c>
      <c r="C34" s="4058" t="s">
        <v>757</v>
      </c>
      <c r="D34" s="4089"/>
      <c r="E34" s="4090"/>
      <c r="F34" s="4055"/>
      <c r="G34" s="4055"/>
      <c r="H34" s="3936"/>
      <c r="I34" s="3936"/>
      <c r="J34" s="3936"/>
      <c r="K34" s="4048"/>
      <c r="L34" s="4048"/>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3930"/>
      <c r="AP34" s="3930"/>
      <c r="AQ34" s="3930"/>
      <c r="AR34" s="3930"/>
      <c r="AS34" s="4070"/>
      <c r="AT34" s="721"/>
      <c r="AU34" s="721"/>
      <c r="AV34" s="721"/>
      <c r="AW34" s="721"/>
      <c r="AX34" s="721"/>
      <c r="AY34" s="721"/>
      <c r="AZ34" s="721"/>
      <c r="BA34" s="721"/>
      <c r="BB34" s="721"/>
      <c r="BC34" s="721"/>
      <c r="BD34" s="721"/>
      <c r="BE34" s="721"/>
      <c r="BF34" s="721"/>
      <c r="BG34" s="721"/>
      <c r="BH34" s="721"/>
      <c r="BI34" s="721"/>
      <c r="BJ34" s="721"/>
      <c r="BK34" s="721"/>
      <c r="BL34" s="721"/>
      <c r="BM34" s="721"/>
      <c r="BN34" s="721"/>
      <c r="BO34" s="721"/>
    </row>
    <row r="35" s="3920" customFormat="1" ht="14.25" spans="1:67">
      <c r="A35" s="4071" t="s">
        <v>758</v>
      </c>
      <c r="B35" s="4091">
        <v>280</v>
      </c>
      <c r="C35" s="4053" t="s">
        <v>759</v>
      </c>
      <c r="D35" s="4068"/>
      <c r="E35" s="4069"/>
      <c r="F35" s="4069"/>
      <c r="G35" s="4055"/>
      <c r="H35" s="3936"/>
      <c r="I35" s="3936"/>
      <c r="J35" s="3936"/>
      <c r="K35" s="4048"/>
      <c r="L35" s="4048"/>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3930"/>
      <c r="AP35" s="3930"/>
      <c r="AQ35" s="3930"/>
      <c r="AR35" s="3930"/>
      <c r="AS35" s="4070"/>
      <c r="AT35" s="721"/>
      <c r="AU35" s="721"/>
      <c r="AV35" s="721"/>
      <c r="AW35" s="721"/>
      <c r="AX35" s="721"/>
      <c r="AY35" s="721"/>
      <c r="AZ35" s="721"/>
      <c r="BA35" s="721"/>
      <c r="BB35" s="721"/>
      <c r="BC35" s="721"/>
      <c r="BD35" s="721"/>
      <c r="BE35" s="721"/>
      <c r="BF35" s="721"/>
      <c r="BG35" s="721"/>
      <c r="BH35" s="721"/>
      <c r="BI35" s="721"/>
      <c r="BJ35" s="721"/>
      <c r="BK35" s="721"/>
      <c r="BL35" s="721"/>
      <c r="BM35" s="721"/>
      <c r="BN35" s="721"/>
      <c r="BO35" s="721"/>
    </row>
    <row r="36" s="3920" customFormat="1" ht="14.25" spans="1:67">
      <c r="A36" s="4092" t="s">
        <v>760</v>
      </c>
      <c r="B36" s="4093">
        <v>0.01</v>
      </c>
      <c r="C36" s="4094" t="s">
        <v>761</v>
      </c>
      <c r="D36" s="4068"/>
      <c r="E36" s="4069"/>
      <c r="F36" s="4069"/>
      <c r="G36" s="4055"/>
      <c r="H36" s="3936">
        <v>40</v>
      </c>
      <c r="I36" s="3936">
        <f>H36*K16/M16/10000</f>
        <v>0.0125001524891613</v>
      </c>
      <c r="J36" s="3936"/>
      <c r="K36" s="4048"/>
      <c r="L36" s="4048"/>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3930"/>
      <c r="AP36" s="3930"/>
      <c r="AQ36" s="3930"/>
      <c r="AR36" s="3930"/>
      <c r="AS36" s="4070"/>
      <c r="AT36" s="721"/>
      <c r="AU36" s="721"/>
      <c r="AV36" s="721"/>
      <c r="AW36" s="721"/>
      <c r="AX36" s="721"/>
      <c r="AY36" s="721"/>
      <c r="AZ36" s="721"/>
      <c r="BA36" s="721"/>
      <c r="BB36" s="721"/>
      <c r="BC36" s="721"/>
      <c r="BD36" s="721"/>
      <c r="BE36" s="721"/>
      <c r="BF36" s="721"/>
      <c r="BG36" s="721"/>
      <c r="BH36" s="721"/>
      <c r="BI36" s="721"/>
      <c r="BJ36" s="721"/>
      <c r="BK36" s="721"/>
      <c r="BL36" s="721"/>
      <c r="BM36" s="721"/>
      <c r="BN36" s="721"/>
      <c r="BO36" s="721"/>
    </row>
    <row r="37" ht="15" spans="1:67">
      <c r="A37" s="4095" t="s">
        <v>762</v>
      </c>
      <c r="B37" s="4096"/>
      <c r="C37" s="4053" t="s">
        <v>763</v>
      </c>
      <c r="D37" s="4054"/>
      <c r="E37" s="4055"/>
      <c r="F37" s="4055"/>
      <c r="G37" s="4055"/>
      <c r="H37" s="3936"/>
      <c r="I37" s="3936"/>
      <c r="J37" s="3936"/>
      <c r="K37" s="4048"/>
      <c r="L37" s="4048"/>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3930"/>
      <c r="AP37" s="3930"/>
      <c r="AQ37" s="3930"/>
      <c r="AR37" s="3930"/>
    </row>
    <row r="38" ht="14.25" spans="1:67">
      <c r="A38" s="4077" t="s">
        <v>764</v>
      </c>
      <c r="B38" s="4097">
        <v>0.02</v>
      </c>
      <c r="C38" s="4058" t="s">
        <v>765</v>
      </c>
      <c r="D38" s="4054"/>
      <c r="E38" s="4055"/>
      <c r="F38" s="4055"/>
      <c r="G38" s="4055"/>
      <c r="H38" s="3936"/>
      <c r="I38" s="3936"/>
      <c r="J38" s="3936"/>
      <c r="K38" s="4048"/>
      <c r="L38" s="4048"/>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3930"/>
      <c r="AP38" s="3930"/>
      <c r="AQ38" s="3930"/>
      <c r="AR38" s="3930"/>
    </row>
    <row r="39" ht="14.25" spans="1:67">
      <c r="A39" s="4071" t="s">
        <v>766</v>
      </c>
      <c r="B39" s="4093">
        <v>0.02</v>
      </c>
      <c r="C39" s="4058" t="s">
        <v>767</v>
      </c>
      <c r="D39" s="4054"/>
      <c r="E39" s="4055"/>
      <c r="F39" s="4055"/>
      <c r="G39" s="4055"/>
      <c r="H39" s="3936"/>
      <c r="I39" s="3936"/>
      <c r="J39" s="3936"/>
      <c r="K39" s="4048"/>
      <c r="L39" s="4048"/>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3930"/>
      <c r="AP39" s="3930"/>
      <c r="AQ39" s="3930"/>
      <c r="AR39" s="3930"/>
    </row>
    <row r="40" ht="14.25" spans="1:67">
      <c r="A40" s="4082" t="s">
        <v>768</v>
      </c>
      <c r="B40" s="4098">
        <f ca="1">存贷款利率!I1</f>
        <v>0.015</v>
      </c>
      <c r="C40" s="4099"/>
      <c r="D40" s="4050"/>
      <c r="E40" s="3936"/>
      <c r="F40" s="3936"/>
      <c r="G40" s="3936"/>
      <c r="H40" s="3936"/>
      <c r="I40" s="3936"/>
      <c r="J40" s="3936"/>
      <c r="K40" s="4048"/>
      <c r="L40" s="4048"/>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3930"/>
      <c r="AP40" s="3930"/>
      <c r="AQ40" s="3930"/>
      <c r="AR40" s="3930"/>
    </row>
    <row r="41" ht="15" spans="1:67">
      <c r="A41" s="4100" t="s">
        <v>769</v>
      </c>
      <c r="B41" s="4101">
        <f ca="1">IF(A41="利息：取LPR",存贷款利率!G1,存贷款利率!G1+C41)</f>
        <v>0.0313</v>
      </c>
      <c r="C41" s="4102"/>
      <c r="D41" s="4103"/>
      <c r="E41" s="4050"/>
      <c r="F41" s="3936"/>
      <c r="G41" s="3936"/>
      <c r="H41" s="3936"/>
      <c r="I41" s="3936"/>
      <c r="J41" s="3936"/>
      <c r="K41" s="4048"/>
      <c r="L41" s="4048"/>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3930"/>
      <c r="AP41" s="3930"/>
      <c r="AQ41" s="3930"/>
      <c r="AR41" s="3930"/>
    </row>
    <row r="42" ht="14.25" spans="1:67">
      <c r="A42" s="4085" t="s">
        <v>770</v>
      </c>
      <c r="B42" s="4104"/>
      <c r="C42" s="4080"/>
      <c r="D42" s="736"/>
      <c r="E42" s="4050"/>
      <c r="F42" s="3936"/>
      <c r="G42" s="3936"/>
      <c r="H42" s="3936"/>
      <c r="I42" s="3936"/>
      <c r="J42" s="3936"/>
      <c r="K42" s="4048"/>
      <c r="L42" s="4048"/>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3930"/>
      <c r="AP42" s="3930"/>
      <c r="AQ42" s="3930"/>
      <c r="AR42" s="3930"/>
    </row>
    <row r="43" ht="14.25" spans="1:67">
      <c r="A43" s="4105" t="s">
        <v>771</v>
      </c>
      <c r="B43" s="4106">
        <v>0.09</v>
      </c>
      <c r="C43" s="4107"/>
      <c r="D43" s="4050"/>
      <c r="E43" s="3936"/>
      <c r="F43" s="3936"/>
      <c r="G43" s="3936"/>
      <c r="H43" s="3936"/>
      <c r="I43" s="3936"/>
      <c r="J43" s="3936"/>
      <c r="K43" s="4048"/>
      <c r="L43" s="4048"/>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3930"/>
      <c r="AP43" s="3930"/>
      <c r="AQ43" s="3930"/>
      <c r="AR43" s="3930"/>
    </row>
    <row r="44" ht="14.25" spans="1:67">
      <c r="A44" s="4105" t="s">
        <v>772</v>
      </c>
      <c r="B44" s="4108">
        <f>B45+B46+B47</f>
        <v>0.12</v>
      </c>
      <c r="C44" s="4080"/>
      <c r="D44" s="4050"/>
      <c r="E44" s="3936"/>
      <c r="F44" s="3936"/>
      <c r="G44" s="3936"/>
      <c r="H44" s="3936"/>
      <c r="I44" s="3936"/>
      <c r="J44" s="3936"/>
      <c r="K44" s="4048"/>
      <c r="L44" s="4048"/>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3930"/>
      <c r="AP44" s="3930"/>
      <c r="AQ44" s="3930"/>
      <c r="AR44" s="3930"/>
    </row>
    <row r="45" ht="14.25" spans="1:67">
      <c r="A45" s="4109" t="s">
        <v>773</v>
      </c>
      <c r="B45" s="4110">
        <v>0.07</v>
      </c>
      <c r="C45" s="4058" t="s">
        <v>774</v>
      </c>
      <c r="D45" s="4054"/>
      <c r="E45" s="4055"/>
      <c r="F45" s="4055"/>
      <c r="G45" s="4055"/>
      <c r="H45" s="3936"/>
      <c r="I45" s="3936"/>
      <c r="J45" s="3936"/>
      <c r="K45" s="4048"/>
      <c r="L45" s="4048"/>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3930"/>
      <c r="AP45" s="3930"/>
      <c r="AQ45" s="3930"/>
      <c r="AR45" s="3930"/>
    </row>
    <row r="46" ht="14.25" spans="1:67">
      <c r="A46" s="4109" t="s">
        <v>775</v>
      </c>
      <c r="B46" s="4111">
        <v>0.03</v>
      </c>
      <c r="C46" s="4076" t="s">
        <v>776</v>
      </c>
      <c r="D46" s="4112"/>
      <c r="E46" s="4113"/>
      <c r="F46" s="4055"/>
      <c r="G46" s="4055"/>
      <c r="H46" s="3936"/>
      <c r="I46" s="3936"/>
      <c r="J46" s="3936"/>
      <c r="K46" s="4048"/>
      <c r="L46" s="4048"/>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3930"/>
      <c r="AP46" s="3930"/>
      <c r="AQ46" s="3930"/>
      <c r="AR46" s="3930"/>
    </row>
    <row r="47" ht="14.25" spans="1:67">
      <c r="A47" s="4109" t="s">
        <v>777</v>
      </c>
      <c r="B47" s="4111">
        <v>0.02</v>
      </c>
      <c r="C47" s="4076" t="s">
        <v>778</v>
      </c>
      <c r="D47" s="4112"/>
      <c r="E47" s="4113"/>
      <c r="F47" s="4055"/>
      <c r="G47" s="4055"/>
      <c r="H47" s="3936"/>
      <c r="I47" s="3936"/>
      <c r="J47" s="3936"/>
      <c r="K47" s="4048"/>
      <c r="L47" s="4048"/>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3930"/>
      <c r="AP47" s="3930"/>
      <c r="AQ47" s="3930"/>
      <c r="AR47" s="3930"/>
    </row>
    <row r="48" ht="15" spans="1:67">
      <c r="A48" s="4114" t="s">
        <v>779</v>
      </c>
      <c r="B48" s="4115"/>
      <c r="C48" s="4116" t="s">
        <v>780</v>
      </c>
      <c r="D48" s="4112"/>
      <c r="E48" s="4113"/>
      <c r="F48" s="4055"/>
      <c r="G48" s="4055"/>
      <c r="H48" s="3936"/>
      <c r="I48" s="3936"/>
      <c r="J48" s="3936"/>
      <c r="K48" s="4048"/>
      <c r="L48" s="4048"/>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3930"/>
      <c r="AP48" s="3930"/>
      <c r="AQ48" s="3930"/>
      <c r="AR48" s="3930"/>
    </row>
    <row r="49" ht="14.25" spans="1:44">
      <c r="A49" s="4117" t="s">
        <v>781</v>
      </c>
      <c r="B49" s="4118">
        <v>0.03</v>
      </c>
      <c r="C49" s="4076" t="s">
        <v>776</v>
      </c>
      <c r="D49" s="4112"/>
      <c r="E49" s="4113"/>
      <c r="F49" s="4055"/>
      <c r="G49" s="4055"/>
      <c r="H49" s="3936"/>
      <c r="I49" s="3936"/>
      <c r="J49" s="3936"/>
      <c r="K49" s="4048"/>
      <c r="L49" s="4048"/>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3930"/>
      <c r="AP49" s="3930"/>
      <c r="AQ49" s="3930"/>
      <c r="AR49" s="3930"/>
    </row>
    <row r="50" ht="15" spans="1:44">
      <c r="A50" s="4082" t="s">
        <v>782</v>
      </c>
      <c r="B50" s="4111">
        <v>0.0005</v>
      </c>
      <c r="C50" s="4076" t="s">
        <v>783</v>
      </c>
      <c r="D50" s="4112"/>
      <c r="E50" s="4113"/>
      <c r="F50" s="4055"/>
      <c r="G50" s="4055"/>
      <c r="H50" s="3936"/>
      <c r="I50" s="3936"/>
      <c r="J50" s="3936"/>
      <c r="K50" s="4048"/>
      <c r="L50" s="4048"/>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3930"/>
      <c r="AP50" s="3930"/>
      <c r="AQ50" s="3930"/>
      <c r="AR50" s="3930"/>
    </row>
    <row r="51" ht="14.25" spans="1:44">
      <c r="A51" s="4119" t="s">
        <v>784</v>
      </c>
      <c r="B51" s="4120">
        <v>0.012</v>
      </c>
      <c r="C51" s="4048"/>
      <c r="D51" s="4047"/>
      <c r="E51" s="736"/>
      <c r="F51" s="3936"/>
      <c r="G51" s="3936"/>
      <c r="H51" s="3936"/>
      <c r="I51" s="3936"/>
      <c r="J51" s="3936"/>
      <c r="K51" s="4048"/>
      <c r="L51" s="4048"/>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3930"/>
      <c r="AP51" s="3930"/>
      <c r="AQ51" s="3930"/>
      <c r="AR51" s="3930"/>
    </row>
    <row r="52" ht="15" spans="1:44">
      <c r="A52" s="4074" t="s">
        <v>785</v>
      </c>
      <c r="B52" s="4121">
        <v>0.12</v>
      </c>
      <c r="C52" s="4048"/>
      <c r="D52" s="4047"/>
      <c r="E52" s="736"/>
      <c r="F52" s="3936"/>
      <c r="G52" s="3936"/>
      <c r="H52" s="3936"/>
      <c r="I52" s="3936"/>
      <c r="J52" s="3936"/>
      <c r="K52" s="4048"/>
      <c r="L52" s="4048"/>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c r="AN52" s="736"/>
      <c r="AO52" s="3930"/>
      <c r="AP52" s="3930"/>
      <c r="AQ52" s="3930"/>
      <c r="AR52" s="3930"/>
    </row>
    <row r="53" ht="14.25" spans="1:44">
      <c r="A53" s="4119" t="s">
        <v>786</v>
      </c>
      <c r="B53" s="4122">
        <f>SUMIF(A55:A64,B54,B55:B64)</f>
        <v>3</v>
      </c>
      <c r="C53" s="4048"/>
      <c r="D53" s="4047"/>
      <c r="E53" s="736"/>
      <c r="F53" s="3936"/>
      <c r="G53" s="3936"/>
      <c r="H53" s="3936"/>
      <c r="I53" s="3936"/>
      <c r="J53" s="3936"/>
      <c r="K53" s="4048"/>
      <c r="L53" s="4048"/>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3930"/>
      <c r="AP53" s="3930"/>
      <c r="AQ53" s="3930"/>
      <c r="AR53" s="3930"/>
    </row>
    <row r="54" ht="14.25" spans="1:44">
      <c r="A54" s="4071" t="s">
        <v>787</v>
      </c>
      <c r="B54" s="4123" t="s">
        <v>286</v>
      </c>
      <c r="C54" s="4048" t="s">
        <v>788</v>
      </c>
      <c r="D54" s="4124" t="s">
        <v>789</v>
      </c>
      <c r="E54" s="736"/>
      <c r="F54" s="3936"/>
      <c r="G54" s="3936"/>
      <c r="H54" s="3936"/>
      <c r="I54" s="3936"/>
      <c r="J54" s="3936"/>
      <c r="K54" s="4048"/>
      <c r="L54" s="4048"/>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c r="AN54" s="736"/>
      <c r="AO54" s="3930"/>
      <c r="AP54" s="3930"/>
      <c r="AQ54" s="3930"/>
      <c r="AR54" s="3930"/>
    </row>
    <row r="55" ht="14.25" spans="1:44">
      <c r="A55" s="4125" t="s">
        <v>790</v>
      </c>
      <c r="B55" s="4126"/>
      <c r="C55" s="4048">
        <v>30</v>
      </c>
      <c r="D55" s="4047"/>
      <c r="E55" s="736"/>
      <c r="F55" s="3936"/>
      <c r="G55" s="3936"/>
      <c r="H55" s="3936"/>
      <c r="I55" s="3936"/>
      <c r="J55" s="3936"/>
      <c r="K55" s="4048"/>
      <c r="L55" s="4048"/>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c r="AL55" s="736"/>
      <c r="AM55" s="736"/>
      <c r="AN55" s="736"/>
      <c r="AO55" s="3930"/>
      <c r="AP55" s="3930"/>
      <c r="AQ55" s="3930"/>
      <c r="AR55" s="3930"/>
    </row>
    <row r="56" ht="14.25" spans="1:44">
      <c r="A56" s="4125" t="s">
        <v>791</v>
      </c>
      <c r="B56" s="4126"/>
      <c r="C56" s="4048">
        <v>24</v>
      </c>
      <c r="D56" s="4047"/>
      <c r="E56" s="736"/>
      <c r="F56" s="3936"/>
      <c r="G56" s="3936"/>
      <c r="H56" s="3936"/>
      <c r="I56" s="4127"/>
      <c r="J56" s="3936"/>
      <c r="K56" s="4048"/>
      <c r="L56" s="4048"/>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3930"/>
      <c r="AP56" s="3930"/>
      <c r="AQ56" s="3930"/>
      <c r="AR56" s="3930"/>
    </row>
    <row r="57" ht="14.25" spans="1:44">
      <c r="A57" s="4125" t="s">
        <v>792</v>
      </c>
      <c r="B57" s="4126"/>
      <c r="C57" s="4048">
        <v>18</v>
      </c>
      <c r="D57" s="4047"/>
      <c r="E57" s="736"/>
      <c r="F57" s="3936"/>
      <c r="G57" s="3936"/>
      <c r="H57" s="3936"/>
      <c r="I57" s="3936"/>
      <c r="J57" s="3936"/>
      <c r="K57" s="4048"/>
      <c r="L57" s="4048"/>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c r="AL57" s="736"/>
      <c r="AM57" s="736"/>
      <c r="AN57" s="736"/>
      <c r="AO57" s="3930"/>
      <c r="AP57" s="3930"/>
      <c r="AQ57" s="3930"/>
      <c r="AR57" s="3930"/>
    </row>
    <row r="58" ht="14.25" spans="1:44">
      <c r="A58" s="4125" t="s">
        <v>793</v>
      </c>
      <c r="B58" s="4126"/>
      <c r="C58" s="4048">
        <v>12</v>
      </c>
      <c r="D58" s="4047"/>
      <c r="E58" s="736"/>
      <c r="F58" s="3936"/>
      <c r="G58" s="3936"/>
      <c r="H58" s="3936"/>
      <c r="I58" s="3936"/>
      <c r="J58" s="3936"/>
      <c r="K58" s="4048"/>
      <c r="L58" s="4048"/>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c r="AL58" s="736"/>
      <c r="AM58" s="736"/>
      <c r="AN58" s="736"/>
      <c r="AO58" s="3930"/>
      <c r="AP58" s="3930"/>
      <c r="AQ58" s="3930"/>
      <c r="AR58" s="3930"/>
    </row>
    <row r="59" ht="14.25" spans="1:44">
      <c r="A59" s="4125" t="s">
        <v>794</v>
      </c>
      <c r="B59" s="4126">
        <v>3</v>
      </c>
      <c r="C59" s="4048">
        <v>3</v>
      </c>
      <c r="D59" s="4047"/>
      <c r="E59" s="736"/>
      <c r="F59" s="3936"/>
      <c r="G59" s="3936"/>
      <c r="H59" s="3936"/>
      <c r="I59" s="3936"/>
      <c r="J59" s="3936"/>
      <c r="K59" s="4048"/>
      <c r="L59" s="4048"/>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3930"/>
      <c r="AP59" s="3930"/>
      <c r="AQ59" s="3930"/>
      <c r="AR59" s="3930"/>
    </row>
    <row r="60" ht="14.25" spans="1:44">
      <c r="A60" s="4125" t="s">
        <v>795</v>
      </c>
      <c r="B60" s="4126"/>
      <c r="C60" s="4048">
        <v>1.5</v>
      </c>
      <c r="D60" s="4047"/>
      <c r="E60" s="736"/>
      <c r="F60" s="3936"/>
      <c r="G60" s="3936"/>
      <c r="H60" s="3936"/>
      <c r="I60" s="3936"/>
      <c r="J60" s="3936"/>
      <c r="K60" s="4048"/>
      <c r="L60" s="4048"/>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c r="AL60" s="736"/>
      <c r="AM60" s="736"/>
      <c r="AN60" s="736"/>
      <c r="AO60" s="3930"/>
      <c r="AP60" s="3930"/>
      <c r="AQ60" s="3930"/>
      <c r="AR60" s="3930"/>
    </row>
    <row r="61" ht="14.25" spans="1:44">
      <c r="A61" s="4125" t="s">
        <v>796</v>
      </c>
      <c r="B61" s="4126"/>
      <c r="C61" s="3936"/>
      <c r="D61" s="4050"/>
      <c r="E61" s="3936"/>
      <c r="F61" s="3936"/>
      <c r="G61" s="3936"/>
      <c r="H61" s="3936"/>
      <c r="I61" s="3936"/>
      <c r="J61" s="3936"/>
      <c r="K61" s="4048"/>
      <c r="L61" s="4048"/>
      <c r="M61" s="736"/>
      <c r="N61" s="736"/>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3930"/>
      <c r="AP61" s="3930"/>
      <c r="AQ61" s="3930"/>
      <c r="AR61" s="3930"/>
    </row>
    <row r="62" ht="14.25" spans="1:44">
      <c r="A62" s="4125" t="s">
        <v>797</v>
      </c>
      <c r="B62" s="4126"/>
      <c r="C62" s="3936"/>
      <c r="D62" s="4050"/>
      <c r="E62" s="3936"/>
      <c r="F62" s="3936"/>
      <c r="G62" s="3936"/>
      <c r="H62" s="3936"/>
      <c r="I62" s="3936"/>
      <c r="J62" s="3936"/>
      <c r="K62" s="4048"/>
      <c r="L62" s="4048"/>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3930"/>
      <c r="AP62" s="3930"/>
      <c r="AQ62" s="3930"/>
      <c r="AR62" s="3930"/>
    </row>
    <row r="63" ht="14.25" spans="1:44">
      <c r="A63" s="4125" t="s">
        <v>798</v>
      </c>
      <c r="B63" s="4126"/>
      <c r="C63" s="3936"/>
      <c r="D63" s="4050"/>
      <c r="E63" s="3936"/>
      <c r="F63" s="3936"/>
      <c r="G63" s="3936"/>
      <c r="H63" s="3936"/>
      <c r="I63" s="3936"/>
      <c r="J63" s="3936"/>
      <c r="K63" s="4048"/>
      <c r="L63" s="4048"/>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3930"/>
      <c r="AP63" s="3930"/>
      <c r="AQ63" s="3930"/>
      <c r="AR63" s="3930"/>
    </row>
    <row r="64" ht="15" spans="1:44">
      <c r="A64" s="4128" t="s">
        <v>799</v>
      </c>
      <c r="B64" s="4129"/>
      <c r="C64" s="3936"/>
      <c r="D64" s="4050"/>
      <c r="E64" s="3936"/>
      <c r="F64" s="3936"/>
      <c r="G64" s="3936"/>
      <c r="H64" s="3936"/>
      <c r="I64" s="3936"/>
      <c r="J64" s="3936"/>
      <c r="K64" s="4048"/>
      <c r="L64" s="4048"/>
      <c r="M64" s="736"/>
      <c r="N64" s="736"/>
      <c r="O64" s="736"/>
      <c r="P64" s="736"/>
      <c r="Q64" s="736"/>
      <c r="R64" s="736"/>
      <c r="S64" s="736"/>
      <c r="T64" s="736"/>
      <c r="U64" s="736"/>
      <c r="V64" s="736"/>
      <c r="W64" s="736"/>
      <c r="X64" s="736"/>
      <c r="Y64" s="736"/>
      <c r="Z64" s="736"/>
      <c r="AA64" s="736"/>
      <c r="AB64" s="736"/>
      <c r="AC64" s="736"/>
      <c r="AD64" s="736"/>
      <c r="AE64" s="736"/>
      <c r="AF64" s="736"/>
      <c r="AG64" s="736"/>
      <c r="AH64" s="736"/>
      <c r="AI64" s="736"/>
      <c r="AJ64" s="736"/>
      <c r="AK64" s="736"/>
      <c r="AL64" s="736"/>
      <c r="AM64" s="736"/>
      <c r="AN64" s="736"/>
      <c r="AO64" s="3930"/>
      <c r="AP64" s="3930"/>
      <c r="AQ64" s="3930"/>
      <c r="AR64" s="3930"/>
    </row>
    <row r="65" s="754" customFormat="1" spans="1:45">
      <c r="A65" s="4130"/>
      <c r="B65" s="736"/>
      <c r="C65" s="736"/>
      <c r="D65" s="4047"/>
      <c r="E65" s="736"/>
      <c r="F65" s="736"/>
      <c r="G65" s="736"/>
      <c r="H65" s="736"/>
      <c r="I65" s="736"/>
      <c r="J65" s="736"/>
      <c r="K65" s="4048"/>
      <c r="L65" s="4048"/>
      <c r="M65" s="736"/>
      <c r="N65" s="736"/>
      <c r="O65" s="736"/>
      <c r="P65" s="736"/>
      <c r="Q65" s="736"/>
      <c r="R65" s="736"/>
      <c r="S65" s="736"/>
      <c r="T65" s="736"/>
      <c r="U65" s="736"/>
      <c r="V65" s="736"/>
      <c r="W65" s="736"/>
      <c r="X65" s="736"/>
      <c r="Y65" s="736"/>
      <c r="Z65" s="736"/>
      <c r="AA65" s="736"/>
      <c r="AB65" s="736"/>
      <c r="AC65" s="736"/>
      <c r="AD65" s="736"/>
      <c r="AE65" s="736"/>
      <c r="AF65" s="736"/>
      <c r="AG65" s="736"/>
      <c r="AH65" s="736"/>
      <c r="AI65" s="736"/>
      <c r="AJ65" s="736"/>
      <c r="AK65" s="736"/>
      <c r="AL65" s="736"/>
      <c r="AM65" s="736"/>
      <c r="AN65" s="736"/>
      <c r="AO65" s="3930"/>
      <c r="AP65" s="3930"/>
      <c r="AQ65" s="3930"/>
      <c r="AR65" s="3930"/>
      <c r="AS65" s="4131"/>
    </row>
    <row r="66" s="754" customFormat="1" spans="1:45">
      <c r="A66" s="4130"/>
      <c r="B66" s="736"/>
      <c r="C66" s="736"/>
      <c r="D66" s="4047"/>
      <c r="E66" s="736"/>
      <c r="F66" s="736"/>
      <c r="G66" s="736"/>
      <c r="H66" s="736"/>
      <c r="I66" s="736"/>
      <c r="J66" s="736"/>
      <c r="K66" s="4048"/>
      <c r="L66" s="4048"/>
      <c r="M66" s="736"/>
      <c r="N66" s="736"/>
      <c r="O66" s="736"/>
      <c r="P66" s="736"/>
      <c r="Q66" s="736"/>
      <c r="R66" s="736"/>
      <c r="S66" s="736"/>
      <c r="T66" s="736"/>
      <c r="U66" s="736"/>
      <c r="V66" s="736"/>
      <c r="W66" s="736"/>
      <c r="X66" s="736"/>
      <c r="Y66" s="736"/>
      <c r="Z66" s="736"/>
      <c r="AA66" s="736"/>
      <c r="AB66" s="736"/>
      <c r="AC66" s="736"/>
      <c r="AD66" s="736"/>
      <c r="AE66" s="736"/>
      <c r="AF66" s="736"/>
      <c r="AG66" s="736"/>
      <c r="AH66" s="736"/>
      <c r="AI66" s="736"/>
      <c r="AJ66" s="736"/>
      <c r="AK66" s="736"/>
      <c r="AL66" s="736"/>
      <c r="AM66" s="736"/>
      <c r="AN66" s="736"/>
      <c r="AO66" s="3930"/>
      <c r="AP66" s="3930"/>
      <c r="AQ66" s="3930"/>
      <c r="AR66" s="3930"/>
      <c r="AS66" s="4131"/>
    </row>
    <row r="67" s="754" customFormat="1" spans="1:45">
      <c r="A67" s="4130"/>
      <c r="B67" s="736"/>
      <c r="C67" s="736"/>
      <c r="D67" s="4047"/>
      <c r="E67" s="736"/>
      <c r="F67" s="736"/>
      <c r="G67" s="736"/>
      <c r="H67" s="736"/>
      <c r="I67" s="736"/>
      <c r="J67" s="736"/>
      <c r="K67" s="4048"/>
      <c r="L67" s="4048"/>
      <c r="M67" s="736"/>
      <c r="N67" s="736"/>
      <c r="O67" s="736"/>
      <c r="P67" s="736"/>
      <c r="Q67" s="736"/>
      <c r="R67" s="736"/>
      <c r="S67" s="736"/>
      <c r="T67" s="736"/>
      <c r="U67" s="736"/>
      <c r="V67" s="736"/>
      <c r="W67" s="736"/>
      <c r="X67" s="736"/>
      <c r="Y67" s="736"/>
      <c r="Z67" s="736"/>
      <c r="AA67" s="736"/>
      <c r="AB67" s="736"/>
      <c r="AC67" s="736"/>
      <c r="AD67" s="736"/>
      <c r="AE67" s="736"/>
      <c r="AF67" s="736"/>
      <c r="AG67" s="736"/>
      <c r="AH67" s="736"/>
      <c r="AI67" s="736"/>
      <c r="AJ67" s="736"/>
      <c r="AK67" s="736"/>
      <c r="AL67" s="736"/>
      <c r="AM67" s="736"/>
      <c r="AN67" s="736"/>
      <c r="AO67" s="3930"/>
      <c r="AP67" s="3930"/>
      <c r="AQ67" s="3930"/>
      <c r="AR67" s="3930"/>
      <c r="AS67" s="4131"/>
    </row>
    <row r="68" s="754" customFormat="1" spans="1:45">
      <c r="A68" s="4130"/>
      <c r="B68" s="736"/>
      <c r="C68" s="736"/>
      <c r="D68" s="4047"/>
      <c r="E68" s="736"/>
      <c r="F68" s="736"/>
      <c r="G68" s="736"/>
      <c r="H68" s="736"/>
      <c r="I68" s="736"/>
      <c r="J68" s="736"/>
      <c r="K68" s="4048"/>
      <c r="L68" s="4048"/>
      <c r="M68" s="736"/>
      <c r="N68" s="736"/>
      <c r="O68" s="736"/>
      <c r="P68" s="736"/>
      <c r="Q68" s="736"/>
      <c r="R68" s="736"/>
      <c r="S68" s="736"/>
      <c r="T68" s="736"/>
      <c r="U68" s="736"/>
      <c r="V68" s="736"/>
      <c r="W68" s="736"/>
      <c r="X68" s="736"/>
      <c r="Y68" s="736"/>
      <c r="Z68" s="736"/>
      <c r="AA68" s="736"/>
      <c r="AB68" s="736"/>
      <c r="AC68" s="736"/>
      <c r="AD68" s="736"/>
      <c r="AE68" s="736"/>
      <c r="AF68" s="736"/>
      <c r="AG68" s="736"/>
      <c r="AH68" s="736"/>
      <c r="AI68" s="736"/>
      <c r="AJ68" s="736"/>
      <c r="AK68" s="736"/>
      <c r="AL68" s="736"/>
      <c r="AM68" s="736"/>
      <c r="AN68" s="736"/>
      <c r="AO68" s="3930"/>
      <c r="AP68" s="3930"/>
      <c r="AQ68" s="3930"/>
      <c r="AR68" s="3930"/>
      <c r="AS68" s="4131"/>
    </row>
    <row r="69" s="754" customFormat="1" spans="1:45">
      <c r="A69" s="4130"/>
      <c r="B69" s="736"/>
      <c r="C69" s="736"/>
      <c r="D69" s="4047"/>
      <c r="E69" s="736"/>
      <c r="F69" s="736"/>
      <c r="G69" s="736"/>
      <c r="H69" s="736"/>
      <c r="I69" s="736"/>
      <c r="J69" s="736"/>
      <c r="K69" s="4048"/>
      <c r="L69" s="4048"/>
      <c r="M69" s="736"/>
      <c r="N69" s="736"/>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3930"/>
      <c r="AP69" s="3930"/>
      <c r="AQ69" s="3930"/>
      <c r="AR69" s="3930"/>
      <c r="AS69" s="4131"/>
    </row>
    <row r="70" s="754" customFormat="1" spans="1:45">
      <c r="A70" s="3836"/>
      <c r="D70" s="4132"/>
      <c r="K70" s="729"/>
      <c r="L70" s="729"/>
      <c r="AO70" s="4131"/>
      <c r="AP70" s="4131"/>
      <c r="AQ70" s="4131"/>
      <c r="AR70" s="4131"/>
      <c r="AS70" s="4131"/>
    </row>
    <row r="71" s="754" customFormat="1" spans="1:45">
      <c r="A71" s="3836"/>
      <c r="D71" s="4132"/>
      <c r="K71" s="729"/>
      <c r="L71" s="729"/>
      <c r="AO71" s="4131"/>
      <c r="AP71" s="4131"/>
      <c r="AQ71" s="4131"/>
      <c r="AR71" s="4131"/>
      <c r="AS71" s="4131"/>
    </row>
    <row r="72" s="754" customFormat="1" spans="1:45">
      <c r="A72" s="3836"/>
      <c r="D72" s="4132"/>
      <c r="K72" s="729"/>
      <c r="L72" s="729"/>
      <c r="AO72" s="4131"/>
      <c r="AP72" s="4131"/>
      <c r="AQ72" s="4131"/>
      <c r="AR72" s="4131"/>
      <c r="AS72" s="4131"/>
    </row>
    <row r="73" s="754" customFormat="1" spans="1:45">
      <c r="A73" s="3836"/>
      <c r="D73" s="4132"/>
      <c r="K73" s="729"/>
      <c r="L73" s="729"/>
      <c r="AO73" s="4131"/>
      <c r="AP73" s="4131"/>
      <c r="AQ73" s="4131"/>
      <c r="AR73" s="4131"/>
      <c r="AS73" s="4131"/>
    </row>
    <row r="74" s="754" customFormat="1" spans="1:45">
      <c r="A74" s="3836"/>
      <c r="D74" s="4132"/>
      <c r="K74" s="729"/>
      <c r="L74" s="729"/>
      <c r="AO74" s="4131"/>
      <c r="AP74" s="4131"/>
      <c r="AQ74" s="4131"/>
      <c r="AR74" s="4131"/>
      <c r="AS74" s="4131"/>
    </row>
    <row r="75" s="754" customFormat="1" spans="1:45">
      <c r="A75" s="3836"/>
      <c r="D75" s="4132"/>
      <c r="K75" s="729"/>
      <c r="L75" s="729"/>
      <c r="AO75" s="4131"/>
      <c r="AP75" s="4131"/>
      <c r="AQ75" s="4131"/>
      <c r="AR75" s="4131"/>
      <c r="AS75" s="4131"/>
    </row>
    <row r="76" s="754" customFormat="1" spans="1:45">
      <c r="A76" s="3836"/>
      <c r="D76" s="4132"/>
      <c r="K76" s="729"/>
      <c r="L76" s="729"/>
      <c r="AO76" s="4131"/>
      <c r="AP76" s="4131"/>
      <c r="AQ76" s="4131"/>
      <c r="AR76" s="4131"/>
      <c r="AS76" s="4131"/>
    </row>
    <row r="77" s="754" customFormat="1" spans="1:45">
      <c r="A77" s="3836"/>
      <c r="D77" s="4132"/>
      <c r="K77" s="729"/>
      <c r="L77" s="729"/>
      <c r="AO77" s="4131"/>
      <c r="AP77" s="4131"/>
      <c r="AQ77" s="4131"/>
      <c r="AR77" s="4131"/>
      <c r="AS77" s="4131"/>
    </row>
    <row r="78" s="754" customFormat="1" spans="1:45">
      <c r="A78" s="3836"/>
      <c r="D78" s="4132"/>
      <c r="K78" s="729"/>
      <c r="L78" s="729"/>
      <c r="AO78" s="4131"/>
      <c r="AP78" s="4131"/>
      <c r="AQ78" s="4131"/>
      <c r="AR78" s="4131"/>
      <c r="AS78" s="4131"/>
    </row>
    <row r="79" s="754" customFormat="1" spans="1:45">
      <c r="A79" s="3836"/>
      <c r="D79" s="4132"/>
      <c r="K79" s="729"/>
      <c r="L79" s="729"/>
      <c r="AO79" s="4131"/>
      <c r="AP79" s="4131"/>
      <c r="AQ79" s="4131"/>
      <c r="AR79" s="4131"/>
      <c r="AS79" s="4131"/>
    </row>
    <row r="80" s="754" customFormat="1" spans="1:45">
      <c r="A80" s="3836"/>
      <c r="D80" s="4132"/>
      <c r="K80" s="729"/>
      <c r="L80" s="729"/>
      <c r="AO80" s="4131"/>
      <c r="AP80" s="4131"/>
      <c r="AQ80" s="4131"/>
      <c r="AR80" s="4131"/>
      <c r="AS80" s="4131"/>
    </row>
    <row r="81" s="754" customFormat="1" spans="1:45">
      <c r="A81" s="3836"/>
      <c r="D81" s="4132"/>
      <c r="K81" s="729"/>
      <c r="L81" s="729"/>
      <c r="AO81" s="4131"/>
      <c r="AP81" s="4131"/>
      <c r="AQ81" s="4131"/>
      <c r="AR81" s="4131"/>
      <c r="AS81" s="4131"/>
    </row>
    <row r="82" s="754" customFormat="1" spans="1:45">
      <c r="A82" s="3836"/>
      <c r="D82" s="4132"/>
      <c r="K82" s="729"/>
      <c r="L82" s="729"/>
      <c r="AO82" s="4131"/>
      <c r="AP82" s="4131"/>
      <c r="AQ82" s="4131"/>
      <c r="AR82" s="4131"/>
      <c r="AS82" s="4131"/>
    </row>
    <row r="83" s="754" customFormat="1" spans="1:45">
      <c r="A83" s="3836"/>
      <c r="D83" s="4132"/>
      <c r="K83" s="729"/>
      <c r="L83" s="729"/>
      <c r="AO83" s="4131"/>
      <c r="AP83" s="4131"/>
      <c r="AQ83" s="4131"/>
      <c r="AR83" s="4131"/>
      <c r="AS83" s="4131"/>
    </row>
    <row r="84" s="754" customFormat="1" spans="1:45">
      <c r="A84" s="3836"/>
      <c r="D84" s="4132"/>
      <c r="K84" s="729"/>
      <c r="L84" s="729"/>
      <c r="AO84" s="4131"/>
      <c r="AP84" s="4131"/>
      <c r="AQ84" s="4131"/>
      <c r="AR84" s="4131"/>
      <c r="AS84" s="4131"/>
    </row>
    <row r="85" s="754" customFormat="1" spans="1:45">
      <c r="A85" s="3836"/>
      <c r="D85" s="4132"/>
      <c r="K85" s="729"/>
      <c r="L85" s="729"/>
      <c r="AO85" s="4131"/>
      <c r="AP85" s="4131"/>
      <c r="AQ85" s="4131"/>
      <c r="AR85" s="4131"/>
      <c r="AS85" s="4131"/>
    </row>
    <row r="86" s="754" customFormat="1" spans="1:45">
      <c r="A86" s="3836"/>
      <c r="D86" s="4132"/>
      <c r="K86" s="729"/>
      <c r="L86" s="729"/>
      <c r="AO86" s="4131"/>
      <c r="AP86" s="4131"/>
      <c r="AQ86" s="4131"/>
      <c r="AR86" s="4131"/>
      <c r="AS86" s="4131"/>
    </row>
    <row r="87" s="754" customFormat="1" spans="1:45">
      <c r="A87" s="3836"/>
      <c r="D87" s="4132"/>
      <c r="K87" s="729"/>
      <c r="L87" s="729"/>
      <c r="AO87" s="4131"/>
      <c r="AP87" s="4131"/>
      <c r="AQ87" s="4131"/>
      <c r="AR87" s="4131"/>
      <c r="AS87" s="4131"/>
    </row>
    <row r="88" s="754" customFormat="1" spans="1:45">
      <c r="A88" s="3836"/>
      <c r="D88" s="4132"/>
      <c r="K88" s="729"/>
      <c r="L88" s="729"/>
      <c r="AO88" s="4131"/>
      <c r="AP88" s="4131"/>
      <c r="AQ88" s="4131"/>
      <c r="AR88" s="4131"/>
      <c r="AS88" s="4131"/>
    </row>
    <row r="89" s="754" customFormat="1" spans="1:45">
      <c r="A89" s="3836"/>
      <c r="D89" s="4132"/>
      <c r="K89" s="729"/>
      <c r="L89" s="729"/>
      <c r="AO89" s="4131"/>
      <c r="AP89" s="4131"/>
      <c r="AQ89" s="4131"/>
      <c r="AR89" s="4131"/>
      <c r="AS89" s="4131"/>
    </row>
    <row r="90" s="754" customFormat="1" spans="1:45">
      <c r="A90" s="3836"/>
      <c r="D90" s="4132"/>
      <c r="K90" s="729"/>
      <c r="L90" s="729"/>
      <c r="AO90" s="4131"/>
      <c r="AP90" s="4131"/>
      <c r="AQ90" s="4131"/>
      <c r="AR90" s="4131"/>
      <c r="AS90" s="4131"/>
    </row>
    <row r="91" s="754" customFormat="1" spans="1:45">
      <c r="A91" s="3836"/>
      <c r="D91" s="4132"/>
      <c r="K91" s="729"/>
      <c r="L91" s="729"/>
      <c r="AO91" s="4131"/>
      <c r="AP91" s="4131"/>
      <c r="AQ91" s="4131"/>
      <c r="AR91" s="4131"/>
      <c r="AS91" s="4131"/>
    </row>
    <row r="92" s="754" customFormat="1" spans="1:45">
      <c r="A92" s="3836"/>
      <c r="D92" s="4132"/>
      <c r="K92" s="729"/>
      <c r="L92" s="729"/>
      <c r="AO92" s="4131"/>
      <c r="AP92" s="4131"/>
      <c r="AQ92" s="4131"/>
      <c r="AR92" s="4131"/>
      <c r="AS92" s="4131"/>
    </row>
    <row r="93" s="754" customFormat="1" spans="1:45">
      <c r="A93" s="3836"/>
      <c r="D93" s="4132"/>
      <c r="K93" s="729"/>
      <c r="L93" s="729"/>
      <c r="AO93" s="4131"/>
      <c r="AP93" s="4131"/>
      <c r="AQ93" s="4131"/>
      <c r="AR93" s="4131"/>
      <c r="AS93" s="4131"/>
    </row>
    <row r="94" s="754" customFormat="1" spans="1:45">
      <c r="A94" s="3836"/>
      <c r="D94" s="4132"/>
      <c r="K94" s="729"/>
      <c r="L94" s="729"/>
      <c r="AO94" s="4131"/>
      <c r="AP94" s="4131"/>
      <c r="AQ94" s="4131"/>
      <c r="AR94" s="4131"/>
      <c r="AS94" s="4131"/>
    </row>
    <row r="95" s="754" customFormat="1" spans="1:45">
      <c r="A95" s="3836"/>
      <c r="D95" s="4132"/>
      <c r="K95" s="729"/>
      <c r="L95" s="729"/>
      <c r="AO95" s="4131"/>
      <c r="AP95" s="4131"/>
      <c r="AQ95" s="4131"/>
      <c r="AR95" s="4131"/>
      <c r="AS95" s="4131"/>
    </row>
    <row r="96" s="754" customFormat="1" spans="1:45">
      <c r="A96" s="3836"/>
      <c r="D96" s="4132"/>
      <c r="K96" s="729"/>
      <c r="L96" s="729"/>
      <c r="AO96" s="4131"/>
      <c r="AP96" s="4131"/>
      <c r="AQ96" s="4131"/>
      <c r="AR96" s="4131"/>
      <c r="AS96" s="4131"/>
    </row>
    <row r="97" s="754" customFormat="1" spans="1:45">
      <c r="A97" s="3836"/>
      <c r="D97" s="4132"/>
      <c r="K97" s="729"/>
      <c r="L97" s="729"/>
      <c r="AO97" s="4131"/>
      <c r="AP97" s="4131"/>
      <c r="AQ97" s="4131"/>
      <c r="AR97" s="4131"/>
      <c r="AS97" s="4131"/>
    </row>
    <row r="98" s="754" customFormat="1" spans="1:45">
      <c r="A98" s="3836"/>
      <c r="D98" s="4132"/>
      <c r="K98" s="729"/>
      <c r="L98" s="729"/>
      <c r="AO98" s="4131"/>
      <c r="AP98" s="4131"/>
      <c r="AQ98" s="4131"/>
      <c r="AR98" s="4131"/>
      <c r="AS98" s="4131"/>
    </row>
    <row r="99" s="754" customFormat="1" spans="1:45">
      <c r="A99" s="3836"/>
      <c r="D99" s="4132"/>
      <c r="K99" s="729"/>
      <c r="L99" s="729"/>
      <c r="AO99" s="4131"/>
      <c r="AP99" s="4131"/>
      <c r="AQ99" s="4131"/>
      <c r="AR99" s="4131"/>
      <c r="AS99" s="4131"/>
    </row>
    <row r="100" s="754" customFormat="1" spans="1:45">
      <c r="A100" s="3836"/>
      <c r="D100" s="4132"/>
      <c r="K100" s="729"/>
      <c r="L100" s="729"/>
      <c r="AO100" s="4131"/>
      <c r="AP100" s="4131"/>
      <c r="AQ100" s="4131"/>
      <c r="AR100" s="4131"/>
      <c r="AS100" s="4131"/>
    </row>
    <row r="101" s="754" customFormat="1" spans="1:45">
      <c r="A101" s="3836"/>
      <c r="D101" s="4132"/>
      <c r="K101" s="729"/>
      <c r="L101" s="729"/>
      <c r="AO101" s="4131"/>
      <c r="AP101" s="4131"/>
      <c r="AQ101" s="4131"/>
      <c r="AR101" s="4131"/>
      <c r="AS101" s="4131"/>
    </row>
    <row r="102" s="754" customFormat="1" spans="1:45">
      <c r="A102" s="3836"/>
      <c r="D102" s="4132"/>
      <c r="K102" s="729"/>
      <c r="L102" s="729"/>
      <c r="AO102" s="4131"/>
      <c r="AP102" s="4131"/>
      <c r="AQ102" s="4131"/>
      <c r="AR102" s="4131"/>
      <c r="AS102" s="4131"/>
    </row>
    <row r="103" s="754" customFormat="1" spans="1:45">
      <c r="A103" s="3836"/>
      <c r="D103" s="4132"/>
      <c r="K103" s="729"/>
      <c r="L103" s="729"/>
      <c r="AO103" s="4131"/>
      <c r="AP103" s="4131"/>
      <c r="AQ103" s="4131"/>
      <c r="AR103" s="4131"/>
      <c r="AS103" s="4131"/>
    </row>
    <row r="104" s="754" customFormat="1" spans="1:45">
      <c r="A104" s="3836"/>
      <c r="D104" s="4132"/>
      <c r="K104" s="729"/>
      <c r="L104" s="729"/>
      <c r="AO104" s="4131"/>
      <c r="AP104" s="4131"/>
      <c r="AQ104" s="4131"/>
      <c r="AR104" s="4131"/>
      <c r="AS104" s="4131"/>
    </row>
    <row r="105" s="754" customFormat="1" spans="1:45">
      <c r="A105" s="3836"/>
      <c r="D105" s="4132"/>
      <c r="K105" s="729"/>
      <c r="L105" s="729"/>
      <c r="AO105" s="4131"/>
      <c r="AP105" s="4131"/>
      <c r="AQ105" s="4131"/>
      <c r="AR105" s="4131"/>
      <c r="AS105" s="4131"/>
    </row>
    <row r="106" s="754" customFormat="1" spans="1:45">
      <c r="A106" s="3836"/>
      <c r="D106" s="4132"/>
      <c r="K106" s="729"/>
      <c r="L106" s="729"/>
      <c r="AO106" s="4131"/>
      <c r="AP106" s="4131"/>
      <c r="AQ106" s="4131"/>
      <c r="AR106" s="4131"/>
      <c r="AS106" s="4131"/>
    </row>
    <row r="107" s="754" customFormat="1" spans="1:45">
      <c r="A107" s="3836"/>
      <c r="D107" s="4132"/>
      <c r="K107" s="729"/>
      <c r="L107" s="729"/>
      <c r="AO107" s="4131"/>
      <c r="AP107" s="4131"/>
      <c r="AQ107" s="4131"/>
      <c r="AR107" s="4131"/>
      <c r="AS107" s="4131"/>
    </row>
    <row r="108" s="754" customFormat="1" spans="1:45">
      <c r="A108" s="3836"/>
      <c r="D108" s="4132"/>
      <c r="K108" s="729"/>
      <c r="L108" s="729"/>
      <c r="AO108" s="4131"/>
      <c r="AP108" s="4131"/>
      <c r="AQ108" s="4131"/>
      <c r="AR108" s="4131"/>
      <c r="AS108" s="4131"/>
    </row>
    <row r="109" s="754" customFormat="1" spans="1:45">
      <c r="A109" s="3836"/>
      <c r="D109" s="4132"/>
      <c r="K109" s="729"/>
      <c r="L109" s="729"/>
      <c r="AO109" s="4131"/>
      <c r="AP109" s="4131"/>
      <c r="AQ109" s="4131"/>
      <c r="AR109" s="4131"/>
      <c r="AS109" s="4131"/>
    </row>
    <row r="110" s="754" customFormat="1" spans="1:45">
      <c r="A110" s="3836"/>
      <c r="D110" s="4132"/>
      <c r="K110" s="729"/>
      <c r="L110" s="729"/>
      <c r="AO110" s="4131"/>
      <c r="AP110" s="4131"/>
      <c r="AQ110" s="4131"/>
      <c r="AR110" s="4131"/>
      <c r="AS110" s="4131"/>
    </row>
    <row r="111" s="754" customFormat="1" spans="1:45">
      <c r="A111" s="3836"/>
      <c r="D111" s="4132"/>
      <c r="K111" s="729"/>
      <c r="L111" s="729"/>
      <c r="AO111" s="4131"/>
      <c r="AP111" s="4131"/>
      <c r="AQ111" s="4131"/>
      <c r="AR111" s="4131"/>
      <c r="AS111" s="4131"/>
    </row>
    <row r="112" s="754" customFormat="1" spans="1:45">
      <c r="A112" s="3836"/>
      <c r="D112" s="4132"/>
      <c r="K112" s="729"/>
      <c r="L112" s="729"/>
      <c r="AO112" s="4131"/>
      <c r="AP112" s="4131"/>
      <c r="AQ112" s="4131"/>
      <c r="AR112" s="4131"/>
      <c r="AS112" s="4131"/>
    </row>
    <row r="113" s="754" customFormat="1" spans="1:45">
      <c r="A113" s="3836"/>
      <c r="D113" s="4132"/>
      <c r="K113" s="729"/>
      <c r="L113" s="729"/>
      <c r="AO113" s="4131"/>
      <c r="AP113" s="4131"/>
      <c r="AQ113" s="4131"/>
      <c r="AR113" s="4131"/>
      <c r="AS113" s="4131"/>
    </row>
    <row r="114" s="754" customFormat="1" spans="1:45">
      <c r="A114" s="3836"/>
      <c r="D114" s="4132"/>
      <c r="K114" s="729"/>
      <c r="L114" s="729"/>
      <c r="AO114" s="4131"/>
      <c r="AP114" s="4131"/>
      <c r="AQ114" s="4131"/>
      <c r="AR114" s="4131"/>
      <c r="AS114" s="4131"/>
    </row>
    <row r="115" s="754" customFormat="1" spans="1:45">
      <c r="A115" s="3836"/>
      <c r="D115" s="4132"/>
      <c r="K115" s="729"/>
      <c r="L115" s="729"/>
      <c r="AO115" s="4131"/>
      <c r="AP115" s="4131"/>
      <c r="AQ115" s="4131"/>
      <c r="AR115" s="4131"/>
      <c r="AS115" s="4131"/>
    </row>
    <row r="116" s="754" customFormat="1" spans="1:45">
      <c r="A116" s="3836"/>
      <c r="D116" s="4132"/>
      <c r="K116" s="729"/>
      <c r="L116" s="729"/>
      <c r="AO116" s="4131"/>
      <c r="AP116" s="4131"/>
      <c r="AQ116" s="4131"/>
      <c r="AR116" s="4131"/>
      <c r="AS116" s="4131"/>
    </row>
    <row r="117" s="754" customFormat="1" spans="1:45">
      <c r="A117" s="3836"/>
      <c r="D117" s="4132"/>
      <c r="K117" s="729"/>
      <c r="L117" s="729"/>
      <c r="AO117" s="4131"/>
      <c r="AP117" s="4131"/>
      <c r="AQ117" s="4131"/>
      <c r="AR117" s="4131"/>
      <c r="AS117" s="4131"/>
    </row>
    <row r="118" s="754" customFormat="1" spans="1:45">
      <c r="A118" s="3836"/>
      <c r="D118" s="4132"/>
      <c r="K118" s="729"/>
      <c r="L118" s="729"/>
      <c r="AO118" s="4131"/>
      <c r="AP118" s="4131"/>
      <c r="AQ118" s="4131"/>
      <c r="AR118" s="4131"/>
      <c r="AS118" s="4131"/>
    </row>
    <row r="119" s="754" customFormat="1" spans="1:45">
      <c r="A119" s="3836"/>
      <c r="D119" s="4132"/>
      <c r="K119" s="729"/>
      <c r="L119" s="729"/>
      <c r="AO119" s="4131"/>
      <c r="AP119" s="4131"/>
      <c r="AQ119" s="4131"/>
      <c r="AR119" s="4131"/>
      <c r="AS119" s="4131"/>
    </row>
    <row r="120" s="754" customFormat="1" spans="1:45">
      <c r="A120" s="3836"/>
      <c r="D120" s="4132"/>
      <c r="K120" s="729"/>
      <c r="L120" s="729"/>
      <c r="AO120" s="4131"/>
      <c r="AP120" s="4131"/>
      <c r="AQ120" s="4131"/>
      <c r="AR120" s="4131"/>
      <c r="AS120" s="4131"/>
    </row>
    <row r="121" s="754" customFormat="1" spans="1:45">
      <c r="A121" s="3836"/>
      <c r="D121" s="4132"/>
      <c r="K121" s="729"/>
      <c r="L121" s="729"/>
      <c r="AO121" s="4131"/>
      <c r="AP121" s="4131"/>
      <c r="AQ121" s="4131"/>
      <c r="AR121" s="4131"/>
      <c r="AS121" s="4131"/>
    </row>
    <row r="122" s="754" customFormat="1" spans="1:45">
      <c r="A122" s="3836"/>
      <c r="D122" s="4132"/>
      <c r="K122" s="729"/>
      <c r="L122" s="729"/>
      <c r="AO122" s="4131"/>
      <c r="AP122" s="4131"/>
      <c r="AQ122" s="4131"/>
      <c r="AR122" s="4131"/>
      <c r="AS122" s="4131"/>
    </row>
    <row r="123" s="754" customFormat="1" spans="1:45">
      <c r="A123" s="3836"/>
      <c r="D123" s="4132"/>
      <c r="K123" s="729"/>
      <c r="L123" s="729"/>
      <c r="AO123" s="4131"/>
      <c r="AP123" s="4131"/>
      <c r="AQ123" s="4131"/>
      <c r="AR123" s="4131"/>
      <c r="AS123" s="4131"/>
    </row>
    <row r="124" s="754" customFormat="1" spans="1:45">
      <c r="A124" s="3836"/>
      <c r="D124" s="4132"/>
      <c r="K124" s="729"/>
      <c r="L124" s="729"/>
      <c r="AO124" s="4131"/>
      <c r="AP124" s="4131"/>
      <c r="AQ124" s="4131"/>
      <c r="AR124" s="4131"/>
      <c r="AS124" s="4131"/>
    </row>
    <row r="125" s="754" customFormat="1" spans="1:45">
      <c r="A125" s="3836"/>
      <c r="D125" s="4132"/>
      <c r="K125" s="729"/>
      <c r="L125" s="729"/>
      <c r="AO125" s="4131"/>
      <c r="AP125" s="4131"/>
      <c r="AQ125" s="4131"/>
      <c r="AR125" s="4131"/>
      <c r="AS125" s="4131"/>
    </row>
    <row r="126" s="754" customFormat="1" spans="1:45">
      <c r="A126" s="3836"/>
      <c r="D126" s="4132"/>
      <c r="K126" s="729"/>
      <c r="L126" s="729"/>
      <c r="AO126" s="4131"/>
      <c r="AP126" s="4131"/>
      <c r="AQ126" s="4131"/>
      <c r="AR126" s="4131"/>
      <c r="AS126" s="4131"/>
    </row>
    <row r="127" s="754" customFormat="1" spans="1:45">
      <c r="A127" s="3836"/>
      <c r="D127" s="4132"/>
      <c r="K127" s="729"/>
      <c r="L127" s="729"/>
      <c r="AO127" s="4131"/>
      <c r="AP127" s="4131"/>
      <c r="AQ127" s="4131"/>
      <c r="AR127" s="4131"/>
      <c r="AS127" s="4131"/>
    </row>
    <row r="128" s="754" customFormat="1" spans="1:45">
      <c r="A128" s="3836"/>
      <c r="D128" s="4132"/>
      <c r="K128" s="729"/>
      <c r="L128" s="729"/>
      <c r="AO128" s="4131"/>
      <c r="AP128" s="4131"/>
      <c r="AQ128" s="4131"/>
      <c r="AR128" s="4131"/>
      <c r="AS128" s="4131"/>
    </row>
    <row r="129" s="754" customFormat="1" spans="1:45">
      <c r="A129" s="3836"/>
      <c r="D129" s="4132"/>
      <c r="K129" s="729"/>
      <c r="L129" s="729"/>
      <c r="AO129" s="4131"/>
      <c r="AP129" s="4131"/>
      <c r="AQ129" s="4131"/>
      <c r="AR129" s="4131"/>
      <c r="AS129" s="4131"/>
    </row>
    <row r="130" s="754" customFormat="1" spans="1:45">
      <c r="A130" s="3836"/>
      <c r="D130" s="4132"/>
      <c r="K130" s="729"/>
      <c r="L130" s="729"/>
      <c r="AO130" s="4131"/>
      <c r="AP130" s="4131"/>
      <c r="AQ130" s="4131"/>
      <c r="AR130" s="4131"/>
      <c r="AS130" s="4131"/>
    </row>
    <row r="131" s="754" customFormat="1" spans="1:45">
      <c r="A131" s="3836"/>
      <c r="D131" s="4132"/>
      <c r="K131" s="729"/>
      <c r="L131" s="729"/>
      <c r="AO131" s="4131"/>
      <c r="AP131" s="4131"/>
      <c r="AQ131" s="4131"/>
      <c r="AR131" s="4131"/>
      <c r="AS131" s="4131"/>
    </row>
    <row r="132" s="754" customFormat="1" spans="1:45">
      <c r="A132" s="3836"/>
      <c r="D132" s="4132"/>
      <c r="K132" s="729"/>
      <c r="L132" s="729"/>
      <c r="AO132" s="4131"/>
      <c r="AP132" s="4131"/>
      <c r="AQ132" s="4131"/>
      <c r="AR132" s="4131"/>
      <c r="AS132" s="4131"/>
    </row>
    <row r="133" s="754" customFormat="1" spans="1:45">
      <c r="A133" s="3836"/>
      <c r="D133" s="4132"/>
      <c r="K133" s="729"/>
      <c r="L133" s="729"/>
      <c r="AO133" s="4131"/>
      <c r="AP133" s="4131"/>
      <c r="AQ133" s="4131"/>
      <c r="AR133" s="4131"/>
      <c r="AS133" s="4131"/>
    </row>
    <row r="134" s="754" customFormat="1" spans="1:45">
      <c r="A134" s="3836"/>
      <c r="D134" s="4132"/>
      <c r="K134" s="729"/>
      <c r="L134" s="729"/>
      <c r="AO134" s="4131"/>
      <c r="AP134" s="4131"/>
      <c r="AQ134" s="4131"/>
      <c r="AR134" s="4131"/>
      <c r="AS134" s="4131"/>
    </row>
    <row r="135" s="3921" customFormat="1" spans="1:45">
      <c r="A135" s="4133"/>
      <c r="D135" s="4134"/>
      <c r="K135" s="3276"/>
      <c r="L135" s="3276"/>
      <c r="AO135" s="3926"/>
      <c r="AP135" s="3926"/>
      <c r="AQ135" s="3926"/>
      <c r="AR135" s="3926"/>
      <c r="AS135" s="3926"/>
    </row>
    <row r="136" s="3921" customFormat="1" spans="1:45">
      <c r="A136" s="4133"/>
      <c r="D136" s="4134"/>
      <c r="K136" s="3276"/>
      <c r="L136" s="3276"/>
      <c r="AO136" s="3926"/>
      <c r="AP136" s="3926"/>
      <c r="AQ136" s="3926"/>
      <c r="AR136" s="3926"/>
      <c r="AS136" s="3926"/>
    </row>
    <row r="137" s="3921" customFormat="1" spans="1:45">
      <c r="A137" s="4133"/>
      <c r="D137" s="4134"/>
      <c r="K137" s="3276"/>
      <c r="L137" s="3276"/>
      <c r="AO137" s="3926"/>
      <c r="AP137" s="3926"/>
      <c r="AQ137" s="3926"/>
      <c r="AR137" s="3926"/>
      <c r="AS137" s="3926"/>
    </row>
    <row r="138" s="3921" customFormat="1" spans="1:45">
      <c r="A138" s="4133"/>
      <c r="D138" s="4134"/>
      <c r="K138" s="3276"/>
      <c r="L138" s="3276"/>
      <c r="AO138" s="3926"/>
      <c r="AP138" s="3926"/>
      <c r="AQ138" s="3926"/>
      <c r="AR138" s="3926"/>
      <c r="AS138" s="3926"/>
    </row>
    <row r="139" s="3921" customFormat="1" spans="1:45">
      <c r="A139" s="4133"/>
      <c r="D139" s="4134"/>
      <c r="K139" s="3276"/>
      <c r="L139" s="3276"/>
      <c r="AO139" s="3926"/>
      <c r="AP139" s="3926"/>
      <c r="AQ139" s="3926"/>
      <c r="AR139" s="3926"/>
      <c r="AS139" s="3926"/>
    </row>
    <row r="140" s="3921" customFormat="1" spans="1:45">
      <c r="A140" s="4133"/>
      <c r="D140" s="4134"/>
      <c r="K140" s="3276"/>
      <c r="L140" s="3276"/>
      <c r="AO140" s="3926"/>
      <c r="AP140" s="3926"/>
      <c r="AQ140" s="3926"/>
      <c r="AR140" s="3926"/>
      <c r="AS140" s="3926"/>
    </row>
    <row r="141" s="3921" customFormat="1" spans="1:45">
      <c r="A141" s="4133"/>
      <c r="D141" s="4134"/>
      <c r="K141" s="3276"/>
      <c r="L141" s="3276"/>
      <c r="AO141" s="3926"/>
      <c r="AP141" s="3926"/>
      <c r="AQ141" s="3926"/>
      <c r="AR141" s="3926"/>
      <c r="AS141" s="3926"/>
    </row>
    <row r="142" s="3921" customFormat="1" spans="1:45">
      <c r="A142" s="4133"/>
      <c r="D142" s="4134"/>
      <c r="K142" s="3276"/>
      <c r="L142" s="3276"/>
      <c r="AO142" s="3926"/>
      <c r="AP142" s="3926"/>
      <c r="AQ142" s="3926"/>
      <c r="AR142" s="3926"/>
      <c r="AS142" s="3926"/>
    </row>
    <row r="143" s="3921" customFormat="1" spans="1:45">
      <c r="A143" s="4133"/>
      <c r="D143" s="4134"/>
      <c r="K143" s="3276"/>
      <c r="L143" s="3276"/>
      <c r="AO143" s="3926"/>
      <c r="AP143" s="3926"/>
      <c r="AQ143" s="3926"/>
      <c r="AR143" s="3926"/>
      <c r="AS143" s="3926"/>
    </row>
    <row r="144" s="3921" customFormat="1" spans="1:45">
      <c r="A144" s="4133"/>
      <c r="D144" s="4134"/>
      <c r="K144" s="3276"/>
      <c r="L144" s="3276"/>
      <c r="AO144" s="3926"/>
      <c r="AP144" s="3926"/>
      <c r="AQ144" s="3926"/>
      <c r="AR144" s="3926"/>
      <c r="AS144" s="3926"/>
    </row>
    <row r="145" s="3921" customFormat="1" spans="1:45">
      <c r="A145" s="4133"/>
      <c r="D145" s="4134"/>
      <c r="K145" s="3276"/>
      <c r="L145" s="3276"/>
      <c r="AO145" s="3926"/>
      <c r="AP145" s="3926"/>
      <c r="AQ145" s="3926"/>
      <c r="AR145" s="3926"/>
      <c r="AS145" s="3926"/>
    </row>
    <row r="146" s="3921" customFormat="1" spans="1:45">
      <c r="A146" s="4133"/>
      <c r="D146" s="4134"/>
      <c r="K146" s="3276"/>
      <c r="L146" s="3276"/>
      <c r="AO146" s="3926"/>
      <c r="AP146" s="3926"/>
      <c r="AQ146" s="3926"/>
      <c r="AR146" s="3926"/>
      <c r="AS146" s="3926"/>
    </row>
    <row r="147" s="3921" customFormat="1" spans="1:45">
      <c r="A147" s="4133"/>
      <c r="D147" s="4134"/>
      <c r="K147" s="3276"/>
      <c r="L147" s="3276"/>
      <c r="AO147" s="3926"/>
      <c r="AP147" s="3926"/>
      <c r="AQ147" s="3926"/>
      <c r="AR147" s="3926"/>
      <c r="AS147" s="3926"/>
    </row>
    <row r="148" s="3921" customFormat="1" spans="1:45">
      <c r="A148" s="4133"/>
      <c r="D148" s="4134"/>
      <c r="K148" s="3276"/>
      <c r="L148" s="3276"/>
      <c r="AO148" s="3926"/>
      <c r="AP148" s="3926"/>
      <c r="AQ148" s="3926"/>
      <c r="AR148" s="3926"/>
      <c r="AS148" s="3926"/>
    </row>
    <row r="149" s="3921" customFormat="1" spans="1:45">
      <c r="A149" s="4133"/>
      <c r="D149" s="4134"/>
      <c r="K149" s="3276"/>
      <c r="L149" s="3276"/>
      <c r="AO149" s="3926"/>
      <c r="AP149" s="3926"/>
      <c r="AQ149" s="3926"/>
      <c r="AR149" s="3926"/>
      <c r="AS149" s="3926"/>
    </row>
    <row r="150" s="3921" customFormat="1" spans="1:45">
      <c r="A150" s="4133"/>
      <c r="D150" s="4134"/>
      <c r="K150" s="3276"/>
      <c r="L150" s="3276"/>
      <c r="AO150" s="3926"/>
      <c r="AP150" s="3926"/>
      <c r="AQ150" s="3926"/>
      <c r="AR150" s="3926"/>
      <c r="AS150" s="3926"/>
    </row>
    <row r="151" s="3921" customFormat="1" spans="1:45">
      <c r="A151" s="4133"/>
      <c r="D151" s="4134"/>
      <c r="K151" s="3276"/>
      <c r="L151" s="3276"/>
      <c r="AO151" s="3926"/>
      <c r="AP151" s="3926"/>
      <c r="AQ151" s="3926"/>
      <c r="AR151" s="3926"/>
      <c r="AS151" s="3926"/>
    </row>
    <row r="152" s="3921" customFormat="1" spans="1:45">
      <c r="A152" s="4133"/>
      <c r="D152" s="4134"/>
      <c r="K152" s="3276"/>
      <c r="L152" s="3276"/>
      <c r="AO152" s="3926"/>
      <c r="AP152" s="3926"/>
      <c r="AQ152" s="3926"/>
      <c r="AR152" s="3926"/>
      <c r="AS152" s="3926"/>
    </row>
    <row r="153" s="3921" customFormat="1" spans="1:45">
      <c r="A153" s="4133"/>
      <c r="D153" s="4134"/>
      <c r="K153" s="3276"/>
      <c r="L153" s="3276"/>
      <c r="AO153" s="3926"/>
      <c r="AP153" s="3926"/>
      <c r="AQ153" s="3926"/>
      <c r="AR153" s="3926"/>
      <c r="AS153" s="3926"/>
    </row>
    <row r="154" s="3921" customFormat="1" spans="1:45">
      <c r="A154" s="4133"/>
      <c r="D154" s="4134"/>
      <c r="K154" s="3276"/>
      <c r="L154" s="3276"/>
      <c r="AO154" s="3926"/>
      <c r="AP154" s="3926"/>
      <c r="AQ154" s="3926"/>
      <c r="AR154" s="3926"/>
      <c r="AS154" s="3926"/>
    </row>
    <row r="155" s="3921" customFormat="1" spans="1:45">
      <c r="A155" s="4133"/>
      <c r="D155" s="4134"/>
      <c r="K155" s="3276"/>
      <c r="L155" s="3276"/>
      <c r="AO155" s="3926"/>
      <c r="AP155" s="3926"/>
      <c r="AQ155" s="3926"/>
      <c r="AR155" s="3926"/>
      <c r="AS155" s="3926"/>
    </row>
    <row r="156" s="3921" customFormat="1" spans="1:45">
      <c r="A156" s="4133"/>
      <c r="D156" s="4134"/>
      <c r="K156" s="3276"/>
      <c r="L156" s="3276"/>
      <c r="AO156" s="3926"/>
      <c r="AP156" s="3926"/>
      <c r="AQ156" s="3926"/>
      <c r="AR156" s="3926"/>
      <c r="AS156" s="3926"/>
    </row>
    <row r="157" s="3921" customFormat="1" spans="1:45">
      <c r="A157" s="4133"/>
      <c r="D157" s="4134"/>
      <c r="K157" s="3276"/>
      <c r="L157" s="3276"/>
      <c r="AO157" s="3926"/>
      <c r="AP157" s="3926"/>
      <c r="AQ157" s="3926"/>
      <c r="AR157" s="3926"/>
      <c r="AS157" s="3926"/>
    </row>
    <row r="158" s="3921" customFormat="1" spans="1:45">
      <c r="A158" s="4133"/>
      <c r="D158" s="4134"/>
      <c r="K158" s="3276"/>
      <c r="L158" s="3276"/>
      <c r="AO158" s="3926"/>
      <c r="AP158" s="3926"/>
      <c r="AQ158" s="3926"/>
      <c r="AR158" s="3926"/>
      <c r="AS158" s="3926"/>
    </row>
    <row r="159" s="3921" customFormat="1" spans="1:45">
      <c r="A159" s="4133"/>
      <c r="D159" s="4134"/>
      <c r="K159" s="3276"/>
      <c r="L159" s="3276"/>
      <c r="AO159" s="3926"/>
      <c r="AP159" s="3926"/>
      <c r="AQ159" s="3926"/>
      <c r="AR159" s="3926"/>
      <c r="AS159" s="3926"/>
    </row>
    <row r="160" s="3921" customFormat="1" spans="1:45">
      <c r="A160" s="4133"/>
      <c r="D160" s="4134"/>
      <c r="K160" s="3276"/>
      <c r="L160" s="3276"/>
      <c r="AO160" s="3926"/>
      <c r="AP160" s="3926"/>
      <c r="AQ160" s="3926"/>
      <c r="AR160" s="3926"/>
      <c r="AS160" s="3926"/>
    </row>
    <row r="161" s="3921" customFormat="1" spans="1:45">
      <c r="A161" s="4133"/>
      <c r="D161" s="4134"/>
      <c r="K161" s="3276"/>
      <c r="L161" s="3276"/>
      <c r="AO161" s="3926"/>
      <c r="AP161" s="3926"/>
      <c r="AQ161" s="3926"/>
      <c r="AR161" s="3926"/>
      <c r="AS161" s="3926"/>
    </row>
    <row r="162" s="3921" customFormat="1" spans="1:45">
      <c r="A162" s="4133"/>
      <c r="D162" s="4134"/>
      <c r="K162" s="3276"/>
      <c r="L162" s="3276"/>
      <c r="AO162" s="3926"/>
      <c r="AP162" s="3926"/>
      <c r="AQ162" s="3926"/>
      <c r="AR162" s="3926"/>
      <c r="AS162" s="3926"/>
    </row>
    <row r="163" s="3921" customFormat="1" spans="1:45">
      <c r="A163" s="4133"/>
      <c r="D163" s="4134"/>
      <c r="K163" s="3276"/>
      <c r="L163" s="3276"/>
      <c r="AO163" s="3926"/>
      <c r="AP163" s="3926"/>
      <c r="AQ163" s="3926"/>
      <c r="AR163" s="3926"/>
      <c r="AS163" s="3926"/>
    </row>
    <row r="164" s="3921" customFormat="1" spans="1:45">
      <c r="A164" s="4133"/>
      <c r="D164" s="4134"/>
      <c r="K164" s="3276"/>
      <c r="L164" s="3276"/>
      <c r="AO164" s="3926"/>
      <c r="AP164" s="3926"/>
      <c r="AQ164" s="3926"/>
      <c r="AR164" s="3926"/>
      <c r="AS164" s="3926"/>
    </row>
    <row r="165" s="3921" customFormat="1" spans="1:45">
      <c r="A165" s="4133"/>
      <c r="D165" s="4134"/>
      <c r="K165" s="3276"/>
      <c r="L165" s="3276"/>
      <c r="AO165" s="3926"/>
      <c r="AP165" s="3926"/>
      <c r="AQ165" s="3926"/>
      <c r="AR165" s="3926"/>
      <c r="AS165" s="3926"/>
    </row>
    <row r="166" s="3921" customFormat="1" spans="1:45">
      <c r="A166" s="4133"/>
      <c r="D166" s="4134"/>
      <c r="K166" s="3276"/>
      <c r="L166" s="3276"/>
      <c r="AO166" s="3926"/>
      <c r="AP166" s="3926"/>
      <c r="AQ166" s="3926"/>
      <c r="AR166" s="3926"/>
      <c r="AS166" s="3926"/>
    </row>
    <row r="167" s="3921" customFormat="1" spans="1:45">
      <c r="A167" s="4133"/>
      <c r="D167" s="4134"/>
      <c r="K167" s="3276"/>
      <c r="L167" s="3276"/>
      <c r="AO167" s="3926"/>
      <c r="AP167" s="3926"/>
      <c r="AQ167" s="3926"/>
      <c r="AR167" s="3926"/>
      <c r="AS167" s="3926"/>
    </row>
    <row r="168" s="3921" customFormat="1" spans="1:45">
      <c r="A168" s="4133"/>
      <c r="D168" s="4134"/>
      <c r="K168" s="3276"/>
      <c r="L168" s="3276"/>
      <c r="AO168" s="3926"/>
      <c r="AP168" s="3926"/>
      <c r="AQ168" s="3926"/>
      <c r="AR168" s="3926"/>
      <c r="AS168" s="3926"/>
    </row>
    <row r="169" s="3921" customFormat="1" spans="1:45">
      <c r="A169" s="4133"/>
      <c r="D169" s="4134"/>
      <c r="K169" s="3276"/>
      <c r="L169" s="3276"/>
      <c r="AO169" s="3926"/>
      <c r="AP169" s="3926"/>
      <c r="AQ169" s="3926"/>
      <c r="AR169" s="3926"/>
      <c r="AS169" s="3926"/>
    </row>
    <row r="170" s="3921" customFormat="1" spans="1:45">
      <c r="A170" s="4133"/>
      <c r="D170" s="4134"/>
      <c r="K170" s="3276"/>
      <c r="L170" s="3276"/>
      <c r="AO170" s="3926"/>
      <c r="AP170" s="3926"/>
      <c r="AQ170" s="3926"/>
      <c r="AR170" s="3926"/>
      <c r="AS170" s="3926"/>
    </row>
    <row r="171" s="3921" customFormat="1" spans="1:45">
      <c r="A171" s="4133"/>
      <c r="D171" s="4134"/>
      <c r="K171" s="3276"/>
      <c r="L171" s="3276"/>
      <c r="AO171" s="3926"/>
      <c r="AP171" s="3926"/>
      <c r="AQ171" s="3926"/>
      <c r="AR171" s="3926"/>
      <c r="AS171" s="3926"/>
    </row>
    <row r="172" s="3921" customFormat="1" spans="1:45">
      <c r="A172" s="4133"/>
      <c r="D172" s="4134"/>
      <c r="K172" s="3276"/>
      <c r="L172" s="3276"/>
      <c r="AO172" s="3926"/>
      <c r="AP172" s="3926"/>
      <c r="AQ172" s="3926"/>
      <c r="AR172" s="3926"/>
      <c r="AS172" s="3926"/>
    </row>
    <row r="173" s="3921" customFormat="1" spans="1:45">
      <c r="A173" s="4133"/>
      <c r="D173" s="4134"/>
      <c r="K173" s="3276"/>
      <c r="L173" s="3276"/>
      <c r="AO173" s="3926"/>
      <c r="AP173" s="3926"/>
      <c r="AQ173" s="3926"/>
      <c r="AR173" s="3926"/>
      <c r="AS173" s="3926"/>
    </row>
    <row r="174" s="3921" customFormat="1" spans="1:45">
      <c r="A174" s="4133"/>
      <c r="D174" s="4134"/>
      <c r="K174" s="3276"/>
      <c r="L174" s="3276"/>
      <c r="AO174" s="3926"/>
      <c r="AP174" s="3926"/>
      <c r="AQ174" s="3926"/>
      <c r="AR174" s="3926"/>
      <c r="AS174" s="3926"/>
    </row>
    <row r="175" s="3921" customFormat="1" spans="1:45">
      <c r="A175" s="4133"/>
      <c r="D175" s="4134"/>
      <c r="K175" s="3276"/>
      <c r="L175" s="3276"/>
      <c r="AO175" s="3926"/>
      <c r="AP175" s="3926"/>
      <c r="AQ175" s="3926"/>
      <c r="AR175" s="3926"/>
      <c r="AS175" s="392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57" customWidth="1"/>
    <col min="2" max="2" width="24.5" style="3858" customWidth="1"/>
    <col min="3" max="3" width="24.5" style="3859" customWidth="1"/>
    <col min="4" max="4" width="2.625" style="3859" customWidth="1"/>
    <col min="5" max="5" width="5.875" style="3859" customWidth="1"/>
    <col min="6" max="6" width="27" style="3858" customWidth="1"/>
    <col min="7" max="7" width="27" style="3859" customWidth="1"/>
    <col min="8" max="8" width="11.875" style="3860" customWidth="1"/>
    <col min="9" max="9" width="16.75" style="3860" customWidth="1"/>
    <col min="10" max="10" width="2.625" style="3860" customWidth="1"/>
    <col min="11" max="11" width="11.875" style="3860" customWidth="1"/>
    <col min="12" max="12" width="16.75" style="3860" customWidth="1"/>
    <col min="13" max="13" width="2.625" style="3860" customWidth="1"/>
    <col min="14" max="14" width="11.875" style="3860" customWidth="1"/>
    <col min="15" max="15" width="16.75" style="3860" customWidth="1"/>
    <col min="16" max="16" width="2.625" style="3860" customWidth="1"/>
    <col min="17" max="17" width="11.875" style="3860" customWidth="1"/>
    <col min="18" max="18" width="16.75" style="724" customWidth="1"/>
    <col min="19" max="29" width="9" style="724"/>
    <col min="30" max="16384" width="9" style="3857"/>
  </cols>
  <sheetData>
    <row r="1" s="3855" customFormat="1" ht="18.75" spans="1:29">
      <c r="A1" s="3861" t="s">
        <v>800</v>
      </c>
      <c r="B1" s="3862"/>
      <c r="C1" s="3862"/>
      <c r="D1" s="3862"/>
      <c r="E1" s="3862"/>
      <c r="F1" s="3862"/>
      <c r="G1" s="3862"/>
      <c r="H1" s="3863"/>
      <c r="I1" s="3863"/>
      <c r="J1" s="3863"/>
      <c r="K1" s="3863"/>
      <c r="L1" s="3863"/>
      <c r="M1" s="3863"/>
      <c r="N1" s="3863"/>
      <c r="O1" s="3863"/>
      <c r="P1" s="3863"/>
      <c r="Q1" s="3864"/>
      <c r="R1" s="3865"/>
      <c r="S1" s="3865"/>
      <c r="T1" s="3865"/>
      <c r="U1" s="3865"/>
      <c r="V1" s="3865"/>
      <c r="W1" s="3865"/>
      <c r="X1" s="3865"/>
      <c r="Y1" s="3865"/>
      <c r="Z1" s="3865"/>
      <c r="AA1" s="3865"/>
      <c r="AB1" s="3865"/>
      <c r="AC1" s="3865"/>
    </row>
    <row r="2" ht="15" spans="1:29">
      <c r="A2" s="3866"/>
      <c r="B2" s="3867"/>
      <c r="C2" s="3868" t="s">
        <v>801</v>
      </c>
      <c r="D2" s="3869"/>
      <c r="E2" s="3866"/>
      <c r="F2" s="3870"/>
      <c r="G2" s="3868" t="s">
        <v>802</v>
      </c>
      <c r="H2" s="724"/>
      <c r="I2" s="724"/>
      <c r="J2" s="724"/>
      <c r="K2" s="724"/>
      <c r="L2" s="724"/>
      <c r="M2" s="724"/>
      <c r="N2" s="724"/>
      <c r="O2" s="724"/>
      <c r="P2" s="724"/>
      <c r="Q2" s="724"/>
    </row>
    <row r="3" ht="48" spans="1:29">
      <c r="A3" s="3871" t="s">
        <v>803</v>
      </c>
      <c r="B3" s="3872" t="s">
        <v>804</v>
      </c>
      <c r="C3" s="3873" t="s">
        <v>805</v>
      </c>
      <c r="D3" s="3874"/>
      <c r="E3" s="3875" t="s">
        <v>803</v>
      </c>
      <c r="F3" s="3876" t="s">
        <v>806</v>
      </c>
      <c r="G3" s="3877" t="s">
        <v>807</v>
      </c>
      <c r="H3" s="724"/>
      <c r="I3" s="724"/>
      <c r="J3" s="724"/>
      <c r="K3" s="724"/>
      <c r="L3" s="724"/>
      <c r="M3" s="724"/>
      <c r="N3" s="724"/>
      <c r="O3" s="724"/>
      <c r="P3" s="724"/>
      <c r="Q3" s="724"/>
    </row>
    <row r="4" ht="36.75" spans="1:29">
      <c r="A4" s="3875"/>
      <c r="B4" s="2667" t="s">
        <v>808</v>
      </c>
      <c r="C4" s="3878" t="s">
        <v>809</v>
      </c>
      <c r="D4" s="3874"/>
      <c r="E4" s="3879"/>
      <c r="F4" s="3040" t="s">
        <v>810</v>
      </c>
      <c r="G4" s="3880" t="s">
        <v>811</v>
      </c>
      <c r="H4" s="724"/>
      <c r="I4" s="724"/>
      <c r="J4" s="724"/>
      <c r="K4" s="724"/>
      <c r="L4" s="724"/>
      <c r="M4" s="724"/>
      <c r="N4" s="724"/>
      <c r="O4" s="724"/>
      <c r="P4" s="724"/>
      <c r="Q4" s="724"/>
    </row>
    <row r="5" ht="36.75" spans="1:29">
      <c r="A5" s="3875"/>
      <c r="B5" s="2667" t="s">
        <v>812</v>
      </c>
      <c r="C5" s="3878" t="s">
        <v>813</v>
      </c>
      <c r="D5" s="3874"/>
      <c r="E5" s="3879"/>
      <c r="F5" s="2667" t="s">
        <v>629</v>
      </c>
      <c r="G5" s="3880" t="s">
        <v>814</v>
      </c>
      <c r="H5" s="724"/>
      <c r="I5" s="724"/>
      <c r="J5" s="724"/>
      <c r="K5" s="724"/>
      <c r="L5" s="724"/>
      <c r="M5" s="724"/>
      <c r="N5" s="724"/>
      <c r="O5" s="724"/>
      <c r="P5" s="724"/>
      <c r="Q5" s="724"/>
    </row>
    <row r="6" ht="36" spans="1:29">
      <c r="A6" s="3875"/>
      <c r="B6" s="2667" t="s">
        <v>810</v>
      </c>
      <c r="C6" s="3880" t="s">
        <v>811</v>
      </c>
      <c r="D6" s="3874"/>
      <c r="E6" s="3879"/>
      <c r="F6" s="2667" t="s">
        <v>815</v>
      </c>
      <c r="G6" s="3880" t="s">
        <v>816</v>
      </c>
      <c r="H6" s="724"/>
      <c r="I6" s="724"/>
      <c r="J6" s="724"/>
      <c r="K6" s="724"/>
      <c r="L6" s="724"/>
      <c r="M6" s="724"/>
      <c r="N6" s="724"/>
      <c r="O6" s="724"/>
      <c r="P6" s="724"/>
      <c r="Q6" s="724"/>
    </row>
    <row r="7" ht="24.75" spans="1:29">
      <c r="A7" s="3875"/>
      <c r="B7" s="2667" t="s">
        <v>629</v>
      </c>
      <c r="C7" s="3880" t="s">
        <v>814</v>
      </c>
      <c r="D7" s="3881"/>
      <c r="E7" s="3882"/>
      <c r="F7" s="3883" t="s">
        <v>817</v>
      </c>
      <c r="G7" s="3884" t="s">
        <v>818</v>
      </c>
      <c r="H7" s="724"/>
      <c r="I7" s="724"/>
      <c r="J7" s="724"/>
      <c r="K7" s="724"/>
      <c r="L7" s="724"/>
      <c r="M7" s="724"/>
      <c r="N7" s="724"/>
      <c r="O7" s="724"/>
      <c r="P7" s="724"/>
      <c r="Q7" s="724"/>
    </row>
    <row r="8" spans="1:29">
      <c r="A8" s="3875"/>
      <c r="B8" s="2667" t="s">
        <v>815</v>
      </c>
      <c r="C8" s="3880" t="s">
        <v>816</v>
      </c>
      <c r="D8" s="3881"/>
      <c r="E8" s="3881"/>
      <c r="F8" s="2697"/>
      <c r="G8" s="2697"/>
      <c r="H8" s="724"/>
      <c r="I8" s="724"/>
      <c r="J8" s="724"/>
      <c r="K8" s="724"/>
      <c r="L8" s="724"/>
      <c r="M8" s="724"/>
      <c r="N8" s="724"/>
      <c r="O8" s="724"/>
      <c r="P8" s="724"/>
      <c r="Q8" s="724"/>
    </row>
    <row r="9" ht="24" spans="1:29">
      <c r="A9" s="3875"/>
      <c r="B9" s="2667" t="s">
        <v>819</v>
      </c>
      <c r="C9" s="3878" t="s">
        <v>820</v>
      </c>
      <c r="D9" s="3874"/>
      <c r="E9" s="3881"/>
      <c r="F9" s="2697"/>
      <c r="G9" s="2697"/>
      <c r="H9" s="724"/>
      <c r="I9" s="724"/>
      <c r="J9" s="724"/>
      <c r="K9" s="724"/>
      <c r="L9" s="724"/>
      <c r="M9" s="724"/>
      <c r="N9" s="724"/>
      <c r="O9" s="724"/>
      <c r="P9" s="724"/>
      <c r="Q9" s="724"/>
    </row>
    <row r="10" s="3856" customFormat="1" ht="15" spans="1:29">
      <c r="A10" s="3885"/>
      <c r="B10" s="3886" t="s">
        <v>821</v>
      </c>
      <c r="C10" s="3887"/>
      <c r="D10" s="3874"/>
      <c r="E10" s="3874"/>
      <c r="F10" s="2697"/>
      <c r="G10" s="2697"/>
      <c r="H10" s="3888"/>
      <c r="I10" s="3888"/>
      <c r="J10" s="3889"/>
      <c r="K10" s="3888"/>
      <c r="L10" s="3888"/>
      <c r="M10" s="3889"/>
      <c r="N10" s="3888"/>
      <c r="O10" s="3888"/>
      <c r="P10" s="3889"/>
      <c r="Q10" s="3888"/>
      <c r="R10" s="3888"/>
      <c r="S10" s="724"/>
      <c r="T10" s="724"/>
      <c r="U10" s="724"/>
      <c r="V10" s="724"/>
      <c r="W10" s="724"/>
      <c r="X10" s="724"/>
      <c r="Y10" s="724"/>
      <c r="Z10" s="724"/>
      <c r="AA10" s="724"/>
      <c r="AB10" s="724"/>
      <c r="AC10" s="724"/>
    </row>
    <row r="11" s="3856" customFormat="1" spans="1:29">
      <c r="A11" s="3890"/>
      <c r="B11" s="3881"/>
      <c r="C11" s="3874"/>
      <c r="D11" s="3874"/>
      <c r="E11" s="3874"/>
      <c r="F11" s="3881"/>
      <c r="G11" s="3881"/>
      <c r="H11" s="3888"/>
      <c r="I11" s="3888"/>
      <c r="J11" s="3889"/>
      <c r="K11" s="3888"/>
      <c r="L11" s="3888"/>
      <c r="M11" s="3889"/>
      <c r="N11" s="3888"/>
      <c r="O11" s="3888"/>
      <c r="P11" s="3889"/>
      <c r="Q11" s="3888"/>
      <c r="R11" s="3888"/>
      <c r="S11" s="724"/>
      <c r="T11" s="724"/>
      <c r="U11" s="724"/>
      <c r="V11" s="724"/>
      <c r="W11" s="724"/>
      <c r="X11" s="724"/>
      <c r="Y11" s="724"/>
      <c r="Z11" s="724"/>
      <c r="AA11" s="724"/>
      <c r="AB11" s="724"/>
      <c r="AC11" s="724"/>
    </row>
    <row r="12" s="3855" customFormat="1" ht="18" spans="1:29">
      <c r="A12" s="3890"/>
      <c r="B12" s="3881"/>
      <c r="C12" s="3874"/>
      <c r="D12" s="3891"/>
      <c r="E12" s="3874"/>
      <c r="F12" s="3881"/>
      <c r="G12" s="3881"/>
      <c r="H12" s="3892"/>
      <c r="I12" s="3892"/>
      <c r="J12" s="3892"/>
      <c r="K12" s="3892"/>
      <c r="L12" s="3893"/>
      <c r="M12" s="3892"/>
      <c r="N12" s="3894"/>
      <c r="O12" s="3894"/>
      <c r="P12" s="3894"/>
      <c r="Q12" s="3894"/>
      <c r="R12" s="3865"/>
      <c r="S12" s="3865"/>
      <c r="T12" s="3865"/>
      <c r="U12" s="3865"/>
      <c r="V12" s="3865"/>
      <c r="W12" s="3865"/>
      <c r="X12" s="3865"/>
      <c r="Y12" s="3865"/>
      <c r="Z12" s="3865"/>
      <c r="AA12" s="3865"/>
      <c r="AB12" s="3865"/>
      <c r="AC12" s="3865"/>
    </row>
    <row r="13" spans="1:29">
      <c r="A13" s="3895" t="s">
        <v>822</v>
      </c>
      <c r="B13" s="3891"/>
      <c r="C13" s="3891"/>
      <c r="D13" s="3890"/>
      <c r="E13" s="3891"/>
      <c r="F13" s="3891"/>
      <c r="G13" s="3891"/>
    </row>
    <row r="14" spans="1:29">
      <c r="A14" s="3896"/>
      <c r="B14" s="3896"/>
      <c r="C14" s="3897" t="s">
        <v>801</v>
      </c>
      <c r="D14" s="3874"/>
      <c r="E14" s="3898"/>
      <c r="F14" s="3898"/>
      <c r="G14" s="3868" t="s">
        <v>802</v>
      </c>
    </row>
    <row r="15" ht="48" spans="1:29">
      <c r="A15" s="3899" t="s">
        <v>803</v>
      </c>
      <c r="B15" s="3900" t="s">
        <v>804</v>
      </c>
      <c r="C15" s="3901" t="str">
        <f>C3</f>
        <v>估价对象周边居住用地比例、居住小区规模和社区发展完善程度，综合评价居住社区成熟度一般</v>
      </c>
      <c r="D15" s="3874"/>
      <c r="E15" s="3902" t="s">
        <v>803</v>
      </c>
      <c r="F15" s="3900" t="s">
        <v>806</v>
      </c>
      <c r="G15" s="3903" t="str">
        <f>G3</f>
        <v>估价对象位于XX开发区，园区建设成熟度XX，产业集聚程度XX</v>
      </c>
    </row>
    <row r="16" ht="36.75" spans="1:29">
      <c r="A16" s="3904"/>
      <c r="B16" s="3905" t="s">
        <v>808</v>
      </c>
      <c r="C16" s="3906" t="str">
        <f>C4</f>
        <v>估价对象位于XX商圈，周边商业氛围成熟，人流量大，商业繁华度好</v>
      </c>
      <c r="D16" s="3874"/>
      <c r="E16" s="3907"/>
      <c r="F16" s="3908" t="s">
        <v>810</v>
      </c>
      <c r="G16" s="3909" t="str">
        <f>G4</f>
        <v>估价对象周边道路状况、公共交通通达情况、停车便捷程度，综合评价交通便捷度较好</v>
      </c>
    </row>
    <row r="17" ht="36.75" spans="1:17">
      <c r="A17" s="3904"/>
      <c r="B17" s="3905" t="s">
        <v>812</v>
      </c>
      <c r="C17" s="3906" t="str">
        <f>C5</f>
        <v>估价对象位于XX商圈，周边办公楼项目较多，入驻率高，办公集聚程度较好</v>
      </c>
      <c r="D17" s="3881"/>
      <c r="E17" s="3907"/>
      <c r="F17" s="3908" t="s">
        <v>823</v>
      </c>
      <c r="G17" s="3910"/>
    </row>
    <row r="18" ht="36" spans="1:17">
      <c r="A18" s="3904"/>
      <c r="B18" s="3908" t="s">
        <v>810</v>
      </c>
      <c r="C18" s="3909" t="str">
        <f>C6</f>
        <v>估价对象周边道路状况、公共交通通达情况、停车便捷程度，综合评价交通便捷度较好</v>
      </c>
      <c r="D18" s="3881"/>
      <c r="E18" s="3907"/>
      <c r="F18" s="3908" t="s">
        <v>817</v>
      </c>
      <c r="G18" s="3909" t="str">
        <f>G7</f>
        <v>该园区内是否有污染型企业，绿化情况，卫生条件，整体环境状况判断</v>
      </c>
    </row>
    <row r="19" ht="24" spans="1:17">
      <c r="A19" s="3904"/>
      <c r="B19" s="3908" t="s">
        <v>823</v>
      </c>
      <c r="C19" s="3910"/>
      <c r="D19" s="3874"/>
      <c r="E19" s="3907"/>
      <c r="F19" s="2667" t="s">
        <v>629</v>
      </c>
      <c r="G19" s="3909" t="str">
        <f>G5</f>
        <v>估价对象所在区域公共配套设施齐备情况</v>
      </c>
    </row>
    <row r="20" ht="24" spans="1:17">
      <c r="A20" s="3904"/>
      <c r="B20" s="3908" t="s">
        <v>824</v>
      </c>
      <c r="C20" s="3906" t="str">
        <f>C9</f>
        <v>区域自然环境：；人文环境；综合评价环境状况一般</v>
      </c>
      <c r="D20" s="3881"/>
      <c r="E20" s="3907"/>
      <c r="F20" s="2667" t="s">
        <v>815</v>
      </c>
      <c r="G20" s="3909" t="str">
        <f>G6</f>
        <v>估价对象所在区域基础设施水平</v>
      </c>
    </row>
    <row r="21" ht="24" spans="1:17">
      <c r="A21" s="3904"/>
      <c r="B21" s="2667" t="s">
        <v>629</v>
      </c>
      <c r="C21" s="3909" t="str">
        <f>C7</f>
        <v>估价对象所在区域公共配套设施齐备情况</v>
      </c>
      <c r="D21" s="3874"/>
      <c r="E21" s="3907"/>
      <c r="F21" s="3908" t="s">
        <v>825</v>
      </c>
      <c r="G21" s="3911"/>
    </row>
    <row r="22" ht="13.5" customHeight="1" spans="1:17">
      <c r="A22" s="3904"/>
      <c r="B22" s="2667" t="s">
        <v>815</v>
      </c>
      <c r="C22" s="3909" t="str">
        <f>C8</f>
        <v>估价对象所在区域基础设施水平</v>
      </c>
      <c r="D22" s="3874"/>
      <c r="E22" s="3907"/>
      <c r="F22" s="3908" t="s">
        <v>821</v>
      </c>
      <c r="G22" s="3910"/>
    </row>
    <row r="23" s="724" customFormat="1" ht="15" spans="1:17">
      <c r="A23" s="3904"/>
      <c r="B23" s="3908" t="s">
        <v>825</v>
      </c>
      <c r="C23" s="3911"/>
      <c r="D23" s="3836"/>
      <c r="E23" s="3912"/>
      <c r="F23" s="3913" t="s">
        <v>580</v>
      </c>
      <c r="G23" s="3914"/>
      <c r="H23" s="3860"/>
      <c r="I23" s="3860"/>
      <c r="J23" s="3860"/>
      <c r="K23" s="3860"/>
      <c r="L23" s="3860"/>
      <c r="M23" s="3860"/>
      <c r="N23" s="3860"/>
      <c r="O23" s="3860"/>
      <c r="P23" s="3860"/>
      <c r="Q23" s="3860"/>
    </row>
    <row r="24" s="724" customFormat="1" ht="15" spans="1:17">
      <c r="A24" s="3915"/>
      <c r="B24" s="3913" t="s">
        <v>821</v>
      </c>
      <c r="C24" s="3916">
        <f>C10</f>
        <v>0</v>
      </c>
      <c r="D24" s="3836"/>
      <c r="E24" s="3917"/>
      <c r="F24" s="3917"/>
      <c r="G24" s="3917"/>
      <c r="H24" s="3860"/>
      <c r="I24" s="3860"/>
      <c r="J24" s="3860"/>
      <c r="K24" s="3860"/>
      <c r="L24" s="3860"/>
      <c r="M24" s="3860"/>
      <c r="N24" s="3860"/>
      <c r="O24" s="3860"/>
      <c r="P24" s="3860"/>
      <c r="Q24" s="3860"/>
    </row>
    <row r="25" s="724" customFormat="1" spans="1:17">
      <c r="B25" s="3860"/>
      <c r="C25" s="3860"/>
      <c r="D25" s="3860"/>
      <c r="H25" s="3860"/>
      <c r="I25" s="3860"/>
      <c r="J25" s="3860"/>
      <c r="K25" s="3860"/>
      <c r="L25" s="3860"/>
      <c r="M25" s="3860"/>
      <c r="N25" s="3860"/>
      <c r="O25" s="3860"/>
      <c r="P25" s="3860"/>
      <c r="Q25" s="3860"/>
    </row>
    <row r="26" s="724" customFormat="1" spans="1:17">
      <c r="B26" s="3860"/>
      <c r="C26" s="3860"/>
      <c r="D26" s="3860"/>
      <c r="H26" s="3860"/>
      <c r="I26" s="3860"/>
      <c r="J26" s="3860"/>
      <c r="K26" s="3860"/>
      <c r="L26" s="3860"/>
      <c r="M26" s="3860"/>
      <c r="N26" s="3860"/>
      <c r="O26" s="3860"/>
      <c r="P26" s="3860"/>
      <c r="Q26" s="3860"/>
    </row>
    <row r="27" s="724" customFormat="1" spans="1:17">
      <c r="B27" s="3860"/>
      <c r="C27" s="3860"/>
      <c r="D27" s="3860"/>
      <c r="H27" s="3860"/>
      <c r="I27" s="3860"/>
      <c r="J27" s="3860"/>
      <c r="K27" s="3860"/>
      <c r="L27" s="3860"/>
      <c r="M27" s="3860"/>
      <c r="N27" s="3860"/>
      <c r="O27" s="3860"/>
      <c r="P27" s="3860"/>
      <c r="Q27" s="3860"/>
    </row>
    <row r="28" s="724" customFormat="1" spans="1:17">
      <c r="B28" s="3860"/>
      <c r="C28" s="3860"/>
      <c r="D28" s="3860"/>
      <c r="H28" s="3860"/>
      <c r="I28" s="3860"/>
      <c r="J28" s="3860"/>
      <c r="K28" s="3860"/>
      <c r="L28" s="3860"/>
      <c r="M28" s="3860"/>
      <c r="N28" s="3860"/>
      <c r="O28" s="3860"/>
      <c r="P28" s="3860"/>
      <c r="Q28" s="3860"/>
    </row>
    <row r="29" s="724" customFormat="1" spans="1:17">
      <c r="B29" s="3860"/>
      <c r="C29" s="3860"/>
      <c r="D29" s="3860"/>
      <c r="H29" s="3860"/>
      <c r="I29" s="3860"/>
      <c r="J29" s="3860"/>
      <c r="K29" s="3860"/>
      <c r="L29" s="3860"/>
      <c r="M29" s="3860"/>
      <c r="N29" s="3860"/>
      <c r="O29" s="3860"/>
      <c r="P29" s="3860"/>
      <c r="Q29" s="3860"/>
    </row>
    <row r="30" s="724" customFormat="1" spans="1:17">
      <c r="B30" s="3860"/>
      <c r="C30" s="3860"/>
      <c r="D30" s="3860"/>
      <c r="H30" s="3860"/>
      <c r="I30" s="3860"/>
      <c r="J30" s="3860"/>
      <c r="K30" s="3860"/>
      <c r="L30" s="3860"/>
      <c r="M30" s="3860"/>
      <c r="N30" s="3860"/>
      <c r="O30" s="3860"/>
      <c r="P30" s="3860"/>
      <c r="Q30" s="3860"/>
    </row>
    <row r="31" s="724" customFormat="1" spans="1:17">
      <c r="B31" s="3860"/>
      <c r="C31" s="3860"/>
      <c r="D31" s="3860"/>
      <c r="H31" s="3860"/>
      <c r="I31" s="3860"/>
      <c r="J31" s="3860"/>
      <c r="K31" s="3860"/>
      <c r="L31" s="3860"/>
      <c r="M31" s="3860"/>
      <c r="N31" s="3860"/>
      <c r="O31" s="3860"/>
      <c r="P31" s="3860"/>
      <c r="Q31" s="3860"/>
    </row>
    <row r="32" s="724" customFormat="1" spans="1:17">
      <c r="B32" s="3860"/>
      <c r="C32" s="3860"/>
      <c r="D32" s="3860"/>
      <c r="H32" s="3860"/>
      <c r="I32" s="3860"/>
      <c r="J32" s="3860"/>
      <c r="K32" s="3860"/>
      <c r="L32" s="3860"/>
      <c r="M32" s="3860"/>
      <c r="N32" s="3860"/>
      <c r="O32" s="3860"/>
      <c r="P32" s="3860"/>
      <c r="Q32" s="3860"/>
    </row>
    <row r="33" s="724" customFormat="1" spans="2:17">
      <c r="B33" s="3860"/>
      <c r="C33" s="3860"/>
      <c r="D33" s="3860"/>
      <c r="H33" s="3860"/>
      <c r="I33" s="3860"/>
      <c r="J33" s="3860"/>
      <c r="K33" s="3860"/>
      <c r="L33" s="3860"/>
      <c r="M33" s="3860"/>
      <c r="N33" s="3860"/>
      <c r="O33" s="3860"/>
      <c r="P33" s="3860"/>
      <c r="Q33" s="3860"/>
    </row>
    <row r="34" s="724" customFormat="1" spans="2:17">
      <c r="B34" s="3860"/>
      <c r="C34" s="3860"/>
      <c r="D34" s="3860"/>
      <c r="H34" s="3860"/>
      <c r="I34" s="3860"/>
      <c r="J34" s="3860"/>
      <c r="K34" s="3860"/>
      <c r="L34" s="3860"/>
      <c r="M34" s="3860"/>
      <c r="N34" s="3860"/>
      <c r="O34" s="3860"/>
      <c r="P34" s="3860"/>
      <c r="Q34" s="3860"/>
    </row>
    <row r="35" s="724" customFormat="1" spans="2:17">
      <c r="B35" s="3860"/>
      <c r="C35" s="3860"/>
      <c r="D35" s="3860"/>
      <c r="H35" s="3860"/>
      <c r="I35" s="3860"/>
      <c r="J35" s="3860"/>
      <c r="K35" s="3860"/>
      <c r="L35" s="3860"/>
      <c r="M35" s="3860"/>
      <c r="N35" s="3860"/>
      <c r="O35" s="3860"/>
      <c r="P35" s="3860"/>
      <c r="Q35" s="3860"/>
    </row>
    <row r="36" s="724" customFormat="1" spans="2:17">
      <c r="B36" s="3860"/>
      <c r="C36" s="3860"/>
      <c r="D36" s="3860"/>
      <c r="H36" s="3860"/>
      <c r="I36" s="3860"/>
      <c r="J36" s="3860"/>
      <c r="K36" s="3860"/>
      <c r="L36" s="3860"/>
      <c r="M36" s="3860"/>
      <c r="N36" s="3860"/>
      <c r="O36" s="3860"/>
      <c r="P36" s="3860"/>
      <c r="Q36" s="3860"/>
    </row>
    <row r="37" s="724" customFormat="1" spans="2:17">
      <c r="B37" s="3860"/>
      <c r="C37" s="3860"/>
      <c r="D37" s="3860"/>
      <c r="H37" s="3860"/>
      <c r="I37" s="3860"/>
      <c r="J37" s="3860"/>
      <c r="K37" s="3860"/>
      <c r="L37" s="3860"/>
      <c r="M37" s="3860"/>
      <c r="N37" s="3860"/>
      <c r="O37" s="3860"/>
      <c r="P37" s="3860"/>
      <c r="Q37" s="3860"/>
    </row>
    <row r="38" s="724" customFormat="1" spans="2:17">
      <c r="B38" s="3860"/>
      <c r="C38" s="3860"/>
      <c r="D38" s="3860"/>
      <c r="E38" s="3860"/>
      <c r="F38" s="3860"/>
      <c r="G38" s="3860"/>
      <c r="H38" s="3860"/>
      <c r="I38" s="3860"/>
      <c r="J38" s="3860"/>
      <c r="K38" s="3860"/>
      <c r="L38" s="3860"/>
      <c r="M38" s="3860"/>
      <c r="N38" s="3860"/>
      <c r="O38" s="3860"/>
      <c r="P38" s="3860"/>
      <c r="Q38" s="3860"/>
    </row>
    <row r="39" s="724" customFormat="1" spans="2:17">
      <c r="B39" s="3860"/>
      <c r="C39" s="3860"/>
      <c r="D39" s="3860"/>
      <c r="E39" s="3860"/>
      <c r="F39" s="3860"/>
      <c r="G39" s="3860"/>
      <c r="H39" s="3860"/>
      <c r="I39" s="3860"/>
      <c r="J39" s="3860"/>
      <c r="K39" s="3860"/>
      <c r="L39" s="3860"/>
      <c r="M39" s="3860"/>
      <c r="N39" s="3860"/>
      <c r="O39" s="3860"/>
      <c r="P39" s="3860"/>
      <c r="Q39" s="3860"/>
    </row>
    <row r="40" s="724" customFormat="1" spans="2:17">
      <c r="B40" s="3860"/>
      <c r="C40" s="3860"/>
      <c r="D40" s="3860"/>
      <c r="E40" s="3860"/>
      <c r="F40" s="3860"/>
      <c r="G40" s="3860"/>
      <c r="H40" s="3860"/>
      <c r="I40" s="3860"/>
      <c r="J40" s="3860"/>
      <c r="K40" s="3860"/>
      <c r="L40" s="3860"/>
      <c r="M40" s="3860"/>
      <c r="N40" s="3860"/>
      <c r="O40" s="3860"/>
      <c r="P40" s="3860"/>
      <c r="Q40" s="3860"/>
    </row>
    <row r="41" s="724" customFormat="1" spans="2:17">
      <c r="B41" s="3860"/>
      <c r="C41" s="3860"/>
      <c r="D41" s="3860"/>
      <c r="E41" s="3860"/>
      <c r="F41" s="3860"/>
      <c r="G41" s="3860"/>
      <c r="H41" s="3860"/>
      <c r="I41" s="3860"/>
      <c r="J41" s="3860"/>
      <c r="K41" s="3860"/>
      <c r="L41" s="3860"/>
      <c r="M41" s="3860"/>
      <c r="N41" s="3860"/>
      <c r="O41" s="3860"/>
      <c r="P41" s="3860"/>
      <c r="Q41" s="3860"/>
    </row>
    <row r="42" s="724" customFormat="1" spans="2:17">
      <c r="B42" s="3860"/>
      <c r="C42" s="3860"/>
      <c r="D42" s="3860"/>
      <c r="E42" s="3860"/>
      <c r="F42" s="3860"/>
      <c r="G42" s="3860"/>
      <c r="H42" s="3860"/>
      <c r="I42" s="3860"/>
      <c r="J42" s="3860"/>
      <c r="K42" s="3860"/>
      <c r="L42" s="3860"/>
      <c r="M42" s="3860"/>
      <c r="N42" s="3860"/>
      <c r="O42" s="3860"/>
      <c r="P42" s="3860"/>
      <c r="Q42" s="3860"/>
    </row>
    <row r="43" s="724" customFormat="1" spans="2:17">
      <c r="B43" s="3860"/>
      <c r="C43" s="3860"/>
      <c r="D43" s="3860"/>
      <c r="E43" s="3860"/>
      <c r="F43" s="3860"/>
      <c r="G43" s="3860"/>
      <c r="H43" s="3860"/>
      <c r="I43" s="3860"/>
      <c r="J43" s="3860"/>
      <c r="K43" s="3860"/>
      <c r="L43" s="3860"/>
      <c r="M43" s="3860"/>
      <c r="N43" s="3860"/>
      <c r="O43" s="3860"/>
      <c r="P43" s="3860"/>
      <c r="Q43" s="3860"/>
    </row>
    <row r="44" s="724" customFormat="1" spans="2:17">
      <c r="B44" s="3860"/>
      <c r="C44" s="3860"/>
      <c r="D44" s="3860"/>
      <c r="E44" s="3860"/>
      <c r="F44" s="3860"/>
      <c r="G44" s="3860"/>
      <c r="H44" s="3860"/>
      <c r="I44" s="3860"/>
      <c r="J44" s="3860"/>
      <c r="K44" s="3860"/>
      <c r="L44" s="3860"/>
      <c r="M44" s="3860"/>
      <c r="N44" s="3860"/>
      <c r="O44" s="3860"/>
      <c r="P44" s="3860"/>
      <c r="Q44" s="3860"/>
    </row>
    <row r="45" s="724" customFormat="1" spans="2:17">
      <c r="B45" s="3860"/>
      <c r="C45" s="3860"/>
      <c r="D45" s="3860"/>
      <c r="E45" s="3860"/>
      <c r="F45" s="3860"/>
      <c r="G45" s="3860"/>
      <c r="H45" s="3860"/>
      <c r="I45" s="3860"/>
      <c r="J45" s="3860"/>
      <c r="K45" s="3860"/>
      <c r="L45" s="3860"/>
      <c r="M45" s="3860"/>
      <c r="N45" s="3860"/>
      <c r="O45" s="3860"/>
      <c r="P45" s="3860"/>
      <c r="Q45" s="3860"/>
    </row>
    <row r="46" s="724" customFormat="1" spans="2:17">
      <c r="B46" s="3860"/>
      <c r="C46" s="3860"/>
      <c r="D46" s="3860"/>
      <c r="E46" s="3860"/>
      <c r="F46" s="3860"/>
      <c r="G46" s="3860"/>
      <c r="H46" s="3860"/>
      <c r="I46" s="3860"/>
      <c r="J46" s="3860"/>
      <c r="K46" s="3860"/>
      <c r="L46" s="3860"/>
      <c r="M46" s="3860"/>
      <c r="N46" s="3860"/>
      <c r="O46" s="3860"/>
      <c r="P46" s="3860"/>
      <c r="Q46" s="3860"/>
    </row>
    <row r="47" s="724" customFormat="1" spans="2:17">
      <c r="B47" s="3860"/>
      <c r="C47" s="3860"/>
      <c r="D47" s="3860"/>
      <c r="E47" s="3860"/>
      <c r="F47" s="3860"/>
      <c r="G47" s="3860"/>
      <c r="H47" s="3860"/>
      <c r="I47" s="3860"/>
      <c r="J47" s="3860"/>
      <c r="K47" s="3860"/>
      <c r="L47" s="3860"/>
      <c r="M47" s="3860"/>
      <c r="N47" s="3860"/>
      <c r="O47" s="3860"/>
      <c r="P47" s="3860"/>
      <c r="Q47" s="3860"/>
    </row>
    <row r="48" s="724" customFormat="1" spans="2:17">
      <c r="B48" s="3860"/>
      <c r="C48" s="3860"/>
      <c r="D48" s="3860"/>
      <c r="E48" s="3860"/>
      <c r="F48" s="3860"/>
      <c r="G48" s="3860"/>
      <c r="H48" s="3860"/>
      <c r="I48" s="3860"/>
      <c r="J48" s="3860"/>
      <c r="K48" s="3860"/>
      <c r="L48" s="3860"/>
      <c r="M48" s="3860"/>
      <c r="N48" s="3860"/>
      <c r="O48" s="3860"/>
      <c r="P48" s="3860"/>
      <c r="Q48" s="3860"/>
    </row>
    <row r="49" s="724" customFormat="1" spans="2:17">
      <c r="B49" s="3860"/>
      <c r="C49" s="3860"/>
      <c r="D49" s="3860"/>
      <c r="E49" s="3860"/>
      <c r="F49" s="3860"/>
      <c r="G49" s="3860"/>
      <c r="H49" s="3860"/>
      <c r="I49" s="3860"/>
      <c r="J49" s="3860"/>
      <c r="K49" s="3860"/>
      <c r="L49" s="3860"/>
      <c r="M49" s="3860"/>
      <c r="N49" s="3860"/>
      <c r="O49" s="3860"/>
      <c r="P49" s="3860"/>
      <c r="Q49" s="3860"/>
    </row>
    <row r="50" s="724" customFormat="1" spans="2:17">
      <c r="B50" s="3860"/>
      <c r="C50" s="3860"/>
      <c r="D50" s="3860"/>
      <c r="E50" s="3860"/>
      <c r="F50" s="3860"/>
      <c r="G50" s="3860"/>
      <c r="H50" s="3860"/>
      <c r="I50" s="3860"/>
      <c r="J50" s="3860"/>
      <c r="K50" s="3860"/>
      <c r="L50" s="3860"/>
      <c r="M50" s="3860"/>
      <c r="N50" s="3860"/>
      <c r="O50" s="3860"/>
      <c r="P50" s="3860"/>
      <c r="Q50" s="3860"/>
    </row>
    <row r="51" s="724" customFormat="1" spans="2:17">
      <c r="B51" s="3860"/>
      <c r="C51" s="3860"/>
      <c r="D51" s="3860"/>
      <c r="E51" s="3860"/>
      <c r="F51" s="3860"/>
      <c r="G51" s="3860"/>
      <c r="H51" s="3860"/>
      <c r="I51" s="3860"/>
      <c r="J51" s="3860"/>
      <c r="K51" s="3860"/>
      <c r="L51" s="3860"/>
      <c r="M51" s="3860"/>
      <c r="N51" s="3860"/>
      <c r="O51" s="3860"/>
      <c r="P51" s="3860"/>
      <c r="Q51" s="3860"/>
    </row>
    <row r="52" s="724" customFormat="1" spans="2:17">
      <c r="B52" s="3860"/>
      <c r="C52" s="3860"/>
      <c r="D52" s="3860"/>
      <c r="E52" s="3860"/>
      <c r="F52" s="3860"/>
      <c r="G52" s="3860"/>
      <c r="H52" s="3860"/>
      <c r="I52" s="3860"/>
      <c r="J52" s="3860"/>
      <c r="K52" s="3860"/>
      <c r="L52" s="3860"/>
      <c r="M52" s="3860"/>
      <c r="N52" s="3860"/>
      <c r="O52" s="3860"/>
      <c r="P52" s="3860"/>
      <c r="Q52" s="3860"/>
    </row>
    <row r="53" s="724" customFormat="1" spans="2:17">
      <c r="B53" s="3860"/>
      <c r="C53" s="3860"/>
      <c r="D53" s="3860"/>
      <c r="E53" s="3860"/>
      <c r="F53" s="3860"/>
      <c r="G53" s="3860"/>
      <c r="H53" s="3860"/>
      <c r="I53" s="3860"/>
      <c r="J53" s="3860"/>
      <c r="K53" s="3860"/>
      <c r="L53" s="3860"/>
      <c r="M53" s="3860"/>
      <c r="N53" s="3860"/>
      <c r="O53" s="3860"/>
      <c r="P53" s="3860"/>
      <c r="Q53" s="3860"/>
    </row>
    <row r="54" s="724" customFormat="1" spans="2:17">
      <c r="B54" s="3860"/>
      <c r="C54" s="3860"/>
      <c r="D54" s="3860"/>
      <c r="E54" s="3860"/>
      <c r="F54" s="3860"/>
      <c r="G54" s="3860"/>
      <c r="H54" s="3860"/>
      <c r="I54" s="3860"/>
      <c r="J54" s="3860"/>
      <c r="K54" s="3860"/>
      <c r="L54" s="3860"/>
      <c r="M54" s="3860"/>
      <c r="N54" s="3860"/>
      <c r="O54" s="3860"/>
      <c r="P54" s="3860"/>
      <c r="Q54" s="3860"/>
    </row>
    <row r="55" s="724" customFormat="1" spans="2:17">
      <c r="B55" s="3860"/>
      <c r="C55" s="3860"/>
      <c r="D55" s="3860"/>
      <c r="E55" s="3860"/>
      <c r="F55" s="3860"/>
      <c r="G55" s="3860"/>
      <c r="H55" s="3860"/>
      <c r="I55" s="3860"/>
      <c r="J55" s="3860"/>
      <c r="K55" s="3860"/>
      <c r="L55" s="3860"/>
      <c r="M55" s="3860"/>
      <c r="N55" s="3860"/>
      <c r="O55" s="3860"/>
      <c r="P55" s="3860"/>
      <c r="Q55" s="3860"/>
    </row>
    <row r="56" s="724" customFormat="1" spans="2:17">
      <c r="B56" s="3860"/>
      <c r="C56" s="3860"/>
      <c r="D56" s="3860"/>
      <c r="E56" s="3860"/>
      <c r="F56" s="3860"/>
      <c r="G56" s="3860"/>
      <c r="H56" s="3860"/>
      <c r="I56" s="3860"/>
      <c r="J56" s="3860"/>
      <c r="K56" s="3860"/>
      <c r="L56" s="3860"/>
      <c r="M56" s="3860"/>
      <c r="N56" s="3860"/>
      <c r="O56" s="3860"/>
      <c r="P56" s="3860"/>
      <c r="Q56" s="3860"/>
    </row>
    <row r="57" s="724" customFormat="1" spans="2:17">
      <c r="B57" s="3860"/>
      <c r="C57" s="3860"/>
      <c r="D57" s="3860"/>
      <c r="E57" s="3860"/>
      <c r="F57" s="3860"/>
      <c r="G57" s="3860"/>
      <c r="H57" s="3860"/>
      <c r="I57" s="3860"/>
      <c r="J57" s="3860"/>
      <c r="K57" s="3860"/>
      <c r="L57" s="3860"/>
      <c r="M57" s="3860"/>
      <c r="N57" s="3860"/>
      <c r="O57" s="3860"/>
      <c r="P57" s="3860"/>
      <c r="Q57" s="3860"/>
    </row>
    <row r="58" s="724" customFormat="1" spans="2:17">
      <c r="B58" s="3860"/>
      <c r="C58" s="3860"/>
      <c r="D58" s="3860"/>
      <c r="E58" s="3860"/>
      <c r="F58" s="3860"/>
      <c r="G58" s="3860"/>
      <c r="H58" s="3860"/>
      <c r="I58" s="3860"/>
      <c r="J58" s="3860"/>
      <c r="K58" s="3860"/>
      <c r="L58" s="3860"/>
      <c r="M58" s="3860"/>
      <c r="N58" s="3860"/>
      <c r="O58" s="3860"/>
      <c r="P58" s="3860"/>
      <c r="Q58" s="3860"/>
    </row>
    <row r="59" s="724" customFormat="1" spans="2:17">
      <c r="B59" s="3860"/>
      <c r="C59" s="3860"/>
      <c r="D59" s="3860"/>
      <c r="E59" s="3860"/>
      <c r="F59" s="3860"/>
      <c r="G59" s="3860"/>
      <c r="H59" s="3860"/>
      <c r="I59" s="3860"/>
      <c r="J59" s="3860"/>
      <c r="K59" s="3860"/>
      <c r="L59" s="3860"/>
      <c r="M59" s="3860"/>
      <c r="N59" s="3860"/>
      <c r="O59" s="3860"/>
      <c r="P59" s="3860"/>
      <c r="Q59" s="3860"/>
    </row>
    <row r="60" s="724" customFormat="1" spans="2:17">
      <c r="B60" s="3860"/>
      <c r="C60" s="3860"/>
      <c r="D60" s="3860"/>
      <c r="E60" s="3860"/>
      <c r="F60" s="3860"/>
      <c r="G60" s="3860"/>
      <c r="H60" s="3860"/>
      <c r="I60" s="3860"/>
      <c r="J60" s="3860"/>
      <c r="K60" s="3860"/>
      <c r="L60" s="3860"/>
      <c r="M60" s="3860"/>
      <c r="N60" s="3860"/>
      <c r="O60" s="3860"/>
      <c r="P60" s="3860"/>
      <c r="Q60" s="3860"/>
    </row>
    <row r="61" s="724" customFormat="1" spans="2:17">
      <c r="B61" s="3860"/>
      <c r="C61" s="3860"/>
      <c r="D61" s="3860"/>
      <c r="E61" s="3860"/>
      <c r="F61" s="3860"/>
      <c r="G61" s="3860"/>
      <c r="H61" s="3860"/>
      <c r="I61" s="3860"/>
      <c r="J61" s="3860"/>
      <c r="K61" s="3860"/>
      <c r="L61" s="3860"/>
      <c r="M61" s="3860"/>
      <c r="N61" s="3860"/>
      <c r="O61" s="3860"/>
      <c r="P61" s="3860"/>
      <c r="Q61" s="3860"/>
    </row>
    <row r="62" s="724" customFormat="1" spans="2:17">
      <c r="B62" s="3860"/>
      <c r="C62" s="3860"/>
      <c r="D62" s="3860"/>
      <c r="E62" s="3860"/>
      <c r="F62" s="3860"/>
      <c r="G62" s="3860"/>
      <c r="H62" s="3860"/>
      <c r="I62" s="3860"/>
      <c r="J62" s="3860"/>
      <c r="K62" s="3860"/>
      <c r="L62" s="3860"/>
      <c r="M62" s="3860"/>
      <c r="N62" s="3860"/>
      <c r="O62" s="3860"/>
      <c r="P62" s="3860"/>
      <c r="Q62" s="3860"/>
    </row>
    <row r="63" s="724" customFormat="1" spans="2:17">
      <c r="B63" s="3860"/>
      <c r="C63" s="3860"/>
      <c r="D63" s="3860"/>
      <c r="E63" s="3860"/>
      <c r="F63" s="3860"/>
      <c r="G63" s="3860"/>
      <c r="H63" s="3860"/>
      <c r="I63" s="3860"/>
      <c r="J63" s="3860"/>
      <c r="K63" s="3860"/>
      <c r="L63" s="3860"/>
      <c r="M63" s="3860"/>
      <c r="N63" s="3860"/>
      <c r="O63" s="3860"/>
      <c r="P63" s="3860"/>
      <c r="Q63" s="3860"/>
    </row>
    <row r="64" s="724" customFormat="1" spans="2:17">
      <c r="B64" s="3860"/>
      <c r="C64" s="3860"/>
      <c r="D64" s="3860"/>
      <c r="E64" s="3860"/>
      <c r="F64" s="3860"/>
      <c r="G64" s="3860"/>
      <c r="H64" s="3860"/>
      <c r="I64" s="3860"/>
      <c r="J64" s="3860"/>
      <c r="K64" s="3860"/>
      <c r="L64" s="3860"/>
      <c r="M64" s="3860"/>
      <c r="N64" s="3860"/>
      <c r="O64" s="3860"/>
      <c r="P64" s="3860"/>
      <c r="Q64" s="3860"/>
    </row>
    <row r="65" s="724" customFormat="1" spans="2:17">
      <c r="B65" s="3860"/>
      <c r="C65" s="3860"/>
      <c r="D65" s="3860"/>
      <c r="E65" s="3860"/>
      <c r="F65" s="3860"/>
      <c r="G65" s="3860"/>
      <c r="H65" s="3860"/>
      <c r="I65" s="3860"/>
      <c r="J65" s="3860"/>
      <c r="K65" s="3860"/>
      <c r="L65" s="3860"/>
      <c r="M65" s="3860"/>
      <c r="N65" s="3860"/>
      <c r="O65" s="3860"/>
      <c r="P65" s="3860"/>
      <c r="Q65" s="3860"/>
    </row>
    <row r="66" s="724" customFormat="1" spans="2:17">
      <c r="B66" s="3860"/>
      <c r="C66" s="3860"/>
      <c r="D66" s="3860"/>
      <c r="E66" s="3860"/>
      <c r="F66" s="3860"/>
      <c r="G66" s="3860"/>
      <c r="H66" s="3860"/>
      <c r="I66" s="3860"/>
      <c r="J66" s="3860"/>
      <c r="K66" s="3860"/>
      <c r="L66" s="3860"/>
      <c r="M66" s="3860"/>
      <c r="N66" s="3860"/>
      <c r="O66" s="3860"/>
      <c r="P66" s="3860"/>
      <c r="Q66" s="3860"/>
    </row>
    <row r="67" s="724" customFormat="1" spans="2:17">
      <c r="B67" s="3860"/>
      <c r="C67" s="3860"/>
      <c r="D67" s="3860"/>
      <c r="E67" s="3860"/>
      <c r="F67" s="3860"/>
      <c r="G67" s="3860"/>
      <c r="H67" s="3860"/>
      <c r="I67" s="3860"/>
      <c r="J67" s="3860"/>
      <c r="K67" s="3860"/>
      <c r="L67" s="3860"/>
      <c r="M67" s="3860"/>
      <c r="N67" s="3860"/>
      <c r="O67" s="3860"/>
      <c r="P67" s="3860"/>
      <c r="Q67" s="3860"/>
    </row>
    <row r="68" s="724" customFormat="1" spans="2:17">
      <c r="B68" s="3860"/>
      <c r="C68" s="3860"/>
      <c r="D68" s="3860"/>
      <c r="E68" s="3860"/>
      <c r="F68" s="3860"/>
      <c r="G68" s="3860"/>
      <c r="H68" s="3860"/>
      <c r="I68" s="3860"/>
      <c r="J68" s="3860"/>
      <c r="K68" s="3860"/>
      <c r="L68" s="3860"/>
      <c r="M68" s="3860"/>
      <c r="N68" s="3860"/>
      <c r="O68" s="3860"/>
      <c r="P68" s="3860"/>
      <c r="Q68" s="3860"/>
    </row>
    <row r="69" s="724" customFormat="1" spans="2:17">
      <c r="B69" s="3860"/>
      <c r="C69" s="3860"/>
      <c r="D69" s="3860"/>
      <c r="E69" s="3860"/>
      <c r="F69" s="3860"/>
      <c r="G69" s="3860"/>
      <c r="H69" s="3860"/>
      <c r="I69" s="3860"/>
      <c r="J69" s="3860"/>
      <c r="K69" s="3860"/>
      <c r="L69" s="3860"/>
      <c r="M69" s="3860"/>
      <c r="N69" s="3860"/>
      <c r="O69" s="3860"/>
      <c r="P69" s="3860"/>
      <c r="Q69" s="3860"/>
    </row>
    <row r="70" s="724" customFormat="1" spans="2:17">
      <c r="B70" s="3860"/>
      <c r="C70" s="3860"/>
      <c r="D70" s="3860"/>
      <c r="E70" s="3860"/>
      <c r="F70" s="3860"/>
      <c r="G70" s="3860"/>
      <c r="H70" s="3860"/>
      <c r="I70" s="3860"/>
      <c r="J70" s="3860"/>
      <c r="K70" s="3860"/>
      <c r="L70" s="3860"/>
      <c r="M70" s="3860"/>
      <c r="N70" s="3860"/>
      <c r="O70" s="3860"/>
      <c r="P70" s="3860"/>
      <c r="Q70" s="3860"/>
    </row>
    <row r="71" s="724" customFormat="1" spans="2:17">
      <c r="B71" s="3860"/>
      <c r="C71" s="3860"/>
      <c r="D71" s="3860"/>
      <c r="E71" s="3860"/>
      <c r="F71" s="3860"/>
      <c r="G71" s="3860"/>
      <c r="H71" s="3860"/>
      <c r="I71" s="3860"/>
      <c r="J71" s="3860"/>
      <c r="K71" s="3860"/>
      <c r="L71" s="3860"/>
      <c r="M71" s="3860"/>
      <c r="N71" s="3860"/>
      <c r="O71" s="3860"/>
      <c r="P71" s="3860"/>
      <c r="Q71" s="3860"/>
    </row>
    <row r="72" s="724" customFormat="1" spans="2:17">
      <c r="B72" s="3860"/>
      <c r="C72" s="3860"/>
      <c r="D72" s="3860"/>
      <c r="E72" s="3860"/>
      <c r="F72" s="3860"/>
      <c r="G72" s="3860"/>
      <c r="H72" s="3860"/>
      <c r="I72" s="3860"/>
      <c r="J72" s="3860"/>
      <c r="K72" s="3860"/>
      <c r="L72" s="3860"/>
      <c r="M72" s="3860"/>
      <c r="N72" s="3860"/>
      <c r="O72" s="3860"/>
      <c r="P72" s="3860"/>
      <c r="Q72" s="3860"/>
    </row>
    <row r="73" s="724" customFormat="1" spans="2:17">
      <c r="B73" s="3860"/>
      <c r="C73" s="3860"/>
      <c r="D73" s="3860"/>
      <c r="E73" s="3860"/>
      <c r="F73" s="3860"/>
      <c r="G73" s="3860"/>
      <c r="H73" s="3860"/>
      <c r="I73" s="3860"/>
      <c r="J73" s="3860"/>
      <c r="K73" s="3860"/>
      <c r="L73" s="3860"/>
      <c r="M73" s="3860"/>
      <c r="N73" s="3860"/>
      <c r="O73" s="3860"/>
      <c r="P73" s="3860"/>
      <c r="Q73" s="3860"/>
    </row>
    <row r="74" s="724" customFormat="1" spans="2:17">
      <c r="B74" s="3860"/>
      <c r="C74" s="3860"/>
      <c r="D74" s="3860"/>
      <c r="E74" s="3860"/>
      <c r="F74" s="3860"/>
      <c r="G74" s="3860"/>
      <c r="H74" s="3860"/>
      <c r="I74" s="3860"/>
      <c r="J74" s="3860"/>
      <c r="K74" s="3860"/>
      <c r="L74" s="3860"/>
      <c r="M74" s="3860"/>
      <c r="N74" s="3860"/>
      <c r="O74" s="3860"/>
      <c r="P74" s="3860"/>
      <c r="Q74" s="3860"/>
    </row>
    <row r="75" s="724" customFormat="1" spans="2:17">
      <c r="B75" s="3860"/>
      <c r="C75" s="3860"/>
      <c r="D75" s="3860"/>
      <c r="E75" s="3860"/>
      <c r="F75" s="3860"/>
      <c r="G75" s="3860"/>
      <c r="H75" s="3860"/>
      <c r="I75" s="3860"/>
      <c r="J75" s="3860"/>
      <c r="K75" s="3860"/>
      <c r="L75" s="3860"/>
      <c r="M75" s="3860"/>
      <c r="N75" s="3860"/>
      <c r="O75" s="3860"/>
      <c r="P75" s="3860"/>
      <c r="Q75" s="3860"/>
    </row>
    <row r="76" s="724" customFormat="1" spans="2:17">
      <c r="B76" s="3860"/>
      <c r="C76" s="3860"/>
      <c r="D76" s="3860"/>
      <c r="E76" s="3860"/>
      <c r="F76" s="3860"/>
      <c r="G76" s="3860"/>
      <c r="H76" s="3860"/>
      <c r="I76" s="3860"/>
      <c r="J76" s="3860"/>
      <c r="K76" s="3860"/>
      <c r="L76" s="3860"/>
      <c r="M76" s="3860"/>
      <c r="N76" s="3860"/>
      <c r="O76" s="3860"/>
      <c r="P76" s="3860"/>
      <c r="Q76" s="3860"/>
    </row>
    <row r="77" s="724" customFormat="1" spans="2:17">
      <c r="B77" s="3860"/>
      <c r="C77" s="3860"/>
      <c r="D77" s="3860"/>
      <c r="E77" s="3860"/>
      <c r="F77" s="3860"/>
      <c r="G77" s="3860"/>
      <c r="H77" s="3860"/>
      <c r="I77" s="3860"/>
      <c r="J77" s="3860"/>
      <c r="K77" s="3860"/>
      <c r="L77" s="3860"/>
      <c r="M77" s="3860"/>
      <c r="N77" s="3860"/>
      <c r="O77" s="3860"/>
      <c r="P77" s="3860"/>
      <c r="Q77" s="3860"/>
    </row>
    <row r="78" s="724" customFormat="1" spans="2:17">
      <c r="B78" s="3860"/>
      <c r="C78" s="3860"/>
      <c r="D78" s="3860"/>
      <c r="E78" s="3860"/>
      <c r="F78" s="3860"/>
      <c r="G78" s="3860"/>
      <c r="H78" s="3860"/>
      <c r="I78" s="3860"/>
      <c r="J78" s="3860"/>
      <c r="K78" s="3860"/>
      <c r="L78" s="3860"/>
      <c r="M78" s="3860"/>
      <c r="N78" s="3860"/>
      <c r="O78" s="3860"/>
      <c r="P78" s="3860"/>
      <c r="Q78" s="3860"/>
    </row>
    <row r="79" s="724" customFormat="1" spans="2:17">
      <c r="B79" s="3860"/>
      <c r="C79" s="3860"/>
      <c r="D79" s="3860"/>
      <c r="E79" s="3860"/>
      <c r="F79" s="3860"/>
      <c r="G79" s="3860"/>
      <c r="H79" s="3860"/>
      <c r="I79" s="3860"/>
      <c r="J79" s="3860"/>
      <c r="K79" s="3860"/>
      <c r="L79" s="3860"/>
      <c r="M79" s="3860"/>
      <c r="N79" s="3860"/>
      <c r="O79" s="3860"/>
      <c r="P79" s="3860"/>
      <c r="Q79" s="3860"/>
    </row>
    <row r="80" s="724" customFormat="1" spans="2:17">
      <c r="B80" s="3860"/>
      <c r="C80" s="3860"/>
      <c r="D80" s="3860"/>
      <c r="E80" s="3860"/>
      <c r="F80" s="3860"/>
      <c r="G80" s="3860"/>
      <c r="H80" s="3860"/>
      <c r="I80" s="3860"/>
      <c r="J80" s="3860"/>
      <c r="K80" s="3860"/>
      <c r="L80" s="3860"/>
      <c r="M80" s="3860"/>
      <c r="N80" s="3860"/>
      <c r="O80" s="3860"/>
      <c r="P80" s="3860"/>
      <c r="Q80" s="3860"/>
    </row>
    <row r="81" s="724" customFormat="1" spans="2:17">
      <c r="B81" s="3860"/>
      <c r="C81" s="3860"/>
      <c r="D81" s="3860"/>
      <c r="E81" s="3860"/>
      <c r="F81" s="3860"/>
      <c r="G81" s="3860"/>
      <c r="H81" s="3860"/>
      <c r="I81" s="3860"/>
      <c r="J81" s="3860"/>
      <c r="K81" s="3860"/>
      <c r="L81" s="3860"/>
      <c r="M81" s="3860"/>
      <c r="N81" s="3860"/>
      <c r="O81" s="3860"/>
      <c r="P81" s="3860"/>
      <c r="Q81" s="3860"/>
    </row>
    <row r="82" s="724" customFormat="1" spans="2:17">
      <c r="B82" s="3860"/>
      <c r="C82" s="3860"/>
      <c r="D82" s="3860"/>
      <c r="E82" s="3860"/>
      <c r="F82" s="3860"/>
      <c r="G82" s="3860"/>
      <c r="H82" s="3860"/>
      <c r="I82" s="3860"/>
      <c r="J82" s="3860"/>
      <c r="K82" s="3860"/>
      <c r="L82" s="3860"/>
      <c r="M82" s="3860"/>
      <c r="N82" s="3860"/>
      <c r="O82" s="3860"/>
      <c r="P82" s="3860"/>
      <c r="Q82" s="3860"/>
    </row>
    <row r="83" s="724" customFormat="1" spans="2:17">
      <c r="B83" s="3860"/>
      <c r="C83" s="3860"/>
      <c r="D83" s="3860"/>
      <c r="E83" s="3860"/>
      <c r="F83" s="3860"/>
      <c r="G83" s="3860"/>
      <c r="H83" s="3860"/>
      <c r="I83" s="3860"/>
      <c r="J83" s="3860"/>
      <c r="K83" s="3860"/>
      <c r="L83" s="3860"/>
      <c r="M83" s="3860"/>
      <c r="N83" s="3860"/>
      <c r="O83" s="3860"/>
      <c r="P83" s="3860"/>
      <c r="Q83" s="3860"/>
    </row>
    <row r="84" s="724" customFormat="1" spans="2:17">
      <c r="B84" s="3860"/>
      <c r="C84" s="3860"/>
      <c r="D84" s="3860"/>
      <c r="E84" s="3860"/>
      <c r="F84" s="3860"/>
      <c r="G84" s="3860"/>
      <c r="H84" s="3860"/>
      <c r="I84" s="3860"/>
      <c r="J84" s="3860"/>
      <c r="K84" s="3860"/>
      <c r="L84" s="3860"/>
      <c r="M84" s="3860"/>
      <c r="N84" s="3860"/>
      <c r="O84" s="3860"/>
      <c r="P84" s="3860"/>
      <c r="Q84" s="3860"/>
    </row>
    <row r="85" s="724" customFormat="1" spans="2:17">
      <c r="B85" s="3860"/>
      <c r="C85" s="3860"/>
      <c r="D85" s="3860"/>
      <c r="E85" s="3860"/>
      <c r="F85" s="3860"/>
      <c r="G85" s="3860"/>
      <c r="H85" s="3860"/>
      <c r="I85" s="3860"/>
      <c r="J85" s="3860"/>
      <c r="K85" s="3860"/>
      <c r="L85" s="3860"/>
      <c r="M85" s="3860"/>
      <c r="N85" s="3860"/>
      <c r="O85" s="3860"/>
      <c r="P85" s="3860"/>
      <c r="Q85" s="3860"/>
    </row>
    <row r="86" s="724" customFormat="1" spans="2:17">
      <c r="B86" s="3860"/>
      <c r="C86" s="3860"/>
      <c r="D86" s="3860"/>
      <c r="E86" s="3860"/>
      <c r="F86" s="3860"/>
      <c r="G86" s="3860"/>
      <c r="H86" s="3860"/>
      <c r="I86" s="3860"/>
      <c r="J86" s="3860"/>
      <c r="K86" s="3860"/>
      <c r="L86" s="3860"/>
      <c r="M86" s="3860"/>
      <c r="N86" s="3860"/>
      <c r="O86" s="3860"/>
      <c r="P86" s="3860"/>
      <c r="Q86" s="3860"/>
    </row>
    <row r="87" s="724" customFormat="1" spans="2:17">
      <c r="B87" s="3860"/>
      <c r="C87" s="3860"/>
      <c r="D87" s="3860"/>
      <c r="E87" s="3860"/>
      <c r="F87" s="3860"/>
      <c r="G87" s="3860"/>
      <c r="H87" s="3860"/>
      <c r="I87" s="3860"/>
      <c r="J87" s="3860"/>
      <c r="K87" s="3860"/>
      <c r="L87" s="3860"/>
      <c r="M87" s="3860"/>
      <c r="N87" s="3860"/>
      <c r="O87" s="3860"/>
      <c r="P87" s="3860"/>
      <c r="Q87" s="3860"/>
    </row>
    <row r="88" s="724" customFormat="1" spans="2:17">
      <c r="B88" s="3860"/>
      <c r="C88" s="3860"/>
      <c r="D88" s="3860"/>
      <c r="E88" s="3860"/>
      <c r="F88" s="3860"/>
      <c r="G88" s="3860"/>
      <c r="H88" s="3860"/>
      <c r="I88" s="3860"/>
      <c r="J88" s="3860"/>
      <c r="K88" s="3860"/>
      <c r="L88" s="3860"/>
      <c r="M88" s="3860"/>
      <c r="N88" s="3860"/>
      <c r="O88" s="3860"/>
      <c r="P88" s="3860"/>
      <c r="Q88" s="3860"/>
    </row>
    <row r="89" s="724" customFormat="1" spans="2:17">
      <c r="B89" s="3860"/>
      <c r="C89" s="3860"/>
      <c r="D89" s="3860"/>
      <c r="E89" s="3860"/>
      <c r="F89" s="3860"/>
      <c r="G89" s="3860"/>
      <c r="H89" s="3860"/>
      <c r="I89" s="3860"/>
      <c r="J89" s="3860"/>
      <c r="K89" s="3860"/>
      <c r="L89" s="3860"/>
      <c r="M89" s="3860"/>
      <c r="N89" s="3860"/>
      <c r="O89" s="3860"/>
      <c r="P89" s="3860"/>
      <c r="Q89" s="3860"/>
    </row>
    <row r="90" s="724" customFormat="1" spans="2:17">
      <c r="B90" s="3860"/>
      <c r="C90" s="3860"/>
      <c r="D90" s="3860"/>
      <c r="E90" s="3860"/>
      <c r="F90" s="3860"/>
      <c r="G90" s="3860"/>
      <c r="H90" s="3860"/>
      <c r="I90" s="3860"/>
      <c r="J90" s="3860"/>
      <c r="K90" s="3860"/>
      <c r="L90" s="3860"/>
      <c r="M90" s="3860"/>
      <c r="N90" s="3860"/>
      <c r="O90" s="3860"/>
      <c r="P90" s="3860"/>
      <c r="Q90" s="3860"/>
    </row>
    <row r="91" s="724" customFormat="1" spans="2:17">
      <c r="B91" s="3860"/>
      <c r="C91" s="3860"/>
      <c r="D91" s="3860"/>
      <c r="E91" s="3860"/>
      <c r="F91" s="3860"/>
      <c r="G91" s="3860"/>
      <c r="H91" s="3860"/>
      <c r="I91" s="3860"/>
      <c r="J91" s="3860"/>
      <c r="K91" s="3860"/>
      <c r="L91" s="3860"/>
      <c r="M91" s="3860"/>
      <c r="N91" s="3860"/>
      <c r="O91" s="3860"/>
      <c r="P91" s="3860"/>
      <c r="Q91" s="3860"/>
    </row>
    <row r="92" s="724" customFormat="1" spans="2:17">
      <c r="B92" s="3860"/>
      <c r="C92" s="3860"/>
      <c r="D92" s="3860"/>
      <c r="E92" s="3860"/>
      <c r="F92" s="3860"/>
      <c r="G92" s="3860"/>
      <c r="H92" s="3860"/>
      <c r="I92" s="3860"/>
      <c r="J92" s="3860"/>
      <c r="K92" s="3860"/>
      <c r="L92" s="3860"/>
      <c r="M92" s="3860"/>
      <c r="N92" s="3860"/>
      <c r="O92" s="3860"/>
      <c r="P92" s="3860"/>
      <c r="Q92" s="3860"/>
    </row>
    <row r="93" s="724" customFormat="1" spans="2:17">
      <c r="B93" s="3860"/>
      <c r="C93" s="3860"/>
      <c r="D93" s="3860"/>
      <c r="E93" s="3860"/>
      <c r="F93" s="3860"/>
      <c r="G93" s="3860"/>
      <c r="H93" s="3860"/>
      <c r="I93" s="3860"/>
      <c r="J93" s="3860"/>
      <c r="K93" s="3860"/>
      <c r="L93" s="3860"/>
      <c r="M93" s="3860"/>
      <c r="N93" s="3860"/>
      <c r="O93" s="3860"/>
      <c r="P93" s="3860"/>
      <c r="Q93" s="3860"/>
    </row>
    <row r="94" s="724" customFormat="1" spans="2:17">
      <c r="B94" s="3860"/>
      <c r="C94" s="3860"/>
      <c r="D94" s="3860"/>
      <c r="E94" s="3860"/>
      <c r="F94" s="3860"/>
      <c r="G94" s="3860"/>
      <c r="H94" s="3860"/>
      <c r="I94" s="3860"/>
      <c r="J94" s="3860"/>
      <c r="K94" s="3860"/>
      <c r="L94" s="3860"/>
      <c r="M94" s="3860"/>
      <c r="N94" s="3860"/>
      <c r="O94" s="3860"/>
      <c r="P94" s="3860"/>
      <c r="Q94" s="3860"/>
    </row>
    <row r="95" s="724" customFormat="1" spans="2:17">
      <c r="B95" s="3860"/>
      <c r="C95" s="3860"/>
      <c r="D95" s="3860"/>
      <c r="E95" s="3860"/>
      <c r="F95" s="3860"/>
      <c r="G95" s="3860"/>
      <c r="H95" s="3860"/>
      <c r="I95" s="3860"/>
      <c r="J95" s="3860"/>
      <c r="K95" s="3860"/>
      <c r="L95" s="3860"/>
      <c r="M95" s="3860"/>
      <c r="N95" s="3860"/>
      <c r="O95" s="3860"/>
      <c r="P95" s="3860"/>
      <c r="Q95" s="3860"/>
    </row>
    <row r="96" s="724" customFormat="1" spans="2:17">
      <c r="B96" s="3860"/>
      <c r="C96" s="3860"/>
      <c r="D96" s="3860"/>
      <c r="E96" s="3860"/>
      <c r="F96" s="3860"/>
      <c r="G96" s="3860"/>
      <c r="H96" s="3860"/>
      <c r="I96" s="3860"/>
      <c r="J96" s="3860"/>
      <c r="K96" s="3860"/>
      <c r="L96" s="3860"/>
      <c r="M96" s="3860"/>
      <c r="N96" s="3860"/>
      <c r="O96" s="3860"/>
      <c r="P96" s="3860"/>
      <c r="Q96" s="3860"/>
    </row>
    <row r="97" s="724" customFormat="1" spans="2:17">
      <c r="B97" s="3860"/>
      <c r="C97" s="3860"/>
      <c r="D97" s="3860"/>
      <c r="E97" s="3860"/>
      <c r="F97" s="3860"/>
      <c r="G97" s="3860"/>
      <c r="H97" s="3860"/>
      <c r="I97" s="3860"/>
      <c r="J97" s="3860"/>
      <c r="K97" s="3860"/>
      <c r="L97" s="3860"/>
      <c r="M97" s="3860"/>
      <c r="N97" s="3860"/>
      <c r="O97" s="3860"/>
      <c r="P97" s="3860"/>
      <c r="Q97" s="3860"/>
    </row>
    <row r="98" s="724" customFormat="1" spans="2:17">
      <c r="B98" s="3860"/>
      <c r="C98" s="3860"/>
      <c r="D98" s="3860"/>
      <c r="E98" s="3860"/>
      <c r="F98" s="3860"/>
      <c r="G98" s="3860"/>
      <c r="H98" s="3860"/>
      <c r="I98" s="3860"/>
      <c r="J98" s="3860"/>
      <c r="K98" s="3860"/>
      <c r="L98" s="3860"/>
      <c r="M98" s="3860"/>
      <c r="N98" s="3860"/>
      <c r="O98" s="3860"/>
      <c r="P98" s="3860"/>
      <c r="Q98" s="3860"/>
    </row>
    <row r="99" s="724" customFormat="1" spans="2:17">
      <c r="B99" s="3860"/>
      <c r="C99" s="3860"/>
      <c r="D99" s="3860"/>
      <c r="E99" s="3860"/>
      <c r="F99" s="3860"/>
      <c r="G99" s="3860"/>
      <c r="H99" s="3860"/>
      <c r="I99" s="3860"/>
      <c r="J99" s="3860"/>
      <c r="K99" s="3860"/>
      <c r="L99" s="3860"/>
      <c r="M99" s="3860"/>
      <c r="N99" s="3860"/>
      <c r="O99" s="3860"/>
      <c r="P99" s="3860"/>
      <c r="Q99" s="3860"/>
    </row>
    <row r="100" s="724" customFormat="1" spans="2:17">
      <c r="B100" s="3860"/>
      <c r="C100" s="3860"/>
      <c r="D100" s="3860"/>
      <c r="E100" s="3860"/>
      <c r="F100" s="3860"/>
      <c r="G100" s="3860"/>
      <c r="H100" s="3860"/>
      <c r="I100" s="3860"/>
      <c r="J100" s="3860"/>
      <c r="K100" s="3860"/>
      <c r="L100" s="3860"/>
      <c r="M100" s="3860"/>
      <c r="N100" s="3860"/>
      <c r="O100" s="3860"/>
      <c r="P100" s="3860"/>
      <c r="Q100" s="3860"/>
    </row>
    <row r="101" s="724" customFormat="1" spans="2:17">
      <c r="B101" s="3860"/>
      <c r="C101" s="3860"/>
      <c r="D101" s="3860"/>
      <c r="E101" s="3860"/>
      <c r="F101" s="3860"/>
      <c r="G101" s="3860"/>
      <c r="H101" s="3860"/>
      <c r="I101" s="3860"/>
      <c r="J101" s="3860"/>
      <c r="K101" s="3860"/>
      <c r="L101" s="3860"/>
      <c r="M101" s="3860"/>
      <c r="N101" s="3860"/>
      <c r="O101" s="3860"/>
      <c r="P101" s="3860"/>
      <c r="Q101" s="3860"/>
    </row>
    <row r="102" s="724" customFormat="1" spans="2:17">
      <c r="B102" s="3860"/>
      <c r="C102" s="3860"/>
      <c r="D102" s="3860"/>
      <c r="E102" s="3860"/>
      <c r="F102" s="3860"/>
      <c r="G102" s="3860"/>
      <c r="H102" s="3860"/>
      <c r="I102" s="3860"/>
      <c r="J102" s="3860"/>
      <c r="K102" s="3860"/>
      <c r="L102" s="3860"/>
      <c r="M102" s="3860"/>
      <c r="N102" s="3860"/>
      <c r="O102" s="3860"/>
      <c r="P102" s="3860"/>
      <c r="Q102" s="3860"/>
    </row>
    <row r="103" s="724" customFormat="1" spans="2:17">
      <c r="B103" s="3860"/>
      <c r="C103" s="3860"/>
      <c r="D103" s="3860"/>
      <c r="E103" s="3860"/>
      <c r="F103" s="3860"/>
      <c r="G103" s="3860"/>
      <c r="H103" s="3860"/>
      <c r="I103" s="3860"/>
      <c r="J103" s="3860"/>
      <c r="K103" s="3860"/>
      <c r="L103" s="3860"/>
      <c r="M103" s="3860"/>
      <c r="N103" s="3860"/>
      <c r="O103" s="3860"/>
      <c r="P103" s="3860"/>
      <c r="Q103" s="3860"/>
    </row>
    <row r="104" s="724" customFormat="1" spans="2:17">
      <c r="B104" s="3860"/>
      <c r="C104" s="3860"/>
      <c r="D104" s="3860"/>
      <c r="E104" s="3860"/>
      <c r="F104" s="3860"/>
      <c r="G104" s="3860"/>
      <c r="H104" s="3860"/>
      <c r="I104" s="3860"/>
      <c r="J104" s="3860"/>
      <c r="K104" s="3860"/>
      <c r="L104" s="3860"/>
      <c r="M104" s="3860"/>
      <c r="N104" s="3860"/>
      <c r="O104" s="3860"/>
      <c r="P104" s="3860"/>
      <c r="Q104" s="3860"/>
    </row>
    <row r="105" s="724" customFormat="1" spans="2:17">
      <c r="B105" s="3860"/>
      <c r="C105" s="3860"/>
      <c r="D105" s="3860"/>
      <c r="E105" s="3860"/>
      <c r="F105" s="3860"/>
      <c r="G105" s="3860"/>
      <c r="H105" s="3860"/>
      <c r="I105" s="3860"/>
      <c r="J105" s="3860"/>
      <c r="K105" s="3860"/>
      <c r="L105" s="3860"/>
      <c r="M105" s="3860"/>
      <c r="N105" s="3860"/>
      <c r="O105" s="3860"/>
      <c r="P105" s="3860"/>
      <c r="Q105" s="3860"/>
    </row>
    <row r="106" s="724" customFormat="1" spans="2:17">
      <c r="B106" s="3860"/>
      <c r="C106" s="3860"/>
      <c r="D106" s="3860"/>
      <c r="E106" s="3860"/>
      <c r="F106" s="3860"/>
      <c r="G106" s="3860"/>
      <c r="H106" s="3860"/>
      <c r="I106" s="3860"/>
      <c r="J106" s="3860"/>
      <c r="K106" s="3860"/>
      <c r="L106" s="3860"/>
      <c r="M106" s="3860"/>
      <c r="N106" s="3860"/>
      <c r="O106" s="3860"/>
      <c r="P106" s="3860"/>
      <c r="Q106" s="3860"/>
    </row>
    <row r="107" s="724" customFormat="1" spans="2:17">
      <c r="B107" s="3860"/>
      <c r="C107" s="3860"/>
      <c r="D107" s="3860"/>
      <c r="E107" s="3860"/>
      <c r="F107" s="3860"/>
      <c r="G107" s="3860"/>
      <c r="H107" s="3860"/>
      <c r="I107" s="3860"/>
      <c r="J107" s="3860"/>
      <c r="K107" s="3860"/>
      <c r="L107" s="3860"/>
      <c r="M107" s="3860"/>
      <c r="N107" s="3860"/>
      <c r="O107" s="3860"/>
      <c r="P107" s="3860"/>
      <c r="Q107" s="3860"/>
    </row>
    <row r="108" s="724" customFormat="1" spans="2:17">
      <c r="B108" s="3860"/>
      <c r="C108" s="3860"/>
      <c r="D108" s="3860"/>
      <c r="E108" s="3860"/>
      <c r="F108" s="3860"/>
      <c r="G108" s="3860"/>
      <c r="H108" s="3860"/>
      <c r="I108" s="3860"/>
      <c r="J108" s="3860"/>
      <c r="K108" s="3860"/>
      <c r="L108" s="3860"/>
      <c r="M108" s="3860"/>
      <c r="N108" s="3860"/>
      <c r="O108" s="3860"/>
      <c r="P108" s="3860"/>
      <c r="Q108" s="3860"/>
    </row>
    <row r="109" s="724" customFormat="1" spans="2:17">
      <c r="B109" s="3860"/>
      <c r="C109" s="3860"/>
      <c r="D109" s="3860"/>
      <c r="E109" s="3860"/>
      <c r="F109" s="3860"/>
      <c r="G109" s="3860"/>
      <c r="H109" s="3860"/>
      <c r="I109" s="3860"/>
      <c r="J109" s="3860"/>
      <c r="K109" s="3860"/>
      <c r="L109" s="3860"/>
      <c r="M109" s="3860"/>
      <c r="N109" s="3860"/>
      <c r="O109" s="3860"/>
      <c r="P109" s="3860"/>
      <c r="Q109" s="3860"/>
    </row>
    <row r="110" s="724" customFormat="1" spans="2:17">
      <c r="B110" s="3860"/>
      <c r="C110" s="3860"/>
      <c r="D110" s="3860"/>
      <c r="E110" s="3860"/>
      <c r="F110" s="3860"/>
      <c r="G110" s="3860"/>
      <c r="H110" s="3860"/>
      <c r="I110" s="3860"/>
      <c r="J110" s="3860"/>
      <c r="K110" s="3860"/>
      <c r="L110" s="3860"/>
      <c r="M110" s="3860"/>
      <c r="N110" s="3860"/>
      <c r="O110" s="3860"/>
      <c r="P110" s="3860"/>
      <c r="Q110" s="3860"/>
    </row>
    <row r="111" s="724" customFormat="1" spans="2:17">
      <c r="B111" s="3860"/>
      <c r="C111" s="3860"/>
      <c r="D111" s="3860"/>
      <c r="E111" s="3860"/>
      <c r="F111" s="3860"/>
      <c r="G111" s="3860"/>
      <c r="H111" s="3860"/>
      <c r="I111" s="3860"/>
      <c r="J111" s="3860"/>
      <c r="K111" s="3860"/>
      <c r="L111" s="3860"/>
      <c r="M111" s="3860"/>
      <c r="N111" s="3860"/>
      <c r="O111" s="3860"/>
      <c r="P111" s="3860"/>
      <c r="Q111" s="3860"/>
    </row>
    <row r="112" s="724" customFormat="1" spans="2:17">
      <c r="B112" s="3860"/>
      <c r="C112" s="3860"/>
      <c r="D112" s="3860"/>
      <c r="E112" s="3860"/>
      <c r="F112" s="3860"/>
      <c r="G112" s="3860"/>
      <c r="H112" s="3860"/>
      <c r="I112" s="3860"/>
      <c r="J112" s="3860"/>
      <c r="K112" s="3860"/>
      <c r="L112" s="3860"/>
      <c r="M112" s="3860"/>
      <c r="N112" s="3860"/>
      <c r="O112" s="3860"/>
      <c r="P112" s="3860"/>
      <c r="Q112" s="3860"/>
    </row>
    <row r="113" s="724" customFormat="1" spans="2:17">
      <c r="B113" s="3860"/>
      <c r="C113" s="3860"/>
      <c r="D113" s="3860"/>
      <c r="E113" s="3860"/>
      <c r="F113" s="3860"/>
      <c r="G113" s="3860"/>
      <c r="H113" s="3860"/>
      <c r="I113" s="3860"/>
      <c r="J113" s="3860"/>
      <c r="K113" s="3860"/>
      <c r="L113" s="3860"/>
      <c r="M113" s="3860"/>
      <c r="N113" s="3860"/>
      <c r="O113" s="3860"/>
      <c r="P113" s="3860"/>
      <c r="Q113" s="3860"/>
    </row>
    <row r="114" s="724" customFormat="1" spans="2:17">
      <c r="B114" s="3860"/>
      <c r="C114" s="3860"/>
      <c r="D114" s="3860"/>
      <c r="E114" s="3860"/>
      <c r="F114" s="3860"/>
      <c r="G114" s="3860"/>
      <c r="H114" s="3860"/>
      <c r="I114" s="3860"/>
      <c r="J114" s="3860"/>
      <c r="K114" s="3860"/>
      <c r="L114" s="3860"/>
      <c r="M114" s="3860"/>
      <c r="N114" s="3860"/>
      <c r="O114" s="3860"/>
      <c r="P114" s="3860"/>
      <c r="Q114" s="3860"/>
    </row>
    <row r="115" s="724" customFormat="1" spans="2:17">
      <c r="B115" s="3860"/>
      <c r="C115" s="3860"/>
      <c r="D115" s="3860"/>
      <c r="E115" s="3860"/>
      <c r="F115" s="3860"/>
      <c r="G115" s="3860"/>
      <c r="H115" s="3860"/>
      <c r="I115" s="3860"/>
      <c r="J115" s="3860"/>
      <c r="K115" s="3860"/>
      <c r="L115" s="3860"/>
      <c r="M115" s="3860"/>
      <c r="N115" s="3860"/>
      <c r="O115" s="3860"/>
      <c r="P115" s="3860"/>
      <c r="Q115" s="3860"/>
    </row>
    <row r="116" s="724" customFormat="1" spans="2:17">
      <c r="B116" s="3860"/>
      <c r="C116" s="3860"/>
      <c r="D116" s="3860"/>
      <c r="E116" s="3860"/>
      <c r="F116" s="3860"/>
      <c r="G116" s="3860"/>
      <c r="H116" s="3860"/>
      <c r="I116" s="3860"/>
      <c r="J116" s="3860"/>
      <c r="K116" s="3860"/>
      <c r="L116" s="3860"/>
      <c r="M116" s="3860"/>
      <c r="N116" s="3860"/>
      <c r="O116" s="3860"/>
      <c r="P116" s="3860"/>
      <c r="Q116" s="3860"/>
    </row>
    <row r="117" s="724" customFormat="1" spans="2:17">
      <c r="B117" s="3860"/>
      <c r="C117" s="3860"/>
      <c r="D117" s="3860"/>
      <c r="E117" s="3860"/>
      <c r="F117" s="3860"/>
      <c r="G117" s="3860"/>
      <c r="H117" s="3860"/>
      <c r="I117" s="3860"/>
      <c r="J117" s="3860"/>
      <c r="K117" s="3860"/>
      <c r="L117" s="3860"/>
      <c r="M117" s="3860"/>
      <c r="N117" s="3860"/>
      <c r="O117" s="3860"/>
      <c r="P117" s="3860"/>
      <c r="Q117" s="3860"/>
    </row>
    <row r="118" s="724" customFormat="1" spans="2:17">
      <c r="B118" s="3860"/>
      <c r="C118" s="3860"/>
      <c r="D118" s="3860"/>
      <c r="E118" s="3860"/>
      <c r="F118" s="3860"/>
      <c r="G118" s="3860"/>
      <c r="H118" s="3860"/>
      <c r="I118" s="3860"/>
      <c r="J118" s="3860"/>
      <c r="K118" s="3860"/>
      <c r="L118" s="3860"/>
      <c r="M118" s="3860"/>
      <c r="N118" s="3860"/>
      <c r="O118" s="3860"/>
      <c r="P118" s="3860"/>
      <c r="Q118" s="3860"/>
    </row>
    <row r="119" s="724" customFormat="1" spans="2:17">
      <c r="B119" s="3860"/>
      <c r="C119" s="3860"/>
      <c r="D119" s="3860"/>
      <c r="E119" s="3860"/>
      <c r="F119" s="3860"/>
      <c r="G119" s="3860"/>
      <c r="H119" s="3860"/>
      <c r="I119" s="3860"/>
      <c r="J119" s="3860"/>
      <c r="K119" s="3860"/>
      <c r="L119" s="3860"/>
      <c r="M119" s="3860"/>
      <c r="N119" s="3860"/>
      <c r="O119" s="3860"/>
      <c r="P119" s="3860"/>
      <c r="Q119" s="3860"/>
    </row>
    <row r="120" s="724" customFormat="1" spans="2:17">
      <c r="B120" s="3860"/>
      <c r="C120" s="3860"/>
      <c r="D120" s="3860"/>
      <c r="E120" s="3860"/>
      <c r="F120" s="3860"/>
      <c r="G120" s="3860"/>
      <c r="H120" s="3860"/>
      <c r="I120" s="3860"/>
      <c r="J120" s="3860"/>
      <c r="K120" s="3860"/>
      <c r="L120" s="3860"/>
      <c r="M120" s="3860"/>
      <c r="N120" s="3860"/>
      <c r="O120" s="3860"/>
      <c r="P120" s="3860"/>
      <c r="Q120" s="3860"/>
    </row>
    <row r="121" s="724" customFormat="1" spans="2:17">
      <c r="B121" s="3860"/>
      <c r="C121" s="3860"/>
      <c r="D121" s="3860"/>
      <c r="E121" s="3860"/>
      <c r="F121" s="3860"/>
      <c r="G121" s="3860"/>
      <c r="H121" s="3860"/>
      <c r="I121" s="3860"/>
      <c r="J121" s="3860"/>
      <c r="K121" s="3860"/>
      <c r="L121" s="3860"/>
      <c r="M121" s="3860"/>
      <c r="N121" s="3860"/>
      <c r="O121" s="3860"/>
      <c r="P121" s="3860"/>
      <c r="Q121" s="3860"/>
    </row>
    <row r="122" s="724" customFormat="1" spans="2:17">
      <c r="B122" s="3860"/>
      <c r="C122" s="3860"/>
      <c r="D122" s="3860"/>
      <c r="E122" s="3860"/>
      <c r="F122" s="3860"/>
      <c r="G122" s="3860"/>
      <c r="H122" s="3860"/>
      <c r="I122" s="3860"/>
      <c r="J122" s="3860"/>
      <c r="K122" s="3860"/>
      <c r="L122" s="3860"/>
      <c r="M122" s="3860"/>
      <c r="N122" s="3860"/>
      <c r="O122" s="3860"/>
      <c r="P122" s="3860"/>
      <c r="Q122" s="3860"/>
    </row>
    <row r="123" s="724" customFormat="1" spans="2:17">
      <c r="B123" s="3860"/>
      <c r="C123" s="3860"/>
      <c r="D123" s="3860"/>
      <c r="E123" s="3860"/>
      <c r="F123" s="3860"/>
      <c r="G123" s="3860"/>
      <c r="H123" s="3860"/>
      <c r="I123" s="3860"/>
      <c r="J123" s="3860"/>
      <c r="K123" s="3860"/>
      <c r="L123" s="3860"/>
      <c r="M123" s="3860"/>
      <c r="N123" s="3860"/>
      <c r="O123" s="3860"/>
      <c r="P123" s="3860"/>
      <c r="Q123" s="3860"/>
    </row>
    <row r="124" s="724" customFormat="1" spans="2:17">
      <c r="B124" s="3860"/>
      <c r="C124" s="3860"/>
      <c r="D124" s="3860"/>
      <c r="E124" s="3860"/>
      <c r="F124" s="3860"/>
      <c r="G124" s="3860"/>
      <c r="H124" s="3860"/>
      <c r="I124" s="3860"/>
      <c r="J124" s="3860"/>
      <c r="K124" s="3860"/>
      <c r="L124" s="3860"/>
      <c r="M124" s="3860"/>
      <c r="N124" s="3860"/>
      <c r="O124" s="3860"/>
      <c r="P124" s="3860"/>
      <c r="Q124" s="3860"/>
    </row>
    <row r="125" s="724" customFormat="1" spans="2:17">
      <c r="B125" s="3860"/>
      <c r="C125" s="3860"/>
      <c r="D125" s="3860"/>
      <c r="E125" s="3860"/>
      <c r="F125" s="3860"/>
      <c r="G125" s="3860"/>
      <c r="H125" s="3860"/>
      <c r="I125" s="3860"/>
      <c r="J125" s="3860"/>
      <c r="K125" s="3860"/>
      <c r="L125" s="3860"/>
      <c r="M125" s="3860"/>
      <c r="N125" s="3860"/>
      <c r="O125" s="3860"/>
      <c r="P125" s="3860"/>
      <c r="Q125" s="3860"/>
    </row>
    <row r="126" s="724" customFormat="1" spans="2:17">
      <c r="B126" s="3860"/>
      <c r="C126" s="3860"/>
      <c r="D126" s="3860"/>
      <c r="E126" s="3860"/>
      <c r="F126" s="3860"/>
      <c r="G126" s="3860"/>
      <c r="H126" s="3860"/>
      <c r="I126" s="3860"/>
      <c r="J126" s="3860"/>
      <c r="K126" s="3860"/>
      <c r="L126" s="3860"/>
      <c r="M126" s="3860"/>
      <c r="N126" s="3860"/>
      <c r="O126" s="3860"/>
      <c r="P126" s="3860"/>
      <c r="Q126" s="3860"/>
    </row>
    <row r="127" s="724" customFormat="1" spans="2:17">
      <c r="B127" s="3860"/>
      <c r="C127" s="3860"/>
      <c r="D127" s="3860"/>
      <c r="E127" s="3860"/>
      <c r="F127" s="3860"/>
      <c r="G127" s="3860"/>
      <c r="H127" s="3860"/>
      <c r="I127" s="3860"/>
      <c r="J127" s="3860"/>
      <c r="K127" s="3860"/>
      <c r="L127" s="3860"/>
      <c r="M127" s="3860"/>
      <c r="N127" s="3860"/>
      <c r="O127" s="3860"/>
      <c r="P127" s="3860"/>
      <c r="Q127" s="3860"/>
    </row>
    <row r="128" s="724" customFormat="1" spans="2:17">
      <c r="B128" s="3860"/>
      <c r="C128" s="3860"/>
      <c r="D128" s="3860"/>
      <c r="E128" s="3860"/>
      <c r="F128" s="3860"/>
      <c r="G128" s="3860"/>
      <c r="H128" s="3860"/>
      <c r="I128" s="3860"/>
      <c r="J128" s="3860"/>
      <c r="K128" s="3860"/>
      <c r="L128" s="3860"/>
      <c r="M128" s="3860"/>
      <c r="N128" s="3860"/>
      <c r="O128" s="3860"/>
      <c r="P128" s="3860"/>
      <c r="Q128" s="3860"/>
    </row>
    <row r="129" s="724" customFormat="1" spans="2:17">
      <c r="B129" s="3860"/>
      <c r="C129" s="3860"/>
      <c r="D129" s="3860"/>
      <c r="E129" s="3860"/>
      <c r="F129" s="3860"/>
      <c r="G129" s="3860"/>
      <c r="H129" s="3860"/>
      <c r="I129" s="3860"/>
      <c r="J129" s="3860"/>
      <c r="K129" s="3860"/>
      <c r="L129" s="3860"/>
      <c r="M129" s="3860"/>
      <c r="N129" s="3860"/>
      <c r="O129" s="3860"/>
      <c r="P129" s="3860"/>
      <c r="Q129" s="3860"/>
    </row>
    <row r="130" s="724" customFormat="1" spans="2:17">
      <c r="B130" s="3860"/>
      <c r="C130" s="3860"/>
      <c r="D130" s="3860"/>
      <c r="E130" s="3860"/>
      <c r="F130" s="3860"/>
      <c r="G130" s="3860"/>
      <c r="H130" s="3860"/>
      <c r="I130" s="3860"/>
      <c r="J130" s="3860"/>
      <c r="K130" s="3860"/>
      <c r="L130" s="3860"/>
      <c r="M130" s="3860"/>
      <c r="N130" s="3860"/>
      <c r="O130" s="3860"/>
      <c r="P130" s="3860"/>
      <c r="Q130" s="3860"/>
    </row>
    <row r="131" s="724" customFormat="1" spans="2:17">
      <c r="B131" s="3860"/>
      <c r="C131" s="3860"/>
      <c r="D131" s="3860"/>
      <c r="E131" s="3860"/>
      <c r="F131" s="3860"/>
      <c r="G131" s="3860"/>
      <c r="H131" s="3860"/>
      <c r="I131" s="3860"/>
      <c r="J131" s="3860"/>
      <c r="K131" s="3860"/>
      <c r="L131" s="3860"/>
      <c r="M131" s="3860"/>
      <c r="N131" s="3860"/>
      <c r="O131" s="3860"/>
      <c r="P131" s="3860"/>
      <c r="Q131" s="3860"/>
    </row>
    <row r="132" s="724" customFormat="1" spans="2:17">
      <c r="B132" s="3860"/>
      <c r="C132" s="3860"/>
      <c r="D132" s="3860"/>
      <c r="E132" s="3860"/>
      <c r="F132" s="3860"/>
      <c r="G132" s="3860"/>
      <c r="H132" s="3860"/>
      <c r="I132" s="3860"/>
      <c r="J132" s="3860"/>
      <c r="K132" s="3860"/>
      <c r="L132" s="3860"/>
      <c r="M132" s="3860"/>
      <c r="N132" s="3860"/>
      <c r="O132" s="3860"/>
      <c r="P132" s="3860"/>
      <c r="Q132" s="3860"/>
    </row>
    <row r="133" s="724" customFormat="1" spans="2:17">
      <c r="B133" s="3860"/>
      <c r="C133" s="3860"/>
      <c r="D133" s="3860"/>
      <c r="E133" s="3860"/>
      <c r="F133" s="3860"/>
      <c r="G133" s="3860"/>
      <c r="H133" s="3860"/>
      <c r="I133" s="3860"/>
      <c r="J133" s="3860"/>
      <c r="K133" s="3860"/>
      <c r="L133" s="3860"/>
      <c r="M133" s="3860"/>
      <c r="N133" s="3860"/>
      <c r="O133" s="3860"/>
      <c r="P133" s="3860"/>
      <c r="Q133" s="3860"/>
    </row>
    <row r="134" s="724" customFormat="1" spans="2:17">
      <c r="B134" s="3860"/>
      <c r="C134" s="3860"/>
      <c r="D134" s="3860"/>
      <c r="E134" s="3860"/>
      <c r="F134" s="3860"/>
      <c r="G134" s="3860"/>
      <c r="H134" s="3860"/>
      <c r="I134" s="3860"/>
      <c r="J134" s="3860"/>
      <c r="K134" s="3860"/>
      <c r="L134" s="3860"/>
      <c r="M134" s="3860"/>
      <c r="N134" s="3860"/>
      <c r="O134" s="3860"/>
      <c r="P134" s="3860"/>
      <c r="Q134" s="3860"/>
    </row>
    <row r="135" s="724" customFormat="1" spans="2:17">
      <c r="B135" s="3860"/>
      <c r="C135" s="3860"/>
      <c r="D135" s="3860"/>
      <c r="E135" s="3860"/>
      <c r="F135" s="3860"/>
      <c r="G135" s="3860"/>
      <c r="H135" s="3860"/>
      <c r="I135" s="3860"/>
      <c r="J135" s="3860"/>
      <c r="K135" s="3860"/>
      <c r="L135" s="3860"/>
      <c r="M135" s="3860"/>
      <c r="N135" s="3860"/>
      <c r="O135" s="3860"/>
      <c r="P135" s="3860"/>
      <c r="Q135" s="3860"/>
    </row>
    <row r="136" s="724" customFormat="1" spans="2:17">
      <c r="B136" s="3860"/>
      <c r="C136" s="3860"/>
      <c r="D136" s="3860"/>
      <c r="E136" s="3860"/>
      <c r="F136" s="3860"/>
      <c r="G136" s="3860"/>
      <c r="H136" s="3860"/>
      <c r="I136" s="3860"/>
      <c r="J136" s="3860"/>
      <c r="K136" s="3860"/>
      <c r="L136" s="3860"/>
      <c r="M136" s="3860"/>
      <c r="N136" s="3860"/>
      <c r="O136" s="3860"/>
      <c r="P136" s="3860"/>
      <c r="Q136" s="3860"/>
    </row>
    <row r="137" s="724" customFormat="1" spans="2:17">
      <c r="B137" s="3860"/>
      <c r="C137" s="3860"/>
      <c r="D137" s="3860"/>
      <c r="E137" s="3860"/>
      <c r="F137" s="3860"/>
      <c r="G137" s="3860"/>
      <c r="H137" s="3860"/>
      <c r="I137" s="3860"/>
      <c r="J137" s="3860"/>
      <c r="K137" s="3860"/>
      <c r="L137" s="3860"/>
      <c r="M137" s="3860"/>
      <c r="N137" s="3860"/>
      <c r="O137" s="3860"/>
      <c r="P137" s="3860"/>
      <c r="Q137" s="3860"/>
    </row>
    <row r="138" s="724" customFormat="1" spans="2:17">
      <c r="B138" s="3860"/>
      <c r="C138" s="3860"/>
      <c r="D138" s="3860"/>
      <c r="E138" s="3860"/>
      <c r="F138" s="3860"/>
      <c r="G138" s="3860"/>
      <c r="H138" s="3860"/>
      <c r="I138" s="3860"/>
      <c r="J138" s="3860"/>
      <c r="K138" s="3860"/>
      <c r="L138" s="3860"/>
      <c r="M138" s="3860"/>
      <c r="N138" s="3860"/>
      <c r="O138" s="3860"/>
      <c r="P138" s="3860"/>
      <c r="Q138" s="3860"/>
    </row>
    <row r="139" s="724" customFormat="1" spans="2:17">
      <c r="B139" s="3860"/>
      <c r="C139" s="3860"/>
      <c r="D139" s="3860"/>
      <c r="E139" s="3860"/>
      <c r="F139" s="3860"/>
      <c r="G139" s="3860"/>
      <c r="H139" s="3860"/>
      <c r="I139" s="3860"/>
      <c r="J139" s="3860"/>
      <c r="K139" s="3860"/>
      <c r="L139" s="3860"/>
      <c r="M139" s="3860"/>
      <c r="N139" s="3860"/>
      <c r="O139" s="3860"/>
      <c r="P139" s="3860"/>
      <c r="Q139" s="3860"/>
    </row>
    <row r="140" s="724" customFormat="1" spans="2:17">
      <c r="B140" s="3860"/>
      <c r="C140" s="3860"/>
      <c r="D140" s="3860"/>
      <c r="E140" s="3860"/>
      <c r="F140" s="3860"/>
      <c r="G140" s="3860"/>
      <c r="H140" s="3860"/>
      <c r="I140" s="3860"/>
      <c r="J140" s="3860"/>
      <c r="K140" s="3860"/>
      <c r="L140" s="3860"/>
      <c r="M140" s="3860"/>
      <c r="N140" s="3860"/>
      <c r="O140" s="3860"/>
      <c r="P140" s="3860"/>
      <c r="Q140" s="3860"/>
    </row>
    <row r="141" s="724" customFormat="1" spans="2:17">
      <c r="B141" s="3860"/>
      <c r="C141" s="3860"/>
      <c r="D141" s="3860"/>
      <c r="E141" s="3860"/>
      <c r="F141" s="3860"/>
      <c r="G141" s="3860"/>
      <c r="H141" s="3860"/>
      <c r="I141" s="3860"/>
      <c r="J141" s="3860"/>
      <c r="K141" s="3860"/>
      <c r="L141" s="3860"/>
      <c r="M141" s="3860"/>
      <c r="N141" s="3860"/>
      <c r="O141" s="3860"/>
      <c r="P141" s="3860"/>
      <c r="Q141" s="3860"/>
    </row>
    <row r="142" s="724" customFormat="1" spans="2:17">
      <c r="B142" s="3860"/>
      <c r="C142" s="3860"/>
      <c r="D142" s="3860"/>
      <c r="E142" s="3860"/>
      <c r="F142" s="3860"/>
      <c r="G142" s="3860"/>
      <c r="H142" s="3860"/>
      <c r="I142" s="3860"/>
      <c r="J142" s="3860"/>
      <c r="K142" s="3860"/>
      <c r="L142" s="3860"/>
      <c r="M142" s="3860"/>
      <c r="N142" s="3860"/>
      <c r="O142" s="3860"/>
      <c r="P142" s="3860"/>
      <c r="Q142" s="3860"/>
    </row>
    <row r="143" s="724" customFormat="1" spans="2:17">
      <c r="B143" s="3860"/>
      <c r="C143" s="3860"/>
      <c r="D143" s="3860"/>
      <c r="E143" s="3860"/>
      <c r="F143" s="3860"/>
      <c r="G143" s="3860"/>
      <c r="H143" s="3860"/>
      <c r="I143" s="3860"/>
      <c r="J143" s="3860"/>
      <c r="K143" s="3860"/>
      <c r="L143" s="3860"/>
      <c r="M143" s="3860"/>
      <c r="N143" s="3860"/>
      <c r="O143" s="3860"/>
      <c r="P143" s="3860"/>
      <c r="Q143" s="3860"/>
    </row>
    <row r="144" s="724" customFormat="1" spans="2:17">
      <c r="B144" s="3860"/>
      <c r="C144" s="3860"/>
      <c r="D144" s="3860"/>
      <c r="E144" s="3860"/>
      <c r="F144" s="3860"/>
      <c r="G144" s="3860"/>
      <c r="H144" s="3860"/>
      <c r="I144" s="3860"/>
      <c r="J144" s="3860"/>
      <c r="K144" s="3860"/>
      <c r="L144" s="3860"/>
      <c r="M144" s="3860"/>
      <c r="N144" s="3860"/>
      <c r="O144" s="3860"/>
      <c r="P144" s="3860"/>
      <c r="Q144" s="3860"/>
    </row>
    <row r="145" s="724" customFormat="1" spans="2:17">
      <c r="B145" s="3860"/>
      <c r="C145" s="3860"/>
      <c r="D145" s="3860"/>
      <c r="E145" s="3860"/>
      <c r="F145" s="3860"/>
      <c r="G145" s="3860"/>
      <c r="H145" s="3860"/>
      <c r="I145" s="3860"/>
      <c r="J145" s="3860"/>
      <c r="K145" s="3860"/>
      <c r="L145" s="3860"/>
      <c r="M145" s="3860"/>
      <c r="N145" s="3860"/>
      <c r="O145" s="3860"/>
      <c r="P145" s="3860"/>
      <c r="Q145" s="3860"/>
    </row>
    <row r="146" s="724" customFormat="1" spans="2:17">
      <c r="B146" s="3860"/>
      <c r="C146" s="3860"/>
      <c r="D146" s="3860"/>
      <c r="E146" s="3860"/>
      <c r="F146" s="3860"/>
      <c r="G146" s="3860"/>
      <c r="H146" s="3860"/>
      <c r="I146" s="3860"/>
      <c r="J146" s="3860"/>
      <c r="K146" s="3860"/>
      <c r="L146" s="3860"/>
      <c r="M146" s="3860"/>
      <c r="N146" s="3860"/>
      <c r="O146" s="3860"/>
      <c r="P146" s="3860"/>
      <c r="Q146" s="3860"/>
    </row>
    <row r="147" s="724" customFormat="1" spans="2:17">
      <c r="B147" s="3860"/>
      <c r="C147" s="3860"/>
      <c r="D147" s="3860"/>
      <c r="E147" s="3860"/>
      <c r="F147" s="3860"/>
      <c r="G147" s="3860"/>
      <c r="H147" s="3860"/>
      <c r="I147" s="3860"/>
      <c r="J147" s="3860"/>
      <c r="K147" s="3860"/>
      <c r="L147" s="3860"/>
      <c r="M147" s="3860"/>
      <c r="N147" s="3860"/>
      <c r="O147" s="3860"/>
      <c r="P147" s="3860"/>
      <c r="Q147" s="3860"/>
    </row>
    <row r="148" s="724" customFormat="1" spans="2:17">
      <c r="B148" s="3860"/>
      <c r="C148" s="3860"/>
      <c r="D148" s="3860"/>
      <c r="E148" s="3860"/>
      <c r="F148" s="3860"/>
      <c r="G148" s="3860"/>
      <c r="H148" s="3860"/>
      <c r="I148" s="3860"/>
      <c r="J148" s="3860"/>
      <c r="K148" s="3860"/>
      <c r="L148" s="3860"/>
      <c r="M148" s="3860"/>
      <c r="N148" s="3860"/>
      <c r="O148" s="3860"/>
      <c r="P148" s="3860"/>
      <c r="Q148" s="3860"/>
    </row>
    <row r="149" s="724" customFormat="1" spans="2:17">
      <c r="B149" s="3860"/>
      <c r="C149" s="3860"/>
      <c r="D149" s="3860"/>
      <c r="E149" s="3860"/>
      <c r="F149" s="3860"/>
      <c r="G149" s="3860"/>
      <c r="H149" s="3860"/>
      <c r="I149" s="3860"/>
      <c r="J149" s="3860"/>
      <c r="K149" s="3860"/>
      <c r="L149" s="3860"/>
      <c r="M149" s="3860"/>
      <c r="N149" s="3860"/>
      <c r="O149" s="3860"/>
      <c r="P149" s="3860"/>
      <c r="Q149" s="3860"/>
    </row>
    <row r="150" s="724" customFormat="1" spans="2:17">
      <c r="B150" s="3860"/>
      <c r="C150" s="3860"/>
      <c r="D150" s="3860"/>
      <c r="E150" s="3860"/>
      <c r="F150" s="3860"/>
      <c r="G150" s="3860"/>
      <c r="H150" s="3860"/>
      <c r="I150" s="3860"/>
      <c r="J150" s="3860"/>
      <c r="K150" s="3860"/>
      <c r="L150" s="3860"/>
      <c r="M150" s="3860"/>
      <c r="N150" s="3860"/>
      <c r="O150" s="3860"/>
      <c r="P150" s="3860"/>
      <c r="Q150" s="3860"/>
    </row>
    <row r="151" s="724" customFormat="1" spans="2:17">
      <c r="B151" s="3860"/>
      <c r="C151" s="3860"/>
      <c r="D151" s="3860"/>
      <c r="E151" s="3860"/>
      <c r="F151" s="3860"/>
      <c r="G151" s="3860"/>
      <c r="H151" s="3860"/>
      <c r="I151" s="3860"/>
      <c r="J151" s="3860"/>
      <c r="K151" s="3860"/>
      <c r="L151" s="3860"/>
      <c r="M151" s="3860"/>
      <c r="N151" s="3860"/>
      <c r="O151" s="3860"/>
      <c r="P151" s="3860"/>
      <c r="Q151" s="3860"/>
    </row>
    <row r="152" s="724" customFormat="1" spans="2:17">
      <c r="B152" s="3860"/>
      <c r="C152" s="3860"/>
      <c r="D152" s="3860"/>
      <c r="E152" s="3860"/>
      <c r="F152" s="3860"/>
      <c r="G152" s="3860"/>
      <c r="H152" s="3860"/>
      <c r="I152" s="3860"/>
      <c r="J152" s="3860"/>
      <c r="K152" s="3860"/>
      <c r="L152" s="3860"/>
      <c r="M152" s="3860"/>
      <c r="N152" s="3860"/>
      <c r="O152" s="3860"/>
      <c r="P152" s="3860"/>
      <c r="Q152" s="3860"/>
    </row>
    <row r="153" s="724" customFormat="1" spans="2:17">
      <c r="B153" s="3860"/>
      <c r="C153" s="3860"/>
      <c r="D153" s="3860"/>
      <c r="E153" s="3860"/>
      <c r="F153" s="3860"/>
      <c r="G153" s="3860"/>
      <c r="H153" s="3860"/>
      <c r="I153" s="3860"/>
      <c r="J153" s="3860"/>
      <c r="K153" s="3860"/>
      <c r="L153" s="3860"/>
      <c r="M153" s="3860"/>
      <c r="N153" s="3860"/>
      <c r="O153" s="3860"/>
      <c r="P153" s="3860"/>
      <c r="Q153" s="3860"/>
    </row>
    <row r="154" s="724" customFormat="1" spans="2:17">
      <c r="B154" s="3860"/>
      <c r="C154" s="3860"/>
      <c r="D154" s="3860"/>
      <c r="E154" s="3860"/>
      <c r="F154" s="3860"/>
      <c r="G154" s="3860"/>
      <c r="H154" s="3860"/>
      <c r="I154" s="3860"/>
      <c r="J154" s="3860"/>
      <c r="K154" s="3860"/>
      <c r="L154" s="3860"/>
      <c r="M154" s="3860"/>
      <c r="N154" s="3860"/>
      <c r="O154" s="3860"/>
      <c r="P154" s="3860"/>
      <c r="Q154" s="3860"/>
    </row>
    <row r="155" s="724" customFormat="1" spans="2:17">
      <c r="B155" s="3860"/>
      <c r="C155" s="3860"/>
      <c r="D155" s="3860"/>
      <c r="E155" s="3860"/>
      <c r="F155" s="3860"/>
      <c r="G155" s="3860"/>
      <c r="H155" s="3860"/>
      <c r="I155" s="3860"/>
      <c r="J155" s="3860"/>
      <c r="K155" s="3860"/>
      <c r="L155" s="3860"/>
      <c r="M155" s="3860"/>
      <c r="N155" s="3860"/>
      <c r="O155" s="3860"/>
      <c r="P155" s="3860"/>
      <c r="Q155" s="3860"/>
    </row>
    <row r="156" s="724" customFormat="1" spans="2:17">
      <c r="B156" s="3860"/>
      <c r="C156" s="3860"/>
      <c r="D156" s="3860"/>
      <c r="E156" s="3860"/>
      <c r="F156" s="3860"/>
      <c r="G156" s="3860"/>
      <c r="H156" s="3860"/>
      <c r="I156" s="3860"/>
      <c r="J156" s="3860"/>
      <c r="K156" s="3860"/>
      <c r="L156" s="3860"/>
      <c r="M156" s="3860"/>
      <c r="N156" s="3860"/>
      <c r="O156" s="3860"/>
      <c r="P156" s="3860"/>
      <c r="Q156" s="3860"/>
    </row>
    <row r="157" s="724" customFormat="1" spans="2:17">
      <c r="B157" s="3860"/>
      <c r="C157" s="3860"/>
      <c r="D157" s="3860"/>
      <c r="E157" s="3860"/>
      <c r="F157" s="3860"/>
      <c r="G157" s="3860"/>
      <c r="H157" s="3860"/>
      <c r="I157" s="3860"/>
      <c r="J157" s="3860"/>
      <c r="K157" s="3860"/>
      <c r="L157" s="3860"/>
      <c r="M157" s="3860"/>
      <c r="N157" s="3860"/>
      <c r="O157" s="3860"/>
      <c r="P157" s="3860"/>
      <c r="Q157" s="3860"/>
    </row>
    <row r="158" s="724" customFormat="1" spans="2:17">
      <c r="B158" s="3860"/>
      <c r="C158" s="3860"/>
      <c r="D158" s="3860"/>
      <c r="E158" s="3860"/>
      <c r="F158" s="3860"/>
      <c r="G158" s="3860"/>
      <c r="H158" s="3860"/>
      <c r="I158" s="3860"/>
      <c r="J158" s="3860"/>
      <c r="K158" s="3860"/>
      <c r="L158" s="3860"/>
      <c r="M158" s="3860"/>
      <c r="N158" s="3860"/>
      <c r="O158" s="3860"/>
      <c r="P158" s="3860"/>
      <c r="Q158" s="3860"/>
    </row>
    <row r="159" s="724" customFormat="1" spans="2:17">
      <c r="B159" s="3860"/>
      <c r="C159" s="3860"/>
      <c r="D159" s="3860"/>
      <c r="E159" s="3860"/>
      <c r="F159" s="3860"/>
      <c r="G159" s="3860"/>
      <c r="H159" s="3860"/>
      <c r="I159" s="3860"/>
      <c r="J159" s="3860"/>
      <c r="K159" s="3860"/>
      <c r="L159" s="3860"/>
      <c r="M159" s="3860"/>
      <c r="N159" s="3860"/>
      <c r="O159" s="3860"/>
      <c r="P159" s="3860"/>
      <c r="Q159" s="3860"/>
    </row>
    <row r="160" s="724" customFormat="1" spans="2:17">
      <c r="B160" s="3860"/>
      <c r="C160" s="3860"/>
      <c r="D160" s="3860"/>
      <c r="E160" s="3860"/>
      <c r="F160" s="3860"/>
      <c r="G160" s="3860"/>
      <c r="H160" s="3860"/>
      <c r="I160" s="3860"/>
      <c r="J160" s="3860"/>
      <c r="K160" s="3860"/>
      <c r="L160" s="3860"/>
      <c r="M160" s="3860"/>
      <c r="N160" s="3860"/>
      <c r="O160" s="3860"/>
      <c r="P160" s="3860"/>
      <c r="Q160" s="3860"/>
    </row>
    <row r="161" s="724" customFormat="1" spans="2:17">
      <c r="B161" s="3860"/>
      <c r="C161" s="3860"/>
      <c r="D161" s="3860"/>
      <c r="E161" s="3860"/>
      <c r="F161" s="3860"/>
      <c r="G161" s="3860"/>
      <c r="H161" s="3860"/>
      <c r="I161" s="3860"/>
      <c r="J161" s="3860"/>
      <c r="K161" s="3860"/>
      <c r="L161" s="3860"/>
      <c r="M161" s="3860"/>
      <c r="N161" s="3860"/>
      <c r="O161" s="3860"/>
      <c r="P161" s="3860"/>
      <c r="Q161" s="3860"/>
    </row>
    <row r="162" s="724" customFormat="1" spans="2:17">
      <c r="B162" s="3860"/>
      <c r="C162" s="3860"/>
      <c r="D162" s="3860"/>
      <c r="E162" s="3860"/>
      <c r="F162" s="3860"/>
      <c r="G162" s="3860"/>
      <c r="H162" s="3860"/>
      <c r="I162" s="3860"/>
      <c r="J162" s="3860"/>
      <c r="K162" s="3860"/>
      <c r="L162" s="3860"/>
      <c r="M162" s="3860"/>
      <c r="N162" s="3860"/>
      <c r="O162" s="3860"/>
      <c r="P162" s="3860"/>
      <c r="Q162" s="3860"/>
    </row>
    <row r="163" s="724" customFormat="1" spans="2:17">
      <c r="B163" s="3860"/>
      <c r="C163" s="3860"/>
      <c r="D163" s="3860"/>
      <c r="E163" s="3860"/>
      <c r="F163" s="3860"/>
      <c r="G163" s="3860"/>
      <c r="H163" s="3860"/>
      <c r="I163" s="3860"/>
      <c r="J163" s="3860"/>
      <c r="K163" s="3860"/>
      <c r="L163" s="3860"/>
      <c r="M163" s="3860"/>
      <c r="N163" s="3860"/>
      <c r="O163" s="3860"/>
      <c r="P163" s="3860"/>
      <c r="Q163" s="3860"/>
    </row>
    <row r="164" s="724" customFormat="1" spans="2:17">
      <c r="B164" s="3860"/>
      <c r="C164" s="3860"/>
      <c r="D164" s="3860"/>
      <c r="E164" s="3860"/>
      <c r="F164" s="3860"/>
      <c r="G164" s="3860"/>
      <c r="H164" s="3860"/>
      <c r="I164" s="3860"/>
      <c r="J164" s="3860"/>
      <c r="K164" s="3860"/>
      <c r="L164" s="3860"/>
      <c r="M164" s="3860"/>
      <c r="N164" s="3860"/>
      <c r="O164" s="3860"/>
      <c r="P164" s="3860"/>
      <c r="Q164" s="3860"/>
    </row>
    <row r="165" s="724" customFormat="1" spans="2:17">
      <c r="B165" s="3860"/>
      <c r="C165" s="3860"/>
      <c r="D165" s="3860"/>
      <c r="E165" s="3860"/>
      <c r="F165" s="3860"/>
      <c r="G165" s="3860"/>
      <c r="H165" s="3860"/>
      <c r="I165" s="3860"/>
      <c r="J165" s="3860"/>
      <c r="K165" s="3860"/>
      <c r="L165" s="3860"/>
      <c r="M165" s="3860"/>
      <c r="N165" s="3860"/>
      <c r="O165" s="3860"/>
      <c r="P165" s="3860"/>
      <c r="Q165" s="3860"/>
    </row>
    <row r="166" s="724" customFormat="1" spans="2:17">
      <c r="B166" s="3860"/>
      <c r="C166" s="3860"/>
      <c r="D166" s="3860"/>
      <c r="E166" s="3860"/>
      <c r="F166" s="3860"/>
      <c r="G166" s="3860"/>
      <c r="H166" s="3860"/>
      <c r="I166" s="3860"/>
      <c r="J166" s="3860"/>
      <c r="K166" s="3860"/>
      <c r="L166" s="3860"/>
      <c r="M166" s="3860"/>
      <c r="N166" s="3860"/>
      <c r="O166" s="3860"/>
      <c r="P166" s="3860"/>
      <c r="Q166" s="3860"/>
    </row>
    <row r="167" s="724" customFormat="1" spans="2:17">
      <c r="B167" s="3860"/>
      <c r="C167" s="3860"/>
      <c r="D167" s="3860"/>
      <c r="E167" s="3860"/>
      <c r="F167" s="3860"/>
      <c r="G167" s="3860"/>
      <c r="H167" s="3860"/>
      <c r="I167" s="3860"/>
      <c r="J167" s="3860"/>
      <c r="K167" s="3860"/>
      <c r="L167" s="3860"/>
      <c r="M167" s="3860"/>
      <c r="N167" s="3860"/>
      <c r="O167" s="3860"/>
      <c r="P167" s="3860"/>
      <c r="Q167" s="3860"/>
    </row>
    <row r="168" s="724" customFormat="1" spans="2:17">
      <c r="B168" s="3860"/>
      <c r="C168" s="3860"/>
      <c r="D168" s="3860"/>
      <c r="E168" s="3860"/>
      <c r="F168" s="3860"/>
      <c r="G168" s="3860"/>
      <c r="H168" s="3860"/>
      <c r="I168" s="3860"/>
      <c r="J168" s="3860"/>
      <c r="K168" s="3860"/>
      <c r="L168" s="3860"/>
      <c r="M168" s="3860"/>
      <c r="N168" s="3860"/>
      <c r="O168" s="3860"/>
      <c r="P168" s="3860"/>
      <c r="Q168" s="3860"/>
    </row>
    <row r="169" s="724" customFormat="1" spans="2:17">
      <c r="B169" s="3860"/>
      <c r="C169" s="3860"/>
      <c r="D169" s="3860"/>
      <c r="E169" s="3860"/>
      <c r="F169" s="3860"/>
      <c r="G169" s="3860"/>
      <c r="H169" s="3860"/>
      <c r="I169" s="3860"/>
      <c r="J169" s="3860"/>
      <c r="K169" s="3860"/>
      <c r="L169" s="3860"/>
      <c r="M169" s="3860"/>
      <c r="N169" s="3860"/>
      <c r="O169" s="3860"/>
      <c r="P169" s="3860"/>
      <c r="Q169" s="3860"/>
    </row>
    <row r="170" s="724" customFormat="1" spans="2:17">
      <c r="B170" s="3860"/>
      <c r="C170" s="3860"/>
      <c r="D170" s="3860"/>
      <c r="E170" s="3860"/>
      <c r="F170" s="3860"/>
      <c r="G170" s="3860"/>
      <c r="H170" s="3860"/>
      <c r="I170" s="3860"/>
      <c r="J170" s="3860"/>
      <c r="K170" s="3860"/>
      <c r="L170" s="3860"/>
      <c r="M170" s="3860"/>
      <c r="N170" s="3860"/>
      <c r="O170" s="3860"/>
      <c r="P170" s="3860"/>
      <c r="Q170" s="3860"/>
    </row>
    <row r="171" s="724" customFormat="1" spans="2:17">
      <c r="B171" s="3860"/>
      <c r="C171" s="3860"/>
      <c r="D171" s="3860"/>
      <c r="E171" s="3860"/>
      <c r="F171" s="3860"/>
      <c r="G171" s="3860"/>
      <c r="H171" s="3860"/>
      <c r="I171" s="3860"/>
      <c r="J171" s="3860"/>
      <c r="K171" s="3860"/>
      <c r="L171" s="3860"/>
      <c r="M171" s="3860"/>
      <c r="N171" s="3860"/>
      <c r="O171" s="3860"/>
      <c r="P171" s="3860"/>
      <c r="Q171" s="3860"/>
    </row>
    <row r="172" s="724" customFormat="1" spans="2:17">
      <c r="B172" s="3860"/>
      <c r="C172" s="3860"/>
      <c r="D172" s="3860"/>
      <c r="E172" s="3860"/>
      <c r="F172" s="3860"/>
      <c r="G172" s="3860"/>
      <c r="H172" s="3860"/>
      <c r="I172" s="3860"/>
      <c r="J172" s="3860"/>
      <c r="K172" s="3860"/>
      <c r="L172" s="3860"/>
      <c r="M172" s="3860"/>
      <c r="N172" s="3860"/>
      <c r="O172" s="3860"/>
      <c r="P172" s="3860"/>
      <c r="Q172" s="3860"/>
    </row>
    <row r="173" s="724" customFormat="1" spans="2:17">
      <c r="B173" s="3860"/>
      <c r="C173" s="3860"/>
      <c r="D173" s="3860"/>
      <c r="E173" s="3860"/>
      <c r="F173" s="3860"/>
      <c r="G173" s="3860"/>
      <c r="H173" s="3860"/>
      <c r="I173" s="3860"/>
      <c r="J173" s="3860"/>
      <c r="K173" s="3860"/>
      <c r="L173" s="3860"/>
      <c r="M173" s="3860"/>
      <c r="N173" s="3860"/>
      <c r="O173" s="3860"/>
      <c r="P173" s="3860"/>
      <c r="Q173" s="3860"/>
    </row>
    <row r="174" s="724" customFormat="1" spans="2:17">
      <c r="B174" s="3860"/>
      <c r="C174" s="3860"/>
      <c r="D174" s="3860"/>
      <c r="E174" s="3860"/>
      <c r="F174" s="3860"/>
      <c r="G174" s="3860"/>
      <c r="H174" s="3860"/>
      <c r="I174" s="3860"/>
      <c r="J174" s="3860"/>
      <c r="K174" s="3860"/>
      <c r="L174" s="3860"/>
      <c r="M174" s="3860"/>
      <c r="N174" s="3860"/>
      <c r="O174" s="3860"/>
      <c r="P174" s="3860"/>
      <c r="Q174" s="3860"/>
    </row>
    <row r="175" s="724" customFormat="1" spans="2:17">
      <c r="B175" s="3860"/>
      <c r="C175" s="3860"/>
      <c r="D175" s="3860"/>
      <c r="E175" s="3860"/>
      <c r="F175" s="3860"/>
      <c r="G175" s="3860"/>
      <c r="H175" s="3860"/>
      <c r="I175" s="3860"/>
      <c r="J175" s="3860"/>
      <c r="K175" s="3860"/>
      <c r="L175" s="3860"/>
      <c r="M175" s="3860"/>
      <c r="N175" s="3860"/>
      <c r="O175" s="3860"/>
      <c r="P175" s="3860"/>
      <c r="Q175" s="3860"/>
    </row>
    <row r="176" s="724" customFormat="1" spans="2:17">
      <c r="B176" s="3860"/>
      <c r="C176" s="3860"/>
      <c r="D176" s="3860"/>
      <c r="E176" s="3860"/>
      <c r="F176" s="3860"/>
      <c r="G176" s="3860"/>
      <c r="H176" s="3860"/>
      <c r="I176" s="3860"/>
      <c r="J176" s="3860"/>
      <c r="K176" s="3860"/>
      <c r="L176" s="3860"/>
      <c r="M176" s="3860"/>
      <c r="N176" s="3860"/>
      <c r="O176" s="3860"/>
      <c r="P176" s="3860"/>
      <c r="Q176" s="3860"/>
    </row>
    <row r="177" s="724" customFormat="1" spans="1:17">
      <c r="B177" s="3860"/>
      <c r="C177" s="3860"/>
      <c r="D177" s="3860"/>
      <c r="E177" s="3860"/>
      <c r="F177" s="3860"/>
      <c r="G177" s="3860"/>
      <c r="H177" s="3860"/>
      <c r="I177" s="3860"/>
      <c r="J177" s="3860"/>
      <c r="K177" s="3860"/>
      <c r="L177" s="3860"/>
      <c r="M177" s="3860"/>
      <c r="N177" s="3860"/>
      <c r="O177" s="3860"/>
      <c r="P177" s="3860"/>
      <c r="Q177" s="3860"/>
    </row>
    <row r="178" s="724" customFormat="1" spans="1:17">
      <c r="B178" s="3860"/>
      <c r="C178" s="3860"/>
      <c r="D178" s="3860"/>
      <c r="E178" s="3860"/>
      <c r="F178" s="3860"/>
      <c r="G178" s="3860"/>
      <c r="H178" s="3860"/>
      <c r="I178" s="3860"/>
      <c r="J178" s="3860"/>
      <c r="K178" s="3860"/>
      <c r="L178" s="3860"/>
      <c r="M178" s="3860"/>
      <c r="N178" s="3860"/>
      <c r="O178" s="3860"/>
      <c r="P178" s="3860"/>
      <c r="Q178" s="3860"/>
    </row>
    <row r="179" s="724" customFormat="1" spans="1:17">
      <c r="B179" s="3860"/>
      <c r="C179" s="3860"/>
      <c r="D179" s="3860"/>
      <c r="E179" s="3860"/>
      <c r="F179" s="3860"/>
      <c r="G179" s="3860"/>
      <c r="H179" s="3860"/>
      <c r="I179" s="3860"/>
      <c r="J179" s="3860"/>
      <c r="K179" s="3860"/>
      <c r="L179" s="3860"/>
      <c r="M179" s="3860"/>
      <c r="N179" s="3860"/>
      <c r="O179" s="3860"/>
      <c r="P179" s="3860"/>
      <c r="Q179" s="3860"/>
    </row>
    <row r="180" s="724" customFormat="1" spans="1:17">
      <c r="B180" s="3860"/>
      <c r="C180" s="3860"/>
      <c r="D180" s="3860"/>
      <c r="E180" s="3860"/>
      <c r="F180" s="3860"/>
      <c r="G180" s="3860"/>
      <c r="H180" s="3860"/>
      <c r="I180" s="3860"/>
      <c r="J180" s="3860"/>
      <c r="K180" s="3860"/>
      <c r="L180" s="3860"/>
      <c r="M180" s="3860"/>
      <c r="N180" s="3860"/>
      <c r="O180" s="3860"/>
      <c r="P180" s="3860"/>
      <c r="Q180" s="3860"/>
    </row>
    <row r="181" s="724" customFormat="1" spans="1:17">
      <c r="B181" s="3860"/>
      <c r="C181" s="3860"/>
      <c r="D181" s="3860"/>
      <c r="E181" s="3860"/>
      <c r="F181" s="3860"/>
      <c r="G181" s="3860"/>
      <c r="H181" s="3860"/>
      <c r="I181" s="3860"/>
      <c r="J181" s="3860"/>
      <c r="K181" s="3860"/>
      <c r="L181" s="3860"/>
      <c r="M181" s="3860"/>
      <c r="N181" s="3860"/>
      <c r="O181" s="3860"/>
      <c r="P181" s="3860"/>
      <c r="Q181" s="3860"/>
    </row>
    <row r="182" s="724" customFormat="1" spans="1:17">
      <c r="B182" s="3860"/>
      <c r="C182" s="3860"/>
      <c r="D182" s="3860"/>
      <c r="E182" s="3860"/>
      <c r="F182" s="3860"/>
      <c r="G182" s="3860"/>
      <c r="H182" s="3860"/>
      <c r="I182" s="3860"/>
      <c r="J182" s="3860"/>
      <c r="K182" s="3860"/>
      <c r="L182" s="3860"/>
      <c r="M182" s="3860"/>
      <c r="N182" s="3860"/>
      <c r="O182" s="3860"/>
      <c r="P182" s="3860"/>
      <c r="Q182" s="3860"/>
    </row>
    <row r="183" s="724" customFormat="1" spans="1:17">
      <c r="B183" s="3860"/>
      <c r="C183" s="3860"/>
      <c r="D183" s="3860"/>
      <c r="E183" s="3860"/>
      <c r="F183" s="3860"/>
      <c r="G183" s="3860"/>
      <c r="H183" s="3860"/>
      <c r="I183" s="3860"/>
      <c r="J183" s="3860"/>
      <c r="K183" s="3860"/>
      <c r="L183" s="3860"/>
      <c r="M183" s="3860"/>
      <c r="N183" s="3860"/>
      <c r="O183" s="3860"/>
      <c r="P183" s="3860"/>
      <c r="Q183" s="3860"/>
    </row>
    <row r="184" s="724" customFormat="1" spans="1:17">
      <c r="B184" s="3860"/>
      <c r="C184" s="3860"/>
      <c r="D184" s="3860"/>
      <c r="E184" s="3860"/>
      <c r="F184" s="3860"/>
      <c r="G184" s="3860"/>
      <c r="H184" s="3860"/>
      <c r="I184" s="3860"/>
      <c r="J184" s="3860"/>
      <c r="K184" s="3860"/>
      <c r="L184" s="3860"/>
      <c r="M184" s="3860"/>
      <c r="N184" s="3860"/>
      <c r="O184" s="3860"/>
      <c r="P184" s="3860"/>
      <c r="Q184" s="3860"/>
    </row>
    <row r="185" s="724" customFormat="1" spans="1:17">
      <c r="B185" s="3860"/>
      <c r="C185" s="3860"/>
      <c r="D185" s="3860"/>
      <c r="E185" s="3860"/>
      <c r="F185" s="3860"/>
      <c r="G185" s="3860"/>
      <c r="H185" s="3860"/>
      <c r="I185" s="3860"/>
      <c r="J185" s="3860"/>
      <c r="K185" s="3860"/>
      <c r="L185" s="3860"/>
      <c r="M185" s="3860"/>
      <c r="N185" s="3860"/>
      <c r="O185" s="3860"/>
      <c r="P185" s="3860"/>
      <c r="Q185" s="3860"/>
    </row>
    <row r="186" spans="1:17">
      <c r="A186" s="724"/>
      <c r="B186" s="3860"/>
      <c r="C186" s="3860"/>
      <c r="E186" s="3860"/>
      <c r="F186" s="3860"/>
      <c r="G186" s="3860"/>
    </row>
    <row r="187" spans="1:17">
      <c r="A187" s="724"/>
      <c r="B187" s="3860"/>
      <c r="C187" s="3860"/>
      <c r="E187" s="3860"/>
      <c r="F187" s="3860"/>
      <c r="G187" s="386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41" sqref="H41"/>
    </sheetView>
  </sheetViews>
  <sheetFormatPr defaultColWidth="9" defaultRowHeight="13.5"/>
  <cols>
    <col min="1" max="1" width="25" style="3837" customWidth="1"/>
    <col min="2" max="9" width="15.75" style="3837" customWidth="1"/>
    <col min="10" max="16384" width="9" style="3837"/>
  </cols>
  <sheetData>
    <row r="1" ht="16.5" spans="1:11">
      <c r="A1" s="3838" t="s">
        <v>826</v>
      </c>
      <c r="B1" s="3838">
        <f>SUM(B14:B23)</f>
        <v>20903.38</v>
      </c>
      <c r="C1" s="3839"/>
      <c r="D1" s="3839"/>
      <c r="E1" s="3839"/>
      <c r="F1" s="3839"/>
      <c r="G1" s="3840"/>
      <c r="H1" s="3841"/>
      <c r="I1" s="3841"/>
      <c r="J1" s="3841"/>
      <c r="K1" s="3841"/>
    </row>
    <row r="2" ht="16.5" spans="1:11">
      <c r="A2" s="3838" t="s">
        <v>827</v>
      </c>
      <c r="B2" s="3838">
        <f>SUM(C14:C23)</f>
        <v>0</v>
      </c>
      <c r="C2" s="3839"/>
      <c r="D2" s="3839"/>
      <c r="E2" s="3839"/>
      <c r="F2" s="3839"/>
      <c r="G2" s="3840"/>
      <c r="H2" s="3841"/>
      <c r="I2" s="3841"/>
      <c r="J2" s="3841"/>
      <c r="K2" s="3841"/>
    </row>
    <row r="3" ht="16.5" spans="1:11">
      <c r="A3" s="3838" t="s">
        <v>828</v>
      </c>
      <c r="B3" s="3842">
        <f>项目基本情况!D3</f>
        <v>46086</v>
      </c>
      <c r="C3" s="3839"/>
      <c r="D3" s="3839"/>
      <c r="E3" s="3839"/>
      <c r="F3" s="3839"/>
      <c r="G3" s="3840"/>
      <c r="H3" s="3841"/>
      <c r="I3" s="3841"/>
      <c r="J3" s="3841"/>
      <c r="K3" s="3841"/>
    </row>
    <row r="4" ht="33" spans="1:11">
      <c r="A4" s="3838" t="s">
        <v>829</v>
      </c>
      <c r="B4" s="3838" t="s">
        <v>830</v>
      </c>
      <c r="C4" s="3838" t="s">
        <v>831</v>
      </c>
      <c r="D4" s="3838" t="s">
        <v>832</v>
      </c>
      <c r="E4" s="3839"/>
      <c r="F4" s="3840"/>
      <c r="G4" s="3840"/>
      <c r="H4" s="3841"/>
      <c r="I4" s="3841"/>
      <c r="J4" s="3841"/>
      <c r="K4" s="3841"/>
    </row>
    <row r="5" ht="16.5" spans="1:11">
      <c r="A5" s="3838" t="s">
        <v>833</v>
      </c>
      <c r="B5" s="3838">
        <f ca="1">SUM(D14:D23)</f>
        <v>26223</v>
      </c>
      <c r="C5" s="3838">
        <f ca="1">ROUND(B5*10000/$B$1,0)</f>
        <v>12545</v>
      </c>
      <c r="D5" s="3838" t="e">
        <f ca="1">ROUND(B5*10000/$B$2,0)</f>
        <v>#DIV/0!</v>
      </c>
      <c r="E5" s="3839"/>
      <c r="F5" s="3840"/>
      <c r="G5" s="3840"/>
      <c r="H5" s="3841"/>
      <c r="I5" s="3841"/>
      <c r="J5" s="3841"/>
      <c r="K5" s="3841"/>
    </row>
    <row r="6" ht="16.5" spans="1:11">
      <c r="A6" s="3838" t="s">
        <v>834</v>
      </c>
      <c r="B6" s="3838">
        <f ca="1">SUM(G14:G23)</f>
        <v>26223</v>
      </c>
      <c r="C6" s="3838">
        <f ca="1">ROUND(B6*10000/$B$1,0)</f>
        <v>12545</v>
      </c>
      <c r="D6" s="3838" t="e">
        <f ca="1">ROUND(B6*10000/$B$2,0)</f>
        <v>#DIV/0!</v>
      </c>
      <c r="E6" s="3839"/>
      <c r="F6" s="3840"/>
      <c r="G6" s="3840"/>
      <c r="H6" s="3841"/>
      <c r="I6" s="3841"/>
      <c r="J6" s="3841"/>
      <c r="K6" s="3841"/>
    </row>
    <row r="7" ht="16.5" spans="1:11">
      <c r="A7" s="3838" t="s">
        <v>835</v>
      </c>
      <c r="B7" s="3838">
        <f>SUM(H14:H23)</f>
        <v>0</v>
      </c>
      <c r="C7" s="3838" t="str">
        <f ca="1">IF(B7=H14,结果表!H110,ROUND(B7*10000/$B$1,0))</f>
        <v>——</v>
      </c>
      <c r="D7" s="3838" t="e">
        <f>ROUND(B7*10000/$B$2,0)</f>
        <v>#DIV/0!</v>
      </c>
      <c r="E7" s="3839"/>
      <c r="F7" s="3840"/>
      <c r="G7" s="3840"/>
      <c r="H7" s="3841"/>
      <c r="I7" s="3841"/>
      <c r="J7" s="3841"/>
      <c r="K7" s="3841"/>
    </row>
    <row r="8" ht="16.5" spans="1:11">
      <c r="A8" s="3838" t="s">
        <v>377</v>
      </c>
      <c r="B8" s="3838">
        <f ca="1">SUM(I14:I23)</f>
        <v>23562</v>
      </c>
      <c r="C8" s="3838">
        <f ca="1">结果表!P61</f>
        <v>11272</v>
      </c>
      <c r="D8" s="3838" t="e">
        <f ca="1">ROUND(B8*10000/$B$2,0)</f>
        <v>#DIV/0!</v>
      </c>
      <c r="E8" s="3839"/>
      <c r="F8" s="3840"/>
      <c r="G8" s="3840"/>
      <c r="H8" s="3841"/>
      <c r="I8" s="3841"/>
      <c r="J8" s="3841"/>
      <c r="K8" s="3841"/>
    </row>
    <row r="9" ht="16.5" spans="1:11">
      <c r="A9" s="3838" t="s">
        <v>836</v>
      </c>
      <c r="B9" s="3843"/>
      <c r="C9" s="3844"/>
      <c r="D9" s="3844"/>
      <c r="E9" s="3839"/>
      <c r="F9" s="3840"/>
      <c r="G9" s="3840"/>
      <c r="H9" s="3841"/>
      <c r="I9" s="3841"/>
      <c r="J9" s="3841"/>
      <c r="K9" s="3841"/>
    </row>
    <row r="10" ht="16.5" spans="1:11">
      <c r="A10" s="3838" t="s">
        <v>837</v>
      </c>
      <c r="B10" s="3838">
        <f>IF(E10="",0,ROUND(B1*(E10*365/G10)/10000,0))</f>
        <v>0</v>
      </c>
      <c r="C10" s="3838" t="s">
        <v>838</v>
      </c>
      <c r="D10" s="3838" t="s">
        <v>837</v>
      </c>
      <c r="E10" s="3845"/>
      <c r="F10" s="3846" t="s">
        <v>839</v>
      </c>
      <c r="G10" s="3847"/>
      <c r="H10" s="3841"/>
      <c r="I10" s="3841"/>
      <c r="J10" s="3841"/>
      <c r="K10" s="3841"/>
    </row>
    <row r="11" ht="16.5" spans="1:11">
      <c r="A11" s="3838" t="s">
        <v>840</v>
      </c>
      <c r="B11" s="3848"/>
      <c r="C11" s="3839"/>
      <c r="D11" s="3839"/>
      <c r="E11" s="3839"/>
      <c r="F11" s="3840"/>
      <c r="G11" s="3840"/>
      <c r="H11" s="3841"/>
      <c r="I11" s="3841"/>
      <c r="J11" s="3841"/>
      <c r="K11" s="3841"/>
    </row>
    <row r="12" ht="16.5" spans="1:11">
      <c r="A12" s="3839"/>
      <c r="B12" s="3839"/>
      <c r="C12" s="3839"/>
      <c r="D12" s="3839"/>
      <c r="E12" s="3839"/>
      <c r="F12" s="3840"/>
      <c r="G12" s="3840"/>
      <c r="H12" s="3841"/>
      <c r="I12" s="3841"/>
      <c r="J12" s="3841"/>
      <c r="K12" s="3841"/>
    </row>
    <row r="13" ht="33" spans="1:11">
      <c r="A13" s="3849" t="s">
        <v>841</v>
      </c>
      <c r="B13" s="3850" t="s">
        <v>826</v>
      </c>
      <c r="C13" s="3850" t="s">
        <v>827</v>
      </c>
      <c r="D13" s="3850" t="s">
        <v>842</v>
      </c>
      <c r="E13" s="3838" t="s">
        <v>831</v>
      </c>
      <c r="F13" s="3838" t="s">
        <v>832</v>
      </c>
      <c r="G13" s="3850" t="s">
        <v>843</v>
      </c>
      <c r="H13" s="3850" t="s">
        <v>844</v>
      </c>
      <c r="I13" s="3850" t="s">
        <v>845</v>
      </c>
      <c r="J13" s="3840"/>
      <c r="K13" s="3841"/>
    </row>
    <row r="14" ht="16.5" spans="1:11">
      <c r="A14" s="3851" t="s">
        <v>846</v>
      </c>
      <c r="B14" s="3852">
        <f>'数据-汇总表'!E31</f>
        <v>20903.38</v>
      </c>
      <c r="C14" s="3852"/>
      <c r="D14" s="3852">
        <f ca="1">结果表!G19</f>
        <v>26223</v>
      </c>
      <c r="E14" s="3852">
        <f ca="1">ROUND(D14*10000/B14,0)</f>
        <v>12545</v>
      </c>
      <c r="F14" s="3852" t="e">
        <f ca="1">ROUND(D14*10000/C14,0)</f>
        <v>#DIV/0!</v>
      </c>
      <c r="G14" s="3852">
        <f ca="1">D14</f>
        <v>26223</v>
      </c>
      <c r="H14" s="3852"/>
      <c r="I14" s="3852">
        <f ca="1">结果表!P59</f>
        <v>23562</v>
      </c>
      <c r="J14" s="3840"/>
      <c r="K14" s="3841"/>
    </row>
    <row r="15" ht="16.5" spans="1:11">
      <c r="A15" s="3851" t="s">
        <v>847</v>
      </c>
      <c r="B15" s="3853"/>
      <c r="C15" s="3853"/>
      <c r="D15" s="3853"/>
      <c r="E15" s="3852" t="e">
        <f t="shared" ref="E15:E23" si="0">ROUND(D15*10000/B15,0)</f>
        <v>#DIV/0!</v>
      </c>
      <c r="F15" s="3852" t="e">
        <f t="shared" ref="F15:F23" si="1">ROUND(D15*10000/C15,0)</f>
        <v>#DIV/0!</v>
      </c>
      <c r="G15" s="3854"/>
      <c r="H15" s="3854"/>
      <c r="I15" s="3853"/>
      <c r="J15" s="3840"/>
      <c r="K15" s="3841"/>
    </row>
    <row r="16" ht="16.5" spans="1:11">
      <c r="A16" s="3851" t="s">
        <v>848</v>
      </c>
      <c r="B16" s="3853"/>
      <c r="C16" s="3853"/>
      <c r="D16" s="3853"/>
      <c r="E16" s="3852" t="e">
        <f t="shared" si="0"/>
        <v>#DIV/0!</v>
      </c>
      <c r="F16" s="3852" t="e">
        <f t="shared" si="1"/>
        <v>#DIV/0!</v>
      </c>
      <c r="G16" s="3854"/>
      <c r="H16" s="3854"/>
      <c r="I16" s="3853"/>
      <c r="J16" s="3841"/>
      <c r="K16" s="3841"/>
    </row>
    <row r="17" ht="16.5" spans="1:11">
      <c r="A17" s="3851" t="s">
        <v>849</v>
      </c>
      <c r="B17" s="3853"/>
      <c r="C17" s="3853"/>
      <c r="D17" s="3853"/>
      <c r="E17" s="3852" t="e">
        <f t="shared" si="0"/>
        <v>#DIV/0!</v>
      </c>
      <c r="F17" s="3852" t="e">
        <f t="shared" si="1"/>
        <v>#DIV/0!</v>
      </c>
      <c r="G17" s="3854"/>
      <c r="H17" s="3854"/>
      <c r="I17" s="3853"/>
      <c r="J17" s="3841"/>
      <c r="K17" s="3841"/>
    </row>
    <row r="18" ht="16.5" spans="1:11">
      <c r="A18" s="3851" t="s">
        <v>850</v>
      </c>
      <c r="B18" s="3853"/>
      <c r="C18" s="3853"/>
      <c r="D18" s="3853"/>
      <c r="E18" s="3852" t="e">
        <f t="shared" si="0"/>
        <v>#DIV/0!</v>
      </c>
      <c r="F18" s="3852" t="e">
        <f t="shared" si="1"/>
        <v>#DIV/0!</v>
      </c>
      <c r="G18" s="3853"/>
      <c r="H18" s="3853"/>
      <c r="I18" s="3853"/>
      <c r="J18" s="3841"/>
      <c r="K18" s="3841"/>
    </row>
    <row r="19" ht="16.5" spans="1:11">
      <c r="A19" s="3851" t="s">
        <v>851</v>
      </c>
      <c r="B19" s="3853"/>
      <c r="C19" s="3853"/>
      <c r="D19" s="3853"/>
      <c r="E19" s="3852" t="e">
        <f t="shared" si="0"/>
        <v>#DIV/0!</v>
      </c>
      <c r="F19" s="3852" t="e">
        <f t="shared" si="1"/>
        <v>#DIV/0!</v>
      </c>
      <c r="G19" s="3853"/>
      <c r="H19" s="3853"/>
      <c r="I19" s="3853"/>
      <c r="J19" s="3841"/>
      <c r="K19" s="3841"/>
    </row>
    <row r="20" ht="16.5" spans="1:11">
      <c r="A20" s="3851" t="s">
        <v>852</v>
      </c>
      <c r="B20" s="3853"/>
      <c r="C20" s="3853"/>
      <c r="D20" s="3853"/>
      <c r="E20" s="3852" t="e">
        <f t="shared" si="0"/>
        <v>#DIV/0!</v>
      </c>
      <c r="F20" s="3852" t="e">
        <f t="shared" si="1"/>
        <v>#DIV/0!</v>
      </c>
      <c r="G20" s="3853"/>
      <c r="H20" s="3853"/>
      <c r="I20" s="3853"/>
      <c r="J20" s="3841"/>
      <c r="K20" s="3841"/>
    </row>
    <row r="21" ht="16.5" spans="1:11">
      <c r="A21" s="3851" t="s">
        <v>853</v>
      </c>
      <c r="B21" s="3853"/>
      <c r="C21" s="3853"/>
      <c r="D21" s="3853"/>
      <c r="E21" s="3852" t="e">
        <f t="shared" si="0"/>
        <v>#DIV/0!</v>
      </c>
      <c r="F21" s="3852" t="e">
        <f t="shared" si="1"/>
        <v>#DIV/0!</v>
      </c>
      <c r="G21" s="3853"/>
      <c r="H21" s="3853"/>
      <c r="I21" s="3853"/>
      <c r="J21" s="3841"/>
      <c r="K21" s="3841"/>
    </row>
    <row r="22" ht="16.5" spans="1:11">
      <c r="A22" s="3851" t="s">
        <v>854</v>
      </c>
      <c r="B22" s="3853"/>
      <c r="C22" s="3853"/>
      <c r="D22" s="3853"/>
      <c r="E22" s="3852" t="e">
        <f t="shared" si="0"/>
        <v>#DIV/0!</v>
      </c>
      <c r="F22" s="3852" t="e">
        <f t="shared" si="1"/>
        <v>#DIV/0!</v>
      </c>
      <c r="G22" s="3853"/>
      <c r="H22" s="3853"/>
      <c r="I22" s="3853"/>
      <c r="J22" s="3841"/>
      <c r="K22" s="3841"/>
    </row>
    <row r="23" ht="16.5" spans="1:11">
      <c r="A23" s="3851" t="s">
        <v>855</v>
      </c>
      <c r="B23" s="3853"/>
      <c r="C23" s="3853"/>
      <c r="D23" s="3853"/>
      <c r="E23" s="3848" t="e">
        <f t="shared" si="0"/>
        <v>#DIV/0!</v>
      </c>
      <c r="F23" s="3848" t="e">
        <f t="shared" si="1"/>
        <v>#DIV/0!</v>
      </c>
      <c r="G23" s="3853"/>
      <c r="H23" s="3853"/>
      <c r="I23" s="3853"/>
      <c r="J23" s="3841"/>
      <c r="K23" s="3841"/>
    </row>
    <row r="24" spans="1:11">
      <c r="A24" s="3841"/>
      <c r="B24" s="3841"/>
      <c r="C24" s="3841"/>
      <c r="D24" s="3841"/>
      <c r="E24" s="3841"/>
      <c r="F24" s="3841"/>
      <c r="G24" s="3841"/>
      <c r="H24" s="3841"/>
      <c r="I24" s="3841"/>
      <c r="J24" s="3841"/>
      <c r="K24" s="3841"/>
    </row>
    <row r="25" spans="1:11">
      <c r="A25" s="3841"/>
      <c r="B25" s="3841"/>
      <c r="C25" s="3841"/>
      <c r="D25" s="3841"/>
      <c r="E25" s="3841"/>
      <c r="F25" s="3841"/>
      <c r="G25" s="3841"/>
      <c r="H25" s="3841"/>
      <c r="I25" s="3841"/>
      <c r="J25" s="3841"/>
      <c r="K25" s="3841"/>
    </row>
    <row r="26" spans="1:11">
      <c r="A26" s="3841"/>
      <c r="B26" s="3841"/>
      <c r="C26" s="3841"/>
      <c r="D26" s="3841"/>
      <c r="E26" s="3841"/>
      <c r="F26" s="3841"/>
      <c r="G26" s="3841"/>
      <c r="H26" s="3841"/>
      <c r="I26" s="3841"/>
      <c r="J26" s="3841"/>
      <c r="K26" s="3841"/>
    </row>
  </sheetData>
  <sheetProtection algorithmName="SHA-512" hashValue="c/gFTKrCLggSU7kDuU1f8EaN3ZJcTdLG2SlMjZUkBvKo1tNVv4BD2GuwWKWM+tlZ+ESMNDnIf4d4auCP37Zxpg==" saltValue="f4wMiEEu59ZCanYyV8dhQQ==" spinCount="100000" sheet="1"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I40" workbookViewId="0">
      <selection activeCell="P59" sqref="P59"/>
    </sheetView>
  </sheetViews>
  <sheetFormatPr defaultColWidth="12.625" defaultRowHeight="21.75" customHeight="1"/>
  <cols>
    <col min="1" max="2" width="12.625" style="3445"/>
    <col min="3" max="4" width="12.625" style="3445" customWidth="1"/>
    <col min="5" max="9" width="12.625" style="3445"/>
    <col min="10" max="11" width="12.625" style="3277" customWidth="1"/>
    <col min="12" max="12" width="12.625" style="3277"/>
    <col min="13" max="13" width="14.125" style="3277" customWidth="1"/>
    <col min="14" max="18" width="12.625" style="3277"/>
    <col min="19" max="19" width="32.375" style="3277" customWidth="1"/>
    <col min="20" max="26" width="12.625" style="3277"/>
    <col min="27" max="35" width="12.625" style="3444"/>
    <col min="36" max="16384" width="12.625" style="3445"/>
  </cols>
  <sheetData>
    <row r="1" customHeight="1" spans="1:12">
      <c r="A1" s="3446" t="s">
        <v>856</v>
      </c>
      <c r="B1" s="3447"/>
      <c r="C1" s="3448"/>
      <c r="D1" s="3447"/>
      <c r="E1" s="3447"/>
      <c r="F1" s="3449" t="s">
        <v>857</v>
      </c>
      <c r="G1" s="3450"/>
      <c r="H1" s="3449" t="str">
        <f>IF(G1="现房","——","估价对象范围")</f>
        <v>估价对象范围</v>
      </c>
      <c r="I1" s="3451"/>
    </row>
    <row r="2" customHeight="1" spans="1:12">
      <c r="A2" s="3452" t="str">
        <f>项目基本情况!S2</f>
        <v>北京市房地产</v>
      </c>
      <c r="B2" s="3453"/>
      <c r="C2" s="3453"/>
      <c r="D2" s="3453"/>
      <c r="E2" s="3453"/>
      <c r="F2" s="3453"/>
      <c r="G2" s="3453"/>
      <c r="H2" s="3453"/>
      <c r="I2" s="3454"/>
    </row>
    <row r="3" ht="13.5" spans="1:12">
      <c r="A3" s="3455" t="s">
        <v>858</v>
      </c>
      <c r="B3" s="2659"/>
      <c r="C3" s="2659"/>
      <c r="D3" s="2659"/>
      <c r="E3" s="2659"/>
      <c r="F3" s="2659"/>
      <c r="G3" s="2659"/>
      <c r="H3" s="2659"/>
      <c r="I3" s="2659"/>
    </row>
    <row r="4" ht="14.25" spans="1:12">
      <c r="A4" s="3456" t="s">
        <v>859</v>
      </c>
      <c r="B4" s="3457" t="s">
        <v>860</v>
      </c>
      <c r="C4" s="3458" t="s">
        <v>344</v>
      </c>
      <c r="D4" s="3458" t="s">
        <v>732</v>
      </c>
      <c r="E4" s="3459" t="s">
        <v>861</v>
      </c>
      <c r="F4" s="3460"/>
      <c r="G4" s="3460"/>
      <c r="H4" s="3460"/>
      <c r="I4" s="3461"/>
      <c r="K4" s="3278" t="str">
        <f>IF(ISNUMBER(FIND("比较法",结果表!C4)),"比较法",IF(ISNUMBER(FIND("成本法",结果表!C4)),"成本法",IF(ISNUMBER(FIND("假设开发法",结果表!C4)),"假设开发法",IF(ISNUMBER(FIND("收益法",结果表!C4)),"收益法","基准地价系数修正法"))))</f>
        <v>基准地价系数修正法</v>
      </c>
      <c r="L4" s="3278" t="str">
        <f>IF(ISNUMBER(FIND("比较法",结果表!D4)),"比较法",IF(ISNUMBER(FIND("成本法",结果表!D4)),"成本法",IF(ISNUMBER(FIND("假设开发法",结果表!D4)),"假设开发法",IF(ISNUMBER(FIND("收益法",结果表!D4)),"收益法","基准地价系数修正法"))))</f>
        <v>收益法</v>
      </c>
    </row>
    <row r="5" ht="13.5" spans="1:12">
      <c r="A5" s="1224" t="s">
        <v>862</v>
      </c>
      <c r="B5" s="3462">
        <v>25</v>
      </c>
      <c r="C5" s="3463"/>
      <c r="D5" s="3464"/>
      <c r="E5" s="2664" t="s">
        <v>863</v>
      </c>
      <c r="F5" s="3465"/>
      <c r="G5" s="3465"/>
      <c r="H5" s="3465"/>
      <c r="I5" s="3040"/>
    </row>
    <row r="6" ht="13.5" spans="1:12">
      <c r="A6" s="1224"/>
      <c r="B6" s="3462"/>
      <c r="C6" s="3466"/>
      <c r="D6" s="3464"/>
      <c r="E6" s="2664" t="s">
        <v>864</v>
      </c>
      <c r="F6" s="3465"/>
      <c r="G6" s="3465"/>
      <c r="H6" s="3465"/>
      <c r="I6" s="3040"/>
    </row>
    <row r="7" ht="13.5" spans="1:12">
      <c r="A7" s="1224"/>
      <c r="B7" s="3462"/>
      <c r="C7" s="3467"/>
      <c r="D7" s="3464"/>
      <c r="E7" s="2664" t="s">
        <v>865</v>
      </c>
      <c r="F7" s="3465"/>
      <c r="G7" s="3465"/>
      <c r="H7" s="3465"/>
      <c r="I7" s="3040"/>
    </row>
    <row r="8" ht="13.5" spans="1:12">
      <c r="A8" s="1224" t="s">
        <v>866</v>
      </c>
      <c r="B8" s="3462">
        <v>15</v>
      </c>
      <c r="C8" s="3463"/>
      <c r="D8" s="3464"/>
      <c r="E8" s="2664" t="s">
        <v>867</v>
      </c>
      <c r="F8" s="3465"/>
      <c r="G8" s="3465"/>
      <c r="H8" s="3465"/>
      <c r="I8" s="3040"/>
    </row>
    <row r="9" ht="13.5" spans="1:12">
      <c r="A9" s="1224"/>
      <c r="B9" s="3462"/>
      <c r="C9" s="3467"/>
      <c r="D9" s="3464"/>
      <c r="E9" s="2664" t="s">
        <v>868</v>
      </c>
      <c r="F9" s="3465"/>
      <c r="G9" s="3465"/>
      <c r="H9" s="3465"/>
      <c r="I9" s="3040"/>
    </row>
    <row r="10" ht="13.5" spans="1:12">
      <c r="A10" s="1224" t="s">
        <v>869</v>
      </c>
      <c r="B10" s="3462">
        <v>15</v>
      </c>
      <c r="C10" s="3463"/>
      <c r="D10" s="3464"/>
      <c r="E10" s="2664" t="s">
        <v>870</v>
      </c>
      <c r="F10" s="3465"/>
      <c r="G10" s="3465"/>
      <c r="H10" s="3465"/>
      <c r="I10" s="3040"/>
    </row>
    <row r="11" ht="13.5" spans="1:12">
      <c r="A11" s="1224"/>
      <c r="B11" s="3462"/>
      <c r="C11" s="3467"/>
      <c r="D11" s="3464"/>
      <c r="E11" s="2664" t="s">
        <v>871</v>
      </c>
      <c r="F11" s="3465"/>
      <c r="G11" s="3465"/>
      <c r="H11" s="3465"/>
      <c r="I11" s="3040"/>
    </row>
    <row r="12" ht="13.5" spans="1:12">
      <c r="A12" s="1224" t="s">
        <v>872</v>
      </c>
      <c r="B12" s="3462">
        <v>15</v>
      </c>
      <c r="C12" s="3463"/>
      <c r="D12" s="3464"/>
      <c r="E12" s="2664" t="s">
        <v>873</v>
      </c>
      <c r="F12" s="3465"/>
      <c r="G12" s="3465"/>
      <c r="H12" s="3465"/>
      <c r="I12" s="3040"/>
    </row>
    <row r="13" ht="13.5" spans="1:12">
      <c r="A13" s="1224"/>
      <c r="B13" s="3462"/>
      <c r="C13" s="3467"/>
      <c r="D13" s="3464"/>
      <c r="E13" s="2664" t="s">
        <v>874</v>
      </c>
      <c r="F13" s="3465"/>
      <c r="G13" s="3465"/>
      <c r="H13" s="3465"/>
      <c r="I13" s="3040"/>
    </row>
    <row r="14" ht="13.5" spans="1:12">
      <c r="A14" s="1224" t="s">
        <v>875</v>
      </c>
      <c r="B14" s="3462">
        <v>30</v>
      </c>
      <c r="C14" s="3463">
        <v>5</v>
      </c>
      <c r="D14" s="3464">
        <v>5</v>
      </c>
      <c r="E14" s="2664" t="s">
        <v>876</v>
      </c>
      <c r="F14" s="3465"/>
      <c r="G14" s="3465"/>
      <c r="H14" s="3465"/>
      <c r="I14" s="3040"/>
    </row>
    <row r="15" ht="13.5" spans="1:12">
      <c r="A15" s="1224"/>
      <c r="B15" s="3462"/>
      <c r="C15" s="3466"/>
      <c r="D15" s="3464"/>
      <c r="E15" s="2664" t="s">
        <v>877</v>
      </c>
      <c r="F15" s="3465"/>
      <c r="G15" s="3465"/>
      <c r="H15" s="3465"/>
      <c r="I15" s="3040"/>
    </row>
    <row r="16" ht="13.5" spans="1:12">
      <c r="A16" s="1224"/>
      <c r="B16" s="3462"/>
      <c r="C16" s="3467"/>
      <c r="D16" s="3464"/>
      <c r="E16" s="2664" t="s">
        <v>878</v>
      </c>
      <c r="F16" s="3465"/>
      <c r="G16" s="3465"/>
      <c r="H16" s="3465"/>
      <c r="I16" s="3040"/>
    </row>
    <row r="17" ht="14.25" spans="1:36">
      <c r="A17" s="3468" t="s">
        <v>879</v>
      </c>
      <c r="B17" s="1458"/>
      <c r="C17" s="3469">
        <f>SUM(C5:C16)</f>
        <v>5</v>
      </c>
      <c r="D17" s="3469">
        <f>SUM(D5:D16)</f>
        <v>5</v>
      </c>
      <c r="E17" s="3362"/>
      <c r="F17" s="3362"/>
      <c r="G17" s="3362"/>
      <c r="H17" s="3362"/>
      <c r="I17" s="3362"/>
      <c r="K17" s="1320"/>
      <c r="L17" s="1320" t="s">
        <v>880</v>
      </c>
      <c r="M17" s="1320" t="s">
        <v>881</v>
      </c>
    </row>
    <row r="18" ht="31.9" customHeight="1" spans="1:36">
      <c r="A18" s="3470" t="s">
        <v>882</v>
      </c>
      <c r="B18" s="3471"/>
      <c r="C18" s="3472">
        <f>ROUND(C17/SUM(C17:D17),2)</f>
        <v>0.5</v>
      </c>
      <c r="D18" s="3472">
        <f>1-C18</f>
        <v>0.5</v>
      </c>
      <c r="E18" s="3473" t="s">
        <v>883</v>
      </c>
      <c r="F18" s="3474"/>
      <c r="G18" s="3474"/>
      <c r="H18" s="3474"/>
      <c r="I18" s="3474"/>
      <c r="K18" s="1320" t="s">
        <v>540</v>
      </c>
      <c r="L18" s="2973">
        <f>IF(C1="",'数据-汇总表'!E3,SUMIF(项目类型,C1,'数据-汇总表'!E17:E26)+SUMIF(项目类型,C1,'数据-汇总表'!I17:I26))</f>
        <v>20903.38</v>
      </c>
      <c r="M18" s="2973">
        <f>IF(C1="",'数据-汇总表'!E3,SUMIF(项目类型,C1,'数据-汇总表'!E17:E26))</f>
        <v>20903.38</v>
      </c>
    </row>
    <row r="19" ht="14.25" spans="1:36">
      <c r="A19" s="1660" t="s">
        <v>884</v>
      </c>
      <c r="B19" s="3475" t="s">
        <v>885</v>
      </c>
      <c r="C19" s="3476">
        <f ca="1">SUMIF(INDIRECT("'"&amp;C4&amp;"'"&amp;"!A:A"),结果表!B19,INDIRECT("'"&amp;C4&amp;"'"&amp;"!B:B"))</f>
        <v>28480</v>
      </c>
      <c r="D19" s="3477">
        <f ca="1">SUMIF(INDIRECT("'"&amp;D4&amp;"'"&amp;"!A:A"),结果表!B19,INDIRECT("'"&amp;D4&amp;"'"&amp;"!B:B"))</f>
        <v>23965</v>
      </c>
      <c r="E19" s="1660" t="s">
        <v>886</v>
      </c>
      <c r="F19" s="3475" t="s">
        <v>885</v>
      </c>
      <c r="G19" s="3478">
        <f ca="1">ROUND(C19*$C$18+D19*$D$18,0)</f>
        <v>26223</v>
      </c>
      <c r="H19" s="3479" t="s">
        <v>887</v>
      </c>
      <c r="I19" s="3362">
        <f ca="1">ROUND(C19*$C$18+D19*$D$18,4)</f>
        <v>26222.5</v>
      </c>
      <c r="K19" s="1320" t="s">
        <v>544</v>
      </c>
      <c r="L19" s="2973">
        <f>IF(C1="",'数据-汇总表'!D3,SUMIF(项目类型,C1,'数据-汇总表'!D17:D26)+SUMIF(项目类型,C1,'数据-汇总表'!H17:H27))</f>
        <v>0</v>
      </c>
      <c r="M19" s="2973">
        <f>IF(C1="",'数据-汇总表'!D3,SUMIF(项目类型,C1,'数据-汇总表'!D17:D26))</f>
        <v>0</v>
      </c>
    </row>
    <row r="20" ht="15" spans="1:36">
      <c r="A20" s="3480"/>
      <c r="B20" s="3481" t="s">
        <v>888</v>
      </c>
      <c r="C20" s="3482">
        <f ca="1">SUMIF(INDIRECT("'"&amp;C4&amp;"'"&amp;"!A:A"),结果表!B20,INDIRECT("'"&amp;C4&amp;"'"&amp;"!B:B"))</f>
        <v>13625</v>
      </c>
      <c r="D20" s="3483">
        <f ca="1">SUMIF(INDIRECT("'"&amp;D4&amp;"'"&amp;"!A:A"),结果表!B20,INDIRECT("'"&amp;D4&amp;"'"&amp;"!B:B"))</f>
        <v>11465</v>
      </c>
      <c r="E20" s="3480"/>
      <c r="F20" s="3481" t="s">
        <v>888</v>
      </c>
      <c r="G20" s="2078">
        <f ca="1">ROUND(C20*$C$18+D20*$D$18,0)</f>
        <v>12545</v>
      </c>
      <c r="H20" s="787" t="s">
        <v>889</v>
      </c>
      <c r="I20" s="3362"/>
    </row>
    <row r="21" ht="15" customHeight="1" spans="1:36">
      <c r="A21" s="1671"/>
      <c r="B21" s="3484" t="s">
        <v>890</v>
      </c>
      <c r="C21" s="3485">
        <f ca="1">SUMIF(INDIRECT("'"&amp;C4&amp;"'"&amp;"!A:A"),结果表!B21,INDIRECT("'"&amp;C4&amp;"'"&amp;"!B:B"))</f>
        <v>0</v>
      </c>
      <c r="D21" s="3486">
        <f ca="1">SUMIF(INDIRECT("'"&amp;D4&amp;"'"&amp;"!A:A"),结果表!B21,INDIRECT("'"&amp;D4&amp;"'"&amp;"!B:B"))</f>
        <v>0</v>
      </c>
      <c r="E21" s="3480"/>
      <c r="F21" s="3487" t="s">
        <v>891</v>
      </c>
      <c r="G21" s="2078">
        <f ca="1">ROUND(C21*$C$18+D21*$D$18,0)</f>
        <v>0</v>
      </c>
      <c r="H21" s="787" t="s">
        <v>889</v>
      </c>
      <c r="I21" s="3362"/>
    </row>
    <row r="22" ht="15" spans="1:36">
      <c r="A22" s="3488" t="s">
        <v>892</v>
      </c>
      <c r="B22" s="3489"/>
      <c r="C22" s="3490"/>
      <c r="D22" s="3491">
        <f ca="1">IF(C19&lt;D19,D19/C19-1,C19/D19-1)</f>
        <v>0.188399749634884</v>
      </c>
      <c r="E22" s="3492"/>
      <c r="F22" s="3493"/>
      <c r="G22" s="3494" t="e">
        <f ca="1">ROUND(G19/('数据-汇总表'!D3/666.67),0)</f>
        <v>#DIV/0!</v>
      </c>
      <c r="H22" s="3495" t="s">
        <v>893</v>
      </c>
      <c r="I22" s="3362"/>
    </row>
    <row r="23" ht="14.25" spans="1:36">
      <c r="A23" s="3447"/>
      <c r="B23" s="3447"/>
      <c r="C23" s="3447"/>
      <c r="D23" s="3447"/>
      <c r="E23" s="3362"/>
      <c r="F23" s="3362"/>
      <c r="G23" s="3362"/>
      <c r="H23" s="3362"/>
      <c r="I23" s="3362"/>
    </row>
    <row r="24" ht="14.25" spans="1:36">
      <c r="A24" s="1465" t="s">
        <v>894</v>
      </c>
      <c r="B24" s="3475" t="s">
        <v>885</v>
      </c>
      <c r="C24" s="3478">
        <f>IF(B30=0,0,D30)</f>
        <v>0</v>
      </c>
      <c r="D24" s="3496"/>
      <c r="E24" s="3362"/>
      <c r="F24" s="3362"/>
      <c r="G24" s="3362"/>
      <c r="H24" s="3362"/>
      <c r="I24" s="3362"/>
    </row>
    <row r="25" ht="14.25" spans="1:36">
      <c r="A25" s="3497"/>
      <c r="B25" s="3498" t="s">
        <v>895</v>
      </c>
      <c r="C25" s="3499">
        <f>IF(B30=0,0,C30)</f>
        <v>0</v>
      </c>
      <c r="D25" s="3500"/>
      <c r="E25" s="3362"/>
      <c r="F25" s="3362"/>
      <c r="G25" s="3362"/>
      <c r="H25" s="3362"/>
      <c r="I25" s="3362"/>
    </row>
    <row r="26" ht="13.5" customHeight="1" spans="1:36">
      <c r="A26" s="3501" t="s">
        <v>896</v>
      </c>
      <c r="B26" s="3502" t="s">
        <v>897</v>
      </c>
      <c r="C26" s="3502" t="s">
        <v>898</v>
      </c>
      <c r="D26" s="3503" t="s">
        <v>899</v>
      </c>
      <c r="E26" s="3362"/>
      <c r="F26" s="3362"/>
      <c r="G26" s="3362"/>
      <c r="H26" s="3362"/>
      <c r="I26" s="3362"/>
    </row>
    <row r="27" ht="14.25" spans="1:36">
      <c r="A27" s="3501"/>
      <c r="B27" s="3504">
        <v>0</v>
      </c>
      <c r="C27" s="3504">
        <v>0</v>
      </c>
      <c r="D27" s="3505">
        <f>ROUND(C27*B27/10000,0)</f>
        <v>0</v>
      </c>
      <c r="E27" s="3362"/>
      <c r="F27" s="3362"/>
      <c r="G27" s="3362"/>
      <c r="H27" s="3362"/>
      <c r="I27" s="3362"/>
    </row>
    <row r="28" ht="14.25" spans="1:36">
      <c r="A28" s="3501"/>
      <c r="B28" s="3504"/>
      <c r="C28" s="3504"/>
      <c r="D28" s="3505"/>
      <c r="E28" s="3362"/>
      <c r="F28" s="3362"/>
      <c r="G28" s="3362"/>
      <c r="H28" s="3362"/>
      <c r="I28" s="3362"/>
    </row>
    <row r="29" ht="14.25" spans="1:36">
      <c r="A29" s="3501"/>
      <c r="B29" s="3504"/>
      <c r="C29" s="3504"/>
      <c r="D29" s="3505"/>
      <c r="E29" s="3362"/>
      <c r="F29" s="3362"/>
      <c r="G29" s="3362"/>
      <c r="H29" s="3362"/>
      <c r="I29" s="3362"/>
    </row>
    <row r="30" ht="15" spans="1:36">
      <c r="A30" s="3502" t="s">
        <v>900</v>
      </c>
      <c r="B30" s="3504"/>
      <c r="C30" s="3504"/>
      <c r="D30" s="3504"/>
      <c r="E30" s="3506" t="s">
        <v>901</v>
      </c>
      <c r="F30" s="3362"/>
      <c r="G30" s="3362"/>
      <c r="H30" s="3362"/>
      <c r="I30" s="3362"/>
    </row>
    <row r="31" s="3441" customFormat="1" ht="26.45" customHeight="1" spans="1:36">
      <c r="A31" s="3507"/>
      <c r="B31" s="3508"/>
      <c r="C31" s="3508"/>
      <c r="D31" s="3508"/>
      <c r="E31" s="3508"/>
      <c r="F31" s="3508"/>
      <c r="G31" s="3508"/>
      <c r="H31" s="3508"/>
      <c r="I31" s="3509" t="s">
        <v>902</v>
      </c>
      <c r="J31" s="3510"/>
      <c r="K31" s="3511"/>
      <c r="L31" s="3511"/>
      <c r="M31" s="3511"/>
      <c r="N31" s="3511"/>
      <c r="O31" s="3511"/>
      <c r="P31" s="3511"/>
      <c r="Q31" s="3511"/>
      <c r="R31" s="3511"/>
      <c r="S31" s="3511"/>
      <c r="T31" s="3511"/>
      <c r="U31" s="3511"/>
      <c r="V31" s="3511"/>
      <c r="W31" s="3511"/>
      <c r="X31" s="3511"/>
      <c r="Y31" s="3511"/>
      <c r="Z31" s="3511"/>
      <c r="AA31" s="3511"/>
      <c r="AB31" s="3512"/>
      <c r="AC31" s="3512"/>
      <c r="AD31" s="3512"/>
      <c r="AE31" s="3512"/>
      <c r="AF31" s="3512"/>
      <c r="AG31" s="3512"/>
      <c r="AH31" s="3512"/>
      <c r="AI31" s="3512"/>
      <c r="AJ31" s="3512"/>
    </row>
    <row r="32" ht="16.5" spans="1:36">
      <c r="A32" s="3513" t="s">
        <v>903</v>
      </c>
      <c r="B32" s="3514"/>
      <c r="C32" s="3515">
        <f ca="1">IF(D32="总价",G19-C24,G20-C25)</f>
        <v>26223</v>
      </c>
      <c r="D32" s="3516" t="s">
        <v>904</v>
      </c>
      <c r="E32" s="3362"/>
      <c r="F32" s="3362"/>
      <c r="G32" s="3362"/>
      <c r="H32" s="3362"/>
      <c r="I32" s="3362"/>
    </row>
    <row r="33" ht="15" spans="1:19">
      <c r="A33" s="3517" t="s">
        <v>905</v>
      </c>
      <c r="B33" s="3518"/>
      <c r="C33" s="3519" t="s">
        <v>906</v>
      </c>
      <c r="D33" s="3520" t="s">
        <v>732</v>
      </c>
      <c r="E33" s="3521" t="s">
        <v>907</v>
      </c>
      <c r="F33" s="3522" t="str">
        <f>IF(D32="楼面单价","取值（单价）","取值（总价）")</f>
        <v>取值（总价）</v>
      </c>
      <c r="G33" s="3362"/>
      <c r="H33" s="3362"/>
      <c r="I33" s="3362"/>
    </row>
    <row r="34" ht="15" spans="1:19">
      <c r="A34" s="3523"/>
      <c r="B34" s="3524" t="s">
        <v>908</v>
      </c>
      <c r="C34" s="3525">
        <f ca="1">IF(C33="自定义",F34,C32-C35)</f>
        <v>16442</v>
      </c>
      <c r="D34" s="3526">
        <f ca="1">IF(C33="自定义",ROUND(C34/C32,3),IF(C33="收益比率",SUMIF(INDIRECT("'"&amp;D33&amp;"'"&amp;"!b:b"),"土地收益比率",INDIRECT("'"&amp;D33&amp;"'"&amp;"!c:c")),SUMIF(INDIRECT("'"&amp;D33&amp;"'"&amp;"!b:b"),"土地成本比率",INDIRECT("'"&amp;D33&amp;"'"&amp;"!c:c"))))</f>
        <v>0.627</v>
      </c>
      <c r="E34" s="3527" t="s">
        <v>909</v>
      </c>
      <c r="F34" s="3528"/>
      <c r="G34" s="3362"/>
      <c r="H34" s="3362"/>
      <c r="I34" s="3362"/>
    </row>
    <row r="35" ht="15.75" spans="1:19">
      <c r="A35" s="3529"/>
      <c r="B35" s="3530" t="s">
        <v>910</v>
      </c>
      <c r="C35" s="3531">
        <f ca="1">IF(C33="自定义",F35,ROUND(C32*D35,0))</f>
        <v>9781</v>
      </c>
      <c r="D35" s="3532">
        <f ca="1">IF(C33="自定义",ROUND(C35/C32,3),IF(C33="收益比率",SUMIF(INDIRECT("'"&amp;D33&amp;"'"&amp;"!b:b"),"建筑物收益比率",INDIRECT("'"&amp;D33&amp;"'"&amp;"!c:c")),SUMIF(INDIRECT("'"&amp;D33&amp;"'"&amp;"!b:b"),"建筑物成本比率",INDIRECT("'"&amp;D33&amp;"'"&amp;"!c:c"))))</f>
        <v>0.373</v>
      </c>
      <c r="E35" s="3533" t="s">
        <v>911</v>
      </c>
      <c r="F35" s="3534"/>
      <c r="G35" s="3362"/>
      <c r="H35" s="3362"/>
      <c r="I35" s="3362"/>
    </row>
    <row r="36" ht="15.75" spans="1:19">
      <c r="A36" s="3535" t="s">
        <v>912</v>
      </c>
      <c r="B36" s="3536" t="s">
        <v>913</v>
      </c>
      <c r="C36" s="3537"/>
      <c r="D36" s="3538"/>
      <c r="E36" s="3539"/>
      <c r="F36" s="3540"/>
      <c r="G36" s="3362"/>
      <c r="H36" s="3362"/>
      <c r="I36" s="3362"/>
    </row>
    <row r="37" ht="15.75" spans="1:19">
      <c r="A37" s="3541"/>
      <c r="B37" s="1464" t="s">
        <v>914</v>
      </c>
      <c r="C37" s="3542"/>
      <c r="D37" s="3543"/>
      <c r="E37" s="3543"/>
      <c r="F37" s="3540"/>
      <c r="G37" s="3362"/>
      <c r="H37" s="3362"/>
      <c r="I37" s="3362"/>
    </row>
    <row r="38" ht="15.75" spans="1:19">
      <c r="A38" s="3544"/>
      <c r="B38" s="3545" t="s">
        <v>915</v>
      </c>
      <c r="C38" s="3546"/>
      <c r="D38" s="3547" t="s">
        <v>916</v>
      </c>
      <c r="E38" s="3543"/>
      <c r="F38" s="3540"/>
      <c r="G38" s="3362"/>
      <c r="H38" s="3362"/>
      <c r="I38" s="3362"/>
    </row>
    <row r="39" ht="14.25" spans="1:19">
      <c r="A39" s="3480" t="s">
        <v>917</v>
      </c>
      <c r="B39" s="3548" t="s">
        <v>897</v>
      </c>
      <c r="C39" s="3549" t="s">
        <v>898</v>
      </c>
      <c r="D39" s="3549" t="s">
        <v>918</v>
      </c>
      <c r="E39" s="3550" t="s">
        <v>899</v>
      </c>
      <c r="F39" s="3540"/>
      <c r="G39" s="3362"/>
      <c r="H39" s="3362"/>
      <c r="I39" s="3362"/>
    </row>
    <row r="40" ht="14.25" spans="1:19">
      <c r="A40" s="3551" t="s">
        <v>919</v>
      </c>
      <c r="B40" s="3552"/>
      <c r="C40" s="3553"/>
      <c r="D40" s="3553"/>
      <c r="E40" s="3554"/>
      <c r="F40" s="3540"/>
      <c r="G40" s="3362"/>
      <c r="H40" s="3362"/>
      <c r="I40" s="3362"/>
    </row>
    <row r="41" ht="14.25" spans="1:19">
      <c r="A41" s="3551" t="s">
        <v>920</v>
      </c>
      <c r="B41" s="3552"/>
      <c r="C41" s="3553"/>
      <c r="D41" s="3553"/>
      <c r="E41" s="3554"/>
      <c r="F41" s="3540"/>
      <c r="G41" s="3362"/>
      <c r="H41" s="3362"/>
      <c r="I41" s="3362"/>
    </row>
    <row r="42" ht="15" spans="1:19">
      <c r="A42" s="3555"/>
      <c r="B42" s="3556"/>
      <c r="C42" s="3557"/>
      <c r="D42" s="3557"/>
      <c r="E42" s="3534"/>
      <c r="F42" s="3540"/>
      <c r="G42" s="3362"/>
      <c r="H42" s="3362"/>
      <c r="I42" s="3362"/>
    </row>
    <row r="43" ht="13.5" spans="1:19">
      <c r="A43" s="3558"/>
      <c r="B43" s="3558"/>
      <c r="C43" s="3558"/>
      <c r="D43" s="3558"/>
      <c r="E43" s="3558"/>
      <c r="F43" s="3559"/>
      <c r="G43" s="3559"/>
      <c r="H43" s="3559"/>
      <c r="I43" s="3560"/>
    </row>
    <row r="44" ht="18.75" spans="1:19">
      <c r="A44" s="3561" t="s">
        <v>921</v>
      </c>
      <c r="B44" s="3562"/>
      <c r="C44" s="3562"/>
      <c r="D44" s="3563"/>
      <c r="E44" s="3563"/>
      <c r="F44" s="3564"/>
      <c r="G44" s="3564"/>
      <c r="H44" s="3564"/>
      <c r="I44" s="3564"/>
      <c r="J44" s="3565" t="s">
        <v>922</v>
      </c>
      <c r="K44" s="958"/>
      <c r="L44" s="958"/>
      <c r="M44" s="958"/>
      <c r="N44" s="958"/>
      <c r="O44" s="958"/>
    </row>
    <row r="45" ht="14.25" customHeight="1" spans="1:19">
      <c r="A45" s="3566" t="s">
        <v>923</v>
      </c>
      <c r="B45" s="3567"/>
      <c r="C45" s="3568"/>
      <c r="D45" s="2603">
        <f ca="1">ROUND(H101*F45,0)</f>
        <v>26223</v>
      </c>
      <c r="E45" s="3569" t="s">
        <v>924</v>
      </c>
      <c r="F45" s="3570">
        <v>1</v>
      </c>
      <c r="G45" s="3571" t="s">
        <v>925</v>
      </c>
      <c r="H45" s="3362"/>
      <c r="I45" s="3362"/>
      <c r="J45" s="3572" t="s">
        <v>926</v>
      </c>
      <c r="K45" s="3572"/>
      <c r="L45" s="3572"/>
      <c r="M45" s="3572"/>
      <c r="N45" s="3572"/>
      <c r="O45" s="3572"/>
    </row>
    <row r="46" ht="14.25" customHeight="1" spans="1:19">
      <c r="A46" s="3573" t="s">
        <v>927</v>
      </c>
      <c r="B46" s="3574"/>
      <c r="C46" s="3574"/>
      <c r="D46" s="3574"/>
      <c r="E46" s="3574"/>
      <c r="F46" s="3574"/>
      <c r="G46" s="3575"/>
      <c r="H46" s="3576"/>
      <c r="I46" s="3363"/>
      <c r="J46" s="986">
        <v>1</v>
      </c>
      <c r="K46" s="3577" t="s">
        <v>928</v>
      </c>
      <c r="L46" s="3577"/>
      <c r="M46" s="3578"/>
      <c r="N46" s="3578"/>
      <c r="O46" s="3578"/>
    </row>
    <row r="47" ht="12" customHeight="1" spans="1:19">
      <c r="A47" s="3579" t="s">
        <v>929</v>
      </c>
      <c r="B47" s="3580"/>
      <c r="C47" s="3581"/>
      <c r="D47" s="2643" t="s">
        <v>930</v>
      </c>
      <c r="E47" s="1320" t="s">
        <v>931</v>
      </c>
      <c r="F47" s="3238" t="s">
        <v>932</v>
      </c>
      <c r="G47" s="3582" t="s">
        <v>933</v>
      </c>
      <c r="H47" s="3583"/>
      <c r="I47" s="3363"/>
      <c r="J47" s="986">
        <v>2</v>
      </c>
      <c r="K47" s="3577" t="s">
        <v>934</v>
      </c>
      <c r="L47" s="3577"/>
      <c r="M47" s="3584">
        <f>'数据-取费表'!B2</f>
        <v>46086</v>
      </c>
      <c r="N47" s="3584"/>
      <c r="O47" s="3584"/>
    </row>
    <row r="48" ht="24.75" spans="1:19">
      <c r="A48" s="3585" t="s">
        <v>935</v>
      </c>
      <c r="B48" s="2662"/>
      <c r="C48" s="2662"/>
      <c r="D48" s="3586">
        <f ca="1">ROUND(IF(H48="情况1",0,IF(H48="情况2",D52,IF(H48="情况3",D53,IF(H48="情况4",D54))))*(1+'数据-取费表'!B44),0)</f>
        <v>1399</v>
      </c>
      <c r="E48" s="2662" t="str">
        <f>IF(H48="情况4","(销售额-原购置价)×税（费）率","销售额×税（费）率")</f>
        <v>销售额×税（费）率</v>
      </c>
      <c r="F48" s="3587">
        <f>IF(H48="情况1","免征",'数据-取费表'!B42)</f>
        <v>0</v>
      </c>
      <c r="G48" s="3588" t="s">
        <v>936</v>
      </c>
      <c r="H48" s="3589" t="s">
        <v>937</v>
      </c>
      <c r="I48" s="3576"/>
      <c r="J48" s="986">
        <v>3</v>
      </c>
      <c r="K48" s="3577" t="s">
        <v>938</v>
      </c>
      <c r="L48" s="3577"/>
      <c r="M48" s="3590">
        <f ca="1">H101</f>
        <v>26223</v>
      </c>
      <c r="N48" s="3590"/>
      <c r="O48" s="3590"/>
      <c r="R48" s="3591" t="s">
        <v>939</v>
      </c>
      <c r="S48" s="3592"/>
    </row>
    <row r="49" ht="25.5" customHeight="1" spans="1:35">
      <c r="A49" s="3585" t="s">
        <v>940</v>
      </c>
      <c r="B49" s="2648" t="s">
        <v>941</v>
      </c>
      <c r="C49" s="2648"/>
      <c r="D49" s="3593">
        <v>0</v>
      </c>
      <c r="E49" s="2669" t="s">
        <v>942</v>
      </c>
      <c r="F49" s="3594" t="s">
        <v>124</v>
      </c>
      <c r="G49" s="3595"/>
      <c r="H49" s="3596" t="s">
        <v>943</v>
      </c>
      <c r="I49" s="3597"/>
      <c r="J49" s="986">
        <v>4</v>
      </c>
      <c r="K49" s="3577" t="str">
        <f>IF(项目基本情况!E8="房地产抵押价值","房地产抵押价值","抵押担保权已注销时的房地产抵押价值")</f>
        <v>房地产抵押价值</v>
      </c>
      <c r="L49" s="3577"/>
      <c r="M49" s="3590">
        <f ca="1">IF(项目基本情况!E8="房地产抵押价值",H107,H109)</f>
        <v>26223</v>
      </c>
      <c r="N49" s="3590"/>
      <c r="O49" s="3590"/>
      <c r="R49" s="3598" t="s">
        <v>944</v>
      </c>
      <c r="S49" s="3591" t="s">
        <v>945</v>
      </c>
    </row>
    <row r="50" ht="25.5" customHeight="1" spans="1:35">
      <c r="A50" s="3599"/>
      <c r="B50" s="2648" t="s">
        <v>946</v>
      </c>
      <c r="C50" s="2648"/>
      <c r="D50" s="3600"/>
      <c r="E50" s="2685"/>
      <c r="F50" s="3594"/>
      <c r="G50" s="3601"/>
      <c r="H50" s="3602" t="s">
        <v>947</v>
      </c>
      <c r="I50" s="3597"/>
      <c r="J50" s="3572" t="s">
        <v>948</v>
      </c>
      <c r="K50" s="3572"/>
      <c r="L50" s="3572"/>
      <c r="M50" s="3572"/>
      <c r="N50" s="3572"/>
      <c r="O50" s="3572"/>
      <c r="R50" s="3598" t="s">
        <v>949</v>
      </c>
      <c r="S50" s="3591" t="s">
        <v>950</v>
      </c>
    </row>
    <row r="51" ht="20.45" customHeight="1" spans="1:35">
      <c r="A51" s="3603"/>
      <c r="B51" s="2648" t="s">
        <v>951</v>
      </c>
      <c r="C51" s="2648"/>
      <c r="D51" s="2598"/>
      <c r="E51" s="2674"/>
      <c r="F51" s="3594"/>
      <c r="G51" s="3604"/>
      <c r="H51" s="3602" t="s">
        <v>952</v>
      </c>
      <c r="I51" s="3597"/>
      <c r="J51" s="3577" t="s">
        <v>953</v>
      </c>
      <c r="K51" s="3577" t="s">
        <v>954</v>
      </c>
      <c r="L51" s="3577"/>
      <c r="M51" s="3577" t="s">
        <v>955</v>
      </c>
      <c r="N51" s="3577" t="s">
        <v>956</v>
      </c>
      <c r="O51" s="3577" t="s">
        <v>957</v>
      </c>
      <c r="R51" s="3598" t="s">
        <v>958</v>
      </c>
      <c r="S51" s="3592" t="s">
        <v>959</v>
      </c>
    </row>
    <row r="52" ht="24" customHeight="1" spans="1:35">
      <c r="A52" s="3605" t="s">
        <v>960</v>
      </c>
      <c r="B52" s="2648" t="s">
        <v>961</v>
      </c>
      <c r="C52" s="2648"/>
      <c r="D52" s="2598">
        <f ca="1">ROUND(D45*F52/(1+F52),0)</f>
        <v>764</v>
      </c>
      <c r="E52" s="2662" t="s">
        <v>962</v>
      </c>
      <c r="F52" s="3606">
        <v>0.03</v>
      </c>
      <c r="G52" s="3607" t="s">
        <v>963</v>
      </c>
      <c r="H52" s="1356"/>
      <c r="I52" s="3608"/>
      <c r="J52" s="986">
        <v>1</v>
      </c>
      <c r="K52" s="986" t="s">
        <v>964</v>
      </c>
      <c r="L52" s="986"/>
      <c r="M52" s="3609">
        <f ca="1">IF(D48&lt;=0,0,D48)</f>
        <v>1399</v>
      </c>
      <c r="N52" s="986" t="str">
        <f>E48</f>
        <v>销售额×税（费）率</v>
      </c>
      <c r="O52" s="3610">
        <f>F48</f>
        <v>0</v>
      </c>
      <c r="P52" s="3277">
        <f ca="1">M52</f>
        <v>1399</v>
      </c>
      <c r="R52" s="3591" t="s">
        <v>371</v>
      </c>
      <c r="S52" s="3591" t="s">
        <v>965</v>
      </c>
    </row>
    <row r="53" ht="12" customHeight="1" spans="1:35">
      <c r="A53" s="3605" t="s">
        <v>966</v>
      </c>
      <c r="B53" s="2647" t="s">
        <v>967</v>
      </c>
      <c r="C53" s="3611"/>
      <c r="D53" s="2598">
        <f ca="1">IF(G53="2016年5月1日之前项目",ROUND(D45*F53/(1+F53),0),H63)</f>
        <v>1249</v>
      </c>
      <c r="E53" s="2662" t="str">
        <f>IF(G53="2016年5月1日之前项目","全额计税","进销项计算")</f>
        <v>全额计税</v>
      </c>
      <c r="F53" s="3606">
        <f>IF(G53="2016年5月1日之前项目",5%,9%)</f>
        <v>0.05</v>
      </c>
      <c r="G53" s="3612" t="s">
        <v>968</v>
      </c>
      <c r="H53" s="1356"/>
      <c r="I53" s="3608"/>
      <c r="J53" s="986">
        <v>2</v>
      </c>
      <c r="K53" s="986" t="s">
        <v>969</v>
      </c>
      <c r="L53" s="986"/>
      <c r="M53" s="3609">
        <f ca="1" t="shared" ref="M53:O54" si="0">D55</f>
        <v>13</v>
      </c>
      <c r="N53" s="986" t="str">
        <f t="shared" si="0"/>
        <v>销售额×税（费）率</v>
      </c>
      <c r="O53" s="3610">
        <f t="shared" si="0"/>
        <v>0.0005</v>
      </c>
      <c r="P53" s="3277">
        <f ca="1">M53</f>
        <v>13</v>
      </c>
      <c r="R53" s="3591" t="s">
        <v>970</v>
      </c>
      <c r="S53" s="3592" t="s">
        <v>971</v>
      </c>
    </row>
    <row r="54" ht="12" customHeight="1" spans="1:35">
      <c r="A54" s="3605" t="s">
        <v>972</v>
      </c>
      <c r="B54" s="2647" t="s">
        <v>973</v>
      </c>
      <c r="C54" s="3611"/>
      <c r="D54" s="2598">
        <f ca="1">IF(G54="2016年5月1日之前项目",C68,H63)</f>
        <v>1311</v>
      </c>
      <c r="E54" s="3613" t="str">
        <f>IF(G54="2016年5月1日之前项目","差额计税","进销项计算")</f>
        <v>差额计税</v>
      </c>
      <c r="F54" s="3606">
        <f>IF(G54="2016年5月1日之前项目",5%,9%)</f>
        <v>0.05</v>
      </c>
      <c r="G54" s="3612" t="s">
        <v>968</v>
      </c>
      <c r="H54" s="3614"/>
      <c r="I54" s="3608"/>
      <c r="J54" s="986">
        <v>3</v>
      </c>
      <c r="K54" s="986" t="s">
        <v>974</v>
      </c>
      <c r="L54" s="986"/>
      <c r="M54" s="3609">
        <f ca="1" t="shared" si="0"/>
        <v>11692</v>
      </c>
      <c r="N54" s="986" t="str">
        <f t="shared" si="0"/>
        <v>增值额×税（费）率</v>
      </c>
      <c r="O54" s="3615" t="str">
        <f t="shared" si="0"/>
        <v>——</v>
      </c>
      <c r="P54" s="3362">
        <f ca="1">ROUND(M49/1.05*0.05,0)</f>
        <v>1249</v>
      </c>
      <c r="R54" s="3598" t="s">
        <v>975</v>
      </c>
      <c r="S54" s="3592" t="s">
        <v>976</v>
      </c>
    </row>
    <row r="55" ht="24" customHeight="1" spans="1:35">
      <c r="A55" s="3605" t="s">
        <v>977</v>
      </c>
      <c r="B55" s="2662"/>
      <c r="C55" s="2662"/>
      <c r="D55" s="3586">
        <f ca="1">IF(H55="个人住宅",0,ROUND(D45*I55,0))</f>
        <v>13</v>
      </c>
      <c r="E55" s="2662" t="s">
        <v>978</v>
      </c>
      <c r="F55" s="3606">
        <f>IF(H55="正常",I55,"免征")</f>
        <v>0.0005</v>
      </c>
      <c r="G55" s="1321"/>
      <c r="H55" s="3589" t="s">
        <v>979</v>
      </c>
      <c r="I55" s="3616">
        <f>'数据-取费表'!B50</f>
        <v>0.0005</v>
      </c>
      <c r="J55" s="986" t="str">
        <f>IF(H59="非个人房产","",4)</f>
        <v/>
      </c>
      <c r="K55" s="986" t="str">
        <f>IF(H59="非个人房产","——","个人所得税")</f>
        <v>——</v>
      </c>
      <c r="L55" s="986"/>
      <c r="M55" s="3617" t="str">
        <f ca="1">D59</f>
        <v>——</v>
      </c>
      <c r="N55" s="961" t="str">
        <f>E59</f>
        <v>——</v>
      </c>
      <c r="O55" s="3618" t="str">
        <f>F59</f>
        <v>——</v>
      </c>
      <c r="R55" s="3598" t="s">
        <v>980</v>
      </c>
      <c r="S55" s="3592" t="s">
        <v>981</v>
      </c>
    </row>
    <row r="56" ht="24.75" spans="1:35">
      <c r="A56" s="3605" t="s">
        <v>982</v>
      </c>
      <c r="B56" s="2662"/>
      <c r="C56" s="2662"/>
      <c r="D56" s="3586">
        <f ca="1">IF(H56="个人住宅",D57,IF(H56="正常",D58,ROUND(D45*F56,0)))</f>
        <v>11692</v>
      </c>
      <c r="E56" s="2662" t="s">
        <v>983</v>
      </c>
      <c r="F56" s="3606" t="str">
        <f>IF(H56="正常",F58,IF(H56="按预征率计算",5%,"免征"))</f>
        <v>——</v>
      </c>
      <c r="G56" s="3619" t="s">
        <v>984</v>
      </c>
      <c r="H56" s="3620" t="s">
        <v>979</v>
      </c>
      <c r="I56" s="3621"/>
      <c r="J56" s="986" t="str">
        <f>IF(项目基本情况!K6="上海银行",IF(J55="",4,J55+1),"")</f>
        <v/>
      </c>
      <c r="K56" s="2650" t="str">
        <f>IF(项目基本情况!K6="上海银行","其他处置费用","")</f>
        <v/>
      </c>
      <c r="L56" s="808"/>
      <c r="M56" s="3609" t="str">
        <f ca="1">IF(项目基本情况!K6="上海银行",M69,"")</f>
        <v/>
      </c>
      <c r="N56" s="2650" t="str">
        <f>IF(项目基本情况!K6="上海银行","包含处置中涉及的律师、诉讼、拍卖、评估等费用","")</f>
        <v/>
      </c>
      <c r="O56" s="2611"/>
      <c r="R56" s="3592"/>
      <c r="S56" s="3592" t="s">
        <v>985</v>
      </c>
    </row>
    <row r="57" ht="13.5" spans="1:35">
      <c r="A57" s="3605" t="s">
        <v>940</v>
      </c>
      <c r="B57" s="2647" t="s">
        <v>986</v>
      </c>
      <c r="C57" s="3611"/>
      <c r="D57" s="3593">
        <v>0</v>
      </c>
      <c r="E57" s="2669" t="s">
        <v>942</v>
      </c>
      <c r="F57" s="1320"/>
      <c r="G57" s="1321"/>
      <c r="H57" s="3622"/>
      <c r="I57" s="3621"/>
      <c r="J57" s="986">
        <f>IF(AND(J55="",J56=""),4,IF(项目基本情况!K6="上海银行",结果表!J56+1,结果表!J55+1))</f>
        <v>4</v>
      </c>
      <c r="K57" s="986" t="s">
        <v>987</v>
      </c>
      <c r="L57" s="3623" t="s">
        <v>988</v>
      </c>
      <c r="M57" s="3624"/>
      <c r="N57" s="3625">
        <f ca="1">SUMIF(M52:M56,"&lt;9e307")</f>
        <v>13104</v>
      </c>
      <c r="O57" s="3626"/>
      <c r="P57" s="3627">
        <f ca="1">P52+P53+P54</f>
        <v>2661</v>
      </c>
      <c r="R57" s="3628" t="s">
        <v>989</v>
      </c>
      <c r="S57" s="3629"/>
    </row>
    <row r="58" ht="24.75" spans="1:35">
      <c r="A58" s="3605" t="s">
        <v>960</v>
      </c>
      <c r="B58" s="2647" t="s">
        <v>990</v>
      </c>
      <c r="C58" s="2648"/>
      <c r="D58" s="3586">
        <f ca="1">IF(H58="转让取得",C81,C97)</f>
        <v>11692</v>
      </c>
      <c r="E58" s="2662" t="s">
        <v>983</v>
      </c>
      <c r="F58" s="1320" t="s">
        <v>124</v>
      </c>
      <c r="G58" s="1321"/>
      <c r="H58" s="3620" t="s">
        <v>991</v>
      </c>
      <c r="I58" s="3621"/>
      <c r="J58" s="986"/>
      <c r="K58" s="986"/>
      <c r="L58" s="3623" t="s">
        <v>992</v>
      </c>
      <c r="M58" s="3630"/>
      <c r="N58" s="3631" t="str">
        <f ca="1">NUMBERSTRING(INT(N57*10000),2)&amp;"元整"</f>
        <v>壹亿叁仟壹佰零肆万元整</v>
      </c>
      <c r="O58" s="3632"/>
      <c r="R58" s="3633"/>
      <c r="S58" s="3634"/>
    </row>
    <row r="59" ht="24.75" spans="1:35">
      <c r="A59" s="3635" t="s">
        <v>993</v>
      </c>
      <c r="B59" s="3636"/>
      <c r="C59" s="3636"/>
      <c r="D59" s="3637" t="str">
        <f ca="1">IF(H59="非个人房产","——",IF(H59="个人住宅（满五唯一有凭证）",0,IF(H59="个人其他（无凭证）",ROUND(D45/(1+'数据-取费表'!C43)*F59,0),ROUND(C67*F59,0))))</f>
        <v>——</v>
      </c>
      <c r="E59" s="3636" t="str">
        <f>IF(H59="非个人房产","——",IF(H59="个人其他（无凭证）","销售额×税（费）率",IF(H59="个人住宅（满五唯一有凭证）","免征","差额计税")))</f>
        <v>——</v>
      </c>
      <c r="F59" s="3638" t="str">
        <f>IF(OR(H59="非个人房产",H59="个人住宅（满五唯一有凭证）"),"——",IF(H59="个人其他（有凭证）",20%,1%))</f>
        <v>——</v>
      </c>
      <c r="G59" s="3639" t="s">
        <v>984</v>
      </c>
      <c r="H59" s="3640" t="s">
        <v>994</v>
      </c>
      <c r="I59" s="3641" t="s">
        <v>995</v>
      </c>
      <c r="J59" s="961">
        <f>J57+1</f>
        <v>5</v>
      </c>
      <c r="K59" s="986" t="s">
        <v>996</v>
      </c>
      <c r="L59" s="986" t="s">
        <v>988</v>
      </c>
      <c r="M59" s="3642"/>
      <c r="N59" s="3643">
        <f ca="1">M49-N57</f>
        <v>13119</v>
      </c>
      <c r="O59" s="3644"/>
      <c r="P59" s="3277">
        <f ca="1">M49-P57</f>
        <v>23562</v>
      </c>
      <c r="R59" s="3591" t="s">
        <v>997</v>
      </c>
      <c r="S59" s="3591" t="s">
        <v>998</v>
      </c>
    </row>
    <row r="60" ht="12" customHeight="1" spans="1:35">
      <c r="A60" s="3645"/>
      <c r="B60" s="3447"/>
      <c r="C60" s="3447"/>
      <c r="D60" s="3447"/>
      <c r="E60" s="3646"/>
      <c r="F60" s="3621"/>
      <c r="G60" s="3621"/>
      <c r="H60" s="3647"/>
      <c r="I60" s="3362"/>
      <c r="J60" s="966"/>
      <c r="K60" s="986"/>
      <c r="L60" s="3623" t="s">
        <v>992</v>
      </c>
      <c r="M60" s="3630"/>
      <c r="N60" s="3631" t="str">
        <f ca="1">NUMBERSTRING(INT(N59*10000),2)&amp;"元整"</f>
        <v>壹亿叁仟壹佰壹拾玖万元整</v>
      </c>
      <c r="O60" s="3632"/>
      <c r="R60" s="3591" t="s">
        <v>999</v>
      </c>
      <c r="S60" s="3591" t="s">
        <v>1000</v>
      </c>
    </row>
    <row r="61" ht="14.25" spans="1:35">
      <c r="A61" s="3648" t="s">
        <v>1001</v>
      </c>
      <c r="B61" s="3649"/>
      <c r="C61" s="3649"/>
      <c r="D61" s="3649"/>
      <c r="E61" s="3650"/>
      <c r="F61" s="3651" t="s">
        <v>1002</v>
      </c>
      <c r="G61" s="3652"/>
      <c r="H61" s="3652"/>
      <c r="I61" s="3653"/>
      <c r="J61" s="1154">
        <f>J59+1</f>
        <v>6</v>
      </c>
      <c r="K61" s="986" t="s">
        <v>1003</v>
      </c>
      <c r="L61" s="986"/>
      <c r="M61" s="3654"/>
      <c r="N61" s="3655">
        <f ca="1">ROUND(N59*10000/'数据-汇总表'!E3,0)</f>
        <v>6276</v>
      </c>
      <c r="O61" s="3656"/>
      <c r="P61" s="3277">
        <f ca="1">ROUND(P59*10000/L18,0)</f>
        <v>11272</v>
      </c>
    </row>
    <row r="62" ht="13.5" customHeight="1" spans="1:35">
      <c r="A62" s="3657" t="s">
        <v>1004</v>
      </c>
      <c r="B62" s="3658" t="s">
        <v>1005</v>
      </c>
      <c r="C62" s="979" t="s">
        <v>1006</v>
      </c>
      <c r="D62" s="3659" t="s">
        <v>1007</v>
      </c>
      <c r="E62" s="3660" t="s">
        <v>1008</v>
      </c>
      <c r="F62" s="3661" t="s">
        <v>1004</v>
      </c>
      <c r="G62" s="3662" t="s">
        <v>1005</v>
      </c>
      <c r="H62" s="2854" t="s">
        <v>1006</v>
      </c>
      <c r="I62" s="3663" t="s">
        <v>1007</v>
      </c>
    </row>
    <row r="63" ht="13.5" spans="1:35">
      <c r="A63" s="3664" t="s">
        <v>1009</v>
      </c>
      <c r="B63" s="3665" t="s">
        <v>1010</v>
      </c>
      <c r="C63" s="918">
        <f ca="1">ROUND(C64+C65,0)</f>
        <v>26223</v>
      </c>
      <c r="D63" s="3666"/>
      <c r="E63" s="3667" t="s">
        <v>1011</v>
      </c>
      <c r="F63" s="3605">
        <v>1</v>
      </c>
      <c r="G63" s="2900" t="s">
        <v>970</v>
      </c>
      <c r="H63" s="3375">
        <f ca="1">H64-H66</f>
        <v>2165</v>
      </c>
      <c r="I63" s="3668"/>
      <c r="J63" s="3669" t="s">
        <v>1012</v>
      </c>
      <c r="K63" s="3670" t="s">
        <v>1013</v>
      </c>
      <c r="L63" s="3671">
        <f ca="1">IF(M49&gt;10000,M49*0.5%,IF(AND(M49&gt;1000,M49&lt;=10000),M49*1%,IF(AND(M49&gt;100,M49&lt;=1000),M49*3%,IF(AND(M49&gt;10,M49&lt;=100),M49*5%,M49*8%))))</f>
        <v>131.115</v>
      </c>
      <c r="M63" s="2973">
        <f ca="1">ROUND(L63,1)</f>
        <v>131.1</v>
      </c>
      <c r="N63" s="1368"/>
      <c r="Z63" s="3444"/>
      <c r="AI63" s="3445"/>
    </row>
    <row r="64" ht="14.25" customHeight="1" spans="1:35">
      <c r="A64" s="3672" t="s">
        <v>1014</v>
      </c>
      <c r="B64" s="3673" t="s">
        <v>1015</v>
      </c>
      <c r="C64" s="869">
        <f ca="1">D45</f>
        <v>26223</v>
      </c>
      <c r="D64" s="3674"/>
      <c r="E64" s="3675"/>
      <c r="F64" s="3605">
        <v>2</v>
      </c>
      <c r="G64" s="2900" t="s">
        <v>1016</v>
      </c>
      <c r="H64" s="3375">
        <f ca="1">ROUND(H65*I64/(1+I64),0)</f>
        <v>2165</v>
      </c>
      <c r="I64" s="3676">
        <v>0.09</v>
      </c>
      <c r="J64" s="3669"/>
      <c r="K64" s="3670" t="s">
        <v>1017</v>
      </c>
      <c r="L64" s="3671">
        <f ca="1">IF(M49&gt;2000,M49*0.5%,IF(AND(M49&gt;1000,M49&lt;=2000),M49*0.6%,IF(AND(M49&gt;500,M49&lt;=1000),M49*0.7%,IF(AND(M49&gt;200,M49&lt;=500),M49*0.8%,IF(AND(M49&gt;100,M49&lt;=200),M49*0.9%,IF(AND(M49&gt;50,M49&lt;=100),M49*1%,IF(AND(M49&gt;20,M49&lt;=50),M49*1.5%,IF(AND(M49&gt;10,M49&lt;=20),M49*2%,IF(AND(M49&gt;1,M49&lt;=10),M49*2.5%)))))))))</f>
        <v>131.115</v>
      </c>
      <c r="M64" s="2973">
        <f ca="1" t="shared" ref="M64:M65" si="1">ROUND(L64,1)</f>
        <v>131.1</v>
      </c>
      <c r="N64" s="1356" t="s">
        <v>1018</v>
      </c>
      <c r="Z64" s="3444"/>
      <c r="AI64" s="3445"/>
    </row>
    <row r="65" ht="14.25" customHeight="1" spans="1:35">
      <c r="A65" s="3672" t="s">
        <v>1019</v>
      </c>
      <c r="B65" s="3673" t="s">
        <v>1020</v>
      </c>
      <c r="C65" s="3677"/>
      <c r="D65" s="3678"/>
      <c r="E65" s="3675"/>
      <c r="F65" s="3672" t="s">
        <v>1014</v>
      </c>
      <c r="G65" s="3249" t="s">
        <v>1021</v>
      </c>
      <c r="H65" s="3375">
        <f ca="1">D45</f>
        <v>26223</v>
      </c>
      <c r="I65" s="3668"/>
      <c r="J65" s="3669"/>
      <c r="K65" s="3670" t="s">
        <v>1022</v>
      </c>
      <c r="L65" s="3671">
        <f ca="1">IF(M49&gt;1000,M49*0.1%,IF(AND(M49&gt;500,M49&lt;=1000),M49*0.5%,IF(AND(M49&gt;50,M49&lt;=500),M49*1%,IF(AND(M49&gt;1,M49&lt;=50),M49*1.5%))))</f>
        <v>26.223</v>
      </c>
      <c r="M65" s="2973">
        <f ca="1" t="shared" si="1"/>
        <v>26.2</v>
      </c>
      <c r="N65" s="1356" t="s">
        <v>1018</v>
      </c>
      <c r="Z65" s="3444"/>
      <c r="AI65" s="3445"/>
    </row>
    <row r="66" ht="14.25" customHeight="1" spans="1:35">
      <c r="A66" s="3664" t="s">
        <v>1023</v>
      </c>
      <c r="B66" s="3679" t="s">
        <v>1024</v>
      </c>
      <c r="C66" s="3677"/>
      <c r="D66" s="3680"/>
      <c r="E66" s="3675"/>
      <c r="F66" s="1220">
        <v>3</v>
      </c>
      <c r="G66" s="2900" t="s">
        <v>1025</v>
      </c>
      <c r="H66" s="1364">
        <f>ROUND(H67*I67,0)+ROUND(H68*I68,0)</f>
        <v>0</v>
      </c>
      <c r="I66" s="3681"/>
      <c r="J66" s="3669"/>
      <c r="K66" s="3670" t="s">
        <v>1026</v>
      </c>
      <c r="L66" s="3671">
        <f ca="1">M49*0.5%</f>
        <v>131.115</v>
      </c>
      <c r="M66" s="2973">
        <f ca="1">IF(L66&gt;0.5,0.5,ROUND(L66,0))</f>
        <v>0.5</v>
      </c>
      <c r="N66" s="1356" t="s">
        <v>1027</v>
      </c>
      <c r="Z66" s="3444"/>
      <c r="AI66" s="3445"/>
    </row>
    <row r="67" ht="14.25" customHeight="1" spans="1:35">
      <c r="A67" s="3664" t="s">
        <v>1028</v>
      </c>
      <c r="B67" s="3682" t="s">
        <v>1021</v>
      </c>
      <c r="C67" s="869">
        <f ca="1">C63-C66</f>
        <v>26223</v>
      </c>
      <c r="D67" s="3678"/>
      <c r="E67" s="3675"/>
      <c r="F67" s="3672" t="s">
        <v>1014</v>
      </c>
      <c r="G67" s="3249" t="s">
        <v>1029</v>
      </c>
      <c r="H67" s="3683"/>
      <c r="I67" s="3676">
        <v>0.09</v>
      </c>
      <c r="J67" s="3669"/>
      <c r="K67" s="3670" t="s">
        <v>1030</v>
      </c>
      <c r="L67" s="3671">
        <f ca="1">IF(M49&gt;=10000,(8.25+(M49-10000)*0.01%),IF(AND(M49&gt;=8000,M49&lt;10000),(7.85+(M49-8000)*0.02%),IF(AND(M49&gt;=5000,M49&lt;8000),(6.65+(M49-5000)*0.04%),IF(AND(M49&gt;=2000,M49&lt;5000),(4.25+(PM49-2000)*0.08%),IF(AND(M49&gt;=1000,M49&lt;2000),(2.75+(M49-1000)*0.15%),IF(AND(M49&gt;=100,M49&lt;1000),(0.5+(M49-100)*0.25%),IF(AND(M49&gt;0,M49&lt;100),M49*0.5%)))))))</f>
        <v>9.8723</v>
      </c>
      <c r="M67" s="2973">
        <f ca="1">ROUND(L67*0.9,1)</f>
        <v>8.9</v>
      </c>
      <c r="N67" s="1368"/>
      <c r="Z67" s="3444"/>
      <c r="AI67" s="3445"/>
    </row>
    <row r="68" ht="14.25" customHeight="1" spans="1:35">
      <c r="A68" s="3684" t="s">
        <v>1031</v>
      </c>
      <c r="B68" s="3685" t="s">
        <v>1032</v>
      </c>
      <c r="C68" s="3686">
        <f ca="1">IF(C67&lt;=0,0,ROUND(C67*D68,0))</f>
        <v>1311</v>
      </c>
      <c r="D68" s="3687">
        <v>0.05</v>
      </c>
      <c r="E68" s="3688"/>
      <c r="F68" s="3689" t="s">
        <v>1019</v>
      </c>
      <c r="G68" s="3690" t="s">
        <v>1033</v>
      </c>
      <c r="H68" s="3691"/>
      <c r="I68" s="3692">
        <v>0.06</v>
      </c>
      <c r="J68" s="3669"/>
      <c r="K68" s="3670" t="s">
        <v>1034</v>
      </c>
      <c r="L68" s="3671">
        <f ca="1">IF(M49&gt;10000,M49*0.5%,IF(AND(M49&gt;5000,M49&lt;=10000),M49*1%,IF(AND(M49&gt;1000,M49&lt;=5000),M49*2%,IF(AND(M49&gt;200,M49&lt;=1000),M49*3%,M49*5%))))</f>
        <v>131.115</v>
      </c>
      <c r="M68" s="2973">
        <f ca="1">ROUND(L68,1)</f>
        <v>131.1</v>
      </c>
      <c r="N68" s="1368"/>
      <c r="Z68" s="3444"/>
      <c r="AI68" s="3445"/>
    </row>
    <row r="69" s="3442" customFormat="1" ht="16.5" customHeight="1" spans="1:35">
      <c r="A69" s="3693"/>
      <c r="B69" s="3694"/>
      <c r="C69" s="3695"/>
      <c r="D69" s="1198"/>
      <c r="E69" s="3696"/>
      <c r="F69" s="3646"/>
      <c r="G69" s="3646"/>
      <c r="H69" s="3558"/>
      <c r="I69" s="3447"/>
      <c r="J69" s="3670"/>
      <c r="K69" s="3670" t="s">
        <v>1035</v>
      </c>
      <c r="L69" s="3671"/>
      <c r="M69" s="2973">
        <f ca="1">ROUND(SUM(M63:M68),0)</f>
        <v>429</v>
      </c>
      <c r="N69" s="3697">
        <f ca="1">M69/M49</f>
        <v>0.0163596842466537</v>
      </c>
      <c r="O69" s="3277"/>
      <c r="P69" s="3277"/>
      <c r="Q69" s="3277"/>
      <c r="R69" s="3277"/>
      <c r="S69" s="3277"/>
      <c r="T69" s="3277"/>
      <c r="U69" s="3277"/>
      <c r="V69" s="3277"/>
      <c r="W69" s="3277"/>
      <c r="X69" s="3277"/>
      <c r="Y69" s="3277"/>
      <c r="Z69" s="3444"/>
      <c r="AA69" s="3444"/>
      <c r="AB69" s="3444"/>
      <c r="AC69" s="3444"/>
      <c r="AD69" s="3444"/>
      <c r="AE69" s="3444"/>
      <c r="AF69" s="3444"/>
      <c r="AG69" s="3444"/>
      <c r="AH69" s="3444"/>
    </row>
    <row r="70" s="3443" customFormat="1" ht="15" spans="1:35">
      <c r="A70" s="3698" t="s">
        <v>1036</v>
      </c>
      <c r="B70" s="3699"/>
      <c r="C70" s="3699"/>
      <c r="D70" s="3699"/>
      <c r="E70" s="3699"/>
      <c r="F70" s="3699"/>
      <c r="G70" s="3699"/>
      <c r="H70" s="3699"/>
      <c r="I70" s="3700"/>
      <c r="J70" s="3701"/>
      <c r="K70" s="3701"/>
      <c r="L70" s="3701"/>
      <c r="M70" s="3701"/>
      <c r="N70" s="3702"/>
      <c r="O70" s="3702"/>
      <c r="P70" s="3702"/>
      <c r="Q70" s="3702"/>
      <c r="R70" s="3702"/>
      <c r="S70" s="3702"/>
      <c r="T70" s="3702"/>
      <c r="U70" s="3702"/>
      <c r="V70" s="3702"/>
      <c r="W70" s="3702"/>
      <c r="X70" s="3702"/>
      <c r="Y70" s="3702"/>
      <c r="Z70" s="3702"/>
      <c r="AA70" s="3703"/>
      <c r="AB70" s="3703"/>
      <c r="AC70" s="3703"/>
      <c r="AD70" s="3703"/>
      <c r="AE70" s="3703"/>
      <c r="AF70" s="3703"/>
      <c r="AG70" s="3703"/>
      <c r="AH70" s="3703"/>
      <c r="AI70" s="3703"/>
    </row>
    <row r="71" s="3443" customFormat="1" ht="14.25" spans="1:35">
      <c r="A71" s="3704" t="s">
        <v>1037</v>
      </c>
      <c r="B71" s="904"/>
      <c r="C71" s="904"/>
      <c r="D71" s="904" t="s">
        <v>1038</v>
      </c>
      <c r="E71" s="3705" t="s">
        <v>933</v>
      </c>
      <c r="F71" s="3706"/>
      <c r="G71" s="3706"/>
      <c r="H71" s="3707"/>
      <c r="I71" s="3708"/>
      <c r="J71" s="3701"/>
      <c r="K71" s="3701"/>
      <c r="L71" s="3701"/>
      <c r="M71" s="3701"/>
      <c r="N71" s="3702"/>
      <c r="O71" s="3702"/>
      <c r="P71" s="3702"/>
      <c r="Q71" s="3702"/>
      <c r="R71" s="3702"/>
      <c r="S71" s="3702"/>
      <c r="T71" s="3702"/>
      <c r="U71" s="3702"/>
      <c r="V71" s="3702"/>
      <c r="W71" s="3702"/>
      <c r="X71" s="3702"/>
      <c r="Y71" s="3702"/>
      <c r="Z71" s="3702"/>
      <c r="AA71" s="3703"/>
      <c r="AB71" s="3703"/>
      <c r="AC71" s="3703"/>
      <c r="AD71" s="3703"/>
      <c r="AE71" s="3703"/>
      <c r="AF71" s="3703"/>
      <c r="AG71" s="3703"/>
      <c r="AH71" s="3703"/>
      <c r="AI71" s="3703"/>
    </row>
    <row r="72" s="3443" customFormat="1" ht="14.25" spans="1:35">
      <c r="A72" s="3664" t="s">
        <v>1009</v>
      </c>
      <c r="B72" s="3709" t="s">
        <v>1039</v>
      </c>
      <c r="C72" s="3710">
        <f ca="1">ROUND(D45/(1+D72),0)</f>
        <v>24058</v>
      </c>
      <c r="D72" s="926">
        <v>0.09</v>
      </c>
      <c r="E72" s="2650" t="s">
        <v>1040</v>
      </c>
      <c r="F72" s="2648"/>
      <c r="G72" s="2648"/>
      <c r="H72" s="3711"/>
      <c r="I72" s="3708"/>
      <c r="J72" s="3701"/>
      <c r="K72" s="3701"/>
      <c r="L72" s="3701"/>
      <c r="M72" s="3701"/>
      <c r="N72" s="3702"/>
      <c r="O72" s="3702"/>
      <c r="P72" s="3702"/>
      <c r="Q72" s="3702"/>
      <c r="R72" s="3702"/>
      <c r="S72" s="3702"/>
      <c r="T72" s="3702"/>
      <c r="U72" s="3702"/>
      <c r="V72" s="3702"/>
      <c r="W72" s="3702"/>
      <c r="X72" s="3702"/>
      <c r="Y72" s="3702"/>
      <c r="Z72" s="3702"/>
      <c r="AA72" s="3703"/>
      <c r="AB72" s="3703"/>
      <c r="AC72" s="3703"/>
      <c r="AD72" s="3703"/>
      <c r="AE72" s="3703"/>
      <c r="AF72" s="3703"/>
      <c r="AG72" s="3703"/>
      <c r="AH72" s="3703"/>
      <c r="AI72" s="3703"/>
    </row>
    <row r="73" s="3443" customFormat="1" ht="14.25" spans="1:35">
      <c r="A73" s="3664" t="s">
        <v>1023</v>
      </c>
      <c r="B73" s="3238" t="s">
        <v>1041</v>
      </c>
      <c r="C73" s="3710">
        <f ca="1">C74+C78</f>
        <v>2887</v>
      </c>
      <c r="D73" s="869" t="s">
        <v>124</v>
      </c>
      <c r="E73" s="2647"/>
      <c r="F73" s="2648"/>
      <c r="G73" s="2648"/>
      <c r="H73" s="3711"/>
      <c r="I73" s="3708"/>
      <c r="J73" s="3702"/>
      <c r="K73" s="3702"/>
      <c r="L73" s="3702"/>
      <c r="M73" s="3702"/>
      <c r="N73" s="3702"/>
      <c r="O73" s="3702"/>
      <c r="P73" s="3702"/>
      <c r="Q73" s="3702"/>
      <c r="R73" s="3702"/>
      <c r="S73" s="3702"/>
      <c r="T73" s="3702"/>
      <c r="U73" s="3702"/>
      <c r="V73" s="3702"/>
      <c r="W73" s="3702"/>
      <c r="X73" s="3702"/>
      <c r="Y73" s="3702"/>
      <c r="Z73" s="3702"/>
      <c r="AA73" s="3703"/>
      <c r="AB73" s="3703"/>
      <c r="AC73" s="3703"/>
      <c r="AD73" s="3703"/>
      <c r="AE73" s="3703"/>
      <c r="AF73" s="3703"/>
      <c r="AG73" s="3703"/>
      <c r="AH73" s="3703"/>
      <c r="AI73" s="3703"/>
    </row>
    <row r="74" s="3443" customFormat="1" ht="24" spans="1:35">
      <c r="A74" s="3672" t="s">
        <v>1014</v>
      </c>
      <c r="B74" s="867" t="s">
        <v>1042</v>
      </c>
      <c r="C74" s="869">
        <f>ROUND(IF(G77="2016年5月1日后购买",C75/(1+D72)+C76+C77,C75+C76+C77),0)</f>
        <v>0</v>
      </c>
      <c r="D74" s="869" t="s">
        <v>124</v>
      </c>
      <c r="E74" s="2650" t="s">
        <v>1040</v>
      </c>
      <c r="F74" s="2648"/>
      <c r="G74" s="2648"/>
      <c r="H74" s="3711"/>
      <c r="I74" s="3708"/>
      <c r="J74" s="3702"/>
      <c r="K74" s="3702"/>
      <c r="L74" s="3702"/>
      <c r="M74" s="3702"/>
      <c r="N74" s="3702"/>
      <c r="O74" s="3702"/>
      <c r="P74" s="3702"/>
      <c r="Q74" s="3702"/>
      <c r="R74" s="3702"/>
      <c r="S74" s="3702"/>
      <c r="T74" s="3702"/>
      <c r="U74" s="3702"/>
      <c r="V74" s="3702"/>
      <c r="W74" s="3702"/>
      <c r="X74" s="3702"/>
      <c r="Y74" s="3702"/>
      <c r="Z74" s="3702"/>
      <c r="AA74" s="3703"/>
      <c r="AB74" s="3703"/>
      <c r="AC74" s="3703"/>
      <c r="AD74" s="3703"/>
      <c r="AE74" s="3703"/>
      <c r="AF74" s="3703"/>
      <c r="AG74" s="3703"/>
      <c r="AH74" s="3703"/>
      <c r="AI74" s="3703"/>
    </row>
    <row r="75" s="3443" customFormat="1" ht="14.25" spans="1:35">
      <c r="A75" s="3672" t="s">
        <v>1043</v>
      </c>
      <c r="B75" s="867" t="s">
        <v>1044</v>
      </c>
      <c r="C75" s="3677"/>
      <c r="D75" s="869" t="s">
        <v>124</v>
      </c>
      <c r="E75" s="3712" t="s">
        <v>1045</v>
      </c>
      <c r="F75" s="3713"/>
      <c r="G75" s="3712" t="s">
        <v>1046</v>
      </c>
      <c r="H75" s="3714"/>
      <c r="I75" s="1176"/>
      <c r="J75" s="3702"/>
      <c r="K75" s="3702"/>
      <c r="L75" s="3702"/>
      <c r="M75" s="3702"/>
      <c r="N75" s="3702"/>
      <c r="O75" s="3702"/>
      <c r="P75" s="3702"/>
      <c r="Q75" s="3702"/>
      <c r="R75" s="3702"/>
      <c r="S75" s="3702"/>
      <c r="T75" s="3702"/>
      <c r="U75" s="3702"/>
      <c r="V75" s="3702"/>
      <c r="W75" s="3702"/>
      <c r="X75" s="3702"/>
      <c r="Y75" s="3702"/>
      <c r="Z75" s="3702"/>
      <c r="AA75" s="3703"/>
      <c r="AB75" s="3703"/>
      <c r="AC75" s="3703"/>
      <c r="AD75" s="3703"/>
      <c r="AE75" s="3703"/>
      <c r="AF75" s="3703"/>
      <c r="AG75" s="3703"/>
      <c r="AH75" s="3703"/>
      <c r="AI75" s="3703"/>
    </row>
    <row r="76" s="3443" customFormat="1" ht="24.75" customHeight="1" spans="1:35">
      <c r="A76" s="3672" t="s">
        <v>1047</v>
      </c>
      <c r="B76" s="3715" t="s">
        <v>1048</v>
      </c>
      <c r="C76" s="869">
        <f>IF(F75="购房发票",ROUND(C75*H75*D76,0),0)</f>
        <v>0</v>
      </c>
      <c r="D76" s="3716">
        <v>0.05</v>
      </c>
      <c r="E76" s="2647" t="s">
        <v>1049</v>
      </c>
      <c r="F76" s="2648"/>
      <c r="G76" s="2648"/>
      <c r="H76" s="3717"/>
      <c r="I76" s="3708"/>
      <c r="J76" s="3702"/>
      <c r="K76" s="3702"/>
      <c r="L76" s="3702"/>
      <c r="M76" s="3702"/>
      <c r="N76" s="3702"/>
      <c r="O76" s="3702"/>
      <c r="P76" s="3702"/>
      <c r="Q76" s="3702"/>
      <c r="R76" s="3702"/>
      <c r="S76" s="3702"/>
      <c r="T76" s="3702"/>
      <c r="U76" s="3702"/>
      <c r="V76" s="3702"/>
      <c r="W76" s="3702"/>
      <c r="X76" s="3702"/>
      <c r="Y76" s="3702"/>
      <c r="Z76" s="3702"/>
      <c r="AA76" s="3703"/>
      <c r="AB76" s="3703"/>
      <c r="AC76" s="3703"/>
      <c r="AD76" s="3703"/>
      <c r="AE76" s="3703"/>
      <c r="AF76" s="3703"/>
      <c r="AG76" s="3703"/>
      <c r="AH76" s="3703"/>
      <c r="AI76" s="3703"/>
    </row>
    <row r="77" s="3443" customFormat="1" ht="24.75" customHeight="1" spans="1:35">
      <c r="A77" s="3672" t="s">
        <v>1050</v>
      </c>
      <c r="B77" s="867" t="s">
        <v>1051</v>
      </c>
      <c r="C77" s="869">
        <f>ROUND(IF(G77="个人住宅",0,IF(G77="2016年5月1日前购买",C75*D77,C75*D77/(1+D72))),0)</f>
        <v>0</v>
      </c>
      <c r="D77" s="3718">
        <f>'数据-取费表'!B49+'数据-取费表'!B50</f>
        <v>0.0305</v>
      </c>
      <c r="E77" s="2650" t="s">
        <v>1052</v>
      </c>
      <c r="F77" s="1456"/>
      <c r="G77" s="3719"/>
      <c r="H77" s="3717" t="str">
        <f>IF(G77="个人买卖住房","免征印花税"," ")</f>
        <v> </v>
      </c>
      <c r="I77" s="3708"/>
      <c r="J77" s="3702"/>
      <c r="K77" s="3702"/>
      <c r="L77" s="3702"/>
      <c r="M77" s="3702"/>
      <c r="N77" s="3702"/>
      <c r="O77" s="3702"/>
      <c r="P77" s="3702"/>
      <c r="Q77" s="3702"/>
      <c r="R77" s="3702"/>
      <c r="S77" s="3702"/>
      <c r="T77" s="3702"/>
      <c r="U77" s="3702"/>
      <c r="V77" s="3702"/>
      <c r="W77" s="3702"/>
      <c r="X77" s="3702"/>
      <c r="Y77" s="3702"/>
      <c r="Z77" s="3702"/>
      <c r="AA77" s="3703"/>
      <c r="AB77" s="3703"/>
      <c r="AC77" s="3703"/>
      <c r="AD77" s="3703"/>
      <c r="AE77" s="3703"/>
      <c r="AF77" s="3703"/>
      <c r="AG77" s="3703"/>
      <c r="AH77" s="3703"/>
      <c r="AI77" s="3703"/>
    </row>
    <row r="78" s="3443" customFormat="1" ht="24.75" customHeight="1" spans="1:35">
      <c r="A78" s="3672" t="s">
        <v>1019</v>
      </c>
      <c r="B78" s="867" t="s">
        <v>1053</v>
      </c>
      <c r="C78" s="869">
        <f ca="1">ROUND(C72*D78,0)</f>
        <v>2887</v>
      </c>
      <c r="D78" s="3720">
        <f>'数据-取费表'!B44</f>
        <v>0.12</v>
      </c>
      <c r="E78" s="3721" t="s">
        <v>1054</v>
      </c>
      <c r="F78" s="3722"/>
      <c r="G78" s="3722"/>
      <c r="H78" s="3723"/>
      <c r="I78" s="3724"/>
      <c r="J78" s="3702"/>
      <c r="K78" s="3702"/>
      <c r="L78" s="3702"/>
      <c r="M78" s="3702"/>
      <c r="N78" s="3702"/>
      <c r="O78" s="3702"/>
      <c r="P78" s="3702"/>
      <c r="Q78" s="3702"/>
      <c r="R78" s="3702"/>
      <c r="S78" s="3702"/>
      <c r="T78" s="3702"/>
      <c r="U78" s="3702"/>
      <c r="V78" s="3702"/>
      <c r="W78" s="3702"/>
      <c r="X78" s="3702"/>
      <c r="Y78" s="3702"/>
      <c r="Z78" s="3702"/>
      <c r="AA78" s="3703"/>
      <c r="AB78" s="3703"/>
      <c r="AC78" s="3703"/>
      <c r="AD78" s="3703"/>
      <c r="AE78" s="3703"/>
      <c r="AF78" s="3703"/>
      <c r="AG78" s="3703"/>
      <c r="AH78" s="3703"/>
      <c r="AI78" s="3703"/>
    </row>
    <row r="79" s="3443" customFormat="1" ht="14.25" spans="1:35">
      <c r="A79" s="3664" t="s">
        <v>1028</v>
      </c>
      <c r="B79" s="3709" t="s">
        <v>1055</v>
      </c>
      <c r="C79" s="3710">
        <f ca="1">C72-C73</f>
        <v>21171</v>
      </c>
      <c r="D79" s="869" t="s">
        <v>124</v>
      </c>
      <c r="E79" s="2647"/>
      <c r="F79" s="2648"/>
      <c r="G79" s="2648"/>
      <c r="H79" s="3711"/>
      <c r="I79" s="3708"/>
      <c r="J79" s="3702"/>
      <c r="K79" s="3702"/>
      <c r="L79" s="3702"/>
      <c r="M79" s="3702"/>
      <c r="N79" s="3702"/>
      <c r="O79" s="3702"/>
      <c r="P79" s="3702"/>
      <c r="Q79" s="3702"/>
      <c r="R79" s="3702"/>
      <c r="S79" s="3702"/>
      <c r="T79" s="3702"/>
      <c r="U79" s="3702"/>
      <c r="V79" s="3702"/>
      <c r="W79" s="3702"/>
      <c r="X79" s="3702"/>
      <c r="Y79" s="3702"/>
      <c r="Z79" s="3702"/>
      <c r="AA79" s="3703"/>
      <c r="AB79" s="3703"/>
      <c r="AC79" s="3703"/>
      <c r="AD79" s="3703"/>
      <c r="AE79" s="3703"/>
      <c r="AF79" s="3703"/>
      <c r="AG79" s="3703"/>
      <c r="AH79" s="3703"/>
      <c r="AI79" s="3703"/>
    </row>
    <row r="80" s="3443" customFormat="1" ht="24" spans="1:35">
      <c r="A80" s="3664" t="s">
        <v>1031</v>
      </c>
      <c r="B80" s="3709" t="s">
        <v>1056</v>
      </c>
      <c r="C80" s="3725">
        <f ca="1">IF(C79&lt;=0,0,C79/C73)</f>
        <v>7.3332178732248</v>
      </c>
      <c r="D80" s="869" t="s">
        <v>124</v>
      </c>
      <c r="E80" s="2650" t="str">
        <f ca="1">IF(C80&gt;=200%,"增值额超过扣除项目金额200%",IF(C80&gt;=100%,"增值额超过扣除项目金额100%，未超过200%",IF(C80&gt;=50%,"增值额超过扣除项目金额50%，未超过100%",IF(C80&lt;50%,"增值额未超过扣除项目金额50%"))))</f>
        <v>增值额超过扣除项目金额200%</v>
      </c>
      <c r="F80" s="2648"/>
      <c r="G80" s="2648"/>
      <c r="H80" s="3711"/>
      <c r="I80" s="3708"/>
      <c r="J80" s="3702"/>
      <c r="K80" s="3702"/>
      <c r="L80" s="3702"/>
      <c r="M80" s="3702"/>
      <c r="N80" s="3702"/>
      <c r="O80" s="3702"/>
      <c r="P80" s="3702"/>
      <c r="Q80" s="3702"/>
      <c r="R80" s="3702"/>
      <c r="S80" s="3702"/>
      <c r="T80" s="3702"/>
      <c r="U80" s="3702"/>
      <c r="V80" s="3702"/>
      <c r="W80" s="3702"/>
      <c r="X80" s="3702"/>
      <c r="Y80" s="3702"/>
      <c r="Z80" s="3702"/>
      <c r="AA80" s="3703"/>
      <c r="AB80" s="3703"/>
      <c r="AC80" s="3703"/>
      <c r="AD80" s="3703"/>
      <c r="AE80" s="3703"/>
      <c r="AF80" s="3703"/>
      <c r="AG80" s="3703"/>
      <c r="AH80" s="3703"/>
      <c r="AI80" s="3703"/>
    </row>
    <row r="81" s="3443" customFormat="1" ht="24.75" spans="1:35">
      <c r="A81" s="3684" t="s">
        <v>1057</v>
      </c>
      <c r="B81" s="3726" t="s">
        <v>1058</v>
      </c>
      <c r="C81" s="3727">
        <f ca="1">ROUND(IF(C79&lt;=0,0,IF(C80&gt;=200%,C79*60%-C73*35%,IF(C80&gt;=100%,C79*50%-C73*15%,IF(C80&gt;=50%,C79*40%-C73*5%,IF(C80&lt;50%,C79*30%,0))))),0)</f>
        <v>11692</v>
      </c>
      <c r="D81" s="3686" t="s">
        <v>124</v>
      </c>
      <c r="E81" s="3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9"/>
      <c r="G81" s="3729"/>
      <c r="H81" s="3730"/>
      <c r="I81" s="3708"/>
      <c r="J81" s="3702"/>
      <c r="K81" s="3702"/>
      <c r="L81" s="3702"/>
      <c r="M81" s="3702"/>
      <c r="N81" s="3702"/>
      <c r="O81" s="3702"/>
      <c r="P81" s="3702"/>
      <c r="Q81" s="3702"/>
      <c r="R81" s="3702"/>
      <c r="S81" s="3702"/>
      <c r="T81" s="3702"/>
      <c r="U81" s="3702"/>
      <c r="V81" s="3702"/>
      <c r="W81" s="3702"/>
      <c r="X81" s="3702"/>
      <c r="Y81" s="3702"/>
      <c r="Z81" s="3702"/>
      <c r="AA81" s="3703"/>
      <c r="AB81" s="3703"/>
      <c r="AC81" s="3703"/>
      <c r="AD81" s="3703"/>
      <c r="AE81" s="3703"/>
      <c r="AF81" s="3703"/>
      <c r="AG81" s="3703"/>
      <c r="AH81" s="3703"/>
      <c r="AI81" s="3703"/>
    </row>
    <row r="82" s="3443" customFormat="1" ht="7.5" customHeight="1" spans="1:35">
      <c r="A82" s="3731"/>
      <c r="B82" s="3732"/>
      <c r="C82" s="1174"/>
      <c r="D82" s="1174"/>
      <c r="E82" s="3732"/>
      <c r="F82" s="3732"/>
      <c r="G82" s="3732"/>
      <c r="H82" s="3733"/>
      <c r="I82" s="3724"/>
      <c r="J82" s="3702"/>
      <c r="K82" s="3702"/>
      <c r="L82" s="3702"/>
      <c r="M82" s="3702"/>
      <c r="N82" s="3702"/>
      <c r="O82" s="3702"/>
      <c r="P82" s="3702"/>
      <c r="Q82" s="3702"/>
      <c r="R82" s="3702"/>
      <c r="S82" s="3702"/>
      <c r="T82" s="3702"/>
      <c r="U82" s="3702"/>
      <c r="V82" s="3702"/>
      <c r="W82" s="3702"/>
      <c r="X82" s="3702"/>
      <c r="Y82" s="3702"/>
      <c r="Z82" s="3702"/>
      <c r="AA82" s="3703"/>
      <c r="AB82" s="3703"/>
      <c r="AC82" s="3703"/>
      <c r="AD82" s="3703"/>
      <c r="AE82" s="3703"/>
      <c r="AF82" s="3703"/>
      <c r="AG82" s="3703"/>
      <c r="AH82" s="3703"/>
      <c r="AI82" s="3703"/>
    </row>
    <row r="83" s="3443" customFormat="1" ht="15" spans="1:35">
      <c r="A83" s="3698" t="s">
        <v>1059</v>
      </c>
      <c r="B83" s="3699"/>
      <c r="C83" s="3699"/>
      <c r="D83" s="3699"/>
      <c r="E83" s="3699"/>
      <c r="F83" s="3699"/>
      <c r="G83" s="3699"/>
      <c r="H83" s="3699"/>
      <c r="I83" s="1176"/>
      <c r="J83" s="3702"/>
      <c r="K83" s="3702"/>
      <c r="L83" s="3702"/>
      <c r="M83" s="3702"/>
      <c r="N83" s="3702"/>
      <c r="O83" s="3702"/>
      <c r="P83" s="3702"/>
      <c r="Q83" s="3702"/>
      <c r="R83" s="3702"/>
      <c r="S83" s="3702"/>
      <c r="T83" s="3702"/>
      <c r="U83" s="3702"/>
      <c r="V83" s="3702"/>
      <c r="W83" s="3702"/>
      <c r="X83" s="3702"/>
      <c r="Y83" s="3702"/>
      <c r="Z83" s="3702"/>
      <c r="AA83" s="3703"/>
      <c r="AB83" s="3703"/>
      <c r="AC83" s="3703"/>
      <c r="AD83" s="3703"/>
      <c r="AE83" s="3703"/>
      <c r="AF83" s="3703"/>
      <c r="AG83" s="3703"/>
      <c r="AH83" s="3703"/>
      <c r="AI83" s="3703"/>
    </row>
    <row r="84" s="3443" customFormat="1" ht="14.25" spans="1:35">
      <c r="A84" s="3704" t="s">
        <v>1037</v>
      </c>
      <c r="B84" s="904"/>
      <c r="C84" s="904"/>
      <c r="D84" s="904" t="s">
        <v>1038</v>
      </c>
      <c r="E84" s="3705" t="s">
        <v>933</v>
      </c>
      <c r="F84" s="3706"/>
      <c r="G84" s="3706"/>
      <c r="H84" s="3734"/>
      <c r="I84" s="1176"/>
      <c r="J84" s="3702"/>
      <c r="K84" s="3702"/>
      <c r="L84" s="3702"/>
      <c r="M84" s="3702"/>
      <c r="N84" s="3702"/>
      <c r="O84" s="3702"/>
      <c r="P84" s="3702"/>
      <c r="Q84" s="3702"/>
      <c r="R84" s="3702"/>
      <c r="S84" s="3702"/>
      <c r="T84" s="3702"/>
      <c r="U84" s="3702"/>
      <c r="V84" s="3702"/>
      <c r="W84" s="3702"/>
      <c r="X84" s="3702"/>
      <c r="Y84" s="3702"/>
      <c r="Z84" s="3702"/>
      <c r="AA84" s="3703"/>
      <c r="AB84" s="3703"/>
      <c r="AC84" s="3703"/>
      <c r="AD84" s="3703"/>
      <c r="AE84" s="3703"/>
      <c r="AF84" s="3703"/>
      <c r="AG84" s="3703"/>
      <c r="AH84" s="3703"/>
      <c r="AI84" s="3703"/>
    </row>
    <row r="85" s="3443" customFormat="1" ht="14.25" spans="1:35">
      <c r="A85" s="3664" t="s">
        <v>1009</v>
      </c>
      <c r="B85" s="3709" t="s">
        <v>1039</v>
      </c>
      <c r="C85" s="3710">
        <f ca="1">ROUND(D45/(1+D85),0)</f>
        <v>24058</v>
      </c>
      <c r="D85" s="926">
        <v>0.09</v>
      </c>
      <c r="E85" s="2650" t="s">
        <v>1040</v>
      </c>
      <c r="F85" s="2648"/>
      <c r="G85" s="2648"/>
      <c r="H85" s="3735"/>
      <c r="I85" s="1176"/>
      <c r="J85" s="3702"/>
      <c r="K85" s="3702"/>
      <c r="L85" s="3702"/>
      <c r="M85" s="3702"/>
      <c r="N85" s="3702"/>
      <c r="O85" s="3702"/>
      <c r="P85" s="3702"/>
      <c r="Q85" s="3702"/>
      <c r="R85" s="3702"/>
      <c r="S85" s="3702"/>
      <c r="T85" s="3702"/>
      <c r="U85" s="3702"/>
      <c r="V85" s="3702"/>
      <c r="W85" s="3702"/>
      <c r="X85" s="3702"/>
      <c r="Y85" s="3702"/>
      <c r="Z85" s="3702"/>
      <c r="AA85" s="3703"/>
      <c r="AB85" s="3703"/>
      <c r="AC85" s="3703"/>
      <c r="AD85" s="3703"/>
      <c r="AE85" s="3703"/>
      <c r="AF85" s="3703"/>
      <c r="AG85" s="3703"/>
      <c r="AH85" s="3703"/>
      <c r="AI85" s="3703"/>
    </row>
    <row r="86" s="3443" customFormat="1" ht="14.25" spans="1:35">
      <c r="A86" s="3664" t="s">
        <v>1023</v>
      </c>
      <c r="B86" s="3238" t="s">
        <v>1041</v>
      </c>
      <c r="C86" s="3710">
        <f ca="1">IF(H88="仅含出让金",C87+C90+C91+C92+C93+C94,C87+C91+C92+C93+C94)</f>
        <v>2887</v>
      </c>
      <c r="D86" s="3736"/>
      <c r="E86" s="2647"/>
      <c r="F86" s="2648"/>
      <c r="G86" s="2648"/>
      <c r="H86" s="3735"/>
      <c r="I86" s="1176"/>
      <c r="J86" s="3702"/>
      <c r="K86" s="3702"/>
      <c r="L86" s="3702"/>
      <c r="M86" s="3702"/>
      <c r="N86" s="3702"/>
      <c r="O86" s="3702"/>
      <c r="P86" s="3702"/>
      <c r="Q86" s="3702"/>
      <c r="R86" s="3702"/>
      <c r="S86" s="3702"/>
      <c r="T86" s="3702"/>
      <c r="U86" s="3702"/>
      <c r="V86" s="3702"/>
      <c r="W86" s="3702"/>
      <c r="X86" s="3702"/>
      <c r="Y86" s="3702"/>
      <c r="Z86" s="3702"/>
      <c r="AA86" s="3703"/>
      <c r="AB86" s="3703"/>
      <c r="AC86" s="3703"/>
      <c r="AD86" s="3703"/>
      <c r="AE86" s="3703"/>
      <c r="AF86" s="3703"/>
      <c r="AG86" s="3703"/>
      <c r="AH86" s="3703"/>
      <c r="AI86" s="3703"/>
    </row>
    <row r="87" s="3443" customFormat="1" ht="14.25" spans="1:35">
      <c r="A87" s="3672" t="s">
        <v>1014</v>
      </c>
      <c r="B87" s="867" t="s">
        <v>1060</v>
      </c>
      <c r="C87" s="869">
        <f>C88+C89</f>
        <v>0</v>
      </c>
      <c r="D87" s="3720"/>
      <c r="E87" s="3721"/>
      <c r="F87" s="3722"/>
      <c r="G87" s="3722"/>
      <c r="H87" s="3723"/>
      <c r="I87" s="1176"/>
      <c r="J87" s="3702"/>
      <c r="K87" s="3702"/>
      <c r="L87" s="3702"/>
      <c r="M87" s="3702"/>
      <c r="N87" s="3702"/>
      <c r="O87" s="3702"/>
      <c r="P87" s="3702"/>
      <c r="Q87" s="3702"/>
      <c r="R87" s="3702"/>
      <c r="S87" s="3702"/>
      <c r="T87" s="3702"/>
      <c r="U87" s="3702"/>
      <c r="V87" s="3702"/>
      <c r="W87" s="3702"/>
      <c r="X87" s="3702"/>
      <c r="Y87" s="3702"/>
      <c r="Z87" s="3702"/>
      <c r="AA87" s="3703"/>
      <c r="AB87" s="3703"/>
      <c r="AC87" s="3703"/>
      <c r="AD87" s="3703"/>
      <c r="AE87" s="3703"/>
      <c r="AF87" s="3703"/>
      <c r="AG87" s="3703"/>
      <c r="AH87" s="3703"/>
      <c r="AI87" s="3703"/>
    </row>
    <row r="88" s="3443" customFormat="1" ht="14.25" spans="1:35">
      <c r="A88" s="3672" t="s">
        <v>1043</v>
      </c>
      <c r="B88" s="867" t="s">
        <v>1061</v>
      </c>
      <c r="C88" s="3677"/>
      <c r="D88" s="3720"/>
      <c r="E88" s="3737" t="s">
        <v>1062</v>
      </c>
      <c r="F88" s="3722"/>
      <c r="G88" s="3738" t="s">
        <v>1063</v>
      </c>
      <c r="H88" s="3739" t="s">
        <v>1064</v>
      </c>
      <c r="I88" s="1176"/>
      <c r="J88" s="3740" t="s">
        <v>1065</v>
      </c>
      <c r="K88" s="3702"/>
      <c r="L88" s="3702"/>
      <c r="M88" s="3702"/>
      <c r="N88" s="3702"/>
      <c r="O88" s="3702"/>
      <c r="P88" s="3702"/>
      <c r="Q88" s="3702"/>
      <c r="R88" s="3702"/>
      <c r="S88" s="3702"/>
      <c r="T88" s="3702"/>
      <c r="U88" s="3702"/>
      <c r="V88" s="3702"/>
      <c r="W88" s="3702"/>
      <c r="X88" s="3702"/>
      <c r="Y88" s="3702"/>
      <c r="Z88" s="3702"/>
      <c r="AA88" s="3703"/>
      <c r="AB88" s="3703"/>
      <c r="AC88" s="3703"/>
      <c r="AD88" s="3703"/>
      <c r="AE88" s="3703"/>
      <c r="AF88" s="3703"/>
      <c r="AG88" s="3703"/>
      <c r="AH88" s="3703"/>
      <c r="AI88" s="3703"/>
    </row>
    <row r="89" s="3443" customFormat="1" ht="14.25" spans="1:35">
      <c r="A89" s="3672" t="s">
        <v>1047</v>
      </c>
      <c r="B89" s="867" t="s">
        <v>1051</v>
      </c>
      <c r="C89" s="869">
        <f>ROUND(C88*D89,0)</f>
        <v>0</v>
      </c>
      <c r="D89" s="3720">
        <f>'数据-取费表'!B49+'数据-取费表'!B50</f>
        <v>0.0305</v>
      </c>
      <c r="E89" s="3737" t="s">
        <v>1066</v>
      </c>
      <c r="F89" s="3722"/>
      <c r="G89" s="3722"/>
      <c r="H89" s="3723"/>
      <c r="I89" s="1176"/>
      <c r="J89" s="3702"/>
      <c r="K89" s="3702"/>
      <c r="L89" s="3702"/>
      <c r="M89" s="3702"/>
      <c r="N89" s="3702"/>
      <c r="O89" s="3702"/>
      <c r="P89" s="3702"/>
      <c r="Q89" s="3702"/>
      <c r="R89" s="3702"/>
      <c r="S89" s="3702"/>
      <c r="T89" s="3702"/>
      <c r="U89" s="3702"/>
      <c r="V89" s="3702"/>
      <c r="W89" s="3702"/>
      <c r="X89" s="3702"/>
      <c r="Y89" s="3702"/>
      <c r="Z89" s="3702"/>
      <c r="AA89" s="3703"/>
      <c r="AB89" s="3703"/>
      <c r="AC89" s="3703"/>
      <c r="AD89" s="3703"/>
      <c r="AE89" s="3703"/>
      <c r="AF89" s="3703"/>
      <c r="AG89" s="3703"/>
      <c r="AH89" s="3703"/>
      <c r="AI89" s="3703"/>
    </row>
    <row r="90" s="3443" customFormat="1" ht="14.25" spans="1:35">
      <c r="A90" s="3672" t="s">
        <v>1019</v>
      </c>
      <c r="B90" s="867" t="s">
        <v>1067</v>
      </c>
      <c r="C90" s="3677"/>
      <c r="D90" s="3720"/>
      <c r="E90" s="3737" t="str">
        <f>IF(H88="-","土地取得成本中已包含该笔费用"," ")</f>
        <v> </v>
      </c>
      <c r="F90" s="3722"/>
      <c r="G90" s="3741" t="s">
        <v>1068</v>
      </c>
      <c r="H90" s="3742"/>
      <c r="I90" s="1176"/>
      <c r="J90" s="3740" t="s">
        <v>1069</v>
      </c>
      <c r="K90" s="3702"/>
      <c r="L90" s="3702"/>
      <c r="M90" s="3702"/>
      <c r="N90" s="3702"/>
      <c r="O90" s="3702"/>
      <c r="P90" s="3702"/>
      <c r="Q90" s="3702"/>
      <c r="R90" s="3702"/>
      <c r="S90" s="3702"/>
      <c r="T90" s="3702"/>
      <c r="U90" s="3702"/>
      <c r="V90" s="3702"/>
      <c r="W90" s="3702"/>
      <c r="X90" s="3702"/>
      <c r="Y90" s="3702"/>
      <c r="Z90" s="3702"/>
      <c r="AA90" s="3703"/>
      <c r="AB90" s="3703"/>
      <c r="AC90" s="3703"/>
      <c r="AD90" s="3703"/>
      <c r="AE90" s="3703"/>
      <c r="AF90" s="3703"/>
      <c r="AG90" s="3703"/>
      <c r="AH90" s="3703"/>
      <c r="AI90" s="3703"/>
    </row>
    <row r="91" s="3443" customFormat="1" ht="43.5" customHeight="1" spans="1:35">
      <c r="A91" s="3672" t="s">
        <v>1070</v>
      </c>
      <c r="B91" s="867" t="s">
        <v>1071</v>
      </c>
      <c r="C91" s="869">
        <f ca="1">IF(H91="——",成本法!C9,I91)</f>
        <v>0</v>
      </c>
      <c r="D91" s="3720"/>
      <c r="E91" s="3721" t="s">
        <v>1072</v>
      </c>
      <c r="F91" s="3722"/>
      <c r="G91" s="3722"/>
      <c r="H91" s="3743" t="s">
        <v>1073</v>
      </c>
      <c r="I91" s="3744"/>
      <c r="J91" s="3702" t="s">
        <v>1074</v>
      </c>
      <c r="K91" s="3702"/>
      <c r="L91" s="3702"/>
      <c r="M91" s="3702"/>
      <c r="N91" s="3702"/>
      <c r="O91" s="3702"/>
      <c r="P91" s="3702"/>
      <c r="Q91" s="3702"/>
      <c r="R91" s="3702"/>
      <c r="S91" s="3702"/>
      <c r="T91" s="3702"/>
      <c r="U91" s="3702"/>
      <c r="V91" s="3702"/>
      <c r="W91" s="3702"/>
      <c r="X91" s="3702"/>
      <c r="Y91" s="3702"/>
      <c r="Z91" s="3702"/>
      <c r="AA91" s="3703"/>
      <c r="AB91" s="3703"/>
      <c r="AC91" s="3703"/>
      <c r="AD91" s="3703"/>
      <c r="AE91" s="3703"/>
      <c r="AF91" s="3703"/>
      <c r="AG91" s="3703"/>
      <c r="AH91" s="3703"/>
      <c r="AI91" s="3703"/>
    </row>
    <row r="92" s="3443" customFormat="1" ht="25.5" customHeight="1" spans="1:35">
      <c r="A92" s="3672" t="s">
        <v>1075</v>
      </c>
      <c r="B92" s="867" t="s">
        <v>1076</v>
      </c>
      <c r="C92" s="869">
        <f ca="1">ROUND((C87+C90+C91)*D92,0)</f>
        <v>0</v>
      </c>
      <c r="D92" s="3745">
        <v>0.1</v>
      </c>
      <c r="E92" s="3721" t="s">
        <v>1077</v>
      </c>
      <c r="F92" s="3722"/>
      <c r="G92" s="3722"/>
      <c r="H92" s="3723"/>
      <c r="I92" s="1176"/>
      <c r="J92" s="3746" t="s">
        <v>1078</v>
      </c>
      <c r="K92" s="3702"/>
      <c r="L92" s="3702"/>
      <c r="M92" s="3702"/>
      <c r="N92" s="3702"/>
      <c r="O92" s="3702"/>
      <c r="P92" s="3702"/>
      <c r="Q92" s="3702"/>
      <c r="R92" s="3702"/>
      <c r="S92" s="3702"/>
      <c r="T92" s="3702"/>
      <c r="U92" s="3702"/>
      <c r="V92" s="3702"/>
      <c r="W92" s="3702"/>
      <c r="X92" s="3702"/>
      <c r="Y92" s="3702"/>
      <c r="Z92" s="3702"/>
      <c r="AA92" s="3703"/>
      <c r="AB92" s="3703"/>
      <c r="AC92" s="3703"/>
      <c r="AD92" s="3703"/>
      <c r="AE92" s="3703"/>
      <c r="AF92" s="3703"/>
      <c r="AG92" s="3703"/>
      <c r="AH92" s="3703"/>
      <c r="AI92" s="3703"/>
    </row>
    <row r="93" s="3443" customFormat="1" ht="25.5" customHeight="1" spans="1:35">
      <c r="A93" s="3672" t="s">
        <v>1079</v>
      </c>
      <c r="B93" s="867" t="s">
        <v>1053</v>
      </c>
      <c r="C93" s="869">
        <f ca="1">ROUND(C85*D93,0)</f>
        <v>2887</v>
      </c>
      <c r="D93" s="3720">
        <f>'数据-取费表'!B44</f>
        <v>0.12</v>
      </c>
      <c r="E93" s="3747" t="s">
        <v>1080</v>
      </c>
      <c r="F93" s="3722"/>
      <c r="G93" s="3722"/>
      <c r="H93" s="3723"/>
      <c r="I93" s="3748"/>
      <c r="J93" s="3702"/>
      <c r="K93" s="3702"/>
      <c r="L93" s="3702"/>
      <c r="M93" s="3702"/>
      <c r="N93" s="3702"/>
      <c r="O93" s="3702"/>
      <c r="P93" s="3702"/>
      <c r="Q93" s="3702"/>
      <c r="R93" s="3702"/>
      <c r="S93" s="3702"/>
      <c r="T93" s="3702"/>
      <c r="U93" s="3702"/>
      <c r="V93" s="3702"/>
      <c r="W93" s="3702"/>
      <c r="X93" s="3702"/>
      <c r="Y93" s="3702"/>
      <c r="Z93" s="3702"/>
      <c r="AA93" s="3703"/>
      <c r="AB93" s="3703"/>
      <c r="AC93" s="3703"/>
      <c r="AD93" s="3703"/>
      <c r="AE93" s="3703"/>
      <c r="AF93" s="3703"/>
      <c r="AG93" s="3703"/>
      <c r="AH93" s="3703"/>
      <c r="AI93" s="3703"/>
    </row>
    <row r="94" s="3443" customFormat="1" ht="36.75" customHeight="1" spans="1:35">
      <c r="A94" s="3672" t="s">
        <v>1081</v>
      </c>
      <c r="B94" s="867" t="s">
        <v>1082</v>
      </c>
      <c r="C94" s="3677">
        <f ca="1">ROUND((C87+C90+C91)*D94,0)</f>
        <v>0</v>
      </c>
      <c r="D94" s="3720">
        <v>0.2</v>
      </c>
      <c r="E94" s="3749" t="s">
        <v>1083</v>
      </c>
      <c r="F94" s="3750"/>
      <c r="G94" s="3750"/>
      <c r="H94" s="3751"/>
      <c r="I94" s="1176"/>
      <c r="J94" s="3702"/>
      <c r="K94" s="3702"/>
      <c r="L94" s="3702"/>
      <c r="M94" s="3702"/>
      <c r="N94" s="3702"/>
      <c r="O94" s="3702"/>
      <c r="P94" s="3702"/>
      <c r="Q94" s="3702"/>
      <c r="R94" s="3702"/>
      <c r="S94" s="3702"/>
      <c r="T94" s="3702"/>
      <c r="U94" s="3702"/>
      <c r="V94" s="3702"/>
      <c r="W94" s="3702"/>
      <c r="X94" s="3702"/>
      <c r="Y94" s="3702"/>
      <c r="Z94" s="3702"/>
      <c r="AA94" s="3703"/>
      <c r="AB94" s="3703"/>
      <c r="AC94" s="3703"/>
      <c r="AD94" s="3703"/>
      <c r="AE94" s="3703"/>
      <c r="AF94" s="3703"/>
      <c r="AG94" s="3703"/>
      <c r="AH94" s="3703"/>
      <c r="AI94" s="3703"/>
    </row>
    <row r="95" s="3443" customFormat="1" ht="14.25" spans="1:35">
      <c r="A95" s="3664" t="s">
        <v>1028</v>
      </c>
      <c r="B95" s="3709" t="s">
        <v>1055</v>
      </c>
      <c r="C95" s="3710">
        <f ca="1">ROUND(C85-C86,0)</f>
        <v>21171</v>
      </c>
      <c r="D95" s="869" t="s">
        <v>124</v>
      </c>
      <c r="E95" s="2647"/>
      <c r="F95" s="2648"/>
      <c r="G95" s="2648"/>
      <c r="H95" s="3735"/>
      <c r="I95" s="1176"/>
      <c r="J95" s="3702"/>
      <c r="K95" s="3702"/>
      <c r="L95" s="3702"/>
      <c r="M95" s="3702"/>
      <c r="N95" s="3702"/>
      <c r="O95" s="3702"/>
      <c r="P95" s="3702"/>
      <c r="Q95" s="3702"/>
      <c r="R95" s="3702"/>
      <c r="S95" s="3702"/>
      <c r="T95" s="3702"/>
      <c r="U95" s="3702"/>
      <c r="V95" s="3702"/>
      <c r="W95" s="3702"/>
      <c r="X95" s="3702"/>
      <c r="Y95" s="3702"/>
      <c r="Z95" s="3702"/>
      <c r="AA95" s="3703"/>
      <c r="AB95" s="3703"/>
      <c r="AC95" s="3703"/>
      <c r="AD95" s="3703"/>
      <c r="AE95" s="3703"/>
      <c r="AF95" s="3703"/>
      <c r="AG95" s="3703"/>
      <c r="AH95" s="3703"/>
      <c r="AI95" s="3703"/>
    </row>
    <row r="96" s="3443" customFormat="1" ht="24" spans="1:35">
      <c r="A96" s="3664" t="s">
        <v>1031</v>
      </c>
      <c r="B96" s="3709" t="s">
        <v>1056</v>
      </c>
      <c r="C96" s="3710">
        <f ca="1">IF(C95&lt;=0,0,C95/C86)</f>
        <v>7.3332178732248</v>
      </c>
      <c r="D96" s="869" t="s">
        <v>124</v>
      </c>
      <c r="E96" s="2650" t="str">
        <f ca="1">IF(C96&gt;=200%,"增值额超过扣除项目金额200%",IF(C96&gt;=100%,"增值额超过扣除项目金额100%，未超过200%",IF(C96&gt;=50%,"增值额超过扣除项目金额50%，未超过100%",IF(C96&lt;50%,"增值额未超过扣除项目金额50%"))))</f>
        <v>增值额超过扣除项目金额200%</v>
      </c>
      <c r="F96" s="2648"/>
      <c r="G96" s="2648"/>
      <c r="H96" s="3735"/>
      <c r="I96" s="1176"/>
      <c r="J96" s="3702"/>
      <c r="K96" s="3702"/>
      <c r="L96" s="3702"/>
      <c r="M96" s="3702"/>
      <c r="N96" s="3702"/>
      <c r="O96" s="3702"/>
      <c r="P96" s="3702"/>
      <c r="Q96" s="3702"/>
      <c r="R96" s="3702"/>
      <c r="S96" s="3702"/>
      <c r="T96" s="3702"/>
      <c r="U96" s="3702"/>
      <c r="V96" s="3702"/>
      <c r="W96" s="3702"/>
      <c r="X96" s="3702"/>
      <c r="Y96" s="3702"/>
      <c r="Z96" s="3702"/>
      <c r="AA96" s="3703"/>
      <c r="AB96" s="3703"/>
      <c r="AC96" s="3703"/>
      <c r="AD96" s="3703"/>
      <c r="AE96" s="3703"/>
      <c r="AF96" s="3703"/>
      <c r="AG96" s="3703"/>
      <c r="AH96" s="3703"/>
      <c r="AI96" s="3703"/>
    </row>
    <row r="97" s="3443" customFormat="1" ht="24.75" spans="1:35">
      <c r="A97" s="3684" t="s">
        <v>1057</v>
      </c>
      <c r="B97" s="3726" t="s">
        <v>1058</v>
      </c>
      <c r="C97" s="3727">
        <f ca="1">ROUND(IF(C95&lt;=0,0,IF(C96&gt;=200%,C95*60%-C86*35%,IF(C96&gt;=100%,C95*50%-C86*15%,IF(C96&gt;=50%,C95*40%-C86*5%,IF(C96&lt;50%,C95*30%,0))))),0)</f>
        <v>11692</v>
      </c>
      <c r="D97" s="3686" t="s">
        <v>124</v>
      </c>
      <c r="E97" s="3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9"/>
      <c r="G97" s="3729"/>
      <c r="H97" s="3752"/>
      <c r="I97" s="1176"/>
      <c r="J97" s="3702"/>
      <c r="K97" s="3702"/>
      <c r="L97" s="3702"/>
      <c r="M97" s="3702"/>
      <c r="N97" s="3702"/>
      <c r="O97" s="3702"/>
      <c r="P97" s="3702"/>
      <c r="Q97" s="3702"/>
      <c r="R97" s="3702"/>
      <c r="S97" s="3702"/>
      <c r="T97" s="3702"/>
      <c r="U97" s="3702"/>
      <c r="V97" s="3702"/>
      <c r="W97" s="3702"/>
      <c r="X97" s="3702"/>
      <c r="Y97" s="3702"/>
      <c r="Z97" s="3702"/>
      <c r="AA97" s="3703"/>
      <c r="AB97" s="3703"/>
      <c r="AC97" s="3703"/>
      <c r="AD97" s="3703"/>
      <c r="AE97" s="3703"/>
      <c r="AF97" s="3703"/>
      <c r="AG97" s="3703"/>
      <c r="AH97" s="3703"/>
      <c r="AI97" s="3703"/>
    </row>
    <row r="98" customHeight="1" spans="1:35">
      <c r="A98" s="3645"/>
      <c r="B98" s="3447"/>
      <c r="C98" s="3447"/>
      <c r="D98" s="3447"/>
      <c r="E98" s="3646"/>
      <c r="F98" s="3646"/>
      <c r="G98" s="3646"/>
      <c r="H98" s="3558"/>
      <c r="I98" s="3362"/>
    </row>
    <row r="99" customHeight="1" spans="1:35">
      <c r="A99" s="3561" t="s">
        <v>1084</v>
      </c>
      <c r="B99" s="3447"/>
      <c r="C99" s="3447"/>
      <c r="D99" s="3447"/>
      <c r="E99" s="3646"/>
      <c r="F99" s="3646"/>
      <c r="G99" s="3646"/>
      <c r="H99" s="3558"/>
      <c r="I99" s="3362"/>
    </row>
    <row r="100" ht="18.75" customHeight="1" spans="1:35">
      <c r="A100" s="3753" t="s">
        <v>1085</v>
      </c>
      <c r="B100" s="3754"/>
      <c r="C100" s="3754"/>
      <c r="D100" s="3755"/>
      <c r="E100" s="3754" t="s">
        <v>1086</v>
      </c>
      <c r="F100" s="3754"/>
      <c r="G100" s="3754"/>
      <c r="H100" s="3755"/>
      <c r="I100" s="3362"/>
    </row>
    <row r="101" ht="18.75" customHeight="1" spans="1:35">
      <c r="A101" s="3756" t="s">
        <v>1087</v>
      </c>
      <c r="B101" s="3757"/>
      <c r="C101" s="3758" t="str">
        <f>C4</f>
        <v>典型户型修正</v>
      </c>
      <c r="D101" s="3759" t="str">
        <f>D4</f>
        <v>收益法</v>
      </c>
      <c r="E101" s="3760" t="s">
        <v>1088</v>
      </c>
      <c r="F101" s="3761"/>
      <c r="G101" s="3762" t="s">
        <v>1089</v>
      </c>
      <c r="H101" s="3763">
        <f ca="1">I118</f>
        <v>26223</v>
      </c>
      <c r="I101" s="3362"/>
    </row>
    <row r="102" ht="18.75" customHeight="1" spans="1:35">
      <c r="A102" s="3764" t="s">
        <v>1090</v>
      </c>
      <c r="B102" s="3765" t="s">
        <v>1089</v>
      </c>
      <c r="C102" s="3766">
        <f ca="1">C19</f>
        <v>28480</v>
      </c>
      <c r="D102" s="3767">
        <f ca="1">D19</f>
        <v>23965</v>
      </c>
      <c r="E102" s="3760"/>
      <c r="F102" s="3761"/>
      <c r="G102" s="3762" t="s">
        <v>99</v>
      </c>
      <c r="H102" s="2987">
        <f ca="1">H118</f>
        <v>12545</v>
      </c>
      <c r="I102" s="3362"/>
    </row>
    <row r="103" ht="42.75" customHeight="1" spans="1:35">
      <c r="A103" s="3764"/>
      <c r="B103" s="3765" t="s">
        <v>99</v>
      </c>
      <c r="C103" s="3768">
        <f ca="1">C20</f>
        <v>13625</v>
      </c>
      <c r="D103" s="3769">
        <f ca="1">D20</f>
        <v>11465</v>
      </c>
      <c r="E103" s="3770" t="s">
        <v>1091</v>
      </c>
      <c r="F103" s="3771"/>
      <c r="G103" s="3772" t="s">
        <v>102</v>
      </c>
      <c r="H103" s="3763">
        <f>IF(D36="正常操作",H104+H105+H106,H105+H106)</f>
        <v>0</v>
      </c>
      <c r="I103" s="3362"/>
    </row>
    <row r="104" ht="18.75" customHeight="1" spans="1:35">
      <c r="A104" s="3764" t="s">
        <v>1092</v>
      </c>
      <c r="B104" s="3773" t="s">
        <v>1089</v>
      </c>
      <c r="C104" s="3774">
        <f ca="1">I118</f>
        <v>26223</v>
      </c>
      <c r="D104" s="3775"/>
      <c r="E104" s="1464" t="s">
        <v>1093</v>
      </c>
      <c r="F104" s="3776"/>
      <c r="G104" s="3772" t="s">
        <v>102</v>
      </c>
      <c r="H104" s="3777">
        <f>IF(D36="同一抵押权人同一抵押物续贷",C36&amp;"（续贷，未扣减，详见特别提示）",C36)</f>
        <v>0</v>
      </c>
      <c r="I104" s="3362"/>
    </row>
    <row r="105" ht="18.75" customHeight="1" spans="1:35">
      <c r="A105" s="3778"/>
      <c r="B105" s="3779" t="s">
        <v>99</v>
      </c>
      <c r="C105" s="3780">
        <f ca="1">H118</f>
        <v>12545</v>
      </c>
      <c r="D105" s="3781"/>
      <c r="E105" s="1464" t="s">
        <v>1094</v>
      </c>
      <c r="F105" s="3776"/>
      <c r="G105" s="3772" t="s">
        <v>102</v>
      </c>
      <c r="H105" s="3782">
        <f>C37</f>
        <v>0</v>
      </c>
      <c r="I105" s="3362"/>
    </row>
    <row r="106" ht="18.75" customHeight="1" spans="1:35">
      <c r="A106" s="3447" t="s">
        <v>1095</v>
      </c>
      <c r="B106" s="3447"/>
      <c r="C106" s="3447"/>
      <c r="D106" s="3447"/>
      <c r="E106" s="3783" t="s">
        <v>1096</v>
      </c>
      <c r="F106" s="3776"/>
      <c r="G106" s="3772" t="s">
        <v>102</v>
      </c>
      <c r="H106" s="3782">
        <f>C38</f>
        <v>0</v>
      </c>
      <c r="I106" s="3362"/>
    </row>
    <row r="107" ht="18.75" customHeight="1" spans="1:35">
      <c r="A107" s="3362"/>
      <c r="B107" s="3362"/>
      <c r="C107" s="3362"/>
      <c r="D107" s="3362"/>
      <c r="E107" s="745" t="str">
        <f>IF(项目基本情况!E8="已注销","——","3.房地产抵押价值")</f>
        <v>3.房地产抵押价值</v>
      </c>
      <c r="F107" s="3761"/>
      <c r="G107" s="3762" t="s">
        <v>1089</v>
      </c>
      <c r="H107" s="3763">
        <f ca="1">IF(E107="——","——",H101-H103)</f>
        <v>26223</v>
      </c>
      <c r="I107" s="3362"/>
    </row>
    <row r="108" ht="18.75" customHeight="1" spans="1:35">
      <c r="A108" s="3362"/>
      <c r="B108" s="3362"/>
      <c r="C108" s="3362"/>
      <c r="D108" s="3362"/>
      <c r="E108" s="745"/>
      <c r="F108" s="3761"/>
      <c r="G108" s="3762" t="s">
        <v>99</v>
      </c>
      <c r="H108" s="2987">
        <f ca="1">IF(H107=H101,H102,ROUND(H107*10000/'数据-汇总表'!E3,0))</f>
        <v>12545</v>
      </c>
      <c r="I108" s="3362"/>
    </row>
    <row r="109" ht="18.75" customHeight="1" spans="1:35">
      <c r="A109" s="3362"/>
      <c r="B109" s="3362"/>
      <c r="C109" s="3362"/>
      <c r="D109" s="3362"/>
      <c r="E109" s="745" t="str">
        <f>IF(项目基本情况!E8="已注销及未注销","4.抵押担保权已注销时的房地产抵押价值",IF(项目基本情况!E8="已注销","3.抵押担保权已注销时的房地产抵押价值","——"))</f>
        <v>——</v>
      </c>
      <c r="F109" s="3761"/>
      <c r="G109" s="3762" t="s">
        <v>1089</v>
      </c>
      <c r="H109" s="2876" t="str">
        <f ca="1">IF(E109="——","——",H101-H105-H106)</f>
        <v>——</v>
      </c>
      <c r="I109" s="3362"/>
    </row>
    <row r="110" ht="18.75" customHeight="1" spans="1:35">
      <c r="A110" s="3362"/>
      <c r="B110" s="3362"/>
      <c r="C110" s="3362"/>
      <c r="D110" s="3362"/>
      <c r="E110" s="745"/>
      <c r="F110" s="3761"/>
      <c r="G110" s="3762" t="s">
        <v>99</v>
      </c>
      <c r="H110" s="2987" t="str">
        <f ca="1">IF(H109="——","——",ROUND(H109*10000/'数据-汇总表'!E3,0))</f>
        <v>——</v>
      </c>
      <c r="I110" s="3362"/>
    </row>
    <row r="111" ht="18.75" customHeight="1" spans="1:35">
      <c r="A111" s="3362"/>
      <c r="B111" s="3362"/>
      <c r="C111" s="3362"/>
      <c r="D111" s="3362"/>
      <c r="E111" s="3784" t="str">
        <f>IF(项目基本情况!E9="抵押净值",IF(OR(项目基本情况!E8="已注销",项目基本情况!E8="房地产抵押价值"),"4.抵押净值","5.抵押净值"),"——")</f>
        <v>4.抵押净值</v>
      </c>
      <c r="F111" s="3785"/>
      <c r="G111" s="3762" t="s">
        <v>1089</v>
      </c>
      <c r="H111" s="3763">
        <f ca="1">IF(E111="——","——",N59)</f>
        <v>13119</v>
      </c>
      <c r="I111" s="3362"/>
    </row>
    <row r="112" ht="18.75" customHeight="1" spans="1:35">
      <c r="A112" s="3362"/>
      <c r="B112" s="3362"/>
      <c r="C112" s="3362"/>
      <c r="D112" s="3362"/>
      <c r="E112" s="3786"/>
      <c r="F112" s="3787"/>
      <c r="G112" s="3788" t="s">
        <v>99</v>
      </c>
      <c r="H112" s="3486">
        <f ca="1">IF(E111="——","——",N61)</f>
        <v>6276</v>
      </c>
      <c r="I112" s="3362"/>
    </row>
    <row r="113" ht="18.75" customHeight="1" spans="1:27">
      <c r="A113" s="3362"/>
      <c r="B113" s="3362"/>
      <c r="C113" s="3362"/>
      <c r="D113" s="3362"/>
      <c r="E113" s="3789" t="s">
        <v>1095</v>
      </c>
      <c r="F113" s="3789"/>
      <c r="G113" s="3789"/>
      <c r="H113" s="3789"/>
      <c r="I113" s="3362"/>
    </row>
    <row r="114" ht="3.75" customHeight="1" spans="1:27">
      <c r="A114" s="3447"/>
      <c r="B114" s="3447"/>
      <c r="C114" s="3447"/>
      <c r="D114" s="3447"/>
      <c r="E114" s="3645"/>
      <c r="F114" s="3645"/>
      <c r="G114" s="3645"/>
      <c r="H114" s="3645"/>
      <c r="I114" s="3447"/>
    </row>
    <row r="115" ht="18.75" customHeight="1" spans="1:27">
      <c r="A115" s="3790" t="s">
        <v>1097</v>
      </c>
      <c r="B115" s="3791"/>
      <c r="C115" s="3791"/>
      <c r="D115" s="3791"/>
      <c r="E115" s="3791"/>
      <c r="F115" s="3791"/>
      <c r="G115" s="3791"/>
      <c r="H115" s="3791"/>
      <c r="I115" s="3792"/>
    </row>
    <row r="116" ht="27" customHeight="1" spans="1:27">
      <c r="A116" s="1224" t="s">
        <v>1098</v>
      </c>
      <c r="B116" s="3793" t="s">
        <v>1099</v>
      </c>
      <c r="C116" s="3793" t="s">
        <v>1100</v>
      </c>
      <c r="D116" s="3794" t="s">
        <v>1101</v>
      </c>
      <c r="E116" s="3795"/>
      <c r="F116" s="3796"/>
      <c r="G116" s="3796"/>
      <c r="H116" s="1224" t="s">
        <v>1102</v>
      </c>
      <c r="I116" s="1224"/>
      <c r="K116" s="3797"/>
      <c r="L116" s="3798" t="s">
        <v>199</v>
      </c>
      <c r="M116" s="3798" t="s">
        <v>1103</v>
      </c>
      <c r="N116" s="3798" t="s">
        <v>1104</v>
      </c>
    </row>
    <row r="117" ht="18.75" customHeight="1" spans="1:27">
      <c r="A117" s="1224"/>
      <c r="B117" s="3799"/>
      <c r="C117" s="3799"/>
      <c r="D117" s="1224" t="s">
        <v>888</v>
      </c>
      <c r="E117" s="1224" t="s">
        <v>1105</v>
      </c>
      <c r="F117" s="1224" t="s">
        <v>888</v>
      </c>
      <c r="G117" s="1224" t="s">
        <v>1105</v>
      </c>
      <c r="H117" s="1224" t="s">
        <v>888</v>
      </c>
      <c r="I117" s="1224" t="s">
        <v>1105</v>
      </c>
      <c r="K117" s="3798" t="s">
        <v>1106</v>
      </c>
      <c r="L117" s="3800">
        <f ca="1">C34</f>
        <v>16442</v>
      </c>
      <c r="M117" s="3801">
        <f ca="1">C35</f>
        <v>9781</v>
      </c>
      <c r="N117" s="3801">
        <f ca="1">C32</f>
        <v>26223</v>
      </c>
    </row>
    <row r="118" ht="24.75" customHeight="1" spans="1:27">
      <c r="A118" s="3802" t="str">
        <f>项目基本情况!S2</f>
        <v>北京市房地产</v>
      </c>
      <c r="B118" s="3803">
        <f>M18</f>
        <v>20903.38</v>
      </c>
      <c r="C118" s="3803">
        <f>M19</f>
        <v>0</v>
      </c>
      <c r="D118" s="3462">
        <f ca="1">ROUND(IF(C33="自定义",IF(D32="楼面单价",L119,E118*10000/B118),H118-F118),0)</f>
        <v>7866</v>
      </c>
      <c r="E118" s="3462">
        <f ca="1">ROUND(IF(D32="总价",L117,L119*B118/10000),0)</f>
        <v>16442</v>
      </c>
      <c r="F118" s="3462">
        <f ca="1">ROUND(IF(D32="楼面单价",,G118*10000/B118),0)</f>
        <v>4679</v>
      </c>
      <c r="G118" s="3462">
        <f ca="1">ROUND(IF(D32="总价",M117,M119*B118/10000),0)</f>
        <v>9781</v>
      </c>
      <c r="H118" s="3462">
        <f ca="1">ROUND(IF(D32="楼面单价",C32,N117*10000/B118),0)</f>
        <v>12545</v>
      </c>
      <c r="I118" s="3462">
        <f ca="1">ROUND(IF(D32="总价",C32,N119*B118/10000),4)</f>
        <v>26223</v>
      </c>
      <c r="K118" s="3797"/>
      <c r="L118" s="3797"/>
      <c r="M118" s="3797"/>
      <c r="N118" s="3797"/>
    </row>
    <row r="119" ht="18.75" customHeight="1" spans="1:27">
      <c r="A119" s="1224" t="s">
        <v>1107</v>
      </c>
      <c r="B119" s="1224"/>
      <c r="C119" s="1224"/>
      <c r="D119" s="1472" t="str">
        <f ca="1">NUMBERSTRING(INT(E118*10000),2)&amp;"元整"</f>
        <v>壹亿陆仟肆佰肆拾贰万元整</v>
      </c>
      <c r="E119" s="1792"/>
      <c r="F119" s="1472" t="str">
        <f ca="1">NUMBERSTRING(INT(G118*10000),2)&amp;"元整"</f>
        <v>玖仟柒佰捌拾壹万元整</v>
      </c>
      <c r="G119" s="1792"/>
      <c r="H119" s="1472" t="str">
        <f ca="1">NUMBERSTRING(INT(I118*10000),2)&amp;"元整"</f>
        <v>贰亿陆仟贰佰贰拾叁万元整</v>
      </c>
      <c r="I119" s="1792"/>
      <c r="K119" s="3798" t="s">
        <v>1108</v>
      </c>
      <c r="L119" s="3801">
        <f ca="1">C34</f>
        <v>16442</v>
      </c>
      <c r="M119" s="3801">
        <f ca="1">C35</f>
        <v>9781</v>
      </c>
      <c r="N119" s="3801">
        <f ca="1">C32</f>
        <v>26223</v>
      </c>
    </row>
    <row r="120" ht="18.75" hidden="1" customHeight="1" spans="1:27">
      <c r="A120" s="3804" t="str">
        <f>IF(项目基本情况!B9="房地产市场价值","",MID(E103,3,LEN(E103)-2))</f>
        <v>估价师知悉的法定优先受偿款</v>
      </c>
      <c r="B120" s="3805"/>
      <c r="C120" s="3805"/>
      <c r="D120" s="3805"/>
      <c r="E120" s="3805"/>
      <c r="F120" s="3805"/>
      <c r="G120" s="3806"/>
      <c r="H120" s="3807">
        <f>H103</f>
        <v>0</v>
      </c>
      <c r="I120" s="3808"/>
      <c r="J120" s="3444"/>
      <c r="K120" s="3444" t="str">
        <f>IF(H120=0,"故，本次评估不存在"&amp;A120,"故，本次评估"&amp;A120&amp;"为人民币"&amp;H120&amp;"万元整。")</f>
        <v>故，本次评估不存在估价师知悉的法定优先受偿款</v>
      </c>
      <c r="L120" s="3444"/>
      <c r="M120" s="3444"/>
      <c r="N120" s="3444"/>
      <c r="O120" s="3444"/>
      <c r="P120" s="3444"/>
      <c r="Q120" s="3444"/>
      <c r="R120" s="3444"/>
      <c r="S120" s="3444"/>
    </row>
    <row r="121" ht="18.75" hidden="1" customHeight="1" spans="1:27">
      <c r="A121" s="1472" t="s">
        <v>1107</v>
      </c>
      <c r="B121" s="3809"/>
      <c r="C121" s="3809"/>
      <c r="D121" s="3809"/>
      <c r="E121" s="3809"/>
      <c r="F121" s="3809"/>
      <c r="G121" s="1792"/>
      <c r="H121" s="3810" t="str">
        <f>IF(H120=0,"零元整",NUMBERSTRING(INT(H120*10000),2)&amp;"元整")</f>
        <v>零元整</v>
      </c>
      <c r="I121" s="3811"/>
      <c r="AA121" s="3277"/>
    </row>
    <row r="122" ht="18.75" hidden="1" customHeight="1" spans="1:27">
      <c r="A122" s="3804" t="str">
        <f>IF(项目基本情况!B9="房地产市场价值","",MID(E107,3,LEN(E107)-2))</f>
        <v>房地产抵押价值</v>
      </c>
      <c r="B122" s="3805"/>
      <c r="C122" s="3805"/>
      <c r="D122" s="3805"/>
      <c r="E122" s="3805"/>
      <c r="F122" s="3805"/>
      <c r="G122" s="3806"/>
      <c r="H122" s="3812">
        <f ca="1">H107</f>
        <v>26223</v>
      </c>
      <c r="I122" s="3813"/>
      <c r="AA122" s="3277"/>
    </row>
    <row r="123" ht="18.75" hidden="1" customHeight="1" spans="1:27">
      <c r="A123" s="1472" t="s">
        <v>1107</v>
      </c>
      <c r="B123" s="3809"/>
      <c r="C123" s="3809"/>
      <c r="D123" s="3809"/>
      <c r="E123" s="3809"/>
      <c r="F123" s="3809"/>
      <c r="G123" s="1792"/>
      <c r="H123" s="1472" t="str">
        <f ca="1">NUMBERSTRING(INT(H122*10000),2)&amp;"元整"</f>
        <v>贰亿陆仟贰佰贰拾叁万元整</v>
      </c>
      <c r="I123" s="1792"/>
      <c r="AA123" s="3277"/>
    </row>
    <row r="124" ht="18.75" hidden="1" customHeight="1" spans="1:27">
      <c r="A124" s="3804" t="str">
        <f>IF(项目基本情况!B9="房地产市场价值","",MID(E109,3,LEN(E109)-2))</f>
        <v/>
      </c>
      <c r="B124" s="3805"/>
      <c r="C124" s="3805"/>
      <c r="D124" s="3805"/>
      <c r="E124" s="3805"/>
      <c r="F124" s="3805"/>
      <c r="G124" s="3806"/>
      <c r="H124" s="3812" t="str">
        <f ca="1">H109</f>
        <v>——</v>
      </c>
      <c r="I124" s="3813"/>
      <c r="AA124" s="3277"/>
    </row>
    <row r="125" ht="18.75" hidden="1" customHeight="1" spans="1:27">
      <c r="A125" s="1472" t="s">
        <v>1107</v>
      </c>
      <c r="B125" s="3809"/>
      <c r="C125" s="3809"/>
      <c r="D125" s="3809"/>
      <c r="E125" s="3809"/>
      <c r="F125" s="3809"/>
      <c r="G125" s="1792"/>
      <c r="H125" s="1472" t="e">
        <f ca="1">NUMBERSTRING(INT(H124*10000),2)&amp;"元整"</f>
        <v>#VALUE!</v>
      </c>
      <c r="I125" s="1792"/>
      <c r="AA125" s="3277"/>
    </row>
    <row r="126" ht="18.75" hidden="1" customHeight="1" spans="1:27">
      <c r="A126" s="3804" t="str">
        <f>IF(项目基本情况!B9="房地产市场价值","",MID(E111,3,LEN(E111)-2))</f>
        <v>抵押净值</v>
      </c>
      <c r="B126" s="3805"/>
      <c r="C126" s="3805"/>
      <c r="D126" s="3805"/>
      <c r="E126" s="3805"/>
      <c r="F126" s="3805"/>
      <c r="G126" s="3806"/>
      <c r="H126" s="3812">
        <f ca="1">H111</f>
        <v>13119</v>
      </c>
      <c r="I126" s="3813"/>
      <c r="AA126" s="3277"/>
    </row>
    <row r="127" ht="18.75" hidden="1" customHeight="1" spans="1:27">
      <c r="A127" s="1472" t="s">
        <v>1107</v>
      </c>
      <c r="B127" s="3809"/>
      <c r="C127" s="3809"/>
      <c r="D127" s="3809"/>
      <c r="E127" s="3809"/>
      <c r="F127" s="3809"/>
      <c r="G127" s="1792"/>
      <c r="H127" s="1472" t="str">
        <f ca="1">NUMBERSTRING(INT(H126*10000),2)&amp;"元整"</f>
        <v>壹亿叁仟壹佰壹拾玖万元整</v>
      </c>
      <c r="I127" s="1792"/>
      <c r="AA127" s="3277"/>
    </row>
    <row r="128" hidden="1" customHeight="1" spans="1:27">
      <c r="A128" s="2784" t="s">
        <v>113</v>
      </c>
      <c r="B128" s="2784"/>
      <c r="C128" s="2784"/>
      <c r="D128" s="2784"/>
      <c r="E128" s="2784"/>
      <c r="F128" s="2784"/>
      <c r="G128" s="2784"/>
      <c r="H128" s="2784"/>
      <c r="I128" s="2784"/>
      <c r="AA128" s="3277"/>
    </row>
    <row r="129" hidden="1" customHeight="1" spans="1:35">
      <c r="A129" s="3814" t="s">
        <v>1109</v>
      </c>
      <c r="B129" s="3815"/>
      <c r="C129" s="3816" t="s">
        <v>1110</v>
      </c>
      <c r="D129" s="3817"/>
      <c r="E129" s="3817"/>
      <c r="F129" s="3817"/>
      <c r="G129" s="3817"/>
      <c r="H129" s="3818"/>
      <c r="I129" s="3819"/>
      <c r="AA129" s="3277"/>
    </row>
    <row r="130" hidden="1" customHeight="1" spans="1:35">
      <c r="A130" s="3820">
        <v>1</v>
      </c>
      <c r="B130" s="3821"/>
      <c r="C130" s="3821"/>
      <c r="D130" s="3822"/>
      <c r="E130" s="3822"/>
      <c r="F130" s="3822"/>
      <c r="G130" s="3822"/>
      <c r="H130" s="3823"/>
      <c r="I130" s="3824"/>
      <c r="AA130" s="3277"/>
    </row>
    <row r="131" hidden="1" customHeight="1" spans="1:35">
      <c r="A131" s="3820">
        <v>2</v>
      </c>
      <c r="B131" s="3821"/>
      <c r="C131" s="3821"/>
      <c r="D131" s="3822"/>
      <c r="E131" s="3822"/>
      <c r="F131" s="3822"/>
      <c r="G131" s="3822"/>
      <c r="H131" s="3823"/>
      <c r="I131" s="3824"/>
      <c r="AA131" s="3277"/>
    </row>
    <row r="132" hidden="1" customHeight="1" spans="1:35">
      <c r="A132" s="3820">
        <v>3</v>
      </c>
      <c r="B132" s="3821"/>
      <c r="C132" s="3821"/>
      <c r="D132" s="3822"/>
      <c r="E132" s="3822"/>
      <c r="F132" s="3822"/>
      <c r="G132" s="3822"/>
      <c r="H132" s="3823"/>
      <c r="I132" s="3824"/>
      <c r="AA132" s="3277"/>
    </row>
    <row r="133" hidden="1" customHeight="1" spans="1:35">
      <c r="A133" s="3825"/>
      <c r="B133" s="3826"/>
      <c r="C133" s="3826"/>
      <c r="D133" s="3827"/>
      <c r="E133" s="3827"/>
      <c r="F133" s="3827"/>
      <c r="G133" s="3827"/>
      <c r="H133" s="3828"/>
      <c r="I133" s="3829"/>
    </row>
    <row r="134" hidden="1" customHeight="1" spans="1:35">
      <c r="A134" s="3821"/>
      <c r="B134" s="3821"/>
      <c r="C134" s="3821"/>
      <c r="D134" s="3822"/>
      <c r="E134" s="3822"/>
      <c r="F134" s="3822"/>
      <c r="G134" s="3822"/>
      <c r="H134" s="3823"/>
      <c r="I134" s="3277"/>
    </row>
    <row r="135" hidden="1" customHeight="1" spans="1:35">
      <c r="A135" s="3277"/>
      <c r="B135" s="3277"/>
      <c r="C135" s="3277"/>
      <c r="D135" s="3277"/>
      <c r="E135" s="3277"/>
      <c r="F135" s="3830" t="s">
        <v>1111</v>
      </c>
      <c r="G135" s="3831"/>
      <c r="H135" s="3831"/>
      <c r="I135" s="3832" t="s">
        <v>1112</v>
      </c>
    </row>
    <row r="136" hidden="1" customHeight="1" spans="1:35">
      <c r="A136" s="3277"/>
      <c r="B136" s="3833" t="s">
        <v>1113</v>
      </c>
      <c r="C136" s="3277"/>
      <c r="D136" s="3277"/>
      <c r="E136" s="3277"/>
      <c r="F136" s="3277"/>
      <c r="G136" s="3277"/>
      <c r="H136" s="3277"/>
      <c r="I136" s="3277"/>
    </row>
    <row r="137" hidden="1" customHeight="1" spans="1:35">
      <c r="A137" s="3277"/>
      <c r="B137" s="3277"/>
      <c r="C137" s="3277"/>
      <c r="D137" s="3277"/>
      <c r="E137" s="3277"/>
      <c r="F137" s="3277"/>
      <c r="G137" s="3277"/>
      <c r="H137" s="3277"/>
      <c r="I137" s="3277"/>
    </row>
    <row r="138" hidden="1" customHeight="1" spans="1:35">
      <c r="A138" s="3277"/>
      <c r="B138" s="3831"/>
      <c r="C138" s="3831"/>
      <c r="D138" s="3831"/>
      <c r="E138" s="3831"/>
      <c r="F138" s="3831"/>
      <c r="G138" s="3831"/>
      <c r="H138" s="3831"/>
      <c r="I138" s="3832" t="s">
        <v>1114</v>
      </c>
    </row>
    <row r="139" hidden="1" customHeight="1" spans="1:35">
      <c r="A139" s="3277"/>
      <c r="B139" s="3833" t="s">
        <v>1115</v>
      </c>
      <c r="C139" s="3277"/>
      <c r="D139" s="3277"/>
      <c r="E139" s="3277"/>
      <c r="F139" s="3277"/>
      <c r="G139" s="3277"/>
      <c r="H139" s="3277"/>
      <c r="I139" s="3277"/>
    </row>
    <row r="140" hidden="1" customHeight="1" spans="1:35">
      <c r="A140" s="3277"/>
      <c r="B140" s="3833"/>
      <c r="C140" s="3277"/>
      <c r="D140" s="3277"/>
      <c r="E140" s="3277"/>
      <c r="F140" s="3277"/>
      <c r="G140" s="3277"/>
      <c r="H140" s="3277"/>
      <c r="I140" s="3277"/>
    </row>
    <row r="141" hidden="1" customHeight="1" spans="1:35">
      <c r="A141" s="3277"/>
      <c r="B141" s="3831"/>
      <c r="C141" s="3831"/>
      <c r="D141" s="3831"/>
      <c r="E141" s="3831"/>
      <c r="F141" s="3831"/>
      <c r="G141" s="3831"/>
      <c r="H141" s="3831"/>
      <c r="I141" s="3832" t="s">
        <v>1114</v>
      </c>
    </row>
    <row r="142" hidden="1" customHeight="1" spans="1:35">
      <c r="A142" s="3277"/>
      <c r="B142" s="3833"/>
      <c r="C142" s="3834"/>
      <c r="D142" s="3835"/>
      <c r="E142" s="3835"/>
      <c r="F142" s="3836"/>
      <c r="G142" s="3277"/>
      <c r="H142" s="3277"/>
      <c r="I142" s="3277"/>
    </row>
    <row r="143" s="3275" customFormat="1" customHeight="1" spans="1:35">
      <c r="A143" s="3277"/>
      <c r="B143" s="3833"/>
      <c r="C143" s="3834"/>
      <c r="D143" s="3835"/>
      <c r="E143" s="3835"/>
      <c r="F143" s="3836"/>
      <c r="G143" s="3277"/>
      <c r="H143" s="3277"/>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77"/>
      <c r="AD143" s="3277"/>
      <c r="AE143" s="3277"/>
      <c r="AF143" s="3277"/>
      <c r="AG143" s="3277"/>
      <c r="AH143" s="3277"/>
      <c r="AI143" s="3277"/>
    </row>
    <row r="144" s="3275" customFormat="1" customHeight="1" spans="1:35">
      <c r="A144" s="3277"/>
      <c r="B144" s="3277"/>
      <c r="C144" s="3277"/>
      <c r="D144" s="3277"/>
      <c r="E144" s="3277"/>
      <c r="F144" s="3277"/>
      <c r="G144" s="3277"/>
      <c r="H144" s="3277"/>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77"/>
      <c r="AD144" s="3277"/>
      <c r="AE144" s="3277"/>
      <c r="AF144" s="3277"/>
      <c r="AG144" s="3277"/>
      <c r="AH144" s="3277"/>
      <c r="AI144" s="3277"/>
    </row>
    <row r="145" s="3275" customFormat="1" customHeight="1" spans="1:35">
      <c r="A145" s="3277"/>
      <c r="B145" s="3277"/>
      <c r="C145" s="3277"/>
      <c r="D145" s="3277"/>
      <c r="E145" s="3277"/>
      <c r="F145" s="3277"/>
      <c r="G145" s="3277"/>
      <c r="H145" s="3277"/>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77"/>
      <c r="AD145" s="3277"/>
      <c r="AE145" s="3277"/>
      <c r="AF145" s="3277"/>
      <c r="AG145" s="3277"/>
      <c r="AH145" s="3277"/>
      <c r="AI145" s="3277"/>
    </row>
    <row r="146" s="3277" customFormat="1" customHeight="1"/>
    <row r="147" s="3277" customFormat="1" customHeight="1"/>
    <row r="148" s="3277" customFormat="1" customHeight="1"/>
    <row r="149" s="3277" customFormat="1" customHeight="1"/>
    <row r="150" s="3277" customFormat="1" customHeight="1"/>
    <row r="151" s="3277" customFormat="1" customHeight="1"/>
    <row r="152" s="3277" customFormat="1" customHeight="1"/>
    <row r="153" s="3277" customFormat="1" customHeight="1"/>
    <row r="154" s="3277" customFormat="1" customHeight="1"/>
    <row r="155" s="3277" customFormat="1" customHeight="1"/>
    <row r="156" s="3277" customFormat="1" customHeight="1"/>
    <row r="157" s="3277" customFormat="1" customHeight="1"/>
    <row r="158" s="3277" customFormat="1" customHeight="1"/>
    <row r="159" s="3277" customFormat="1" customHeight="1"/>
    <row r="160" s="3277" customFormat="1" customHeight="1"/>
    <row r="161" s="3277" customFormat="1" customHeight="1"/>
    <row r="162" s="3277" customFormat="1" customHeight="1"/>
    <row r="163" s="3277" customFormat="1" customHeight="1"/>
    <row r="164" s="3277" customFormat="1" customHeight="1"/>
    <row r="165" s="3277" customFormat="1" customHeight="1"/>
    <row r="166" s="3277" customFormat="1" customHeight="1"/>
    <row r="167" s="3277" customFormat="1" customHeight="1"/>
    <row r="168" s="3277" customFormat="1" customHeight="1"/>
    <row r="169" s="3277" customFormat="1" customHeight="1"/>
    <row r="170" s="3277" customFormat="1" customHeight="1"/>
    <row r="171" s="3277" customFormat="1" customHeight="1"/>
    <row r="172" s="3277" customFormat="1" customHeight="1"/>
    <row r="173" s="3277" customFormat="1" customHeight="1"/>
    <row r="174" s="3277" customFormat="1" customHeight="1"/>
    <row r="175" s="3277" customFormat="1" customHeight="1"/>
    <row r="176" s="3277" customFormat="1" customHeight="1"/>
    <row r="177" s="3277" customFormat="1" customHeight="1"/>
    <row r="178" s="3277" customFormat="1" customHeight="1"/>
    <row r="179" s="3277" customFormat="1" customHeight="1"/>
    <row r="180" s="3277" customFormat="1" customHeight="1"/>
    <row r="181" s="3277" customFormat="1" customHeight="1"/>
    <row r="182" s="3277" customFormat="1" customHeight="1"/>
    <row r="183" s="3277" customFormat="1" customHeight="1"/>
    <row r="184" s="3277" customFormat="1" customHeight="1"/>
    <row r="185" s="3277" customFormat="1" customHeight="1"/>
    <row r="186" s="3277" customFormat="1" customHeight="1"/>
    <row r="187" s="3277" customFormat="1" customHeight="1"/>
    <row r="188" s="3277" customFormat="1" customHeight="1"/>
    <row r="189" s="3277" customFormat="1" customHeight="1"/>
    <row r="190" s="3277" customFormat="1" customHeight="1"/>
    <row r="191" s="3277" customFormat="1" customHeight="1"/>
    <row r="192" s="3277" customFormat="1" customHeight="1"/>
    <row r="193" s="3277" customFormat="1" customHeight="1"/>
    <row r="194" s="3277" customFormat="1" customHeight="1"/>
    <row r="195" s="3277" customFormat="1" customHeight="1"/>
    <row r="196" s="3277" customFormat="1" customHeight="1"/>
    <row r="197" s="3277" customFormat="1" customHeight="1"/>
    <row r="198" s="3277" customFormat="1" customHeight="1"/>
    <row r="199" s="3277" customFormat="1" customHeight="1"/>
    <row r="200" s="3277" customFormat="1" customHeight="1"/>
    <row r="201" s="3277" customFormat="1" customHeight="1"/>
    <row r="202" s="3277" customFormat="1" customHeight="1"/>
    <row r="203" s="3277" customFormat="1" customHeight="1"/>
    <row r="204" s="3277" customFormat="1" customHeight="1"/>
    <row r="205" s="3277" customFormat="1" customHeight="1"/>
    <row r="206" s="3277" customFormat="1" customHeight="1"/>
    <row r="207" s="3277" customFormat="1" customHeight="1"/>
    <row r="208" s="3277" customFormat="1" customHeight="1"/>
    <row r="209" s="3277" customFormat="1" customHeight="1"/>
    <row r="210" s="3277" customFormat="1" customHeight="1"/>
    <row r="211" s="3277" customFormat="1" customHeight="1"/>
    <row r="212" s="3277" customFormat="1" customHeight="1"/>
    <row r="213" s="3277" customFormat="1" customHeight="1"/>
    <row r="214" s="3277" customFormat="1" customHeight="1"/>
    <row r="215" s="3277" customFormat="1" customHeight="1"/>
    <row r="216" s="3277" customFormat="1" customHeight="1"/>
    <row r="217" s="3277" customFormat="1" customHeight="1"/>
    <row r="218" s="3277" customFormat="1" customHeight="1"/>
    <row r="219" s="3277" customFormat="1" customHeight="1"/>
    <row r="220" s="3277" customFormat="1" customHeight="1"/>
    <row r="221" s="3277" customFormat="1" customHeight="1"/>
    <row r="222" s="3277" customFormat="1" customHeight="1"/>
    <row r="223" s="3277" customFormat="1" customHeight="1"/>
    <row r="224" s="3277" customFormat="1" customHeight="1"/>
    <row r="225" s="3277" customFormat="1" customHeight="1"/>
    <row r="226" s="3277" customFormat="1" customHeight="1"/>
    <row r="227" s="3277" customFormat="1" customHeight="1"/>
    <row r="228" s="3277" customFormat="1" customHeight="1"/>
    <row r="229" s="3277" customFormat="1" customHeight="1"/>
    <row r="230" s="3277" customFormat="1" customHeight="1"/>
    <row r="231" s="3277" customFormat="1" customHeight="1"/>
    <row r="232" s="3277" customFormat="1" customHeight="1"/>
    <row r="233" s="3277" customFormat="1" customHeight="1"/>
    <row r="234" s="3277" customFormat="1" customHeight="1"/>
    <row r="235" s="3277" customFormat="1" customHeight="1"/>
    <row r="236" s="3277" customFormat="1" customHeight="1"/>
    <row r="237" s="3277" customFormat="1" customHeight="1"/>
    <row r="238" s="3277" customFormat="1" customHeight="1"/>
    <row r="239" s="3277" customFormat="1" customHeight="1"/>
    <row r="240" s="3277" customFormat="1" customHeight="1"/>
    <row r="241" s="3277" customFormat="1" customHeight="1"/>
    <row r="242" s="3277" customFormat="1" customHeight="1"/>
    <row r="243" s="3277" customFormat="1" customHeight="1"/>
    <row r="244" s="3277" customFormat="1" customHeight="1"/>
    <row r="245" s="3277" customFormat="1" customHeight="1"/>
    <row r="246" s="3277" customFormat="1" customHeight="1"/>
    <row r="247" s="3277" customFormat="1" customHeight="1"/>
    <row r="248" s="3277" customFormat="1" customHeight="1"/>
    <row r="249" s="3277" customFormat="1" customHeight="1"/>
    <row r="250" s="3277" customFormat="1" customHeight="1"/>
    <row r="251" s="3277" customFormat="1" customHeight="1"/>
    <row r="252" s="3277" customFormat="1" customHeight="1"/>
    <row r="253" s="3277" customFormat="1" customHeight="1"/>
    <row r="254" s="3277" customFormat="1" customHeight="1"/>
    <row r="255" s="3277" customFormat="1" customHeight="1"/>
    <row r="256" s="3277" customFormat="1" customHeight="1"/>
    <row r="257" s="3277" customFormat="1" customHeight="1"/>
    <row r="258" s="3277" customFormat="1" customHeight="1"/>
    <row r="259" s="3277" customFormat="1" customHeight="1"/>
    <row r="260" s="3277" customFormat="1" customHeight="1"/>
    <row r="261" s="3277" customFormat="1" customHeight="1"/>
    <row r="262" s="3277" customFormat="1" customHeight="1"/>
    <row r="263" s="3277" customFormat="1" customHeight="1"/>
    <row r="264" s="3277" customFormat="1" customHeight="1"/>
    <row r="265" s="3277" customFormat="1" customHeight="1"/>
    <row r="266" s="3277" customFormat="1" customHeight="1"/>
    <row r="267" s="3277" customFormat="1" customHeight="1"/>
    <row r="268" s="3277" customFormat="1" customHeight="1"/>
    <row r="269" s="3277" customFormat="1" customHeight="1"/>
    <row r="270" s="3277" customFormat="1" customHeight="1"/>
    <row r="271" s="3277" customFormat="1" customHeight="1"/>
    <row r="272" s="3277" customFormat="1" customHeight="1"/>
    <row r="273" s="3277" customFormat="1" customHeight="1"/>
    <row r="274" s="3277" customFormat="1" customHeight="1"/>
    <row r="275" s="3277" customFormat="1" customHeight="1"/>
    <row r="276" s="3277" customFormat="1" customHeight="1"/>
    <row r="277" s="3277" customFormat="1" customHeight="1"/>
    <row r="278" s="3277" customFormat="1" customHeight="1"/>
    <row r="279" s="3277" customFormat="1" customHeight="1"/>
    <row r="280" s="3277" customFormat="1" customHeight="1"/>
    <row r="281" s="3277" customFormat="1" customHeight="1"/>
    <row r="282" s="3277" customFormat="1" customHeight="1"/>
    <row r="283" s="3277" customFormat="1" customHeight="1"/>
    <row r="284" s="3277" customFormat="1" customHeight="1"/>
    <row r="285" s="3277" customFormat="1" customHeight="1"/>
    <row r="286" s="3277" customFormat="1" customHeight="1"/>
    <row r="287" s="3277" customFormat="1" customHeight="1"/>
    <row r="288" s="3277" customFormat="1" customHeight="1"/>
    <row r="289" s="3277" customFormat="1" customHeight="1"/>
    <row r="290" s="3277" customFormat="1" customHeight="1"/>
    <row r="291" s="3277" customFormat="1" customHeight="1"/>
    <row r="292" s="3277" customFormat="1" customHeight="1"/>
    <row r="293" s="3277" customFormat="1" customHeight="1"/>
    <row r="294" s="3277" customFormat="1" customHeight="1"/>
    <row r="295" s="3277" customFormat="1" customHeight="1"/>
    <row r="296" s="3277" customFormat="1" customHeight="1"/>
    <row r="297" s="3277" customFormat="1" customHeight="1"/>
    <row r="298" s="3277" customFormat="1" customHeight="1"/>
    <row r="299" s="3277" customFormat="1" customHeight="1"/>
    <row r="300" s="3277" customFormat="1" customHeight="1"/>
    <row r="301" s="3277" customFormat="1" customHeight="1"/>
    <row r="302" s="3277" customFormat="1" customHeight="1"/>
    <row r="303" s="3277" customFormat="1" customHeight="1"/>
    <row r="304" s="3277" customFormat="1" customHeight="1"/>
    <row r="305" s="3277" customFormat="1" customHeight="1"/>
    <row r="306" s="3277" customFormat="1" customHeight="1"/>
    <row r="307" s="3277" customFormat="1" customHeight="1"/>
    <row r="308" s="3277" customFormat="1" customHeight="1"/>
    <row r="309" s="3277" customFormat="1" customHeight="1"/>
    <row r="310" s="3277" customFormat="1" customHeight="1"/>
    <row r="311" s="3277" customFormat="1" customHeight="1"/>
    <row r="312" s="3277" customFormat="1" customHeight="1"/>
    <row r="313" s="3277" customFormat="1" customHeight="1"/>
    <row r="314" s="3277" customFormat="1" customHeight="1"/>
    <row r="315" s="3277" customFormat="1" customHeight="1"/>
    <row r="316" s="3277" customFormat="1" customHeight="1"/>
    <row r="317" s="3277" customFormat="1" customHeight="1"/>
    <row r="318" s="3277" customFormat="1" customHeight="1"/>
    <row r="319" s="3277" customFormat="1" customHeight="1"/>
    <row r="320" s="3277" customFormat="1" customHeight="1"/>
    <row r="321" s="3277" customFormat="1" customHeight="1"/>
    <row r="322" s="3277" customFormat="1" customHeight="1"/>
    <row r="323" s="3277" customFormat="1" customHeight="1"/>
    <row r="324" s="3277" customFormat="1" customHeight="1"/>
    <row r="325" s="3277" customFormat="1" customHeight="1"/>
    <row r="326" s="3277" customFormat="1" customHeight="1"/>
    <row r="327" s="3277" customFormat="1" customHeight="1"/>
    <row r="328" s="3277" customFormat="1" customHeight="1"/>
    <row r="329" s="3277" customFormat="1" customHeight="1"/>
    <row r="330" s="3277" customFormat="1" customHeight="1"/>
    <row r="331" s="3277" customFormat="1" customHeight="1"/>
    <row r="332" s="3277" customFormat="1" customHeight="1"/>
    <row r="333" s="3277" customFormat="1" customHeight="1"/>
    <row r="334" s="3277" customFormat="1" customHeight="1"/>
    <row r="335" s="3277" customFormat="1" customHeight="1"/>
    <row r="336" s="3277" customFormat="1" customHeight="1"/>
    <row r="337" s="3277" customFormat="1" customHeight="1"/>
    <row r="338" s="3277" customFormat="1" customHeight="1"/>
    <row r="339" s="3277" customFormat="1" customHeight="1"/>
    <row r="340" s="3277" customFormat="1" customHeight="1"/>
    <row r="341" s="3277" customFormat="1" customHeight="1"/>
    <row r="342" s="3277" customFormat="1" customHeight="1"/>
    <row r="343" s="3277" customFormat="1" customHeight="1"/>
    <row r="344" s="3277" customFormat="1" customHeight="1"/>
    <row r="345" s="3277" customFormat="1" customHeight="1"/>
    <row r="346" s="3277" customFormat="1" customHeight="1"/>
    <row r="347" s="3277" customFormat="1" customHeight="1"/>
    <row r="348" s="3277" customFormat="1" customHeight="1"/>
    <row r="349" s="3277" customFormat="1" customHeight="1"/>
    <row r="350" s="3277" customFormat="1" customHeight="1"/>
    <row r="351" s="3277" customFormat="1" customHeight="1"/>
    <row r="352" s="3277" customFormat="1" customHeight="1"/>
    <row r="353" s="3277" customFormat="1" customHeight="1"/>
    <row r="354" s="3277" customFormat="1" customHeight="1"/>
    <row r="355" s="3277" customFormat="1" customHeight="1"/>
    <row r="356" s="3277" customFormat="1" customHeight="1"/>
    <row r="357" s="3277" customFormat="1" customHeight="1"/>
    <row r="358" s="3277" customFormat="1" customHeight="1"/>
    <row r="359" s="3277" customFormat="1" customHeight="1"/>
    <row r="360" s="3277" customFormat="1" customHeight="1"/>
    <row r="361" s="3277" customFormat="1" customHeight="1"/>
    <row r="362" s="3277" customFormat="1" customHeight="1"/>
    <row r="363" s="3277" customFormat="1" customHeight="1"/>
    <row r="364" s="3277" customFormat="1" customHeight="1"/>
    <row r="365" s="3277" customFormat="1" customHeight="1"/>
    <row r="366" s="3277" customFormat="1" customHeight="1"/>
    <row r="367" s="3277" customFormat="1" customHeight="1"/>
    <row r="368" s="3277" customFormat="1" customHeight="1"/>
    <row r="369" s="3277" customFormat="1" customHeight="1"/>
    <row r="370" s="3277" customFormat="1" customHeight="1"/>
    <row r="371" s="3277" customFormat="1" customHeight="1"/>
    <row r="372" s="3277" customFormat="1" customHeight="1"/>
    <row r="373" s="3277" customFormat="1" customHeight="1"/>
    <row r="374" s="3277" customFormat="1" customHeight="1"/>
    <row r="375" s="3277" customFormat="1" customHeight="1"/>
    <row r="376" s="3277" customFormat="1" customHeight="1"/>
    <row r="377" s="3277" customFormat="1" customHeight="1"/>
    <row r="378" s="3277" customFormat="1" customHeight="1"/>
    <row r="379" s="3277" customFormat="1" customHeight="1"/>
    <row r="380" s="3277" customFormat="1" customHeight="1"/>
    <row r="381" s="3277" customFormat="1" customHeight="1"/>
    <row r="382" s="3277" customFormat="1" customHeight="1"/>
    <row r="383" s="3277" customFormat="1" customHeight="1"/>
    <row r="384" s="3277" customFormat="1" customHeight="1"/>
    <row r="385" s="3277" customFormat="1" customHeight="1"/>
    <row r="386" s="3277" customFormat="1" customHeight="1"/>
    <row r="387" s="3277" customFormat="1" customHeight="1"/>
    <row r="388" s="3277" customFormat="1" customHeight="1"/>
    <row r="389" s="3277" customFormat="1" customHeight="1"/>
    <row r="390" s="3277" customFormat="1" customHeight="1"/>
    <row r="391" s="3277" customFormat="1" customHeight="1"/>
    <row r="392" s="3277" customFormat="1" customHeight="1"/>
    <row r="393" s="3277" customFormat="1" customHeight="1"/>
    <row r="394" s="3277" customFormat="1" customHeight="1"/>
    <row r="395" s="3277" customFormat="1" customHeight="1"/>
    <row r="396" s="3277" customFormat="1" customHeight="1"/>
    <row r="397" s="3277" customFormat="1" customHeight="1"/>
    <row r="398" s="3277" customFormat="1" customHeight="1"/>
    <row r="399" s="3277" customFormat="1" customHeight="1"/>
    <row r="400" s="3277" customFormat="1" customHeight="1"/>
    <row r="401" s="3277" customFormat="1" customHeight="1"/>
    <row r="402" s="3277" customFormat="1" customHeight="1"/>
    <row r="403" s="3277" customFormat="1" customHeight="1"/>
    <row r="404" s="3277" customFormat="1" customHeight="1"/>
    <row r="405" s="3277" customFormat="1" customHeight="1"/>
    <row r="406" s="3277" customFormat="1" customHeight="1"/>
    <row r="407" s="3277" customFormat="1" customHeight="1"/>
    <row r="408" s="3277" customFormat="1" customHeight="1"/>
    <row r="409" s="3444" customFormat="1" customHeight="1" spans="10:26">
      <c r="J409" s="3277"/>
      <c r="K409" s="3277"/>
      <c r="L409" s="3277"/>
      <c r="M409" s="3277"/>
      <c r="N409" s="3277"/>
      <c r="O409" s="3277"/>
      <c r="P409" s="3277"/>
      <c r="Q409" s="3277"/>
      <c r="R409" s="3277"/>
      <c r="S409" s="3277"/>
      <c r="T409" s="3277"/>
      <c r="U409" s="3277"/>
      <c r="V409" s="3277"/>
      <c r="W409" s="3277"/>
      <c r="X409" s="3277"/>
      <c r="Y409" s="3277"/>
      <c r="Z409" s="3277"/>
    </row>
    <row r="410" s="3444" customFormat="1" customHeight="1" spans="10:26">
      <c r="J410" s="3277"/>
      <c r="K410" s="3277"/>
      <c r="L410" s="3277"/>
      <c r="M410" s="3277"/>
      <c r="N410" s="3277"/>
      <c r="O410" s="3277"/>
      <c r="P410" s="3277"/>
      <c r="Q410" s="3277"/>
      <c r="R410" s="3277"/>
      <c r="S410" s="3277"/>
      <c r="T410" s="3277"/>
      <c r="U410" s="3277"/>
      <c r="V410" s="3277"/>
      <c r="W410" s="3277"/>
      <c r="X410" s="3277"/>
      <c r="Y410" s="3277"/>
      <c r="Z410" s="3277"/>
    </row>
    <row r="411" s="3444" customFormat="1" customHeight="1" spans="10:26">
      <c r="J411" s="3277"/>
      <c r="K411" s="3277"/>
      <c r="L411" s="3277"/>
      <c r="M411" s="3277"/>
      <c r="N411" s="3277"/>
      <c r="O411" s="3277"/>
      <c r="P411" s="3277"/>
      <c r="Q411" s="3277"/>
      <c r="R411" s="3277"/>
      <c r="S411" s="3277"/>
      <c r="T411" s="3277"/>
      <c r="U411" s="3277"/>
      <c r="V411" s="3277"/>
      <c r="W411" s="3277"/>
      <c r="X411" s="3277"/>
      <c r="Y411" s="3277"/>
      <c r="Z411" s="3277"/>
    </row>
    <row r="412" s="3444" customFormat="1" customHeight="1" spans="10:26">
      <c r="J412" s="3277"/>
      <c r="K412" s="3277"/>
      <c r="L412" s="3277"/>
      <c r="M412" s="3277"/>
      <c r="N412" s="3277"/>
      <c r="O412" s="3277"/>
      <c r="P412" s="3277"/>
      <c r="Q412" s="3277"/>
      <c r="R412" s="3277"/>
      <c r="S412" s="3277"/>
      <c r="T412" s="3277"/>
      <c r="U412" s="3277"/>
      <c r="V412" s="3277"/>
      <c r="W412" s="3277"/>
      <c r="X412" s="3277"/>
      <c r="Y412" s="3277"/>
      <c r="Z412" s="3277"/>
    </row>
    <row r="413" s="3444" customFormat="1" customHeight="1" spans="10:26">
      <c r="J413" s="3277"/>
      <c r="K413" s="3277"/>
      <c r="L413" s="3277"/>
      <c r="M413" s="3277"/>
      <c r="N413" s="3277"/>
      <c r="O413" s="3277"/>
      <c r="P413" s="3277"/>
      <c r="Q413" s="3277"/>
      <c r="R413" s="3277"/>
      <c r="S413" s="3277"/>
      <c r="T413" s="3277"/>
      <c r="U413" s="3277"/>
      <c r="V413" s="3277"/>
      <c r="W413" s="3277"/>
      <c r="X413" s="3277"/>
      <c r="Y413" s="3277"/>
      <c r="Z413" s="3277"/>
    </row>
    <row r="414" s="3444" customFormat="1" customHeight="1" spans="10:26">
      <c r="J414" s="3277"/>
      <c r="K414" s="3277"/>
      <c r="L414" s="3277"/>
      <c r="M414" s="3277"/>
      <c r="N414" s="3277"/>
      <c r="O414" s="3277"/>
      <c r="P414" s="3277"/>
      <c r="Q414" s="3277"/>
      <c r="R414" s="3277"/>
      <c r="S414" s="3277"/>
      <c r="T414" s="3277"/>
      <c r="U414" s="3277"/>
      <c r="V414" s="3277"/>
      <c r="W414" s="3277"/>
      <c r="X414" s="3277"/>
      <c r="Y414" s="3277"/>
      <c r="Z414" s="3277"/>
    </row>
    <row r="415" s="3444" customFormat="1" customHeight="1" spans="10:26">
      <c r="J415" s="3277"/>
      <c r="K415" s="3277"/>
      <c r="L415" s="3277"/>
      <c r="M415" s="3277"/>
      <c r="N415" s="3277"/>
      <c r="O415" s="3277"/>
      <c r="P415" s="3277"/>
      <c r="Q415" s="3277"/>
      <c r="R415" s="3277"/>
      <c r="S415" s="3277"/>
      <c r="T415" s="3277"/>
      <c r="U415" s="3277"/>
      <c r="V415" s="3277"/>
      <c r="W415" s="3277"/>
      <c r="X415" s="3277"/>
      <c r="Y415" s="3277"/>
      <c r="Z415" s="3277"/>
    </row>
    <row r="416" s="3444" customFormat="1" customHeight="1" spans="10:26">
      <c r="J416" s="3277"/>
      <c r="K416" s="3277"/>
      <c r="L416" s="3277"/>
      <c r="M416" s="3277"/>
      <c r="N416" s="3277"/>
      <c r="O416" s="3277"/>
      <c r="P416" s="3277"/>
      <c r="Q416" s="3277"/>
      <c r="R416" s="3277"/>
      <c r="S416" s="3277"/>
      <c r="T416" s="3277"/>
      <c r="U416" s="3277"/>
      <c r="V416" s="3277"/>
      <c r="W416" s="3277"/>
      <c r="X416" s="3277"/>
      <c r="Y416" s="3277"/>
      <c r="Z416" s="3277"/>
    </row>
    <row r="417" s="3444" customFormat="1" customHeight="1" spans="10:26">
      <c r="J417" s="3277"/>
      <c r="K417" s="3277"/>
      <c r="L417" s="3277"/>
      <c r="M417" s="3277"/>
      <c r="N417" s="3277"/>
      <c r="O417" s="3277"/>
      <c r="P417" s="3277"/>
      <c r="Q417" s="3277"/>
      <c r="R417" s="3277"/>
      <c r="S417" s="3277"/>
      <c r="T417" s="3277"/>
      <c r="U417" s="3277"/>
      <c r="V417" s="3277"/>
      <c r="W417" s="3277"/>
      <c r="X417" s="3277"/>
      <c r="Y417" s="3277"/>
      <c r="Z417" s="3277"/>
    </row>
    <row r="418" s="3444" customFormat="1" customHeight="1" spans="10:26">
      <c r="J418" s="3277"/>
      <c r="K418" s="3277"/>
      <c r="L418" s="3277"/>
      <c r="M418" s="3277"/>
      <c r="N418" s="3277"/>
      <c r="O418" s="3277"/>
      <c r="P418" s="3277"/>
      <c r="Q418" s="3277"/>
      <c r="R418" s="3277"/>
      <c r="S418" s="3277"/>
      <c r="T418" s="3277"/>
      <c r="U418" s="3277"/>
      <c r="V418" s="3277"/>
      <c r="W418" s="3277"/>
      <c r="X418" s="3277"/>
      <c r="Y418" s="3277"/>
      <c r="Z418" s="3277"/>
    </row>
    <row r="419" s="3444" customFormat="1" customHeight="1" spans="10:26">
      <c r="J419" s="3277"/>
      <c r="K419" s="3277"/>
      <c r="L419" s="3277"/>
      <c r="M419" s="3277"/>
      <c r="N419" s="3277"/>
      <c r="O419" s="3277"/>
      <c r="P419" s="3277"/>
      <c r="Q419" s="3277"/>
      <c r="R419" s="3277"/>
      <c r="S419" s="3277"/>
      <c r="T419" s="3277"/>
      <c r="U419" s="3277"/>
      <c r="V419" s="3277"/>
      <c r="W419" s="3277"/>
      <c r="X419" s="3277"/>
      <c r="Y419" s="3277"/>
      <c r="Z419" s="3277"/>
    </row>
    <row r="420" s="3444" customFormat="1" customHeight="1" spans="10:26">
      <c r="J420" s="3277"/>
      <c r="K420" s="3277"/>
      <c r="L420" s="3277"/>
      <c r="M420" s="3277"/>
      <c r="N420" s="3277"/>
      <c r="O420" s="3277"/>
      <c r="P420" s="3277"/>
      <c r="Q420" s="3277"/>
      <c r="R420" s="3277"/>
      <c r="S420" s="3277"/>
      <c r="T420" s="3277"/>
      <c r="U420" s="3277"/>
      <c r="V420" s="3277"/>
      <c r="W420" s="3277"/>
      <c r="X420" s="3277"/>
      <c r="Y420" s="3277"/>
      <c r="Z420" s="3277"/>
    </row>
    <row r="421" s="3444" customFormat="1" customHeight="1" spans="10:26">
      <c r="J421" s="3277"/>
      <c r="K421" s="3277"/>
      <c r="L421" s="3277"/>
      <c r="M421" s="3277"/>
      <c r="N421" s="3277"/>
      <c r="O421" s="3277"/>
      <c r="P421" s="3277"/>
      <c r="Q421" s="3277"/>
      <c r="R421" s="3277"/>
      <c r="S421" s="3277"/>
      <c r="T421" s="3277"/>
      <c r="U421" s="3277"/>
      <c r="V421" s="3277"/>
      <c r="W421" s="3277"/>
      <c r="X421" s="3277"/>
      <c r="Y421" s="3277"/>
      <c r="Z421" s="3277"/>
    </row>
    <row r="422" s="3444" customFormat="1" customHeight="1" spans="10:26">
      <c r="J422" s="3277"/>
      <c r="K422" s="3277"/>
      <c r="L422" s="3277"/>
      <c r="M422" s="3277"/>
      <c r="N422" s="3277"/>
      <c r="O422" s="3277"/>
      <c r="P422" s="3277"/>
      <c r="Q422" s="3277"/>
      <c r="R422" s="3277"/>
      <c r="S422" s="3277"/>
      <c r="T422" s="3277"/>
      <c r="U422" s="3277"/>
      <c r="V422" s="3277"/>
      <c r="W422" s="3277"/>
      <c r="X422" s="3277"/>
      <c r="Y422" s="3277"/>
      <c r="Z422" s="3277"/>
    </row>
    <row r="423" s="3444" customFormat="1" customHeight="1" spans="10:26">
      <c r="J423" s="3277"/>
      <c r="K423" s="3277"/>
      <c r="L423" s="3277"/>
      <c r="M423" s="3277"/>
      <c r="N423" s="3277"/>
      <c r="O423" s="3277"/>
      <c r="P423" s="3277"/>
      <c r="Q423" s="3277"/>
      <c r="R423" s="3277"/>
      <c r="S423" s="3277"/>
      <c r="T423" s="3277"/>
      <c r="U423" s="3277"/>
      <c r="V423" s="3277"/>
      <c r="W423" s="3277"/>
      <c r="X423" s="3277"/>
      <c r="Y423" s="3277"/>
      <c r="Z423" s="3277"/>
    </row>
    <row r="424" s="3444" customFormat="1" customHeight="1" spans="10:26">
      <c r="J424" s="3277"/>
      <c r="K424" s="3277"/>
      <c r="L424" s="3277"/>
      <c r="M424" s="3277"/>
      <c r="N424" s="3277"/>
      <c r="O424" s="3277"/>
      <c r="P424" s="3277"/>
      <c r="Q424" s="3277"/>
      <c r="R424" s="3277"/>
      <c r="S424" s="3277"/>
      <c r="T424" s="3277"/>
      <c r="U424" s="3277"/>
      <c r="V424" s="3277"/>
      <c r="W424" s="3277"/>
      <c r="X424" s="3277"/>
      <c r="Y424" s="3277"/>
      <c r="Z424" s="3277"/>
    </row>
    <row r="425" s="3444" customFormat="1" customHeight="1" spans="10:26">
      <c r="J425" s="3277"/>
      <c r="K425" s="3277"/>
      <c r="L425" s="3277"/>
      <c r="M425" s="3277"/>
      <c r="N425" s="3277"/>
      <c r="O425" s="3277"/>
      <c r="P425" s="3277"/>
      <c r="Q425" s="3277"/>
      <c r="R425" s="3277"/>
      <c r="S425" s="3277"/>
      <c r="T425" s="3277"/>
      <c r="U425" s="3277"/>
      <c r="V425" s="3277"/>
      <c r="W425" s="3277"/>
      <c r="X425" s="3277"/>
      <c r="Y425" s="3277"/>
      <c r="Z425" s="3277"/>
    </row>
    <row r="426" s="3444" customFormat="1" customHeight="1" spans="10:26">
      <c r="J426" s="3277"/>
      <c r="K426" s="3277"/>
      <c r="L426" s="3277"/>
      <c r="M426" s="3277"/>
      <c r="N426" s="3277"/>
      <c r="O426" s="3277"/>
      <c r="P426" s="3277"/>
      <c r="Q426" s="3277"/>
      <c r="R426" s="3277"/>
      <c r="S426" s="3277"/>
      <c r="T426" s="3277"/>
      <c r="U426" s="3277"/>
      <c r="V426" s="3277"/>
      <c r="W426" s="3277"/>
      <c r="X426" s="3277"/>
      <c r="Y426" s="3277"/>
      <c r="Z426" s="3277"/>
    </row>
    <row r="427" s="3444" customFormat="1" customHeight="1" spans="10:26">
      <c r="J427" s="3277"/>
      <c r="K427" s="3277"/>
      <c r="L427" s="3277"/>
      <c r="M427" s="3277"/>
      <c r="N427" s="3277"/>
      <c r="O427" s="3277"/>
      <c r="P427" s="3277"/>
      <c r="Q427" s="3277"/>
      <c r="R427" s="3277"/>
      <c r="S427" s="3277"/>
      <c r="T427" s="3277"/>
      <c r="U427" s="3277"/>
      <c r="V427" s="3277"/>
      <c r="W427" s="3277"/>
      <c r="X427" s="3277"/>
      <c r="Y427" s="3277"/>
      <c r="Z427" s="3277"/>
    </row>
    <row r="428" s="3444" customFormat="1" customHeight="1" spans="10:26">
      <c r="J428" s="3277"/>
      <c r="K428" s="3277"/>
      <c r="L428" s="3277"/>
      <c r="M428" s="3277"/>
      <c r="N428" s="3277"/>
      <c r="O428" s="3277"/>
      <c r="P428" s="3277"/>
      <c r="Q428" s="3277"/>
      <c r="R428" s="3277"/>
      <c r="S428" s="3277"/>
      <c r="T428" s="3277"/>
      <c r="U428" s="3277"/>
      <c r="V428" s="3277"/>
      <c r="W428" s="3277"/>
      <c r="X428" s="3277"/>
      <c r="Y428" s="3277"/>
      <c r="Z428" s="3277"/>
    </row>
    <row r="429" s="3444" customFormat="1" customHeight="1" spans="10:26">
      <c r="J429" s="3277"/>
      <c r="K429" s="3277"/>
      <c r="L429" s="3277"/>
      <c r="M429" s="3277"/>
      <c r="N429" s="3277"/>
      <c r="O429" s="3277"/>
      <c r="P429" s="3277"/>
      <c r="Q429" s="3277"/>
      <c r="R429" s="3277"/>
      <c r="S429" s="3277"/>
      <c r="T429" s="3277"/>
      <c r="U429" s="3277"/>
      <c r="V429" s="3277"/>
      <c r="W429" s="3277"/>
      <c r="X429" s="3277"/>
      <c r="Y429" s="3277"/>
      <c r="Z429" s="3277"/>
    </row>
    <row r="430" s="3444" customFormat="1" customHeight="1" spans="10:26">
      <c r="J430" s="3277"/>
      <c r="K430" s="3277"/>
      <c r="L430" s="3277"/>
      <c r="M430" s="3277"/>
      <c r="N430" s="3277"/>
      <c r="O430" s="3277"/>
      <c r="P430" s="3277"/>
      <c r="Q430" s="3277"/>
      <c r="R430" s="3277"/>
      <c r="S430" s="3277"/>
      <c r="T430" s="3277"/>
      <c r="U430" s="3277"/>
      <c r="V430" s="3277"/>
      <c r="W430" s="3277"/>
      <c r="X430" s="3277"/>
      <c r="Y430" s="3277"/>
      <c r="Z430" s="3277"/>
    </row>
    <row r="431" s="3444" customFormat="1" customHeight="1" spans="10:26">
      <c r="J431" s="3277"/>
      <c r="K431" s="3277"/>
      <c r="L431" s="3277"/>
      <c r="M431" s="3277"/>
      <c r="N431" s="3277"/>
      <c r="O431" s="3277"/>
      <c r="P431" s="3277"/>
      <c r="Q431" s="3277"/>
      <c r="R431" s="3277"/>
      <c r="S431" s="3277"/>
      <c r="T431" s="3277"/>
      <c r="U431" s="3277"/>
      <c r="V431" s="3277"/>
      <c r="W431" s="3277"/>
      <c r="X431" s="3277"/>
      <c r="Y431" s="3277"/>
      <c r="Z431" s="3277"/>
    </row>
    <row r="432" s="3444" customFormat="1" customHeight="1" spans="10:26">
      <c r="J432" s="3277"/>
      <c r="K432" s="3277"/>
      <c r="L432" s="3277"/>
      <c r="M432" s="3277"/>
      <c r="N432" s="3277"/>
      <c r="O432" s="3277"/>
      <c r="P432" s="3277"/>
      <c r="Q432" s="3277"/>
      <c r="R432" s="3277"/>
      <c r="S432" s="3277"/>
      <c r="T432" s="3277"/>
      <c r="U432" s="3277"/>
      <c r="V432" s="3277"/>
      <c r="W432" s="3277"/>
      <c r="X432" s="3277"/>
      <c r="Y432" s="3277"/>
      <c r="Z432" s="3277"/>
    </row>
    <row r="433" s="3444" customFormat="1" customHeight="1" spans="10:26">
      <c r="J433" s="3277"/>
      <c r="K433" s="3277"/>
      <c r="L433" s="3277"/>
      <c r="M433" s="3277"/>
      <c r="N433" s="3277"/>
      <c r="O433" s="3277"/>
      <c r="P433" s="3277"/>
      <c r="Q433" s="3277"/>
      <c r="R433" s="3277"/>
      <c r="S433" s="3277"/>
      <c r="T433" s="3277"/>
      <c r="U433" s="3277"/>
      <c r="V433" s="3277"/>
      <c r="W433" s="3277"/>
      <c r="X433" s="3277"/>
      <c r="Y433" s="3277"/>
      <c r="Z433" s="3277"/>
    </row>
    <row r="434" s="3444" customFormat="1" customHeight="1" spans="10:26">
      <c r="J434" s="3277"/>
      <c r="K434" s="3277"/>
      <c r="L434" s="3277"/>
      <c r="M434" s="3277"/>
      <c r="N434" s="3277"/>
      <c r="O434" s="3277"/>
      <c r="P434" s="3277"/>
      <c r="Q434" s="3277"/>
      <c r="R434" s="3277"/>
      <c r="S434" s="3277"/>
      <c r="T434" s="3277"/>
      <c r="U434" s="3277"/>
      <c r="V434" s="3277"/>
      <c r="W434" s="3277"/>
      <c r="X434" s="3277"/>
      <c r="Y434" s="3277"/>
      <c r="Z434" s="3277"/>
    </row>
    <row r="435" s="3444" customFormat="1" customHeight="1" spans="10:26">
      <c r="J435" s="3277"/>
      <c r="K435" s="3277"/>
      <c r="L435" s="3277"/>
      <c r="M435" s="3277"/>
      <c r="N435" s="3277"/>
      <c r="O435" s="3277"/>
      <c r="P435" s="3277"/>
      <c r="Q435" s="3277"/>
      <c r="R435" s="3277"/>
      <c r="S435" s="3277"/>
      <c r="T435" s="3277"/>
      <c r="U435" s="3277"/>
      <c r="V435" s="3277"/>
      <c r="W435" s="3277"/>
      <c r="X435" s="3277"/>
      <c r="Y435" s="3277"/>
      <c r="Z435" s="3277"/>
    </row>
    <row r="436" s="3444" customFormat="1" customHeight="1" spans="10:26">
      <c r="J436" s="3277"/>
      <c r="K436" s="3277"/>
      <c r="L436" s="3277"/>
      <c r="M436" s="3277"/>
      <c r="N436" s="3277"/>
      <c r="O436" s="3277"/>
      <c r="P436" s="3277"/>
      <c r="Q436" s="3277"/>
      <c r="R436" s="3277"/>
      <c r="S436" s="3277"/>
      <c r="T436" s="3277"/>
      <c r="U436" s="3277"/>
      <c r="V436" s="3277"/>
      <c r="W436" s="3277"/>
      <c r="X436" s="3277"/>
      <c r="Y436" s="3277"/>
      <c r="Z436" s="3277"/>
    </row>
    <row r="437" s="3444" customFormat="1" customHeight="1" spans="10:26">
      <c r="J437" s="3277"/>
      <c r="K437" s="3277"/>
      <c r="L437" s="3277"/>
      <c r="M437" s="3277"/>
      <c r="N437" s="3277"/>
      <c r="O437" s="3277"/>
      <c r="P437" s="3277"/>
      <c r="Q437" s="3277"/>
      <c r="R437" s="3277"/>
      <c r="S437" s="3277"/>
      <c r="T437" s="3277"/>
      <c r="U437" s="3277"/>
      <c r="V437" s="3277"/>
      <c r="W437" s="3277"/>
      <c r="X437" s="3277"/>
      <c r="Y437" s="3277"/>
      <c r="Z437" s="3277"/>
    </row>
    <row r="438" s="3444" customFormat="1" customHeight="1" spans="10:26">
      <c r="J438" s="3277"/>
      <c r="K438" s="3277"/>
      <c r="L438" s="3277"/>
      <c r="M438" s="3277"/>
      <c r="N438" s="3277"/>
      <c r="O438" s="3277"/>
      <c r="P438" s="3277"/>
      <c r="Q438" s="3277"/>
      <c r="R438" s="3277"/>
      <c r="S438" s="3277"/>
      <c r="T438" s="3277"/>
      <c r="U438" s="3277"/>
      <c r="V438" s="3277"/>
      <c r="W438" s="3277"/>
      <c r="X438" s="3277"/>
      <c r="Y438" s="3277"/>
      <c r="Z438" s="3277"/>
    </row>
    <row r="439" s="3444" customFormat="1" customHeight="1" spans="10:26">
      <c r="J439" s="3277"/>
      <c r="K439" s="3277"/>
      <c r="L439" s="3277"/>
      <c r="M439" s="3277"/>
      <c r="N439" s="3277"/>
      <c r="O439" s="3277"/>
      <c r="P439" s="3277"/>
      <c r="Q439" s="3277"/>
      <c r="R439" s="3277"/>
      <c r="S439" s="3277"/>
      <c r="T439" s="3277"/>
      <c r="U439" s="3277"/>
      <c r="V439" s="3277"/>
      <c r="W439" s="3277"/>
      <c r="X439" s="3277"/>
      <c r="Y439" s="3277"/>
      <c r="Z439" s="3277"/>
    </row>
    <row r="440" s="3444" customFormat="1" customHeight="1" spans="10:26">
      <c r="J440" s="3277"/>
      <c r="K440" s="3277"/>
      <c r="L440" s="3277"/>
      <c r="M440" s="3277"/>
      <c r="N440" s="3277"/>
      <c r="O440" s="3277"/>
      <c r="P440" s="3277"/>
      <c r="Q440" s="3277"/>
      <c r="R440" s="3277"/>
      <c r="S440" s="3277"/>
      <c r="T440" s="3277"/>
      <c r="U440" s="3277"/>
      <c r="V440" s="3277"/>
      <c r="W440" s="3277"/>
      <c r="X440" s="3277"/>
      <c r="Y440" s="3277"/>
      <c r="Z440" s="3277"/>
    </row>
    <row r="441" s="3444" customFormat="1" customHeight="1" spans="10:26">
      <c r="J441" s="3277"/>
      <c r="K441" s="3277"/>
      <c r="L441" s="3277"/>
      <c r="M441" s="3277"/>
      <c r="N441" s="3277"/>
      <c r="O441" s="3277"/>
      <c r="P441" s="3277"/>
      <c r="Q441" s="3277"/>
      <c r="R441" s="3277"/>
      <c r="S441" s="3277"/>
      <c r="T441" s="3277"/>
      <c r="U441" s="3277"/>
      <c r="V441" s="3277"/>
      <c r="W441" s="3277"/>
      <c r="X441" s="3277"/>
      <c r="Y441" s="3277"/>
      <c r="Z441" s="3277"/>
    </row>
    <row r="442" s="3444" customFormat="1" customHeight="1" spans="10:26">
      <c r="J442" s="3277"/>
      <c r="K442" s="3277"/>
      <c r="L442" s="3277"/>
      <c r="M442" s="3277"/>
      <c r="N442" s="3277"/>
      <c r="O442" s="3277"/>
      <c r="P442" s="3277"/>
      <c r="Q442" s="3277"/>
      <c r="R442" s="3277"/>
      <c r="S442" s="3277"/>
      <c r="T442" s="3277"/>
      <c r="U442" s="3277"/>
      <c r="V442" s="3277"/>
      <c r="W442" s="3277"/>
      <c r="X442" s="3277"/>
      <c r="Y442" s="3277"/>
      <c r="Z442" s="3277"/>
    </row>
    <row r="443" s="3444" customFormat="1" customHeight="1" spans="10:26">
      <c r="J443" s="3277"/>
      <c r="K443" s="3277"/>
      <c r="L443" s="3277"/>
      <c r="M443" s="3277"/>
      <c r="N443" s="3277"/>
      <c r="O443" s="3277"/>
      <c r="P443" s="3277"/>
      <c r="Q443" s="3277"/>
      <c r="R443" s="3277"/>
      <c r="S443" s="3277"/>
      <c r="T443" s="3277"/>
      <c r="U443" s="3277"/>
      <c r="V443" s="3277"/>
      <c r="W443" s="3277"/>
      <c r="X443" s="3277"/>
      <c r="Y443" s="3277"/>
      <c r="Z443" s="3277"/>
    </row>
    <row r="444" s="3444" customFormat="1" customHeight="1" spans="10:26">
      <c r="J444" s="3277"/>
      <c r="K444" s="3277"/>
      <c r="L444" s="3277"/>
      <c r="M444" s="3277"/>
      <c r="N444" s="3277"/>
      <c r="O444" s="3277"/>
      <c r="P444" s="3277"/>
      <c r="Q444" s="3277"/>
      <c r="R444" s="3277"/>
      <c r="S444" s="3277"/>
      <c r="T444" s="3277"/>
      <c r="U444" s="3277"/>
      <c r="V444" s="3277"/>
      <c r="W444" s="3277"/>
      <c r="X444" s="3277"/>
      <c r="Y444" s="3277"/>
      <c r="Z444" s="3277"/>
    </row>
    <row r="445" s="3444" customFormat="1" customHeight="1" spans="10:26">
      <c r="J445" s="3277"/>
      <c r="K445" s="3277"/>
      <c r="L445" s="3277"/>
      <c r="M445" s="3277"/>
      <c r="N445" s="3277"/>
      <c r="O445" s="3277"/>
      <c r="P445" s="3277"/>
      <c r="Q445" s="3277"/>
      <c r="R445" s="3277"/>
      <c r="S445" s="3277"/>
      <c r="T445" s="3277"/>
      <c r="U445" s="3277"/>
      <c r="V445" s="3277"/>
      <c r="W445" s="3277"/>
      <c r="X445" s="3277"/>
      <c r="Y445" s="3277"/>
      <c r="Z445" s="3277"/>
    </row>
    <row r="446" s="3444" customFormat="1" customHeight="1" spans="10:26">
      <c r="J446" s="3277"/>
      <c r="K446" s="3277"/>
      <c r="L446" s="3277"/>
      <c r="M446" s="3277"/>
      <c r="N446" s="3277"/>
      <c r="O446" s="3277"/>
      <c r="P446" s="3277"/>
      <c r="Q446" s="3277"/>
      <c r="R446" s="3277"/>
      <c r="S446" s="3277"/>
      <c r="T446" s="3277"/>
      <c r="U446" s="3277"/>
      <c r="V446" s="3277"/>
      <c r="W446" s="3277"/>
      <c r="X446" s="3277"/>
      <c r="Y446" s="3277"/>
      <c r="Z446" s="3277"/>
    </row>
    <row r="447" s="3444" customFormat="1" customHeight="1" spans="10:26">
      <c r="J447" s="3277"/>
      <c r="K447" s="3277"/>
      <c r="L447" s="3277"/>
      <c r="M447" s="3277"/>
      <c r="N447" s="3277"/>
      <c r="O447" s="3277"/>
      <c r="P447" s="3277"/>
      <c r="Q447" s="3277"/>
      <c r="R447" s="3277"/>
      <c r="S447" s="3277"/>
      <c r="T447" s="3277"/>
      <c r="U447" s="3277"/>
      <c r="V447" s="3277"/>
      <c r="W447" s="3277"/>
      <c r="X447" s="3277"/>
      <c r="Y447" s="3277"/>
      <c r="Z447" s="3277"/>
    </row>
    <row r="448" s="3444" customFormat="1" customHeight="1" spans="10:26">
      <c r="J448" s="3277"/>
      <c r="K448" s="3277"/>
      <c r="L448" s="3277"/>
      <c r="M448" s="3277"/>
      <c r="N448" s="3277"/>
      <c r="O448" s="3277"/>
      <c r="P448" s="3277"/>
      <c r="Q448" s="3277"/>
      <c r="R448" s="3277"/>
      <c r="S448" s="3277"/>
      <c r="T448" s="3277"/>
      <c r="U448" s="3277"/>
      <c r="V448" s="3277"/>
      <c r="W448" s="3277"/>
      <c r="X448" s="3277"/>
      <c r="Y448" s="3277"/>
      <c r="Z448" s="3277"/>
    </row>
    <row r="449" s="3444" customFormat="1" customHeight="1" spans="10:26">
      <c r="J449" s="3277"/>
      <c r="K449" s="3277"/>
      <c r="L449" s="3277"/>
      <c r="M449" s="3277"/>
      <c r="N449" s="3277"/>
      <c r="O449" s="3277"/>
      <c r="P449" s="3277"/>
      <c r="Q449" s="3277"/>
      <c r="R449" s="3277"/>
      <c r="S449" s="3277"/>
      <c r="T449" s="3277"/>
      <c r="U449" s="3277"/>
      <c r="V449" s="3277"/>
      <c r="W449" s="3277"/>
      <c r="X449" s="3277"/>
      <c r="Y449" s="3277"/>
      <c r="Z449" s="3277"/>
    </row>
    <row r="450" s="3444" customFormat="1" customHeight="1" spans="10:26">
      <c r="J450" s="3277"/>
      <c r="K450" s="3277"/>
      <c r="L450" s="3277"/>
      <c r="M450" s="3277"/>
      <c r="N450" s="3277"/>
      <c r="O450" s="3277"/>
      <c r="P450" s="3277"/>
      <c r="Q450" s="3277"/>
      <c r="R450" s="3277"/>
      <c r="S450" s="3277"/>
      <c r="T450" s="3277"/>
      <c r="U450" s="3277"/>
      <c r="V450" s="3277"/>
      <c r="W450" s="3277"/>
      <c r="X450" s="3277"/>
      <c r="Y450" s="3277"/>
      <c r="Z450" s="3277"/>
    </row>
    <row r="451" s="3444" customFormat="1" customHeight="1" spans="10:26">
      <c r="J451" s="3277"/>
      <c r="K451" s="3277"/>
      <c r="L451" s="3277"/>
      <c r="M451" s="3277"/>
      <c r="N451" s="3277"/>
      <c r="O451" s="3277"/>
      <c r="P451" s="3277"/>
      <c r="Q451" s="3277"/>
      <c r="R451" s="3277"/>
      <c r="S451" s="3277"/>
      <c r="T451" s="3277"/>
      <c r="U451" s="3277"/>
      <c r="V451" s="3277"/>
      <c r="W451" s="3277"/>
      <c r="X451" s="3277"/>
      <c r="Y451" s="3277"/>
      <c r="Z451" s="3277"/>
    </row>
    <row r="452" s="3444" customFormat="1" customHeight="1" spans="10:26">
      <c r="J452" s="3277"/>
      <c r="K452" s="3277"/>
      <c r="L452" s="3277"/>
      <c r="M452" s="3277"/>
      <c r="N452" s="3277"/>
      <c r="O452" s="3277"/>
      <c r="P452" s="3277"/>
      <c r="Q452" s="3277"/>
      <c r="R452" s="3277"/>
      <c r="S452" s="3277"/>
      <c r="T452" s="3277"/>
      <c r="U452" s="3277"/>
      <c r="V452" s="3277"/>
      <c r="W452" s="3277"/>
      <c r="X452" s="3277"/>
      <c r="Y452" s="3277"/>
      <c r="Z452" s="3277"/>
    </row>
    <row r="453" s="3444" customFormat="1" customHeight="1" spans="10:26">
      <c r="J453" s="3277"/>
      <c r="K453" s="3277"/>
      <c r="L453" s="3277"/>
      <c r="M453" s="3277"/>
      <c r="N453" s="3277"/>
      <c r="O453" s="3277"/>
      <c r="P453" s="3277"/>
      <c r="Q453" s="3277"/>
      <c r="R453" s="3277"/>
      <c r="S453" s="3277"/>
      <c r="T453" s="3277"/>
      <c r="U453" s="3277"/>
      <c r="V453" s="3277"/>
      <c r="W453" s="3277"/>
      <c r="X453" s="3277"/>
      <c r="Y453" s="3277"/>
      <c r="Z453" s="3277"/>
    </row>
    <row r="454" s="3444" customFormat="1" customHeight="1" spans="10:26">
      <c r="J454" s="3277"/>
      <c r="K454" s="3277"/>
      <c r="L454" s="3277"/>
      <c r="M454" s="3277"/>
      <c r="N454" s="3277"/>
      <c r="O454" s="3277"/>
      <c r="P454" s="3277"/>
      <c r="Q454" s="3277"/>
      <c r="R454" s="3277"/>
      <c r="S454" s="3277"/>
      <c r="T454" s="3277"/>
      <c r="U454" s="3277"/>
      <c r="V454" s="3277"/>
      <c r="W454" s="3277"/>
      <c r="X454" s="3277"/>
      <c r="Y454" s="3277"/>
      <c r="Z454" s="3277"/>
    </row>
    <row r="455" s="3444" customFormat="1" customHeight="1" spans="10:26">
      <c r="J455" s="3277"/>
      <c r="K455" s="3277"/>
      <c r="L455" s="3277"/>
      <c r="M455" s="3277"/>
      <c r="N455" s="3277"/>
      <c r="O455" s="3277"/>
      <c r="P455" s="3277"/>
      <c r="Q455" s="3277"/>
      <c r="R455" s="3277"/>
      <c r="S455" s="3277"/>
      <c r="T455" s="3277"/>
      <c r="U455" s="3277"/>
      <c r="V455" s="3277"/>
      <c r="W455" s="3277"/>
      <c r="X455" s="3277"/>
      <c r="Y455" s="3277"/>
      <c r="Z455" s="3277"/>
    </row>
    <row r="456" s="3444" customFormat="1" customHeight="1" spans="10:26">
      <c r="J456" s="3277"/>
      <c r="K456" s="3277"/>
      <c r="L456" s="3277"/>
      <c r="M456" s="3277"/>
      <c r="N456" s="3277"/>
      <c r="O456" s="3277"/>
      <c r="P456" s="3277"/>
      <c r="Q456" s="3277"/>
      <c r="R456" s="3277"/>
      <c r="S456" s="3277"/>
      <c r="T456" s="3277"/>
      <c r="U456" s="3277"/>
      <c r="V456" s="3277"/>
      <c r="W456" s="3277"/>
      <c r="X456" s="3277"/>
      <c r="Y456" s="3277"/>
      <c r="Z456" s="3277"/>
    </row>
    <row r="457" s="3444" customFormat="1" customHeight="1" spans="10:26">
      <c r="J457" s="3277"/>
      <c r="K457" s="3277"/>
      <c r="L457" s="3277"/>
      <c r="M457" s="3277"/>
      <c r="N457" s="3277"/>
      <c r="O457" s="3277"/>
      <c r="P457" s="3277"/>
      <c r="Q457" s="3277"/>
      <c r="R457" s="3277"/>
      <c r="S457" s="3277"/>
      <c r="T457" s="3277"/>
      <c r="U457" s="3277"/>
      <c r="V457" s="3277"/>
      <c r="W457" s="3277"/>
      <c r="X457" s="3277"/>
      <c r="Y457" s="3277"/>
      <c r="Z457" s="3277"/>
    </row>
    <row r="458" s="3444" customFormat="1" customHeight="1" spans="10:26">
      <c r="J458" s="3277"/>
      <c r="K458" s="3277"/>
      <c r="L458" s="3277"/>
      <c r="M458" s="3277"/>
      <c r="N458" s="3277"/>
      <c r="O458" s="3277"/>
      <c r="P458" s="3277"/>
      <c r="Q458" s="3277"/>
      <c r="R458" s="3277"/>
      <c r="S458" s="3277"/>
      <c r="T458" s="3277"/>
      <c r="U458" s="3277"/>
      <c r="V458" s="3277"/>
      <c r="W458" s="3277"/>
      <c r="X458" s="3277"/>
      <c r="Y458" s="3277"/>
      <c r="Z458" s="3277"/>
    </row>
    <row r="459" s="3444" customFormat="1" customHeight="1" spans="10:26">
      <c r="J459" s="3277"/>
      <c r="K459" s="3277"/>
      <c r="L459" s="3277"/>
      <c r="M459" s="3277"/>
      <c r="N459" s="3277"/>
      <c r="O459" s="3277"/>
      <c r="P459" s="3277"/>
      <c r="Q459" s="3277"/>
      <c r="R459" s="3277"/>
      <c r="S459" s="3277"/>
      <c r="T459" s="3277"/>
      <c r="U459" s="3277"/>
      <c r="V459" s="3277"/>
      <c r="W459" s="3277"/>
      <c r="X459" s="3277"/>
      <c r="Y459" s="3277"/>
      <c r="Z459" s="3277"/>
    </row>
    <row r="460" s="3444" customFormat="1" customHeight="1" spans="10:26">
      <c r="J460" s="3277"/>
      <c r="K460" s="3277"/>
      <c r="L460" s="3277"/>
      <c r="M460" s="3277"/>
      <c r="N460" s="3277"/>
      <c r="O460" s="3277"/>
      <c r="P460" s="3277"/>
      <c r="Q460" s="3277"/>
      <c r="R460" s="3277"/>
      <c r="S460" s="3277"/>
      <c r="T460" s="3277"/>
      <c r="U460" s="3277"/>
      <c r="V460" s="3277"/>
      <c r="W460" s="3277"/>
      <c r="X460" s="3277"/>
      <c r="Y460" s="3277"/>
      <c r="Z460" s="3277"/>
    </row>
    <row r="461" s="3444" customFormat="1" customHeight="1" spans="10:26">
      <c r="J461" s="3277"/>
      <c r="K461" s="3277"/>
      <c r="L461" s="3277"/>
      <c r="M461" s="3277"/>
      <c r="N461" s="3277"/>
      <c r="O461" s="3277"/>
      <c r="P461" s="3277"/>
      <c r="Q461" s="3277"/>
      <c r="R461" s="3277"/>
      <c r="S461" s="3277"/>
      <c r="T461" s="3277"/>
      <c r="U461" s="3277"/>
      <c r="V461" s="3277"/>
      <c r="W461" s="3277"/>
      <c r="X461" s="3277"/>
      <c r="Y461" s="3277"/>
      <c r="Z461" s="3277"/>
    </row>
    <row r="462" s="3444" customFormat="1" customHeight="1" spans="10:26">
      <c r="J462" s="3277"/>
      <c r="K462" s="3277"/>
      <c r="L462" s="3277"/>
      <c r="M462" s="3277"/>
      <c r="N462" s="3277"/>
      <c r="O462" s="3277"/>
      <c r="P462" s="3277"/>
      <c r="Q462" s="3277"/>
      <c r="R462" s="3277"/>
      <c r="S462" s="3277"/>
      <c r="T462" s="3277"/>
      <c r="U462" s="3277"/>
      <c r="V462" s="3277"/>
      <c r="W462" s="3277"/>
      <c r="X462" s="3277"/>
      <c r="Y462" s="3277"/>
      <c r="Z462" s="3277"/>
    </row>
    <row r="463" s="3444" customFormat="1" customHeight="1" spans="10:26">
      <c r="J463" s="3277"/>
      <c r="K463" s="3277"/>
      <c r="L463" s="3277"/>
      <c r="M463" s="3277"/>
      <c r="N463" s="3277"/>
      <c r="O463" s="3277"/>
      <c r="P463" s="3277"/>
      <c r="Q463" s="3277"/>
      <c r="R463" s="3277"/>
      <c r="S463" s="3277"/>
      <c r="T463" s="3277"/>
      <c r="U463" s="3277"/>
      <c r="V463" s="3277"/>
      <c r="W463" s="3277"/>
      <c r="X463" s="3277"/>
      <c r="Y463" s="3277"/>
      <c r="Z463" s="3277"/>
    </row>
    <row r="464" s="3444" customFormat="1" customHeight="1" spans="10:26">
      <c r="J464" s="3277"/>
      <c r="K464" s="3277"/>
      <c r="L464" s="3277"/>
      <c r="M464" s="3277"/>
      <c r="N464" s="3277"/>
      <c r="O464" s="3277"/>
      <c r="P464" s="3277"/>
      <c r="Q464" s="3277"/>
      <c r="R464" s="3277"/>
      <c r="S464" s="3277"/>
      <c r="T464" s="3277"/>
      <c r="U464" s="3277"/>
      <c r="V464" s="3277"/>
      <c r="W464" s="3277"/>
      <c r="X464" s="3277"/>
      <c r="Y464" s="3277"/>
      <c r="Z464" s="3277"/>
    </row>
    <row r="465" s="3444" customFormat="1" customHeight="1" spans="10:26">
      <c r="J465" s="3277"/>
      <c r="K465" s="3277"/>
      <c r="L465" s="3277"/>
      <c r="M465" s="3277"/>
      <c r="N465" s="3277"/>
      <c r="O465" s="3277"/>
      <c r="P465" s="3277"/>
      <c r="Q465" s="3277"/>
      <c r="R465" s="3277"/>
      <c r="S465" s="3277"/>
      <c r="T465" s="3277"/>
      <c r="U465" s="3277"/>
      <c r="V465" s="3277"/>
      <c r="W465" s="3277"/>
      <c r="X465" s="3277"/>
      <c r="Y465" s="3277"/>
      <c r="Z465" s="3277"/>
    </row>
    <row r="466" s="3444" customFormat="1" customHeight="1" spans="10:26">
      <c r="J466" s="3277"/>
      <c r="K466" s="3277"/>
      <c r="L466" s="3277"/>
      <c r="M466" s="3277"/>
      <c r="N466" s="3277"/>
      <c r="O466" s="3277"/>
      <c r="P466" s="3277"/>
      <c r="Q466" s="3277"/>
      <c r="R466" s="3277"/>
      <c r="S466" s="3277"/>
      <c r="T466" s="3277"/>
      <c r="U466" s="3277"/>
      <c r="V466" s="3277"/>
      <c r="W466" s="3277"/>
      <c r="X466" s="3277"/>
      <c r="Y466" s="3277"/>
      <c r="Z466" s="3277"/>
    </row>
    <row r="467" s="3444" customFormat="1" customHeight="1" spans="10:26">
      <c r="J467" s="3277"/>
      <c r="K467" s="3277"/>
      <c r="L467" s="3277"/>
      <c r="M467" s="3277"/>
      <c r="N467" s="3277"/>
      <c r="O467" s="3277"/>
      <c r="P467" s="3277"/>
      <c r="Q467" s="3277"/>
      <c r="R467" s="3277"/>
      <c r="S467" s="3277"/>
      <c r="T467" s="3277"/>
      <c r="U467" s="3277"/>
      <c r="V467" s="3277"/>
      <c r="W467" s="3277"/>
      <c r="X467" s="3277"/>
      <c r="Y467" s="3277"/>
      <c r="Z467" s="3277"/>
    </row>
    <row r="468" s="3444" customFormat="1" customHeight="1" spans="10:26">
      <c r="J468" s="3277"/>
      <c r="K468" s="3277"/>
      <c r="L468" s="3277"/>
      <c r="M468" s="3277"/>
      <c r="N468" s="3277"/>
      <c r="O468" s="3277"/>
      <c r="P468" s="3277"/>
      <c r="Q468" s="3277"/>
      <c r="R468" s="3277"/>
      <c r="S468" s="3277"/>
      <c r="T468" s="3277"/>
      <c r="U468" s="3277"/>
      <c r="V468" s="3277"/>
      <c r="W468" s="3277"/>
      <c r="X468" s="3277"/>
      <c r="Y468" s="3277"/>
      <c r="Z468" s="3277"/>
    </row>
    <row r="469" s="3444" customFormat="1" customHeight="1" spans="10:26">
      <c r="J469" s="3277"/>
      <c r="K469" s="3277"/>
      <c r="L469" s="3277"/>
      <c r="M469" s="3277"/>
      <c r="N469" s="3277"/>
      <c r="O469" s="3277"/>
      <c r="P469" s="3277"/>
      <c r="Q469" s="3277"/>
      <c r="R469" s="3277"/>
      <c r="S469" s="3277"/>
      <c r="T469" s="3277"/>
      <c r="U469" s="3277"/>
      <c r="V469" s="3277"/>
      <c r="W469" s="3277"/>
      <c r="X469" s="3277"/>
      <c r="Y469" s="3277"/>
      <c r="Z469" s="3277"/>
    </row>
    <row r="470" s="3444" customFormat="1" customHeight="1" spans="10:26">
      <c r="J470" s="3277"/>
      <c r="K470" s="3277"/>
      <c r="L470" s="3277"/>
      <c r="M470" s="3277"/>
      <c r="N470" s="3277"/>
      <c r="O470" s="3277"/>
      <c r="P470" s="3277"/>
      <c r="Q470" s="3277"/>
      <c r="R470" s="3277"/>
      <c r="S470" s="3277"/>
      <c r="T470" s="3277"/>
      <c r="U470" s="3277"/>
      <c r="V470" s="3277"/>
      <c r="W470" s="3277"/>
      <c r="X470" s="3277"/>
      <c r="Y470" s="3277"/>
      <c r="Z470" s="3277"/>
    </row>
    <row r="471" s="3444" customFormat="1" customHeight="1" spans="10:26">
      <c r="J471" s="3277"/>
      <c r="K471" s="3277"/>
      <c r="L471" s="3277"/>
      <c r="M471" s="3277"/>
      <c r="N471" s="3277"/>
      <c r="O471" s="3277"/>
      <c r="P471" s="3277"/>
      <c r="Q471" s="3277"/>
      <c r="R471" s="3277"/>
      <c r="S471" s="3277"/>
      <c r="T471" s="3277"/>
      <c r="U471" s="3277"/>
      <c r="V471" s="3277"/>
      <c r="W471" s="3277"/>
      <c r="X471" s="3277"/>
      <c r="Y471" s="3277"/>
      <c r="Z471" s="3277"/>
    </row>
    <row r="472" s="3444" customFormat="1" customHeight="1" spans="10:26">
      <c r="J472" s="3277"/>
      <c r="K472" s="3277"/>
      <c r="L472" s="3277"/>
      <c r="M472" s="3277"/>
      <c r="N472" s="3277"/>
      <c r="O472" s="3277"/>
      <c r="P472" s="3277"/>
      <c r="Q472" s="3277"/>
      <c r="R472" s="3277"/>
      <c r="S472" s="3277"/>
      <c r="T472" s="3277"/>
      <c r="U472" s="3277"/>
      <c r="V472" s="3277"/>
      <c r="W472" s="3277"/>
      <c r="X472" s="3277"/>
      <c r="Y472" s="3277"/>
      <c r="Z472" s="3277"/>
    </row>
    <row r="473" s="3444" customFormat="1" customHeight="1" spans="10:26">
      <c r="J473" s="3277"/>
      <c r="K473" s="3277"/>
      <c r="L473" s="3277"/>
      <c r="M473" s="3277"/>
      <c r="N473" s="3277"/>
      <c r="O473" s="3277"/>
      <c r="P473" s="3277"/>
      <c r="Q473" s="3277"/>
      <c r="R473" s="3277"/>
      <c r="S473" s="3277"/>
      <c r="T473" s="3277"/>
      <c r="U473" s="3277"/>
      <c r="V473" s="3277"/>
      <c r="W473" s="3277"/>
      <c r="X473" s="3277"/>
      <c r="Y473" s="3277"/>
      <c r="Z473" s="3277"/>
    </row>
    <row r="474" s="3444" customFormat="1" customHeight="1" spans="10:26">
      <c r="J474" s="3277"/>
      <c r="K474" s="3277"/>
      <c r="L474" s="3277"/>
      <c r="M474" s="3277"/>
      <c r="N474" s="3277"/>
      <c r="O474" s="3277"/>
      <c r="P474" s="3277"/>
      <c r="Q474" s="3277"/>
      <c r="R474" s="3277"/>
      <c r="S474" s="3277"/>
      <c r="T474" s="3277"/>
      <c r="U474" s="3277"/>
      <c r="V474" s="3277"/>
      <c r="W474" s="3277"/>
      <c r="X474" s="3277"/>
      <c r="Y474" s="3277"/>
      <c r="Z474" s="3277"/>
    </row>
    <row r="475" s="3444" customFormat="1" customHeight="1" spans="10:26">
      <c r="J475" s="3277"/>
      <c r="K475" s="3277"/>
      <c r="L475" s="3277"/>
      <c r="M475" s="3277"/>
      <c r="N475" s="3277"/>
      <c r="O475" s="3277"/>
      <c r="P475" s="3277"/>
      <c r="Q475" s="3277"/>
      <c r="R475" s="3277"/>
      <c r="S475" s="3277"/>
      <c r="T475" s="3277"/>
      <c r="U475" s="3277"/>
      <c r="V475" s="3277"/>
      <c r="W475" s="3277"/>
      <c r="X475" s="3277"/>
      <c r="Y475" s="3277"/>
      <c r="Z475" s="3277"/>
    </row>
    <row r="476" s="3444" customFormat="1" customHeight="1" spans="10:26">
      <c r="J476" s="3277"/>
      <c r="K476" s="3277"/>
      <c r="L476" s="3277"/>
      <c r="M476" s="3277"/>
      <c r="N476" s="3277"/>
      <c r="O476" s="3277"/>
      <c r="P476" s="3277"/>
      <c r="Q476" s="3277"/>
      <c r="R476" s="3277"/>
      <c r="S476" s="3277"/>
      <c r="T476" s="3277"/>
      <c r="U476" s="3277"/>
      <c r="V476" s="3277"/>
      <c r="W476" s="3277"/>
      <c r="X476" s="3277"/>
      <c r="Y476" s="3277"/>
      <c r="Z476" s="3277"/>
    </row>
    <row r="477" s="3444" customFormat="1" customHeight="1" spans="10:26">
      <c r="J477" s="3277"/>
      <c r="K477" s="3277"/>
      <c r="L477" s="3277"/>
      <c r="M477" s="3277"/>
      <c r="N477" s="3277"/>
      <c r="O477" s="3277"/>
      <c r="P477" s="3277"/>
      <c r="Q477" s="3277"/>
      <c r="R477" s="3277"/>
      <c r="S477" s="3277"/>
      <c r="T477" s="3277"/>
      <c r="U477" s="3277"/>
      <c r="V477" s="3277"/>
      <c r="W477" s="3277"/>
      <c r="X477" s="3277"/>
      <c r="Y477" s="3277"/>
      <c r="Z477" s="3277"/>
    </row>
    <row r="478" s="3444" customFormat="1" customHeight="1" spans="10:26">
      <c r="J478" s="3277"/>
      <c r="K478" s="3277"/>
      <c r="L478" s="3277"/>
      <c r="M478" s="3277"/>
      <c r="N478" s="3277"/>
      <c r="O478" s="3277"/>
      <c r="P478" s="3277"/>
      <c r="Q478" s="3277"/>
      <c r="R478" s="3277"/>
      <c r="S478" s="3277"/>
      <c r="T478" s="3277"/>
      <c r="U478" s="3277"/>
      <c r="V478" s="3277"/>
      <c r="W478" s="3277"/>
      <c r="X478" s="3277"/>
      <c r="Y478" s="3277"/>
      <c r="Z478" s="3277"/>
    </row>
    <row r="479" s="3444" customFormat="1" customHeight="1" spans="10:26">
      <c r="J479" s="3277"/>
      <c r="K479" s="3277"/>
      <c r="L479" s="3277"/>
      <c r="M479" s="3277"/>
      <c r="N479" s="3277"/>
      <c r="O479" s="3277"/>
      <c r="P479" s="3277"/>
      <c r="Q479" s="3277"/>
      <c r="R479" s="3277"/>
      <c r="S479" s="3277"/>
      <c r="T479" s="3277"/>
      <c r="U479" s="3277"/>
      <c r="V479" s="3277"/>
      <c r="W479" s="3277"/>
      <c r="X479" s="3277"/>
      <c r="Y479" s="3277"/>
      <c r="Z479" s="3277"/>
    </row>
    <row r="480" s="3444" customFormat="1" customHeight="1" spans="10:26">
      <c r="J480" s="3277"/>
      <c r="K480" s="3277"/>
      <c r="L480" s="3277"/>
      <c r="M480" s="3277"/>
      <c r="N480" s="3277"/>
      <c r="O480" s="3277"/>
      <c r="P480" s="3277"/>
      <c r="Q480" s="3277"/>
      <c r="R480" s="3277"/>
      <c r="S480" s="3277"/>
      <c r="T480" s="3277"/>
      <c r="U480" s="3277"/>
      <c r="V480" s="3277"/>
      <c r="W480" s="3277"/>
      <c r="X480" s="3277"/>
      <c r="Y480" s="3277"/>
      <c r="Z480" s="3277"/>
    </row>
    <row r="481" s="3444" customFormat="1" customHeight="1" spans="10:26">
      <c r="J481" s="3277"/>
      <c r="K481" s="3277"/>
      <c r="L481" s="3277"/>
      <c r="M481" s="3277"/>
      <c r="N481" s="3277"/>
      <c r="O481" s="3277"/>
      <c r="P481" s="3277"/>
      <c r="Q481" s="3277"/>
      <c r="R481" s="3277"/>
      <c r="S481" s="3277"/>
      <c r="T481" s="3277"/>
      <c r="U481" s="3277"/>
      <c r="V481" s="3277"/>
      <c r="W481" s="3277"/>
      <c r="X481" s="3277"/>
      <c r="Y481" s="3277"/>
      <c r="Z481" s="3277"/>
    </row>
    <row r="482" s="3444" customFormat="1" customHeight="1" spans="10:26">
      <c r="J482" s="3277"/>
      <c r="K482" s="3277"/>
      <c r="L482" s="3277"/>
      <c r="M482" s="3277"/>
      <c r="N482" s="3277"/>
      <c r="O482" s="3277"/>
      <c r="P482" s="3277"/>
      <c r="Q482" s="3277"/>
      <c r="R482" s="3277"/>
      <c r="S482" s="3277"/>
      <c r="T482" s="3277"/>
      <c r="U482" s="3277"/>
      <c r="V482" s="3277"/>
      <c r="W482" s="3277"/>
      <c r="X482" s="3277"/>
      <c r="Y482" s="3277"/>
      <c r="Z482" s="3277"/>
    </row>
    <row r="483" s="3444" customFormat="1" customHeight="1" spans="10:26">
      <c r="J483" s="3277"/>
      <c r="K483" s="3277"/>
      <c r="L483" s="3277"/>
      <c r="M483" s="3277"/>
      <c r="N483" s="3277"/>
      <c r="O483" s="3277"/>
      <c r="P483" s="3277"/>
      <c r="Q483" s="3277"/>
      <c r="R483" s="3277"/>
      <c r="S483" s="3277"/>
      <c r="T483" s="3277"/>
      <c r="U483" s="3277"/>
      <c r="V483" s="3277"/>
      <c r="W483" s="3277"/>
      <c r="X483" s="3277"/>
      <c r="Y483" s="3277"/>
      <c r="Z483" s="3277"/>
    </row>
    <row r="484" s="3444" customFormat="1" customHeight="1" spans="10:26">
      <c r="J484" s="3277"/>
      <c r="K484" s="3277"/>
      <c r="L484" s="3277"/>
      <c r="M484" s="3277"/>
      <c r="N484" s="3277"/>
      <c r="O484" s="3277"/>
      <c r="P484" s="3277"/>
      <c r="Q484" s="3277"/>
      <c r="R484" s="3277"/>
      <c r="S484" s="3277"/>
      <c r="T484" s="3277"/>
      <c r="U484" s="3277"/>
      <c r="V484" s="3277"/>
      <c r="W484" s="3277"/>
      <c r="X484" s="3277"/>
      <c r="Y484" s="3277"/>
      <c r="Z484" s="3277"/>
    </row>
    <row r="485" s="3444" customFormat="1" customHeight="1" spans="10:26">
      <c r="J485" s="3277"/>
      <c r="K485" s="3277"/>
      <c r="L485" s="3277"/>
      <c r="M485" s="3277"/>
      <c r="N485" s="3277"/>
      <c r="O485" s="3277"/>
      <c r="P485" s="3277"/>
      <c r="Q485" s="3277"/>
      <c r="R485" s="3277"/>
      <c r="S485" s="3277"/>
      <c r="T485" s="3277"/>
      <c r="U485" s="3277"/>
      <c r="V485" s="3277"/>
      <c r="W485" s="3277"/>
      <c r="X485" s="3277"/>
      <c r="Y485" s="3277"/>
      <c r="Z485" s="3277"/>
    </row>
    <row r="486" s="3444" customFormat="1" customHeight="1" spans="10:26">
      <c r="J486" s="3277"/>
      <c r="K486" s="3277"/>
      <c r="L486" s="3277"/>
      <c r="M486" s="3277"/>
      <c r="N486" s="3277"/>
      <c r="O486" s="3277"/>
      <c r="P486" s="3277"/>
      <c r="Q486" s="3277"/>
      <c r="R486" s="3277"/>
      <c r="S486" s="3277"/>
      <c r="T486" s="3277"/>
      <c r="U486" s="3277"/>
      <c r="V486" s="3277"/>
      <c r="W486" s="3277"/>
      <c r="X486" s="3277"/>
      <c r="Y486" s="3277"/>
      <c r="Z486" s="3277"/>
    </row>
    <row r="487" s="3444" customFormat="1" customHeight="1" spans="10:26">
      <c r="J487" s="3277"/>
      <c r="K487" s="3277"/>
      <c r="L487" s="3277"/>
      <c r="M487" s="3277"/>
      <c r="N487" s="3277"/>
      <c r="O487" s="3277"/>
      <c r="P487" s="3277"/>
      <c r="Q487" s="3277"/>
      <c r="R487" s="3277"/>
      <c r="S487" s="3277"/>
      <c r="T487" s="3277"/>
      <c r="U487" s="3277"/>
      <c r="V487" s="3277"/>
      <c r="W487" s="3277"/>
      <c r="X487" s="3277"/>
      <c r="Y487" s="3277"/>
      <c r="Z487" s="3277"/>
    </row>
    <row r="488" s="3444" customFormat="1" customHeight="1" spans="10:26">
      <c r="J488" s="3277"/>
      <c r="K488" s="3277"/>
      <c r="L488" s="3277"/>
      <c r="M488" s="3277"/>
      <c r="N488" s="3277"/>
      <c r="O488" s="3277"/>
      <c r="P488" s="3277"/>
      <c r="Q488" s="3277"/>
      <c r="R488" s="3277"/>
      <c r="S488" s="3277"/>
      <c r="T488" s="3277"/>
      <c r="U488" s="3277"/>
      <c r="V488" s="3277"/>
      <c r="W488" s="3277"/>
      <c r="X488" s="3277"/>
      <c r="Y488" s="3277"/>
      <c r="Z488" s="3277"/>
    </row>
    <row r="489" s="3444" customFormat="1" customHeight="1" spans="10:26">
      <c r="J489" s="3277"/>
      <c r="K489" s="3277"/>
      <c r="L489" s="3277"/>
      <c r="M489" s="3277"/>
      <c r="N489" s="3277"/>
      <c r="O489" s="3277"/>
      <c r="P489" s="3277"/>
      <c r="Q489" s="3277"/>
      <c r="R489" s="3277"/>
      <c r="S489" s="3277"/>
      <c r="T489" s="3277"/>
      <c r="U489" s="3277"/>
      <c r="V489" s="3277"/>
      <c r="W489" s="3277"/>
      <c r="X489" s="3277"/>
      <c r="Y489" s="3277"/>
      <c r="Z489" s="3277"/>
    </row>
    <row r="490" s="3444" customFormat="1" customHeight="1" spans="10:26">
      <c r="J490" s="3277"/>
      <c r="K490" s="3277"/>
      <c r="L490" s="3277"/>
      <c r="M490" s="3277"/>
      <c r="N490" s="3277"/>
      <c r="O490" s="3277"/>
      <c r="P490" s="3277"/>
      <c r="Q490" s="3277"/>
      <c r="R490" s="3277"/>
      <c r="S490" s="3277"/>
      <c r="T490" s="3277"/>
      <c r="U490" s="3277"/>
      <c r="V490" s="3277"/>
      <c r="W490" s="3277"/>
      <c r="X490" s="3277"/>
      <c r="Y490" s="3277"/>
      <c r="Z490" s="3277"/>
    </row>
    <row r="491" s="3444" customFormat="1" customHeight="1" spans="10:26">
      <c r="J491" s="3277"/>
      <c r="K491" s="3277"/>
      <c r="L491" s="3277"/>
      <c r="M491" s="3277"/>
      <c r="N491" s="3277"/>
      <c r="O491" s="3277"/>
      <c r="P491" s="3277"/>
      <c r="Q491" s="3277"/>
      <c r="R491" s="3277"/>
      <c r="S491" s="3277"/>
      <c r="T491" s="3277"/>
      <c r="U491" s="3277"/>
      <c r="V491" s="3277"/>
      <c r="W491" s="3277"/>
      <c r="X491" s="3277"/>
      <c r="Y491" s="3277"/>
      <c r="Z491" s="3277"/>
    </row>
    <row r="492" s="3444" customFormat="1" customHeight="1" spans="10:26">
      <c r="J492" s="3277"/>
      <c r="K492" s="3277"/>
      <c r="L492" s="3277"/>
      <c r="M492" s="3277"/>
      <c r="N492" s="3277"/>
      <c r="O492" s="3277"/>
      <c r="P492" s="3277"/>
      <c r="Q492" s="3277"/>
      <c r="R492" s="3277"/>
      <c r="S492" s="3277"/>
      <c r="T492" s="3277"/>
      <c r="U492" s="3277"/>
      <c r="V492" s="3277"/>
      <c r="W492" s="3277"/>
      <c r="X492" s="3277"/>
      <c r="Y492" s="3277"/>
      <c r="Z492" s="3277"/>
    </row>
    <row r="493" s="3444" customFormat="1" customHeight="1" spans="10:26">
      <c r="J493" s="3277"/>
      <c r="K493" s="3277"/>
      <c r="L493" s="3277"/>
      <c r="M493" s="3277"/>
      <c r="N493" s="3277"/>
      <c r="O493" s="3277"/>
      <c r="P493" s="3277"/>
      <c r="Q493" s="3277"/>
      <c r="R493" s="3277"/>
      <c r="S493" s="3277"/>
      <c r="T493" s="3277"/>
      <c r="U493" s="3277"/>
      <c r="V493" s="3277"/>
      <c r="W493" s="3277"/>
      <c r="X493" s="3277"/>
      <c r="Y493" s="3277"/>
      <c r="Z493" s="3277"/>
    </row>
    <row r="494" s="3444" customFormat="1" customHeight="1" spans="10:26">
      <c r="J494" s="3277"/>
      <c r="K494" s="3277"/>
      <c r="L494" s="3277"/>
      <c r="M494" s="3277"/>
      <c r="N494" s="3277"/>
      <c r="O494" s="3277"/>
      <c r="P494" s="3277"/>
      <c r="Q494" s="3277"/>
      <c r="R494" s="3277"/>
      <c r="S494" s="3277"/>
      <c r="T494" s="3277"/>
      <c r="U494" s="3277"/>
      <c r="V494" s="3277"/>
      <c r="W494" s="3277"/>
      <c r="X494" s="3277"/>
      <c r="Y494" s="3277"/>
      <c r="Z494" s="3277"/>
    </row>
    <row r="495" s="3444" customFormat="1" customHeight="1" spans="10:26">
      <c r="J495" s="3277"/>
      <c r="K495" s="3277"/>
      <c r="L495" s="3277"/>
      <c r="M495" s="3277"/>
      <c r="N495" s="3277"/>
      <c r="O495" s="3277"/>
      <c r="P495" s="3277"/>
      <c r="Q495" s="3277"/>
      <c r="R495" s="3277"/>
      <c r="S495" s="3277"/>
      <c r="T495" s="3277"/>
      <c r="U495" s="3277"/>
      <c r="V495" s="3277"/>
      <c r="W495" s="3277"/>
      <c r="X495" s="3277"/>
      <c r="Y495" s="3277"/>
      <c r="Z495" s="3277"/>
    </row>
    <row r="496" s="3444" customFormat="1" customHeight="1" spans="10:26">
      <c r="J496" s="3277"/>
      <c r="K496" s="3277"/>
      <c r="L496" s="3277"/>
      <c r="M496" s="3277"/>
      <c r="N496" s="3277"/>
      <c r="O496" s="3277"/>
      <c r="P496" s="3277"/>
      <c r="Q496" s="3277"/>
      <c r="R496" s="3277"/>
      <c r="S496" s="3277"/>
      <c r="T496" s="3277"/>
      <c r="U496" s="3277"/>
      <c r="V496" s="3277"/>
      <c r="W496" s="3277"/>
      <c r="X496" s="3277"/>
      <c r="Y496" s="3277"/>
      <c r="Z496" s="3277"/>
    </row>
    <row r="497" s="3444" customFormat="1" customHeight="1" spans="10:26">
      <c r="J497" s="3277"/>
      <c r="K497" s="3277"/>
      <c r="L497" s="3277"/>
      <c r="M497" s="3277"/>
      <c r="N497" s="3277"/>
      <c r="O497" s="3277"/>
      <c r="P497" s="3277"/>
      <c r="Q497" s="3277"/>
      <c r="R497" s="3277"/>
      <c r="S497" s="3277"/>
      <c r="T497" s="3277"/>
      <c r="U497" s="3277"/>
      <c r="V497" s="3277"/>
      <c r="W497" s="3277"/>
      <c r="X497" s="3277"/>
      <c r="Y497" s="3277"/>
      <c r="Z497" s="3277"/>
    </row>
    <row r="498" s="3444" customFormat="1" customHeight="1" spans="10:26">
      <c r="J498" s="3277"/>
      <c r="K498" s="3277"/>
      <c r="L498" s="3277"/>
      <c r="M498" s="3277"/>
      <c r="N498" s="3277"/>
      <c r="O498" s="3277"/>
      <c r="P498" s="3277"/>
      <c r="Q498" s="3277"/>
      <c r="R498" s="3277"/>
      <c r="S498" s="3277"/>
      <c r="T498" s="3277"/>
      <c r="U498" s="3277"/>
      <c r="V498" s="3277"/>
      <c r="W498" s="3277"/>
      <c r="X498" s="3277"/>
      <c r="Y498" s="3277"/>
      <c r="Z498" s="3277"/>
    </row>
    <row r="499" s="3444" customFormat="1" customHeight="1" spans="10:26">
      <c r="J499" s="3277"/>
      <c r="K499" s="3277"/>
      <c r="L499" s="3277"/>
      <c r="M499" s="3277"/>
      <c r="N499" s="3277"/>
      <c r="O499" s="3277"/>
      <c r="P499" s="3277"/>
      <c r="Q499" s="3277"/>
      <c r="R499" s="3277"/>
      <c r="S499" s="3277"/>
      <c r="T499" s="3277"/>
      <c r="U499" s="3277"/>
      <c r="V499" s="3277"/>
      <c r="W499" s="3277"/>
      <c r="X499" s="3277"/>
      <c r="Y499" s="3277"/>
      <c r="Z499" s="3277"/>
    </row>
    <row r="500" s="3444" customFormat="1" customHeight="1" spans="10:26">
      <c r="J500" s="3277"/>
      <c r="K500" s="3277"/>
      <c r="L500" s="3277"/>
      <c r="M500" s="3277"/>
      <c r="N500" s="3277"/>
      <c r="O500" s="3277"/>
      <c r="P500" s="3277"/>
      <c r="Q500" s="3277"/>
      <c r="R500" s="3277"/>
      <c r="S500" s="3277"/>
      <c r="T500" s="3277"/>
      <c r="U500" s="3277"/>
      <c r="V500" s="3277"/>
      <c r="W500" s="3277"/>
      <c r="X500" s="3277"/>
      <c r="Y500" s="3277"/>
      <c r="Z500" s="3277"/>
    </row>
    <row r="501" s="3444" customFormat="1" customHeight="1" spans="10:26">
      <c r="J501" s="3277"/>
      <c r="K501" s="3277"/>
      <c r="L501" s="3277"/>
      <c r="M501" s="3277"/>
      <c r="N501" s="3277"/>
      <c r="O501" s="3277"/>
      <c r="P501" s="3277"/>
      <c r="Q501" s="3277"/>
      <c r="R501" s="3277"/>
      <c r="S501" s="3277"/>
      <c r="T501" s="3277"/>
      <c r="U501" s="3277"/>
      <c r="V501" s="3277"/>
      <c r="W501" s="3277"/>
      <c r="X501" s="3277"/>
      <c r="Y501" s="3277"/>
      <c r="Z501" s="3277"/>
    </row>
    <row r="502" s="3444" customFormat="1" customHeight="1" spans="10:26">
      <c r="J502" s="3277"/>
      <c r="K502" s="3277"/>
      <c r="L502" s="3277"/>
      <c r="M502" s="3277"/>
      <c r="N502" s="3277"/>
      <c r="O502" s="3277"/>
      <c r="P502" s="3277"/>
      <c r="Q502" s="3277"/>
      <c r="R502" s="3277"/>
      <c r="S502" s="3277"/>
      <c r="T502" s="3277"/>
      <c r="U502" s="3277"/>
      <c r="V502" s="3277"/>
      <c r="W502" s="3277"/>
      <c r="X502" s="3277"/>
      <c r="Y502" s="3277"/>
      <c r="Z502" s="3277"/>
    </row>
    <row r="503" s="3444" customFormat="1" customHeight="1" spans="10:26">
      <c r="J503" s="3277"/>
      <c r="K503" s="3277"/>
      <c r="L503" s="3277"/>
      <c r="M503" s="3277"/>
      <c r="N503" s="3277"/>
      <c r="O503" s="3277"/>
      <c r="P503" s="3277"/>
      <c r="Q503" s="3277"/>
      <c r="R503" s="3277"/>
      <c r="S503" s="3277"/>
      <c r="T503" s="3277"/>
      <c r="U503" s="3277"/>
      <c r="V503" s="3277"/>
      <c r="W503" s="3277"/>
      <c r="X503" s="3277"/>
      <c r="Y503" s="3277"/>
      <c r="Z503" s="3277"/>
    </row>
    <row r="504" s="3444" customFormat="1" customHeight="1" spans="10:26">
      <c r="J504" s="3277"/>
      <c r="K504" s="3277"/>
      <c r="L504" s="3277"/>
      <c r="M504" s="3277"/>
      <c r="N504" s="3277"/>
      <c r="O504" s="3277"/>
      <c r="P504" s="3277"/>
      <c r="Q504" s="3277"/>
      <c r="R504" s="3277"/>
      <c r="S504" s="3277"/>
      <c r="T504" s="3277"/>
      <c r="U504" s="3277"/>
      <c r="V504" s="3277"/>
      <c r="W504" s="3277"/>
      <c r="X504" s="3277"/>
      <c r="Y504" s="3277"/>
      <c r="Z504" s="3277"/>
    </row>
    <row r="505" s="3444" customFormat="1" customHeight="1" spans="10:26">
      <c r="J505" s="3277"/>
      <c r="K505" s="3277"/>
      <c r="L505" s="3277"/>
      <c r="M505" s="3277"/>
      <c r="N505" s="3277"/>
      <c r="O505" s="3277"/>
      <c r="P505" s="3277"/>
      <c r="Q505" s="3277"/>
      <c r="R505" s="3277"/>
      <c r="S505" s="3277"/>
      <c r="T505" s="3277"/>
      <c r="U505" s="3277"/>
      <c r="V505" s="3277"/>
      <c r="W505" s="3277"/>
      <c r="X505" s="3277"/>
      <c r="Y505" s="3277"/>
      <c r="Z505" s="3277"/>
    </row>
    <row r="506" s="3444" customFormat="1" customHeight="1" spans="10:26">
      <c r="J506" s="3277"/>
      <c r="K506" s="3277"/>
      <c r="L506" s="3277"/>
      <c r="M506" s="3277"/>
      <c r="N506" s="3277"/>
      <c r="O506" s="3277"/>
      <c r="P506" s="3277"/>
      <c r="Q506" s="3277"/>
      <c r="R506" s="3277"/>
      <c r="S506" s="3277"/>
      <c r="T506" s="3277"/>
      <c r="U506" s="3277"/>
      <c r="V506" s="3277"/>
      <c r="W506" s="3277"/>
      <c r="X506" s="3277"/>
      <c r="Y506" s="3277"/>
      <c r="Z506" s="3277"/>
    </row>
    <row r="507" s="3444" customFormat="1" customHeight="1" spans="10:26">
      <c r="J507" s="3277"/>
      <c r="K507" s="3277"/>
      <c r="L507" s="3277"/>
      <c r="M507" s="3277"/>
      <c r="N507" s="3277"/>
      <c r="O507" s="3277"/>
      <c r="P507" s="3277"/>
      <c r="Q507" s="3277"/>
      <c r="R507" s="3277"/>
      <c r="S507" s="3277"/>
      <c r="T507" s="3277"/>
      <c r="U507" s="3277"/>
      <c r="V507" s="3277"/>
      <c r="W507" s="3277"/>
      <c r="X507" s="3277"/>
      <c r="Y507" s="3277"/>
      <c r="Z507" s="3277"/>
    </row>
    <row r="508" s="3444" customFormat="1" customHeight="1" spans="10:26">
      <c r="J508" s="3277"/>
      <c r="K508" s="3277"/>
      <c r="L508" s="3277"/>
      <c r="M508" s="3277"/>
      <c r="N508" s="3277"/>
      <c r="O508" s="3277"/>
      <c r="P508" s="3277"/>
      <c r="Q508" s="3277"/>
      <c r="R508" s="3277"/>
      <c r="S508" s="3277"/>
      <c r="T508" s="3277"/>
      <c r="U508" s="3277"/>
      <c r="V508" s="3277"/>
      <c r="W508" s="3277"/>
      <c r="X508" s="3277"/>
      <c r="Y508" s="3277"/>
      <c r="Z508" s="3277"/>
    </row>
    <row r="509" s="3444" customFormat="1" customHeight="1" spans="10:26">
      <c r="J509" s="3277"/>
      <c r="K509" s="3277"/>
      <c r="L509" s="3277"/>
      <c r="M509" s="3277"/>
      <c r="N509" s="3277"/>
      <c r="O509" s="3277"/>
      <c r="P509" s="3277"/>
      <c r="Q509" s="3277"/>
      <c r="R509" s="3277"/>
      <c r="S509" s="3277"/>
      <c r="T509" s="3277"/>
      <c r="U509" s="3277"/>
      <c r="V509" s="3277"/>
      <c r="W509" s="3277"/>
      <c r="X509" s="3277"/>
      <c r="Y509" s="3277"/>
      <c r="Z509" s="3277"/>
    </row>
    <row r="510" s="3444" customFormat="1" customHeight="1" spans="10:26">
      <c r="J510" s="3277"/>
      <c r="K510" s="3277"/>
      <c r="L510" s="3277"/>
      <c r="M510" s="3277"/>
      <c r="N510" s="3277"/>
      <c r="O510" s="3277"/>
      <c r="P510" s="3277"/>
      <c r="Q510" s="3277"/>
      <c r="R510" s="3277"/>
      <c r="S510" s="3277"/>
      <c r="T510" s="3277"/>
      <c r="U510" s="3277"/>
      <c r="V510" s="3277"/>
      <c r="W510" s="3277"/>
      <c r="X510" s="3277"/>
      <c r="Y510" s="3277"/>
      <c r="Z510" s="3277"/>
    </row>
    <row r="511" s="3444" customFormat="1" customHeight="1" spans="10:26">
      <c r="J511" s="3277"/>
      <c r="K511" s="3277"/>
      <c r="L511" s="3277"/>
      <c r="M511" s="3277"/>
      <c r="N511" s="3277"/>
      <c r="O511" s="3277"/>
      <c r="P511" s="3277"/>
      <c r="Q511" s="3277"/>
      <c r="R511" s="3277"/>
      <c r="S511" s="3277"/>
      <c r="T511" s="3277"/>
      <c r="U511" s="3277"/>
      <c r="V511" s="3277"/>
      <c r="W511" s="3277"/>
      <c r="X511" s="3277"/>
      <c r="Y511" s="3277"/>
      <c r="Z511" s="3277"/>
    </row>
    <row r="512" s="3444" customFormat="1" customHeight="1" spans="10:26">
      <c r="J512" s="3277"/>
      <c r="K512" s="3277"/>
      <c r="L512" s="3277"/>
      <c r="M512" s="3277"/>
      <c r="N512" s="3277"/>
      <c r="O512" s="3277"/>
      <c r="P512" s="3277"/>
      <c r="Q512" s="3277"/>
      <c r="R512" s="3277"/>
      <c r="S512" s="3277"/>
      <c r="T512" s="3277"/>
      <c r="U512" s="3277"/>
      <c r="V512" s="3277"/>
      <c r="W512" s="3277"/>
      <c r="X512" s="3277"/>
      <c r="Y512" s="3277"/>
      <c r="Z512" s="3277"/>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16" workbookViewId="0">
      <selection activeCell="M38" sqref="M38"/>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3390" customWidth="1"/>
    <col min="17" max="17" width="19.5" style="3390" customWidth="1"/>
    <col min="18" max="18" width="6.125" style="3390" customWidth="1"/>
    <col min="19" max="19" width="4.375" style="3390" customWidth="1"/>
    <col min="20" max="20" width="6.125" style="3390" customWidth="1"/>
    <col min="21" max="21" width="4.375" style="3390" customWidth="1"/>
    <col min="22" max="22" width="6.125" style="3390" customWidth="1"/>
    <col min="23" max="23" width="4.375" style="3390"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1117</v>
      </c>
      <c r="C1" s="1866" t="s">
        <v>1118</v>
      </c>
      <c r="D1" s="1867" t="s">
        <v>681</v>
      </c>
      <c r="E1" s="1868" t="s">
        <v>1119</v>
      </c>
      <c r="F1" s="1869" t="s">
        <v>1120</v>
      </c>
      <c r="G1" s="1870" t="s">
        <v>1121</v>
      </c>
      <c r="H1" s="1871"/>
      <c r="I1" s="1871"/>
      <c r="J1" s="1871"/>
      <c r="K1" s="1872"/>
      <c r="L1" s="1873"/>
      <c r="M1" s="1874"/>
      <c r="N1" s="1874"/>
      <c r="O1" s="1874"/>
      <c r="P1" s="3391"/>
      <c r="Q1" s="3391"/>
      <c r="R1" s="3391"/>
      <c r="S1" s="3391"/>
      <c r="T1" s="3391"/>
      <c r="U1" s="3391"/>
      <c r="V1" s="3391"/>
      <c r="W1" s="3391"/>
      <c r="X1" s="1866"/>
      <c r="Y1" s="1866"/>
      <c r="Z1" s="1866"/>
      <c r="AA1" s="1866"/>
      <c r="AB1" s="1866"/>
      <c r="AC1" s="1875"/>
    </row>
    <row r="2" s="1370" customFormat="1" ht="28.5" customHeight="1" spans="1:29">
      <c r="A2" s="1876" t="s">
        <v>1122</v>
      </c>
      <c r="B2" s="1877">
        <f ca="1">IF(C2="含税",D2,ROUND(D2/(1+F3),0))</f>
        <v>29045</v>
      </c>
      <c r="C2" s="1878" t="s">
        <v>1123</v>
      </c>
      <c r="D2" s="1879">
        <f ca="1">IF(E1="项目模式",IF(E2="——",ROUND(C43*D3/10000,0),ROUND(C43*D3/10000,0)-F2),IF(E1="单套模式",IF(E2="——",ROUND(C43*D3/10000,4),ROUND(C43*D3/10000,4)-F2)))</f>
        <v>29045</v>
      </c>
      <c r="E2" s="1880" t="s">
        <v>124</v>
      </c>
      <c r="F2" s="1778" t="e">
        <f ca="1">IF(E1="项目模式",SUMIF(INDIRECT("'"&amp;H2&amp;"'"&amp;"!A:A"),"承租人权益价值",INDIRECT("'"&amp;H2&amp;"'"&amp;"!c:c")),SUMIF(INDIRECT("'"&amp;H2&amp;"'"&amp;"!A:A"),"承租人权益价值（单套）",INDIRECT("'"&amp;H2&amp;"'"&amp;"!c:c")))</f>
        <v>#REF!</v>
      </c>
      <c r="G2" s="1881" t="s">
        <v>1124</v>
      </c>
      <c r="H2" s="1882"/>
      <c r="I2" s="1391"/>
      <c r="J2" s="1391"/>
      <c r="K2" s="1391"/>
      <c r="L2" s="3392"/>
      <c r="M2" s="2130"/>
      <c r="N2" s="2130"/>
      <c r="O2" s="2130"/>
      <c r="P2" s="3393"/>
      <c r="Q2" s="3393"/>
      <c r="R2" s="3393"/>
      <c r="S2" s="3393"/>
      <c r="T2" s="3393"/>
      <c r="U2" s="3393"/>
      <c r="V2" s="3393"/>
      <c r="W2" s="3393"/>
      <c r="X2" s="1388"/>
      <c r="Y2" s="1388"/>
      <c r="Z2" s="1388"/>
      <c r="AA2" s="1388"/>
      <c r="AB2" s="1388"/>
      <c r="AC2" s="1399"/>
    </row>
    <row r="3" s="1370" customFormat="1" ht="28.5" customHeight="1" spans="1:29">
      <c r="A3" s="439" t="s">
        <v>1125</v>
      </c>
      <c r="B3" s="1883">
        <f ca="1">IF(E2="——",C43,ROUND(B2*10000/D3,0))</f>
        <v>13895</v>
      </c>
      <c r="C3" s="1884" t="s">
        <v>1126</v>
      </c>
      <c r="D3" s="1883">
        <f>IF(D1="",'数据-汇总表'!E3,SUMIF('数据-汇总表'!$C19:$C33,D1,'数据-汇总表'!$E19:$E33))</f>
        <v>20903.38</v>
      </c>
      <c r="E3" s="1885" t="s">
        <v>1127</v>
      </c>
      <c r="F3" s="1886">
        <v>0.09</v>
      </c>
      <c r="G3" s="1391"/>
      <c r="H3" s="1391"/>
      <c r="I3" s="1391"/>
      <c r="J3" s="1391"/>
      <c r="K3" s="1393"/>
      <c r="L3" s="3392"/>
      <c r="M3" s="2130"/>
      <c r="N3" s="2130"/>
      <c r="O3" s="2130"/>
      <c r="P3" s="3393"/>
      <c r="Q3" s="3393"/>
      <c r="R3" s="3393"/>
      <c r="S3" s="3393"/>
      <c r="T3" s="3393"/>
      <c r="U3" s="3393"/>
      <c r="V3" s="3393"/>
      <c r="W3" s="3393"/>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3394"/>
      <c r="M4" s="3395"/>
      <c r="N4" s="3395"/>
      <c r="O4" s="3395"/>
      <c r="P4" s="1411" t="s">
        <v>1134</v>
      </c>
      <c r="Q4" s="1412"/>
      <c r="R4" s="1413" t="s">
        <v>1130</v>
      </c>
      <c r="S4" s="1414"/>
      <c r="T4" s="1413" t="s">
        <v>1131</v>
      </c>
      <c r="U4" s="1414"/>
      <c r="V4" s="820" t="s">
        <v>1132</v>
      </c>
      <c r="W4" s="820"/>
      <c r="X4" s="1415"/>
      <c r="Y4" s="1416" t="s">
        <v>1134</v>
      </c>
      <c r="Z4" s="1417"/>
      <c r="AA4" s="1418" t="s">
        <v>1130</v>
      </c>
      <c r="AB4" s="1415" t="s">
        <v>1131</v>
      </c>
      <c r="AC4" s="1418" t="s">
        <v>1132</v>
      </c>
    </row>
    <row r="5" ht="15" spans="1:29">
      <c r="A5" s="1784"/>
      <c r="B5" s="1785"/>
      <c r="C5" s="1892" t="s">
        <v>1135</v>
      </c>
      <c r="D5" s="1893"/>
      <c r="E5" s="3396" t="s">
        <v>681</v>
      </c>
      <c r="F5" s="1895"/>
      <c r="G5" s="3397" t="s">
        <v>1136</v>
      </c>
      <c r="H5" s="1893"/>
      <c r="I5" s="3397" t="s">
        <v>1137</v>
      </c>
      <c r="J5" s="1893"/>
      <c r="K5" s="1408"/>
      <c r="L5" s="3394"/>
      <c r="M5" s="3395"/>
      <c r="N5" s="3395"/>
      <c r="O5" s="3395"/>
      <c r="P5" s="1425"/>
      <c r="Q5" s="1426"/>
      <c r="R5" s="1427"/>
      <c r="S5" s="1428"/>
      <c r="T5" s="1427"/>
      <c r="U5" s="1428"/>
      <c r="V5" s="820"/>
      <c r="W5" s="82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3394"/>
      <c r="M6" s="3395"/>
      <c r="N6" s="3395"/>
      <c r="O6" s="3395"/>
      <c r="P6" s="1437"/>
      <c r="Q6" s="1438"/>
      <c r="R6" s="1427"/>
      <c r="S6" s="1428"/>
      <c r="T6" s="1439"/>
      <c r="U6" s="1440"/>
      <c r="V6" s="820"/>
      <c r="W6" s="820"/>
      <c r="X6" s="1415"/>
      <c r="Y6" s="1441"/>
      <c r="Z6" s="1442"/>
      <c r="AA6" s="1443"/>
      <c r="AB6" s="1443"/>
      <c r="AC6" s="1443"/>
    </row>
    <row r="7" s="1371" customFormat="1" ht="15.75" spans="1:29">
      <c r="A7" s="1904" t="s">
        <v>1140</v>
      </c>
      <c r="B7" s="1905"/>
      <c r="C7" s="1906">
        <f>'数据-取费表'!B2</f>
        <v>46086</v>
      </c>
      <c r="D7" s="1907">
        <v>100</v>
      </c>
      <c r="E7" s="1908">
        <f>C7</f>
        <v>46086</v>
      </c>
      <c r="F7" s="1909">
        <f>SUMIF(52:52,YEAR(E7)&amp;"-"&amp;MONTH(E7),53:53)</f>
        <v>100</v>
      </c>
      <c r="G7" s="1908">
        <f>C7</f>
        <v>46086</v>
      </c>
      <c r="H7" s="1911">
        <f>SUMIF(52:52,YEAR(G7)&amp;"-"&amp;MONTH(G7),53:53)</f>
        <v>100</v>
      </c>
      <c r="I7" s="1908">
        <f>C7</f>
        <v>46086</v>
      </c>
      <c r="J7" s="1911">
        <f>SUMIF(52:52,YEAR(I7)&amp;"-"&amp;MONTH(I7),53:53)</f>
        <v>100</v>
      </c>
      <c r="K7" s="1452"/>
      <c r="L7" s="3398"/>
      <c r="M7" s="3399"/>
      <c r="N7" s="3399"/>
      <c r="O7" s="3399"/>
      <c r="P7" s="1455" t="s">
        <v>1141</v>
      </c>
      <c r="Q7" s="1456"/>
      <c r="R7" s="1457" t="s">
        <v>1142</v>
      </c>
      <c r="S7" s="1458">
        <f t="shared" ref="S7:S15" si="0">F7</f>
        <v>100</v>
      </c>
      <c r="T7" s="1457" t="s">
        <v>1142</v>
      </c>
      <c r="U7" s="1458">
        <f t="shared" ref="U7:U15" si="1">H7</f>
        <v>100</v>
      </c>
      <c r="V7" s="1457" t="s">
        <v>1142</v>
      </c>
      <c r="W7" s="1458">
        <f t="shared" ref="W7:W15" si="2">J7</f>
        <v>100</v>
      </c>
      <c r="X7" s="1459"/>
      <c r="Y7" s="1460" t="s">
        <v>1141</v>
      </c>
      <c r="Z7" s="1461"/>
      <c r="AA7" s="1462">
        <f>D7/F7</f>
        <v>1</v>
      </c>
      <c r="AB7" s="1462">
        <f>D7/H7</f>
        <v>1</v>
      </c>
      <c r="AC7" s="1462">
        <f>D7/J7</f>
        <v>1</v>
      </c>
    </row>
    <row r="8" s="1371" customFormat="1" ht="15.75" spans="1:29">
      <c r="A8" s="1904" t="s">
        <v>1143</v>
      </c>
      <c r="B8" s="1905"/>
      <c r="C8" s="1914" t="s">
        <v>979</v>
      </c>
      <c r="D8" s="1907">
        <v>100</v>
      </c>
      <c r="E8" s="1914" t="s">
        <v>1144</v>
      </c>
      <c r="F8" s="1909">
        <f>SUMIF(55:55,E8,56:56)-SUMIF(55:55,C8,56:56)+100</f>
        <v>105</v>
      </c>
      <c r="G8" s="1914" t="s">
        <v>1144</v>
      </c>
      <c r="H8" s="1911">
        <f>SUMIF(55:55,G8,56:56)-SUMIF(55:55,C8,56:56)+100</f>
        <v>105</v>
      </c>
      <c r="I8" s="1914" t="s">
        <v>1144</v>
      </c>
      <c r="J8" s="1911">
        <f>SUMIF(55:55,I8,56:56)-SUMIF(55:55,C8,56:56)+100</f>
        <v>105</v>
      </c>
      <c r="K8" s="1452"/>
      <c r="L8" s="3398"/>
      <c r="M8" s="3399"/>
      <c r="N8" s="3399"/>
      <c r="O8" s="3399"/>
      <c r="P8" s="1455" t="s">
        <v>1145</v>
      </c>
      <c r="Q8" s="1464"/>
      <c r="R8" s="1457" t="s">
        <v>1142</v>
      </c>
      <c r="S8" s="1458">
        <f t="shared" si="0"/>
        <v>105</v>
      </c>
      <c r="T8" s="1457" t="s">
        <v>1142</v>
      </c>
      <c r="U8" s="1458">
        <f t="shared" si="1"/>
        <v>105</v>
      </c>
      <c r="V8" s="1457" t="s">
        <v>1142</v>
      </c>
      <c r="W8" s="1458">
        <f t="shared" si="2"/>
        <v>105</v>
      </c>
      <c r="X8" s="1459"/>
      <c r="Y8" s="1460" t="s">
        <v>1145</v>
      </c>
      <c r="Z8" s="1461"/>
      <c r="AA8" s="1462">
        <f t="shared" ref="AA8:AA40" si="3">D8/F8</f>
        <v>0.952380952380952</v>
      </c>
      <c r="AB8" s="1462">
        <f t="shared" ref="AB8:AB40" si="4">D8/H8</f>
        <v>0.952380952380952</v>
      </c>
      <c r="AC8" s="1462">
        <f t="shared" ref="AC8:AC40" si="5">D8/J8</f>
        <v>0.952380952380952</v>
      </c>
    </row>
    <row r="9" s="1371" customFormat="1" spans="1:29">
      <c r="A9" s="1915" t="s">
        <v>1146</v>
      </c>
      <c r="B9" s="1916" t="s">
        <v>1147</v>
      </c>
      <c r="C9" s="3400" t="s">
        <v>233</v>
      </c>
      <c r="D9" s="1918">
        <v>100</v>
      </c>
      <c r="E9" s="1919" t="s">
        <v>233</v>
      </c>
      <c r="F9" s="1920">
        <f>SUMIF(57:57,E9,58:58)-SUMIF(57:57,C9,58:58)+100</f>
        <v>100</v>
      </c>
      <c r="G9" s="2017" t="s">
        <v>233</v>
      </c>
      <c r="H9" s="1920">
        <f>SUMIF(57:57,G9,58:58)-SUMIF(57:57,C9,58:58)+100</f>
        <v>100</v>
      </c>
      <c r="I9" s="2017" t="s">
        <v>1148</v>
      </c>
      <c r="J9" s="1920">
        <f>SUMIF(57:57,I9,58:58)-SUMIF(57:57,C9,58:58)+100</f>
        <v>102</v>
      </c>
      <c r="K9" s="1452"/>
      <c r="L9" s="3398"/>
      <c r="M9" s="3399"/>
      <c r="N9" s="3399"/>
      <c r="O9" s="3401"/>
      <c r="P9" s="1070" t="s">
        <v>1149</v>
      </c>
      <c r="Q9" s="1224" t="str">
        <f t="shared" ref="Q9:Q15" si="6">B9</f>
        <v>用途</v>
      </c>
      <c r="R9" s="1457" t="s">
        <v>1142</v>
      </c>
      <c r="S9" s="1458">
        <f t="shared" si="0"/>
        <v>100</v>
      </c>
      <c r="T9" s="1457" t="s">
        <v>1142</v>
      </c>
      <c r="U9" s="1458">
        <f t="shared" si="1"/>
        <v>100</v>
      </c>
      <c r="V9" s="1457" t="s">
        <v>1142</v>
      </c>
      <c r="W9" s="1458">
        <f t="shared" si="2"/>
        <v>102</v>
      </c>
      <c r="X9" s="1459"/>
      <c r="Y9" s="1188" t="s">
        <v>1150</v>
      </c>
      <c r="Z9" s="1462" t="str">
        <f t="shared" ref="Z9:Z15" si="7">Q9</f>
        <v>用途</v>
      </c>
      <c r="AA9" s="1462">
        <f t="shared" si="3"/>
        <v>1</v>
      </c>
      <c r="AB9" s="1462">
        <f t="shared" si="4"/>
        <v>1</v>
      </c>
      <c r="AC9" s="1462">
        <f t="shared" si="5"/>
        <v>0.980392156862745</v>
      </c>
    </row>
    <row r="10" s="1372" customFormat="1" ht="27" spans="1:29">
      <c r="A10" s="1921"/>
      <c r="B10" s="1922" t="s">
        <v>1151</v>
      </c>
      <c r="C10" s="3402" t="s">
        <v>1152</v>
      </c>
      <c r="D10" s="1924">
        <v>100</v>
      </c>
      <c r="E10" s="3402" t="s">
        <v>1152</v>
      </c>
      <c r="F10" s="1925">
        <f>SUMIF(59:59,E10,60:60)-SUMIF(59:59,C10,60:60)+100</f>
        <v>100</v>
      </c>
      <c r="G10" s="3403" t="s">
        <v>1153</v>
      </c>
      <c r="H10" s="1925">
        <f>SUMIF(59:59,G10,60:60)-SUMIF(59:59,C10,60:60)+100</f>
        <v>103</v>
      </c>
      <c r="I10" s="3402" t="s">
        <v>1153</v>
      </c>
      <c r="J10" s="1925">
        <f>SUMIF(59:59,I10,60:60)-SUMIF(59:59,C10,60:60)+100</f>
        <v>103</v>
      </c>
      <c r="K10" s="1452"/>
      <c r="L10" s="3404"/>
      <c r="M10" s="3405"/>
      <c r="N10" s="3405"/>
      <c r="O10" s="3406"/>
      <c r="P10" s="1070"/>
      <c r="Q10" s="1224" t="str">
        <f t="shared" si="6"/>
        <v>土地使用年限（年）</v>
      </c>
      <c r="R10" s="1457" t="s">
        <v>1142</v>
      </c>
      <c r="S10" s="1458">
        <f t="shared" si="0"/>
        <v>100</v>
      </c>
      <c r="T10" s="1457" t="s">
        <v>1142</v>
      </c>
      <c r="U10" s="1458">
        <f t="shared" si="1"/>
        <v>103</v>
      </c>
      <c r="V10" s="1457" t="s">
        <v>1142</v>
      </c>
      <c r="W10" s="1458">
        <f t="shared" si="2"/>
        <v>103</v>
      </c>
      <c r="X10" s="1459"/>
      <c r="Y10" s="1188"/>
      <c r="Z10" s="1462" t="str">
        <f t="shared" si="7"/>
        <v>土地使用年限（年）</v>
      </c>
      <c r="AA10" s="1462">
        <f t="shared" si="3"/>
        <v>1</v>
      </c>
      <c r="AB10" s="1462">
        <f t="shared" si="4"/>
        <v>0.970873786407767</v>
      </c>
      <c r="AC10" s="1462">
        <f t="shared" si="5"/>
        <v>0.970873786407767</v>
      </c>
    </row>
    <row r="11" ht="15" spans="1:29">
      <c r="A11" s="1695"/>
      <c r="B11" s="1922" t="s">
        <v>1154</v>
      </c>
      <c r="C11" s="2082"/>
      <c r="D11" s="1924">
        <v>100</v>
      </c>
      <c r="E11" s="2082"/>
      <c r="F11" s="1925">
        <f>LOOKUP(E11,62:62,63:63)-LOOKUP(C11,62:62,63:63)+100</f>
        <v>100</v>
      </c>
      <c r="G11" s="2083"/>
      <c r="H11" s="1925">
        <f>LOOKUP(G11,62:62,63:63)-LOOKUP(C11,62:62,63:63)+100</f>
        <v>100</v>
      </c>
      <c r="I11" s="2082"/>
      <c r="J11" s="1925">
        <f>LOOKUP(I11,62:62,63:63)-LOOKUP(C11,62:62,63:63)+100</f>
        <v>100</v>
      </c>
      <c r="K11" s="1539"/>
      <c r="L11" s="3407"/>
      <c r="M11" s="3395"/>
      <c r="N11" s="3395"/>
      <c r="O11" s="3408"/>
      <c r="P11" s="1070"/>
      <c r="Q11" s="1224" t="str">
        <f t="shared" si="6"/>
        <v>容积率</v>
      </c>
      <c r="R11" s="1457" t="s">
        <v>1142</v>
      </c>
      <c r="S11" s="1458">
        <f t="shared" si="0"/>
        <v>100</v>
      </c>
      <c r="T11" s="1457" t="s">
        <v>1142</v>
      </c>
      <c r="U11" s="1458">
        <f t="shared" si="1"/>
        <v>100</v>
      </c>
      <c r="V11" s="1457" t="s">
        <v>1142</v>
      </c>
      <c r="W11" s="1458">
        <f t="shared" si="2"/>
        <v>100</v>
      </c>
      <c r="X11" s="1459"/>
      <c r="Y11" s="1188"/>
      <c r="Z11" s="1462" t="str">
        <f t="shared" si="7"/>
        <v>容积率</v>
      </c>
      <c r="AA11" s="1462">
        <f t="shared" si="3"/>
        <v>1</v>
      </c>
      <c r="AB11" s="1462">
        <f t="shared" si="4"/>
        <v>1</v>
      </c>
      <c r="AC11" s="1462">
        <f t="shared" si="5"/>
        <v>1</v>
      </c>
    </row>
    <row r="12" s="1371" customFormat="1" ht="15" spans="1:29">
      <c r="A12" s="1743"/>
      <c r="B12" s="1926">
        <v>111</v>
      </c>
      <c r="C12" s="1927"/>
      <c r="D12" s="1929">
        <v>100</v>
      </c>
      <c r="E12" s="1930"/>
      <c r="F12" s="1925">
        <f>SUMIF(64:64,E12,65:65)-SUMIF(64:64,C12,65:65)+100</f>
        <v>100</v>
      </c>
      <c r="G12" s="3409"/>
      <c r="H12" s="1925">
        <f>SUMIF(64:64,G12,65:65)-SUMIF(64:64,C12,65:65)+100</f>
        <v>100</v>
      </c>
      <c r="I12" s="1928"/>
      <c r="J12" s="1925">
        <f>SUMIF(64:64,I12,65:65)-SUMIF(64:64,C12,65:65)+100</f>
        <v>100</v>
      </c>
      <c r="K12" s="1536"/>
      <c r="L12" s="3398"/>
      <c r="M12" s="3399"/>
      <c r="N12" s="3399"/>
      <c r="O12" s="3401"/>
      <c r="P12" s="1070"/>
      <c r="Q12" s="1224">
        <f t="shared" si="6"/>
        <v>111</v>
      </c>
      <c r="R12" s="1457" t="s">
        <v>1142</v>
      </c>
      <c r="S12" s="1458">
        <f t="shared" si="0"/>
        <v>100</v>
      </c>
      <c r="T12" s="1457" t="s">
        <v>1142</v>
      </c>
      <c r="U12" s="1458">
        <f t="shared" si="1"/>
        <v>100</v>
      </c>
      <c r="V12" s="1457" t="s">
        <v>1142</v>
      </c>
      <c r="W12" s="1458">
        <f t="shared" si="2"/>
        <v>100</v>
      </c>
      <c r="X12" s="1459"/>
      <c r="Y12" s="1188"/>
      <c r="Z12" s="1462">
        <f t="shared" si="7"/>
        <v>111</v>
      </c>
      <c r="AA12" s="1462">
        <f t="shared" si="3"/>
        <v>1</v>
      </c>
      <c r="AB12" s="1462">
        <f t="shared" si="4"/>
        <v>1</v>
      </c>
      <c r="AC12" s="1462">
        <f t="shared" si="5"/>
        <v>1</v>
      </c>
    </row>
    <row r="13" ht="15" spans="1:29">
      <c r="A13" s="1695"/>
      <c r="B13" s="1926">
        <v>111</v>
      </c>
      <c r="C13" s="1930"/>
      <c r="D13" s="1931">
        <v>100</v>
      </c>
      <c r="E13" s="1930"/>
      <c r="F13" s="1925">
        <f>SUMIF(66:66,E13,67:67)-SUMIF(66:66,C13,67:67)+100</f>
        <v>100</v>
      </c>
      <c r="G13" s="3409"/>
      <c r="H13" s="1934">
        <f>SUMIF(66:66,G13,67:67)-SUMIF(66:66,C13,67:67)+100</f>
        <v>100</v>
      </c>
      <c r="I13" s="1928"/>
      <c r="J13" s="1934">
        <f>SUMIF(66:66,I13,67:67)-SUMIF(66:66,C13,67:67)+100</f>
        <v>100</v>
      </c>
      <c r="K13" s="1536"/>
      <c r="L13" s="3410"/>
      <c r="M13" s="3395"/>
      <c r="N13" s="3395"/>
      <c r="O13" s="3408"/>
      <c r="P13" s="1070"/>
      <c r="Q13" s="1224">
        <f t="shared" si="6"/>
        <v>111</v>
      </c>
      <c r="R13" s="1457" t="s">
        <v>1142</v>
      </c>
      <c r="S13" s="1458">
        <f t="shared" si="0"/>
        <v>100</v>
      </c>
      <c r="T13" s="1457" t="s">
        <v>1142</v>
      </c>
      <c r="U13" s="1458">
        <f t="shared" si="1"/>
        <v>100</v>
      </c>
      <c r="V13" s="1457" t="s">
        <v>1142</v>
      </c>
      <c r="W13" s="1458">
        <f t="shared" si="2"/>
        <v>100</v>
      </c>
      <c r="X13" s="1459"/>
      <c r="Y13" s="1188"/>
      <c r="Z13" s="1462">
        <f t="shared" si="7"/>
        <v>111</v>
      </c>
      <c r="AA13" s="1462">
        <f t="shared" si="3"/>
        <v>1</v>
      </c>
      <c r="AB13" s="1462">
        <f t="shared" si="4"/>
        <v>1</v>
      </c>
      <c r="AC13" s="1462">
        <f t="shared" si="5"/>
        <v>1</v>
      </c>
    </row>
    <row r="14" ht="15.75" spans="1:29">
      <c r="A14" s="2085"/>
      <c r="B14" s="1982">
        <v>111</v>
      </c>
      <c r="C14" s="1983"/>
      <c r="D14" s="1984">
        <v>100</v>
      </c>
      <c r="E14" s="1983"/>
      <c r="F14" s="1933">
        <f>SUMIF(68:68,E14,69:69)-SUMIF(68:68,C14,69:69)+100</f>
        <v>100</v>
      </c>
      <c r="G14" s="3409"/>
      <c r="H14" s="1933">
        <f>SUMIF(68:68,G14,69:69)-SUMIF(68:68,C14,69:69)+100</f>
        <v>100</v>
      </c>
      <c r="I14" s="1928"/>
      <c r="J14" s="1933">
        <f>SUMIF(68:68,I14,69:69)-SUMIF(68:68,C14,69:69)+100</f>
        <v>100</v>
      </c>
      <c r="K14" s="1536"/>
      <c r="L14" s="3410"/>
      <c r="M14" s="3395"/>
      <c r="N14" s="3395"/>
      <c r="O14" s="3408"/>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56.25" spans="1:29">
      <c r="A15" s="1688" t="s">
        <v>1155</v>
      </c>
      <c r="B15" s="1935" t="s">
        <v>1156</v>
      </c>
      <c r="C15" s="1936" t="str">
        <f>估价对象房地状况!G3</f>
        <v>估价对象位于XX开发区，园区建设成熟度XX，产业集聚程度XX</v>
      </c>
      <c r="D15" s="1937">
        <v>100</v>
      </c>
      <c r="E15" s="1938"/>
      <c r="F15" s="1939">
        <f>SUMIF(70:70,E16,71:71)-SUMIF(70:70,C16,71:71)+100</f>
        <v>100</v>
      </c>
      <c r="G15" s="1940"/>
      <c r="H15" s="1941">
        <f>SUMIF(70:70,G16,71:71)-SUMIF(70:70,C16,71:71)+100</f>
        <v>100</v>
      </c>
      <c r="I15" s="1938"/>
      <c r="J15" s="1941">
        <f>SUMIF(70:70,I16,71:71)-SUMIF(70:70,C16,71:71)+100</f>
        <v>100</v>
      </c>
      <c r="K15" s="1942">
        <v>3</v>
      </c>
      <c r="L15" s="3410"/>
      <c r="M15" s="3395"/>
      <c r="N15" s="3395"/>
      <c r="O15" s="3408"/>
      <c r="P15" s="1073" t="s">
        <v>1157</v>
      </c>
      <c r="Q15" s="1070" t="str">
        <f t="shared" si="6"/>
        <v>产业集聚程度</v>
      </c>
      <c r="R15" s="1507" t="s">
        <v>1142</v>
      </c>
      <c r="S15" s="1508">
        <f t="shared" si="0"/>
        <v>100</v>
      </c>
      <c r="T15" s="1507" t="s">
        <v>1142</v>
      </c>
      <c r="U15" s="1508">
        <f t="shared" si="1"/>
        <v>100</v>
      </c>
      <c r="V15" s="1507" t="s">
        <v>1142</v>
      </c>
      <c r="W15" s="1508">
        <f t="shared" si="2"/>
        <v>100</v>
      </c>
      <c r="X15" s="1415"/>
      <c r="Y15" s="1509" t="s">
        <v>1157</v>
      </c>
      <c r="Z15" s="1510" t="str">
        <f t="shared" si="7"/>
        <v>产业集聚程度</v>
      </c>
      <c r="AA15" s="1510">
        <f t="shared" si="3"/>
        <v>1</v>
      </c>
      <c r="AB15" s="1510">
        <f t="shared" si="4"/>
        <v>1</v>
      </c>
      <c r="AC15" s="1510">
        <f t="shared" si="5"/>
        <v>1</v>
      </c>
    </row>
    <row r="16" ht="15" spans="1:29">
      <c r="A16" s="1695"/>
      <c r="B16" s="1945"/>
      <c r="C16" s="1946" t="s">
        <v>1158</v>
      </c>
      <c r="D16" s="1947"/>
      <c r="E16" s="1946" t="s">
        <v>1158</v>
      </c>
      <c r="F16" s="1902"/>
      <c r="G16" s="1946" t="s">
        <v>1158</v>
      </c>
      <c r="H16" s="1948"/>
      <c r="I16" s="1946" t="s">
        <v>1158</v>
      </c>
      <c r="J16" s="1710"/>
      <c r="K16" s="1949"/>
      <c r="L16" s="3410"/>
      <c r="M16" s="3395"/>
      <c r="N16" s="3395"/>
      <c r="O16" s="3408"/>
      <c r="P16" s="1517"/>
      <c r="Q16" s="1070"/>
      <c r="R16" s="1507"/>
      <c r="S16" s="1508"/>
      <c r="T16" s="1507"/>
      <c r="U16" s="1508"/>
      <c r="V16" s="1507"/>
      <c r="W16" s="1508"/>
      <c r="X16" s="1415"/>
      <c r="Y16" s="1518"/>
      <c r="Z16" s="1510"/>
      <c r="AA16" s="1510">
        <v>1</v>
      </c>
      <c r="AB16" s="1510">
        <v>1</v>
      </c>
      <c r="AC16" s="1510">
        <v>1</v>
      </c>
    </row>
    <row r="17" ht="81" spans="1:29">
      <c r="A17" s="1695"/>
      <c r="B17" s="1950" t="s">
        <v>1159</v>
      </c>
      <c r="C17" s="1951" t="str">
        <f>估价对象房地状况!G4</f>
        <v>估价对象周边道路状况、公共交通通达情况、停车便捷程度，综合评价交通便捷度较好</v>
      </c>
      <c r="D17" s="1961">
        <v>100</v>
      </c>
      <c r="E17" s="1959"/>
      <c r="F17" s="1896">
        <f>SUMIF(72:72,E18,73:73)-SUMIF(72:72,C18,73:73)+100</f>
        <v>100</v>
      </c>
      <c r="G17" s="1960"/>
      <c r="H17" s="1955">
        <f>SUMIF(72:72,G18,73:73)-SUMIF(72:72,C18,73:73)+100</f>
        <v>100</v>
      </c>
      <c r="I17" s="1959"/>
      <c r="J17" s="1955">
        <f>SUMIF(72:72,I18,73:73)-SUMIF(72:72,C18,73:73)+100</f>
        <v>100</v>
      </c>
      <c r="K17" s="1942">
        <v>2</v>
      </c>
      <c r="L17" s="3410"/>
      <c r="M17" s="3395"/>
      <c r="N17" s="3395"/>
      <c r="O17" s="3408"/>
      <c r="P17" s="1517"/>
      <c r="Q17" s="1070" t="str">
        <f>B17</f>
        <v>交通便捷度</v>
      </c>
      <c r="R17" s="1507" t="s">
        <v>1142</v>
      </c>
      <c r="S17" s="1508">
        <f>F17</f>
        <v>100</v>
      </c>
      <c r="T17" s="1507" t="s">
        <v>1142</v>
      </c>
      <c r="U17" s="1508">
        <f>H17</f>
        <v>100</v>
      </c>
      <c r="V17" s="1507" t="s">
        <v>1142</v>
      </c>
      <c r="W17" s="1508">
        <f>J17</f>
        <v>100</v>
      </c>
      <c r="X17" s="1415"/>
      <c r="Y17" s="1518"/>
      <c r="Z17" s="1510" t="str">
        <f>Q17</f>
        <v>交通便捷度</v>
      </c>
      <c r="AA17" s="1510">
        <f t="shared" si="3"/>
        <v>1</v>
      </c>
      <c r="AB17" s="1510">
        <f t="shared" si="4"/>
        <v>1</v>
      </c>
      <c r="AC17" s="1510">
        <f t="shared" si="5"/>
        <v>1</v>
      </c>
    </row>
    <row r="18" ht="15" spans="1:29">
      <c r="A18" s="1695"/>
      <c r="B18" s="1956"/>
      <c r="C18" s="1957" t="s">
        <v>1158</v>
      </c>
      <c r="D18" s="1961"/>
      <c r="E18" s="1957" t="s">
        <v>1158</v>
      </c>
      <c r="F18" s="1896"/>
      <c r="G18" s="1957" t="s">
        <v>1158</v>
      </c>
      <c r="H18" s="1710"/>
      <c r="I18" s="1957" t="s">
        <v>1158</v>
      </c>
      <c r="J18" s="1710"/>
      <c r="K18" s="1949"/>
      <c r="L18" s="3410"/>
      <c r="M18" s="3395"/>
      <c r="N18" s="3395"/>
      <c r="O18" s="3408"/>
      <c r="P18" s="1517"/>
      <c r="Q18" s="1070"/>
      <c r="R18" s="1507"/>
      <c r="S18" s="1508"/>
      <c r="T18" s="1507"/>
      <c r="U18" s="1508"/>
      <c r="V18" s="1507"/>
      <c r="W18" s="1508"/>
      <c r="X18" s="1415"/>
      <c r="Y18" s="1518"/>
      <c r="Z18" s="1510"/>
      <c r="AA18" s="1510">
        <v>1</v>
      </c>
      <c r="AB18" s="1510">
        <v>1</v>
      </c>
      <c r="AC18" s="1510">
        <v>1</v>
      </c>
    </row>
    <row r="19" ht="40.5" spans="1:29">
      <c r="A19" s="1695"/>
      <c r="B19" s="1950" t="s">
        <v>1160</v>
      </c>
      <c r="C19" s="1951" t="str">
        <f>估价对象房地状况!G5</f>
        <v>估价对象所在区域公共配套设施齐备情况</v>
      </c>
      <c r="D19" s="1952">
        <v>100</v>
      </c>
      <c r="E19" s="1953"/>
      <c r="F19" s="1890">
        <f>SUMIF(74:74,E20,75:75)-SUMIF(74:74,C20,75:75)+100</f>
        <v>100</v>
      </c>
      <c r="G19" s="1954"/>
      <c r="H19" s="1948">
        <f>SUMIF(74:74,G20,75:75)-SUMIF(74:74,C20,75:75)+100</f>
        <v>100</v>
      </c>
      <c r="I19" s="1953"/>
      <c r="J19" s="1948">
        <f>SUMIF(74:74,I20,75:75)-SUMIF(74:74,C20,75:75)+100</f>
        <v>100</v>
      </c>
      <c r="K19" s="1942">
        <v>2</v>
      </c>
      <c r="L19" s="3410"/>
      <c r="M19" s="3395"/>
      <c r="N19" s="3395"/>
      <c r="O19" s="3408"/>
      <c r="P19" s="1517"/>
      <c r="Q19" s="1070" t="str">
        <f>B19</f>
        <v>公共配套设施</v>
      </c>
      <c r="R19" s="1507" t="s">
        <v>1142</v>
      </c>
      <c r="S19" s="1508">
        <f>F19</f>
        <v>100</v>
      </c>
      <c r="T19" s="1507" t="s">
        <v>1142</v>
      </c>
      <c r="U19" s="1508">
        <f>H19</f>
        <v>100</v>
      </c>
      <c r="V19" s="1507" t="s">
        <v>1142</v>
      </c>
      <c r="W19" s="1508">
        <f>J19</f>
        <v>100</v>
      </c>
      <c r="X19" s="1415"/>
      <c r="Y19" s="1518"/>
      <c r="Z19" s="1510" t="str">
        <f>Q19</f>
        <v>公共配套设施</v>
      </c>
      <c r="AA19" s="1510">
        <f t="shared" si="3"/>
        <v>1</v>
      </c>
      <c r="AB19" s="1510">
        <f t="shared" si="4"/>
        <v>1</v>
      </c>
      <c r="AC19" s="1510">
        <f t="shared" si="5"/>
        <v>1</v>
      </c>
    </row>
    <row r="20" ht="15" spans="1:29">
      <c r="A20" s="1695"/>
      <c r="B20" s="1956"/>
      <c r="C20" s="1946" t="s">
        <v>1161</v>
      </c>
      <c r="D20" s="1947"/>
      <c r="E20" s="1946" t="s">
        <v>1161</v>
      </c>
      <c r="F20" s="1902"/>
      <c r="G20" s="1946" t="s">
        <v>1161</v>
      </c>
      <c r="H20" s="1710"/>
      <c r="I20" s="1946" t="s">
        <v>1161</v>
      </c>
      <c r="J20" s="1710"/>
      <c r="K20" s="1949"/>
      <c r="L20" s="3410"/>
      <c r="M20" s="3395"/>
      <c r="N20" s="3395"/>
      <c r="O20" s="3408"/>
      <c r="P20" s="1517"/>
      <c r="Q20" s="1070"/>
      <c r="R20" s="1507"/>
      <c r="S20" s="1508"/>
      <c r="T20" s="1507"/>
      <c r="U20" s="1508"/>
      <c r="V20" s="1507"/>
      <c r="W20" s="1508"/>
      <c r="X20" s="1415"/>
      <c r="Y20" s="1518"/>
      <c r="Z20" s="1510"/>
      <c r="AA20" s="1510">
        <v>1</v>
      </c>
      <c r="AB20" s="1510">
        <v>1</v>
      </c>
      <c r="AC20" s="1510">
        <v>1</v>
      </c>
    </row>
    <row r="21" ht="27" spans="1:29">
      <c r="A21" s="1695"/>
      <c r="B21" s="1958" t="s">
        <v>1162</v>
      </c>
      <c r="C21" s="1951" t="str">
        <f>估价对象房地状况!G6</f>
        <v>估价对象所在区域基础设施水平</v>
      </c>
      <c r="D21" s="1961">
        <v>100</v>
      </c>
      <c r="E21" s="1953"/>
      <c r="F21" s="1890">
        <f>SUMIF(76:76,E22,77:77)-SUMIF(76:76,C22,77:77)+100</f>
        <v>100</v>
      </c>
      <c r="G21" s="1954"/>
      <c r="H21" s="1948">
        <f>SUMIF(76:76,G22,77:77)-SUMIF(76:76,C22,77:77)+100</f>
        <v>100</v>
      </c>
      <c r="I21" s="1953"/>
      <c r="J21" s="1948">
        <f>SUMIF(76:76,I22,77:77)-SUMIF(76:76,C22,77:77)+100</f>
        <v>100</v>
      </c>
      <c r="K21" s="1942">
        <v>1</v>
      </c>
      <c r="L21" s="3410"/>
      <c r="M21" s="3395"/>
      <c r="N21" s="3395"/>
      <c r="O21" s="3408"/>
      <c r="P21" s="1517"/>
      <c r="Q21" s="1070" t="str">
        <f>B21</f>
        <v>基础设施水平</v>
      </c>
      <c r="R21" s="1507" t="s">
        <v>1142</v>
      </c>
      <c r="S21" s="1508">
        <f>F21</f>
        <v>100</v>
      </c>
      <c r="T21" s="1507" t="s">
        <v>1142</v>
      </c>
      <c r="U21" s="1508">
        <f>H21</f>
        <v>100</v>
      </c>
      <c r="V21" s="1507" t="s">
        <v>1142</v>
      </c>
      <c r="W21" s="150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958"/>
      <c r="C22" s="1957" t="s">
        <v>241</v>
      </c>
      <c r="D22" s="1947"/>
      <c r="E22" s="1957" t="s">
        <v>241</v>
      </c>
      <c r="F22" s="1902"/>
      <c r="G22" s="1957" t="s">
        <v>241</v>
      </c>
      <c r="H22" s="1710"/>
      <c r="I22" s="1957" t="s">
        <v>241</v>
      </c>
      <c r="J22" s="1710"/>
      <c r="K22" s="1962"/>
      <c r="L22" s="3410"/>
      <c r="M22" s="3395"/>
      <c r="N22" s="3395"/>
      <c r="O22" s="3408"/>
      <c r="P22" s="1517"/>
      <c r="Q22" s="1070"/>
      <c r="R22" s="1507"/>
      <c r="S22" s="1508"/>
      <c r="T22" s="1507"/>
      <c r="U22" s="1508"/>
      <c r="V22" s="1507"/>
      <c r="W22" s="1508"/>
      <c r="X22" s="1415"/>
      <c r="Y22" s="1518"/>
      <c r="Z22" s="1510"/>
      <c r="AA22" s="1510">
        <v>1</v>
      </c>
      <c r="AB22" s="1510">
        <v>1</v>
      </c>
      <c r="AC22" s="1510">
        <v>1</v>
      </c>
    </row>
    <row r="23" ht="67.5" spans="1:29">
      <c r="A23" s="1695"/>
      <c r="B23" s="1950" t="s">
        <v>1163</v>
      </c>
      <c r="C23" s="1951" t="str">
        <f>估价对象房地状况!G7</f>
        <v>该园区内是否有污染型企业，绿化情况，卫生条件，整体环境状况判断</v>
      </c>
      <c r="D23" s="1961">
        <v>100</v>
      </c>
      <c r="E23" s="1959"/>
      <c r="F23" s="1896">
        <f>SUMIF(78:78,E24,79:79)-SUMIF(78:78,C24,79:79)+100</f>
        <v>100</v>
      </c>
      <c r="G23" s="1960"/>
      <c r="H23" s="1948">
        <f>SUMIF(78:78,G24,79:79)-SUMIF(78:78,C24,79:79)+100</f>
        <v>98</v>
      </c>
      <c r="I23" s="1959"/>
      <c r="J23" s="1948">
        <f>SUMIF(78:78,I24,79:79)-SUMIF(78:78,C24,79:79)+100</f>
        <v>98</v>
      </c>
      <c r="K23" s="1942">
        <v>2</v>
      </c>
      <c r="L23" s="3410"/>
      <c r="M23" s="3395"/>
      <c r="N23" s="3395"/>
      <c r="O23" s="3408"/>
      <c r="P23" s="1517"/>
      <c r="Q23" s="1070" t="str">
        <f>B23</f>
        <v>环境质量</v>
      </c>
      <c r="R23" s="1507" t="s">
        <v>1142</v>
      </c>
      <c r="S23" s="1508">
        <f>F23</f>
        <v>100</v>
      </c>
      <c r="T23" s="1507" t="s">
        <v>1142</v>
      </c>
      <c r="U23" s="1508">
        <f>H23</f>
        <v>98</v>
      </c>
      <c r="V23" s="1507" t="s">
        <v>1142</v>
      </c>
      <c r="W23" s="1508">
        <f>J23</f>
        <v>98</v>
      </c>
      <c r="X23" s="1415"/>
      <c r="Y23" s="1518"/>
      <c r="Z23" s="1510" t="str">
        <f>Q23</f>
        <v>环境质量</v>
      </c>
      <c r="AA23" s="1510">
        <f t="shared" si="3"/>
        <v>1</v>
      </c>
      <c r="AB23" s="1510">
        <f t="shared" si="4"/>
        <v>1.02040816326531</v>
      </c>
      <c r="AC23" s="1510">
        <f t="shared" si="5"/>
        <v>1.02040816326531</v>
      </c>
    </row>
    <row r="24" ht="15" spans="1:29">
      <c r="A24" s="1695"/>
      <c r="B24" s="1958"/>
      <c r="C24" s="1946" t="s">
        <v>1158</v>
      </c>
      <c r="D24" s="1947"/>
      <c r="E24" s="2096" t="s">
        <v>1158</v>
      </c>
      <c r="F24" s="1902"/>
      <c r="G24" s="2095" t="s">
        <v>1161</v>
      </c>
      <c r="H24" s="1710"/>
      <c r="I24" s="2096" t="s">
        <v>1161</v>
      </c>
      <c r="J24" s="1710"/>
      <c r="K24" s="1949"/>
      <c r="L24" s="3410"/>
      <c r="M24" s="3395"/>
      <c r="N24" s="3395"/>
      <c r="O24" s="3408"/>
      <c r="P24" s="1517"/>
      <c r="Q24" s="1070"/>
      <c r="R24" s="1507"/>
      <c r="S24" s="1508"/>
      <c r="T24" s="1507"/>
      <c r="U24" s="1508"/>
      <c r="V24" s="1507"/>
      <c r="W24" s="1508"/>
      <c r="X24" s="1415"/>
      <c r="Y24" s="1518"/>
      <c r="Z24" s="1510"/>
      <c r="AA24" s="1510">
        <v>1</v>
      </c>
      <c r="AB24" s="1510">
        <v>1</v>
      </c>
      <c r="AC24" s="1510">
        <v>1</v>
      </c>
    </row>
    <row r="25" ht="15" spans="1:29">
      <c r="A25" s="1784"/>
      <c r="B25" s="3411" t="s">
        <v>1164</v>
      </c>
      <c r="C25" s="3412" t="s">
        <v>1165</v>
      </c>
      <c r="D25" s="1931">
        <v>100</v>
      </c>
      <c r="E25" s="3412" t="s">
        <v>1165</v>
      </c>
      <c r="F25" s="1964">
        <f>SUMIF(80:80,E25,81:81)-SUMIF(80:80,C25,81:81)+100</f>
        <v>100</v>
      </c>
      <c r="G25" s="3412" t="s">
        <v>1165</v>
      </c>
      <c r="H25" s="1934">
        <f>SUMIF(80:80,G25,81:81)-SUMIF(80:80,C25,81:81)+100</f>
        <v>100</v>
      </c>
      <c r="I25" s="3412" t="s">
        <v>1165</v>
      </c>
      <c r="J25" s="1934">
        <f>SUMIF(80:80,I25,81:81)-SUMIF(80:80,C25,81:81)+100</f>
        <v>100</v>
      </c>
      <c r="K25" s="1536"/>
      <c r="L25" s="3410"/>
      <c r="M25" s="3395"/>
      <c r="N25" s="3395"/>
      <c r="O25" s="3408"/>
      <c r="P25" s="1517"/>
      <c r="Q25" s="1070" t="str">
        <f>B25</f>
        <v>楼层</v>
      </c>
      <c r="R25" s="1507" t="s">
        <v>1142</v>
      </c>
      <c r="S25" s="1508">
        <f>F25</f>
        <v>100</v>
      </c>
      <c r="T25" s="1507" t="s">
        <v>1142</v>
      </c>
      <c r="U25" s="1508">
        <f>H25</f>
        <v>100</v>
      </c>
      <c r="V25" s="1507" t="s">
        <v>1142</v>
      </c>
      <c r="W25" s="1508">
        <f>J25</f>
        <v>100</v>
      </c>
      <c r="X25" s="1415"/>
      <c r="Y25" s="1518"/>
      <c r="Z25" s="1510" t="str">
        <f>Q25</f>
        <v>楼层</v>
      </c>
      <c r="AA25" s="1510">
        <f t="shared" si="3"/>
        <v>1</v>
      </c>
      <c r="AB25" s="1510">
        <f t="shared" si="4"/>
        <v>1</v>
      </c>
      <c r="AC25" s="1510">
        <f t="shared" si="5"/>
        <v>1</v>
      </c>
    </row>
    <row r="26" ht="15" spans="1:29">
      <c r="A26" s="1695"/>
      <c r="B26" s="1668">
        <v>111</v>
      </c>
      <c r="C26" s="1930">
        <v>111</v>
      </c>
      <c r="D26" s="1931">
        <v>100</v>
      </c>
      <c r="E26" s="1930"/>
      <c r="F26" s="1964">
        <f>SUMIF(82:82,E26,83:83)-SUMIF(82:82,C26,83:83)+100</f>
        <v>100</v>
      </c>
      <c r="G26" s="1930"/>
      <c r="H26" s="1934">
        <f>SUMIF(82:82,G26,83:83)-SUMIF(82:82,C26,83:83)+100</f>
        <v>100</v>
      </c>
      <c r="I26" s="1930"/>
      <c r="J26" s="1934">
        <f>SUMIF(82:82,I26,83:83)-SUMIF(82:82,C26,83:83)+100</f>
        <v>100</v>
      </c>
      <c r="K26" s="1536"/>
      <c r="L26" s="3410"/>
      <c r="M26" s="3395"/>
      <c r="N26" s="3395"/>
      <c r="O26" s="3408"/>
      <c r="P26" s="1517"/>
      <c r="Q26" s="1070">
        <f t="shared" ref="Q26:Q40" si="11">B26</f>
        <v>111</v>
      </c>
      <c r="R26" s="1507" t="s">
        <v>1142</v>
      </c>
      <c r="S26" s="1508">
        <f>F26</f>
        <v>100</v>
      </c>
      <c r="T26" s="1507" t="s">
        <v>1142</v>
      </c>
      <c r="U26" s="1508">
        <f>H26</f>
        <v>100</v>
      </c>
      <c r="V26" s="1507" t="s">
        <v>1142</v>
      </c>
      <c r="W26" s="1508">
        <f>J26</f>
        <v>100</v>
      </c>
      <c r="X26" s="1415"/>
      <c r="Y26" s="1518"/>
      <c r="Z26" s="1510">
        <f>Q26</f>
        <v>111</v>
      </c>
      <c r="AA26" s="1510">
        <f t="shared" si="3"/>
        <v>1</v>
      </c>
      <c r="AB26" s="1510">
        <f t="shared" si="4"/>
        <v>1</v>
      </c>
      <c r="AC26" s="1510">
        <f t="shared" si="5"/>
        <v>1</v>
      </c>
    </row>
    <row r="27" s="1371" customFormat="1" ht="15" spans="1:29">
      <c r="A27" s="1743"/>
      <c r="B27" s="1668">
        <v>111</v>
      </c>
      <c r="C27" s="1930">
        <v>111</v>
      </c>
      <c r="D27" s="2100">
        <v>100</v>
      </c>
      <c r="E27" s="1930"/>
      <c r="F27" s="1956">
        <f>SUMIF(84:84,E27,85:85)-SUMIF(84:84,C27,85:85)+100</f>
        <v>100</v>
      </c>
      <c r="G27" s="1930"/>
      <c r="H27" s="2028">
        <f>SUMIF(84:84,G27,85:85)-SUMIF(84:84,C27,85:85)+100</f>
        <v>100</v>
      </c>
      <c r="I27" s="1930"/>
      <c r="J27" s="2028">
        <f>SUMIF(84:84,I27,85:85)-SUMIF(84:84,C27,85:85)+100</f>
        <v>100</v>
      </c>
      <c r="K27" s="1536"/>
      <c r="L27" s="3398"/>
      <c r="M27" s="3399"/>
      <c r="N27" s="3399"/>
      <c r="O27" s="3401"/>
      <c r="P27" s="1517"/>
      <c r="Q27" s="1224">
        <f t="shared" si="11"/>
        <v>111</v>
      </c>
      <c r="R27" s="1457" t="s">
        <v>1142</v>
      </c>
      <c r="S27" s="1458">
        <f>F27</f>
        <v>100</v>
      </c>
      <c r="T27" s="1457" t="s">
        <v>1142</v>
      </c>
      <c r="U27" s="1458">
        <f>H27</f>
        <v>100</v>
      </c>
      <c r="V27" s="1457" t="s">
        <v>1142</v>
      </c>
      <c r="W27" s="1458">
        <f>J27</f>
        <v>100</v>
      </c>
      <c r="X27" s="1459"/>
      <c r="Y27" s="1518"/>
      <c r="Z27" s="1462">
        <f>Q27</f>
        <v>111</v>
      </c>
      <c r="AA27" s="1510">
        <f t="shared" si="3"/>
        <v>1</v>
      </c>
      <c r="AB27" s="1510">
        <f t="shared" si="4"/>
        <v>1</v>
      </c>
      <c r="AC27" s="1510">
        <f t="shared" si="5"/>
        <v>1</v>
      </c>
    </row>
    <row r="28" ht="15.75" spans="1:29">
      <c r="A28" s="2085"/>
      <c r="B28" s="1668">
        <v>111</v>
      </c>
      <c r="C28" s="1983">
        <v>111</v>
      </c>
      <c r="D28" s="1984">
        <v>100</v>
      </c>
      <c r="E28" s="1930"/>
      <c r="F28" s="1985">
        <f>SUMIF(86:86,E28,87:87)-SUMIF(86:86,C28,87:87)+100</f>
        <v>100</v>
      </c>
      <c r="G28" s="1928"/>
      <c r="H28" s="1933">
        <f>SUMIF(86:86,G28,87:87)-SUMIF(86:86,C28,87:87)+100</f>
        <v>100</v>
      </c>
      <c r="I28" s="1928"/>
      <c r="J28" s="1933">
        <f>SUMIF(86:86,I28,87:87)-SUMIF(86:86,C28,87:87)+100</f>
        <v>100</v>
      </c>
      <c r="K28" s="1536"/>
      <c r="L28" s="3410"/>
      <c r="M28" s="3395"/>
      <c r="N28" s="3395"/>
      <c r="O28" s="3408"/>
      <c r="P28" s="1517"/>
      <c r="Q28" s="1070">
        <f t="shared" si="11"/>
        <v>111</v>
      </c>
      <c r="R28" s="1507" t="s">
        <v>1142</v>
      </c>
      <c r="S28" s="1508">
        <f t="shared" ref="S28:S40" si="12">F28</f>
        <v>100</v>
      </c>
      <c r="T28" s="1507" t="s">
        <v>1142</v>
      </c>
      <c r="U28" s="1508">
        <f t="shared" ref="U28:U40" si="13">H28</f>
        <v>100</v>
      </c>
      <c r="V28" s="1507" t="s">
        <v>1142</v>
      </c>
      <c r="W28" s="1508">
        <f t="shared" ref="W28:W40" si="14">J28</f>
        <v>100</v>
      </c>
      <c r="X28" s="1415"/>
      <c r="Y28" s="1518"/>
      <c r="Z28" s="1510">
        <f t="shared" ref="Z28:Z40" si="15">Q28</f>
        <v>111</v>
      </c>
      <c r="AA28" s="1510">
        <f t="shared" si="3"/>
        <v>1</v>
      </c>
      <c r="AB28" s="1510">
        <f t="shared" si="4"/>
        <v>1</v>
      </c>
      <c r="AC28" s="1510">
        <f t="shared" si="5"/>
        <v>1</v>
      </c>
    </row>
    <row r="29" ht="28.5" spans="1:29">
      <c r="A29" s="1968" t="s">
        <v>1166</v>
      </c>
      <c r="B29" s="1916" t="s">
        <v>1167</v>
      </c>
      <c r="C29" s="1969" t="s">
        <v>1168</v>
      </c>
      <c r="D29" s="1970">
        <v>100</v>
      </c>
      <c r="E29" s="1969" t="s">
        <v>1168</v>
      </c>
      <c r="F29" s="1964">
        <f>SUMIF(88:88,E29,89:89)-SUMIF(88:88,C29,89:89)+100</f>
        <v>100</v>
      </c>
      <c r="G29" s="1969" t="s">
        <v>1168</v>
      </c>
      <c r="H29" s="1934">
        <f>SUMIF(88:88,G29,89:89)-SUMIF(88:88,C29,89:89)+100</f>
        <v>100</v>
      </c>
      <c r="I29" s="1969" t="s">
        <v>1168</v>
      </c>
      <c r="J29" s="1887">
        <f>SUMIF(88:88,I29,89:89)-SUMIF(88:88,C29,89:89)+100</f>
        <v>100</v>
      </c>
      <c r="K29" s="1539">
        <v>2</v>
      </c>
      <c r="L29" s="3410"/>
      <c r="M29" s="3395"/>
      <c r="N29" s="3395"/>
      <c r="O29" s="3408"/>
      <c r="P29" s="1544" t="s">
        <v>1169</v>
      </c>
      <c r="Q29" s="1070" t="str">
        <f t="shared" si="11"/>
        <v>建筑类型</v>
      </c>
      <c r="R29" s="1507" t="s">
        <v>1142</v>
      </c>
      <c r="S29" s="1508">
        <f t="shared" si="12"/>
        <v>100</v>
      </c>
      <c r="T29" s="1507" t="s">
        <v>1142</v>
      </c>
      <c r="U29" s="1508">
        <f t="shared" si="13"/>
        <v>100</v>
      </c>
      <c r="V29" s="1507" t="s">
        <v>1142</v>
      </c>
      <c r="W29" s="1508">
        <f t="shared" si="14"/>
        <v>100</v>
      </c>
      <c r="X29" s="1415"/>
      <c r="Y29" s="1545" t="s">
        <v>1169</v>
      </c>
      <c r="Z29" s="1510" t="str">
        <f t="shared" si="15"/>
        <v>建筑类型</v>
      </c>
      <c r="AA29" s="1510">
        <f t="shared" si="3"/>
        <v>1</v>
      </c>
      <c r="AB29" s="1510">
        <f t="shared" si="4"/>
        <v>1</v>
      </c>
      <c r="AC29" s="1510">
        <f t="shared" si="5"/>
        <v>1</v>
      </c>
    </row>
    <row r="30" s="1373" customFormat="1" ht="15" spans="1:29">
      <c r="A30" s="1764"/>
      <c r="B30" s="1922" t="s">
        <v>1170</v>
      </c>
      <c r="C30" s="1928">
        <f>清单!G6</f>
        <v>2513.84</v>
      </c>
      <c r="D30" s="1924">
        <v>100</v>
      </c>
      <c r="E30" s="2083">
        <v>2094.54</v>
      </c>
      <c r="F30" s="1922">
        <f>LOOKUP(E30,91:91,92:92)-LOOKUP(C30,91:91,92:92)+100</f>
        <v>100</v>
      </c>
      <c r="G30" s="2082">
        <v>2200</v>
      </c>
      <c r="H30" s="1925">
        <f>LOOKUP(G30,91:91,92:92)-LOOKUP(C30,91:91,92:92)+100</f>
        <v>100</v>
      </c>
      <c r="I30" s="2082">
        <v>2220</v>
      </c>
      <c r="J30" s="1925">
        <f>LOOKUP(I30,91:91,92:92)-LOOKUP(C30,91:91,92:92)+100</f>
        <v>100</v>
      </c>
      <c r="K30" s="1536"/>
      <c r="L30" s="3407"/>
      <c r="M30" s="3413"/>
      <c r="N30" s="3413"/>
      <c r="O30" s="3414"/>
      <c r="P30" s="1553"/>
      <c r="Q30" s="2105" t="str">
        <f t="shared" si="11"/>
        <v>项目建筑规模</v>
      </c>
      <c r="R30" s="1554" t="s">
        <v>1142</v>
      </c>
      <c r="S30" s="1555">
        <f t="shared" si="12"/>
        <v>100</v>
      </c>
      <c r="T30" s="1554" t="s">
        <v>1142</v>
      </c>
      <c r="U30" s="1555">
        <f t="shared" si="13"/>
        <v>100</v>
      </c>
      <c r="V30" s="1554" t="s">
        <v>1142</v>
      </c>
      <c r="W30" s="1555">
        <f t="shared" si="14"/>
        <v>100</v>
      </c>
      <c r="X30" s="1556"/>
      <c r="Y30" s="1545"/>
      <c r="Z30" s="1557" t="str">
        <f t="shared" si="15"/>
        <v>项目建筑规模</v>
      </c>
      <c r="AA30" s="1510">
        <f t="shared" si="3"/>
        <v>1</v>
      </c>
      <c r="AB30" s="1510">
        <f t="shared" si="4"/>
        <v>1</v>
      </c>
      <c r="AC30" s="1510">
        <f t="shared" si="5"/>
        <v>1</v>
      </c>
    </row>
    <row r="31" ht="15" spans="1:29">
      <c r="A31" s="1773"/>
      <c r="B31" s="1922" t="s">
        <v>1171</v>
      </c>
      <c r="C31" s="1978" t="s">
        <v>1172</v>
      </c>
      <c r="D31" s="1931">
        <v>100</v>
      </c>
      <c r="E31" s="1978" t="s">
        <v>1172</v>
      </c>
      <c r="F31" s="1964">
        <f>SUMIF(93:93,E31,94:94)-SUMIF(93:93,C31,94:94)+100</f>
        <v>100</v>
      </c>
      <c r="G31" s="1978" t="s">
        <v>1172</v>
      </c>
      <c r="H31" s="1934">
        <f>SUMIF(93:93,G31,94:94)-SUMIF(93:93,C31,94:94)+100</f>
        <v>100</v>
      </c>
      <c r="I31" s="1978" t="s">
        <v>1172</v>
      </c>
      <c r="J31" s="1934">
        <f>SUMIF(93:93,I31,94:94)-SUMIF(93:93,C31,94:94)+100</f>
        <v>100</v>
      </c>
      <c r="K31" s="1539">
        <v>2</v>
      </c>
      <c r="L31" s="3410"/>
      <c r="M31" s="3395"/>
      <c r="N31" s="3395"/>
      <c r="O31" s="3408"/>
      <c r="P31" s="1553"/>
      <c r="Q31" s="1070" t="str">
        <f t="shared" si="11"/>
        <v>建筑结构</v>
      </c>
      <c r="R31" s="1507" t="s">
        <v>1142</v>
      </c>
      <c r="S31" s="1508">
        <f t="shared" si="12"/>
        <v>100</v>
      </c>
      <c r="T31" s="1507" t="s">
        <v>1142</v>
      </c>
      <c r="U31" s="1508">
        <f t="shared" si="13"/>
        <v>100</v>
      </c>
      <c r="V31" s="1507" t="s">
        <v>1142</v>
      </c>
      <c r="W31" s="1508">
        <f t="shared" si="14"/>
        <v>100</v>
      </c>
      <c r="X31" s="1415"/>
      <c r="Y31" s="1545"/>
      <c r="Z31" s="1510" t="str">
        <f t="shared" si="15"/>
        <v>建筑结构</v>
      </c>
      <c r="AA31" s="1510">
        <f t="shared" si="3"/>
        <v>1</v>
      </c>
      <c r="AB31" s="1510">
        <f t="shared" si="4"/>
        <v>1</v>
      </c>
      <c r="AC31" s="1510">
        <f t="shared" si="5"/>
        <v>1</v>
      </c>
    </row>
    <row r="32" ht="15" spans="1:29">
      <c r="A32" s="1773"/>
      <c r="B32" s="1922" t="s">
        <v>1173</v>
      </c>
      <c r="C32" s="1978" t="s">
        <v>1174</v>
      </c>
      <c r="D32" s="1931">
        <v>100</v>
      </c>
      <c r="E32" s="1978" t="s">
        <v>1174</v>
      </c>
      <c r="F32" s="1964">
        <f>SUMIF(95:95,E32,96:96)-SUMIF(95:95,C32,96:96)+100</f>
        <v>100</v>
      </c>
      <c r="G32" s="1978" t="s">
        <v>1174</v>
      </c>
      <c r="H32" s="1934">
        <f>SUMIF(95:95,G32,96:96)-SUMIF(95:95,C32,96:96)+100</f>
        <v>100</v>
      </c>
      <c r="I32" s="1978" t="s">
        <v>1174</v>
      </c>
      <c r="J32" s="1934">
        <f>SUMIF(95:95,I32,96:96)-SUMIF(95:95,C32,96:96)+100</f>
        <v>100</v>
      </c>
      <c r="K32" s="1539">
        <v>2</v>
      </c>
      <c r="L32" s="3410"/>
      <c r="M32" s="3395"/>
      <c r="N32" s="3395"/>
      <c r="O32" s="3408"/>
      <c r="P32" s="1553"/>
      <c r="Q32" s="1070" t="str">
        <f t="shared" si="11"/>
        <v>公共部分装修</v>
      </c>
      <c r="R32" s="1507" t="s">
        <v>1142</v>
      </c>
      <c r="S32" s="1508">
        <f t="shared" si="12"/>
        <v>100</v>
      </c>
      <c r="T32" s="1507" t="s">
        <v>1142</v>
      </c>
      <c r="U32" s="1508">
        <f t="shared" si="13"/>
        <v>100</v>
      </c>
      <c r="V32" s="1507" t="s">
        <v>1142</v>
      </c>
      <c r="W32" s="1508">
        <f t="shared" si="14"/>
        <v>100</v>
      </c>
      <c r="X32" s="1415"/>
      <c r="Y32" s="1545"/>
      <c r="Z32" s="1510" t="str">
        <f t="shared" si="15"/>
        <v>公共部分装修</v>
      </c>
      <c r="AA32" s="1510">
        <f t="shared" si="3"/>
        <v>1</v>
      </c>
      <c r="AB32" s="1510">
        <f t="shared" si="4"/>
        <v>1</v>
      </c>
      <c r="AC32" s="1510">
        <f t="shared" si="5"/>
        <v>1</v>
      </c>
    </row>
    <row r="33" ht="15" spans="1:29">
      <c r="A33" s="1773"/>
      <c r="B33" s="1922" t="s">
        <v>716</v>
      </c>
      <c r="C33" s="1972">
        <v>0.8</v>
      </c>
      <c r="D33" s="1931">
        <v>100</v>
      </c>
      <c r="E33" s="1972">
        <v>0.8</v>
      </c>
      <c r="F33" s="1964">
        <f>LOOKUP(E33,98:98,99:99)-LOOKUP(C33,98:98,99:99)+100</f>
        <v>100</v>
      </c>
      <c r="G33" s="1972">
        <v>0.8</v>
      </c>
      <c r="H33" s="1964">
        <f>LOOKUP(G33,98:98,99:99)-LOOKUP(C33,98:98,99:99)+100</f>
        <v>100</v>
      </c>
      <c r="I33" s="1972">
        <v>0.8</v>
      </c>
      <c r="J33" s="1934">
        <f>LOOKUP(I33,98:98,99:99)-LOOKUP(C33,98:98,99:99)+100</f>
        <v>100</v>
      </c>
      <c r="K33" s="1539">
        <v>2</v>
      </c>
      <c r="L33" s="3410"/>
      <c r="M33" s="3395"/>
      <c r="N33" s="3395"/>
      <c r="O33" s="3408"/>
      <c r="P33" s="1553"/>
      <c r="Q33" s="1070" t="str">
        <f t="shared" si="11"/>
        <v>成新度</v>
      </c>
      <c r="R33" s="1507" t="s">
        <v>1142</v>
      </c>
      <c r="S33" s="1508">
        <f t="shared" si="12"/>
        <v>100</v>
      </c>
      <c r="T33" s="1507" t="s">
        <v>1142</v>
      </c>
      <c r="U33" s="1508">
        <f t="shared" si="13"/>
        <v>100</v>
      </c>
      <c r="V33" s="1507" t="s">
        <v>1142</v>
      </c>
      <c r="W33" s="1508">
        <f t="shared" si="14"/>
        <v>100</v>
      </c>
      <c r="X33" s="1415"/>
      <c r="Y33" s="1545"/>
      <c r="Z33" s="1510" t="str">
        <f t="shared" si="15"/>
        <v>成新度</v>
      </c>
      <c r="AA33" s="1510">
        <f t="shared" si="3"/>
        <v>1</v>
      </c>
      <c r="AB33" s="1510">
        <f t="shared" si="4"/>
        <v>1</v>
      </c>
      <c r="AC33" s="1510">
        <f t="shared" si="5"/>
        <v>1</v>
      </c>
    </row>
    <row r="34" s="1371" customFormat="1" ht="15" spans="1:29">
      <c r="A34" s="1980"/>
      <c r="B34" s="1922" t="s">
        <v>1175</v>
      </c>
      <c r="C34" s="1978"/>
      <c r="D34" s="1924">
        <v>100</v>
      </c>
      <c r="E34" s="1978"/>
      <c r="F34" s="1964">
        <f>SUMIF(100:100,E34,101:101)-SUMIF(100:100,C34,101:101)+100</f>
        <v>100</v>
      </c>
      <c r="G34" s="1978"/>
      <c r="H34" s="1934">
        <f>SUMIF(100:100,G34,101:101)-SUMIF(100:100,C34,101:101)+100</f>
        <v>100</v>
      </c>
      <c r="I34" s="1978"/>
      <c r="J34" s="1934">
        <f>SUMIF(100:100,I34,101:101)-SUMIF(100:100,C34,101:101)+100</f>
        <v>100</v>
      </c>
      <c r="K34" s="1539"/>
      <c r="L34" s="3398"/>
      <c r="M34" s="3399"/>
      <c r="N34" s="3399"/>
      <c r="O34" s="3401"/>
      <c r="P34" s="1553"/>
      <c r="Q34" s="1224" t="str">
        <f t="shared" si="11"/>
        <v>物业管理</v>
      </c>
      <c r="R34" s="1457" t="s">
        <v>1142</v>
      </c>
      <c r="S34" s="1458">
        <f t="shared" si="12"/>
        <v>100</v>
      </c>
      <c r="T34" s="1457" t="s">
        <v>1142</v>
      </c>
      <c r="U34" s="1458">
        <f t="shared" si="13"/>
        <v>100</v>
      </c>
      <c r="V34" s="1457" t="s">
        <v>1142</v>
      </c>
      <c r="W34" s="1458">
        <f t="shared" si="14"/>
        <v>100</v>
      </c>
      <c r="X34" s="1459"/>
      <c r="Y34" s="1545"/>
      <c r="Z34" s="1462" t="str">
        <f t="shared" si="15"/>
        <v>物业管理</v>
      </c>
      <c r="AA34" s="1462">
        <f t="shared" si="3"/>
        <v>1</v>
      </c>
      <c r="AB34" s="1462">
        <f t="shared" si="4"/>
        <v>1</v>
      </c>
      <c r="AC34" s="1462">
        <f t="shared" si="5"/>
        <v>1</v>
      </c>
    </row>
    <row r="35" ht="15" spans="1:29">
      <c r="A35" s="1773"/>
      <c r="B35" s="1922" t="s">
        <v>1176</v>
      </c>
      <c r="C35" s="1978"/>
      <c r="D35" s="1931">
        <v>100</v>
      </c>
      <c r="E35" s="1978"/>
      <c r="F35" s="1964">
        <f>SUMIF(102:102,E35,103:103)-SUMIF(102:102,C35,103:103)+100</f>
        <v>100</v>
      </c>
      <c r="G35" s="1978"/>
      <c r="H35" s="1934">
        <f>SUMIF(102:102,G35,103:103)-SUMIF(102:102,C35,103:103)+100</f>
        <v>100</v>
      </c>
      <c r="I35" s="1978"/>
      <c r="J35" s="1934">
        <f>SUMIF(102:102,I35,103:103)-SUMIF(102:102,C35,103:103)+100</f>
        <v>100</v>
      </c>
      <c r="K35" s="1539"/>
      <c r="L35" s="3410"/>
      <c r="M35" s="3395"/>
      <c r="N35" s="3395"/>
      <c r="O35" s="3408"/>
      <c r="P35" s="1553" t="s">
        <v>1169</v>
      </c>
      <c r="Q35" s="1070" t="str">
        <f t="shared" si="11"/>
        <v>市政基础设施</v>
      </c>
      <c r="R35" s="1507" t="s">
        <v>1142</v>
      </c>
      <c r="S35" s="1508">
        <f t="shared" si="12"/>
        <v>100</v>
      </c>
      <c r="T35" s="1507" t="s">
        <v>1142</v>
      </c>
      <c r="U35" s="1508">
        <f t="shared" si="13"/>
        <v>100</v>
      </c>
      <c r="V35" s="1507" t="s">
        <v>1142</v>
      </c>
      <c r="W35" s="1508">
        <f t="shared" si="14"/>
        <v>100</v>
      </c>
      <c r="X35" s="1415"/>
      <c r="Y35" s="1545" t="s">
        <v>1169</v>
      </c>
      <c r="Z35" s="1510" t="str">
        <f t="shared" si="15"/>
        <v>市政基础设施</v>
      </c>
      <c r="AA35" s="1510">
        <f t="shared" si="3"/>
        <v>1</v>
      </c>
      <c r="AB35" s="1510">
        <f t="shared" si="4"/>
        <v>1</v>
      </c>
      <c r="AC35" s="1510">
        <f t="shared" si="5"/>
        <v>1</v>
      </c>
    </row>
    <row r="36" ht="15" spans="1:29">
      <c r="A36" s="1773"/>
      <c r="B36" s="1922" t="s">
        <v>1177</v>
      </c>
      <c r="C36" s="1978" t="s">
        <v>1178</v>
      </c>
      <c r="D36" s="1931">
        <v>100</v>
      </c>
      <c r="E36" s="1978" t="s">
        <v>1179</v>
      </c>
      <c r="F36" s="1964">
        <f>SUMIF(104:104,E36,105:105)-SUMIF(104:104,C36,105:105)+100</f>
        <v>104</v>
      </c>
      <c r="G36" s="1978" t="s">
        <v>1179</v>
      </c>
      <c r="H36" s="1934">
        <f>SUMIF(104:104,G36,105:105)-SUMIF(104:104,C36,105:105)+100</f>
        <v>104</v>
      </c>
      <c r="I36" s="1978" t="s">
        <v>1179</v>
      </c>
      <c r="J36" s="1934">
        <f>SUMIF(104:104,I36,105:105)-SUMIF(104:104,C36,105:105)+100</f>
        <v>104</v>
      </c>
      <c r="K36" s="1539">
        <v>2</v>
      </c>
      <c r="L36" s="3410"/>
      <c r="M36" s="3395"/>
      <c r="N36" s="3395"/>
      <c r="O36" s="3408"/>
      <c r="P36" s="1553"/>
      <c r="Q36" s="1070" t="str">
        <f t="shared" si="11"/>
        <v>内部装修</v>
      </c>
      <c r="R36" s="1507" t="s">
        <v>1142</v>
      </c>
      <c r="S36" s="1508">
        <f t="shared" si="12"/>
        <v>104</v>
      </c>
      <c r="T36" s="1507" t="s">
        <v>1142</v>
      </c>
      <c r="U36" s="1508">
        <f t="shared" si="13"/>
        <v>104</v>
      </c>
      <c r="V36" s="1507" t="s">
        <v>1142</v>
      </c>
      <c r="W36" s="1508">
        <f t="shared" si="14"/>
        <v>104</v>
      </c>
      <c r="X36" s="1415"/>
      <c r="Y36" s="1545"/>
      <c r="Z36" s="1510" t="str">
        <f t="shared" si="15"/>
        <v>内部装修</v>
      </c>
      <c r="AA36" s="1510">
        <f t="shared" si="3"/>
        <v>0.961538461538462</v>
      </c>
      <c r="AB36" s="1510">
        <f t="shared" si="4"/>
        <v>0.961538461538462</v>
      </c>
      <c r="AC36" s="1510">
        <f t="shared" si="5"/>
        <v>0.961538461538462</v>
      </c>
    </row>
    <row r="37" ht="15" spans="1:29">
      <c r="A37" s="1773"/>
      <c r="B37" s="1922" t="s">
        <v>1180</v>
      </c>
      <c r="C37" s="1963" t="s">
        <v>1158</v>
      </c>
      <c r="D37" s="1931">
        <v>100</v>
      </c>
      <c r="E37" s="1963" t="s">
        <v>1158</v>
      </c>
      <c r="F37" s="1964">
        <f>SUMIF(106:106,E37,107:107)-SUMIF(106:106,C37,107:107)+100</f>
        <v>100</v>
      </c>
      <c r="G37" s="1963" t="s">
        <v>1158</v>
      </c>
      <c r="H37" s="1934">
        <f>SUMIF(106:106,G37,107:107)-SUMIF(106:106,C37,107:107)+100</f>
        <v>100</v>
      </c>
      <c r="I37" s="1963" t="s">
        <v>1158</v>
      </c>
      <c r="J37" s="1934">
        <f>SUMIF(106:106,I37,107:107)-SUMIF(106:106,C37,107:107)+100</f>
        <v>100</v>
      </c>
      <c r="K37" s="1539">
        <v>2</v>
      </c>
      <c r="L37" s="3410"/>
      <c r="M37" s="3395"/>
      <c r="N37" s="3395"/>
      <c r="O37" s="3408"/>
      <c r="P37" s="1553"/>
      <c r="Q37" s="1070" t="str">
        <f t="shared" si="11"/>
        <v>内部装修状况</v>
      </c>
      <c r="R37" s="1507" t="s">
        <v>1142</v>
      </c>
      <c r="S37" s="1508">
        <f t="shared" si="12"/>
        <v>100</v>
      </c>
      <c r="T37" s="1507" t="s">
        <v>1142</v>
      </c>
      <c r="U37" s="1508">
        <f t="shared" si="13"/>
        <v>100</v>
      </c>
      <c r="V37" s="1507" t="s">
        <v>1142</v>
      </c>
      <c r="W37" s="1508">
        <f t="shared" si="14"/>
        <v>100</v>
      </c>
      <c r="X37" s="1415"/>
      <c r="Y37" s="1545"/>
      <c r="Z37" s="1510" t="str">
        <f t="shared" si="15"/>
        <v>内部装修状况</v>
      </c>
      <c r="AA37" s="1510">
        <f t="shared" si="3"/>
        <v>1</v>
      </c>
      <c r="AB37" s="1510">
        <f t="shared" si="4"/>
        <v>1</v>
      </c>
      <c r="AC37" s="1510">
        <f t="shared" si="5"/>
        <v>1</v>
      </c>
    </row>
    <row r="38" s="1373" customFormat="1" ht="15" spans="1:29">
      <c r="A38" s="1764"/>
      <c r="B38" s="3411" t="s">
        <v>1181</v>
      </c>
      <c r="C38" s="3415" t="s">
        <v>1182</v>
      </c>
      <c r="D38" s="1931">
        <v>100</v>
      </c>
      <c r="E38" s="1930" t="s">
        <v>1183</v>
      </c>
      <c r="F38" s="1964">
        <f>SUMIF(108:108,E38,109:109)-SUMIF(108:108,C38,109:109)+100</f>
        <v>95</v>
      </c>
      <c r="G38" s="3415" t="s">
        <v>1184</v>
      </c>
      <c r="H38" s="1934">
        <f>SUMIF(108:108,G38,109:109)-SUMIF(108:108,C38,109:109)+100</f>
        <v>95</v>
      </c>
      <c r="I38" s="3415" t="s">
        <v>1182</v>
      </c>
      <c r="J38" s="1934">
        <f>SUMIF(108:108,I38,109:1038)-SUMIF(108:108,C38,109:109)+100</f>
        <v>100</v>
      </c>
      <c r="K38" s="1536"/>
      <c r="L38" s="3407"/>
      <c r="M38" s="3413"/>
      <c r="N38" s="3413"/>
      <c r="O38" s="3414"/>
      <c r="P38" s="1553"/>
      <c r="Q38" s="2105" t="str">
        <f t="shared" si="11"/>
        <v>地下面积占比</v>
      </c>
      <c r="R38" s="1554" t="s">
        <v>1142</v>
      </c>
      <c r="S38" s="1555">
        <f t="shared" si="12"/>
        <v>95</v>
      </c>
      <c r="T38" s="1554" t="s">
        <v>1142</v>
      </c>
      <c r="U38" s="1555">
        <f t="shared" si="13"/>
        <v>95</v>
      </c>
      <c r="V38" s="1554" t="s">
        <v>1142</v>
      </c>
      <c r="W38" s="1555">
        <f t="shared" si="14"/>
        <v>100</v>
      </c>
      <c r="X38" s="1556"/>
      <c r="Y38" s="1545"/>
      <c r="Z38" s="1557" t="str">
        <f t="shared" si="15"/>
        <v>地下面积占比</v>
      </c>
      <c r="AA38" s="1510">
        <f t="shared" si="3"/>
        <v>1.05263157894737</v>
      </c>
      <c r="AB38" s="1510">
        <f t="shared" si="4"/>
        <v>1.05263157894737</v>
      </c>
      <c r="AC38" s="1510">
        <f t="shared" si="5"/>
        <v>1</v>
      </c>
    </row>
    <row r="39" ht="15" spans="1:29">
      <c r="A39" s="1773"/>
      <c r="B39" s="1668">
        <v>111</v>
      </c>
      <c r="C39" s="1928"/>
      <c r="D39" s="1931">
        <v>100</v>
      </c>
      <c r="E39" s="1930"/>
      <c r="F39" s="1964">
        <f>SUMIF(110:110,E39,111:111)-SUMIF(110:110,C39,111:111)+100</f>
        <v>100</v>
      </c>
      <c r="G39" s="1928"/>
      <c r="H39" s="1934">
        <f>SUMIF(110:110,G39,111:111)-SUMIF(110:110,C39,111:111)+100</f>
        <v>100</v>
      </c>
      <c r="I39" s="1928"/>
      <c r="J39" s="1934">
        <f>SUMIF(110:110,I39,111:111)-SUMIF(110:110,C39,111:111)+100</f>
        <v>100</v>
      </c>
      <c r="K39" s="1536"/>
      <c r="L39" s="3410"/>
      <c r="M39" s="3395"/>
      <c r="N39" s="3395"/>
      <c r="O39" s="3408"/>
      <c r="P39" s="1553"/>
      <c r="Q39" s="1070">
        <f t="shared" si="11"/>
        <v>111</v>
      </c>
      <c r="R39" s="1507" t="s">
        <v>1142</v>
      </c>
      <c r="S39" s="1508">
        <f t="shared" si="12"/>
        <v>100</v>
      </c>
      <c r="T39" s="1507" t="s">
        <v>1142</v>
      </c>
      <c r="U39" s="1508">
        <f t="shared" si="13"/>
        <v>100</v>
      </c>
      <c r="V39" s="1507" t="s">
        <v>1142</v>
      </c>
      <c r="W39" s="1508">
        <f t="shared" si="14"/>
        <v>100</v>
      </c>
      <c r="X39" s="1415"/>
      <c r="Y39" s="1545"/>
      <c r="Z39" s="1510">
        <f t="shared" si="15"/>
        <v>111</v>
      </c>
      <c r="AA39" s="1510">
        <f t="shared" si="3"/>
        <v>1</v>
      </c>
      <c r="AB39" s="1510">
        <f t="shared" si="4"/>
        <v>1</v>
      </c>
      <c r="AC39" s="1510">
        <f t="shared" si="5"/>
        <v>1</v>
      </c>
    </row>
    <row r="40" ht="15.75" spans="1:29">
      <c r="A40" s="1981"/>
      <c r="B40" s="1982">
        <v>111</v>
      </c>
      <c r="C40" s="1983"/>
      <c r="D40" s="1984">
        <v>100</v>
      </c>
      <c r="E40" s="1930"/>
      <c r="F40" s="1985">
        <f>SUMIF(112:112,E40,113:113)-SUMIF(112:112,C40,113:113)+100</f>
        <v>100</v>
      </c>
      <c r="G40" s="1928"/>
      <c r="H40" s="1933">
        <f>SUMIF(112:112,G40,113:113)-SUMIF(112:112,C40,113:113)+100</f>
        <v>100</v>
      </c>
      <c r="I40" s="1928"/>
      <c r="J40" s="1933">
        <f>SUMIF(112:112,I40,113:113)-SUMIF(112:112,C40,113:113)+100</f>
        <v>100</v>
      </c>
      <c r="K40" s="1536"/>
      <c r="L40" s="3410"/>
      <c r="M40" s="3395"/>
      <c r="N40" s="3395"/>
      <c r="O40" s="3408"/>
      <c r="P40" s="3416"/>
      <c r="Q40" s="1070">
        <f t="shared" si="11"/>
        <v>111</v>
      </c>
      <c r="R40" s="1507" t="s">
        <v>1142</v>
      </c>
      <c r="S40" s="1508">
        <f t="shared" si="12"/>
        <v>100</v>
      </c>
      <c r="T40" s="1507" t="s">
        <v>1142</v>
      </c>
      <c r="U40" s="1508">
        <f t="shared" si="13"/>
        <v>100</v>
      </c>
      <c r="V40" s="1507" t="s">
        <v>1142</v>
      </c>
      <c r="W40" s="1508">
        <f t="shared" si="14"/>
        <v>100</v>
      </c>
      <c r="X40" s="1415"/>
      <c r="Y40" s="2110"/>
      <c r="Z40" s="1510">
        <f t="shared" si="15"/>
        <v>111</v>
      </c>
      <c r="AA40" s="1510">
        <f t="shared" si="3"/>
        <v>1</v>
      </c>
      <c r="AB40" s="1510">
        <f t="shared" si="4"/>
        <v>1</v>
      </c>
      <c r="AC40" s="1510">
        <f t="shared" si="5"/>
        <v>1</v>
      </c>
    </row>
    <row r="41" ht="15" spans="1:29">
      <c r="A41" s="1571" t="s">
        <v>1185</v>
      </c>
      <c r="B41" s="1986"/>
      <c r="C41" s="1987" t="s">
        <v>124</v>
      </c>
      <c r="D41" s="1817"/>
      <c r="E41" s="1575">
        <v>15000</v>
      </c>
      <c r="F41" s="1576"/>
      <c r="G41" s="1577">
        <v>15000</v>
      </c>
      <c r="H41" s="1578"/>
      <c r="I41" s="1575">
        <v>14505</v>
      </c>
      <c r="J41" s="1578"/>
      <c r="K41" s="1579"/>
      <c r="L41" s="3417"/>
      <c r="M41" s="1646"/>
      <c r="N41" s="3395"/>
      <c r="O41" s="1646"/>
      <c r="P41" s="1070" t="str">
        <f>A41</f>
        <v>成交单价（元/平方米）</v>
      </c>
      <c r="Q41" s="1070"/>
      <c r="R41" s="1582">
        <f>E41</f>
        <v>15000</v>
      </c>
      <c r="S41" s="1582"/>
      <c r="T41" s="1582">
        <f>G41</f>
        <v>15000</v>
      </c>
      <c r="U41" s="1582"/>
      <c r="V41" s="1582">
        <f>I41</f>
        <v>14505</v>
      </c>
      <c r="W41" s="1582"/>
      <c r="X41" s="1583"/>
      <c r="Y41" s="1584"/>
      <c r="Z41" s="1583"/>
      <c r="AA41" s="1583"/>
      <c r="AB41" s="1583"/>
      <c r="AC41" s="1583"/>
    </row>
    <row r="42" ht="15.75" spans="1:29">
      <c r="A42" s="1585" t="s">
        <v>1186</v>
      </c>
      <c r="B42" s="1988"/>
      <c r="C42" s="1590">
        <f>R43</f>
        <v>13895</v>
      </c>
      <c r="D42" s="1818" t="s">
        <v>1187</v>
      </c>
      <c r="E42" s="2208">
        <f>R42</f>
        <v>14459</v>
      </c>
      <c r="F42" s="1589"/>
      <c r="G42" s="2209">
        <f>T42</f>
        <v>14325</v>
      </c>
      <c r="H42" s="1589"/>
      <c r="I42" s="2208">
        <f>V42</f>
        <v>12901</v>
      </c>
      <c r="J42" s="1589"/>
      <c r="K42" s="1591">
        <f>F42+H42+J42</f>
        <v>0</v>
      </c>
      <c r="L42" s="3417"/>
      <c r="M42" s="1646"/>
      <c r="N42" s="3395"/>
      <c r="O42" s="1646"/>
      <c r="P42" s="1070" t="str">
        <f>A42</f>
        <v>比较价值（元/平方米）</v>
      </c>
      <c r="Q42" s="1070"/>
      <c r="R42" s="1582">
        <f>IF(F1="售价",ROUND(PRODUCT(R41,AA7:AA40),0),ROUND(PRODUCT(R41,AA7:AA40),1))</f>
        <v>14459</v>
      </c>
      <c r="S42" s="1582"/>
      <c r="T42" s="1582">
        <f>IF(F1="售价",ROUND(PRODUCT(T41,AB7:AB40),0),ROUND(PRODUCT(T41,AB7:AB40),1))</f>
        <v>14325</v>
      </c>
      <c r="U42" s="1582"/>
      <c r="V42" s="1582">
        <f>IF(F1="售价",ROUND(PRODUCT(V41,AC7:AC40),0),ROUND(PRODUCT(V41,AC7:AC40),1))</f>
        <v>12901</v>
      </c>
      <c r="W42" s="1582"/>
      <c r="X42" s="1583"/>
      <c r="Y42" s="1583"/>
      <c r="Z42" s="1583"/>
      <c r="AA42" s="1583"/>
      <c r="AB42" s="1583"/>
      <c r="AC42" s="1583"/>
    </row>
    <row r="43" ht="15.75" spans="1:29">
      <c r="A43" s="1592" t="s">
        <v>1188</v>
      </c>
      <c r="B43" s="1593"/>
      <c r="C43" s="1594">
        <f>R43</f>
        <v>13895</v>
      </c>
      <c r="D43" s="1787"/>
      <c r="E43" s="1787"/>
      <c r="F43" s="1787"/>
      <c r="G43" s="1787"/>
      <c r="H43" s="1787"/>
      <c r="I43" s="1787"/>
      <c r="J43" s="1787"/>
      <c r="K43" s="1989"/>
      <c r="L43" s="3417"/>
      <c r="M43" s="1646"/>
      <c r="N43" s="1646"/>
      <c r="O43" s="1646"/>
      <c r="P43" s="1597" t="str">
        <f>A43</f>
        <v>估价对象XX用房的比较价值（楼面单价，元/平方米）</v>
      </c>
      <c r="Q43" s="1598"/>
      <c r="R43" s="1599">
        <f>IF(F1="售价",ROUND(IF(D42="简单平均",AVERAGE(R42:V42),R42*F42+T42*H42+V42*J42),0),ROUND(IF(D42="简单平均",AVERAGE(R42:V42),R42*F42+T42*H42+V42*J42),1))</f>
        <v>13895</v>
      </c>
      <c r="S43" s="1599"/>
      <c r="T43" s="1599"/>
      <c r="U43" s="1599"/>
      <c r="V43" s="1599"/>
      <c r="W43" s="1599"/>
      <c r="X43" s="1583"/>
      <c r="Y43" s="1583"/>
      <c r="Z43" s="1583"/>
      <c r="AA43" s="1583"/>
      <c r="AB43" s="1583"/>
      <c r="AC43" s="1583"/>
    </row>
    <row r="44" spans="1:29">
      <c r="A44" s="1581"/>
      <c r="B44" s="1581"/>
      <c r="C44" s="1581"/>
      <c r="D44" s="1581"/>
      <c r="E44" s="1581"/>
      <c r="F44" s="1581"/>
      <c r="G44" s="1600"/>
      <c r="H44" s="1581"/>
      <c r="I44" s="1581"/>
      <c r="J44" s="1581"/>
      <c r="K44" s="1601"/>
      <c r="L44" s="1650"/>
      <c r="M44" s="1646"/>
      <c r="N44" s="1646"/>
      <c r="O44" s="1646"/>
    </row>
    <row r="45" spans="1:29">
      <c r="A45" s="1581"/>
      <c r="B45" s="1581"/>
      <c r="C45" s="1581"/>
      <c r="D45" s="1581"/>
      <c r="E45" s="1581"/>
      <c r="F45" s="1581"/>
      <c r="G45" s="1581">
        <v>2060</v>
      </c>
      <c r="H45" s="1581"/>
      <c r="I45" s="1581">
        <v>2058</v>
      </c>
      <c r="J45" s="1581"/>
      <c r="K45" s="1601"/>
      <c r="L45" s="1650"/>
      <c r="M45" s="1646"/>
      <c r="N45" s="1646"/>
      <c r="O45" s="1646"/>
    </row>
    <row r="46" ht="13.5" customHeight="1" spans="1:29">
      <c r="A46" s="1581"/>
      <c r="B46" s="1581"/>
      <c r="C46" s="701" t="s">
        <v>1189</v>
      </c>
      <c r="D46" s="1142"/>
      <c r="E46" s="1603">
        <f>IF(E41&lt;E42,E42/E41-1,E41/E42-1)</f>
        <v>0.0374161421951726</v>
      </c>
      <c r="F46" s="1604" t="str">
        <f>IF(OR(E46&gt;=0.3,E46&lt;=-0.3),"超过30%","")</f>
        <v/>
      </c>
      <c r="G46" s="1603">
        <f>IF(G41&lt;G42,G42/G41-1,G41/G42-1)</f>
        <v>0.0471204188481675</v>
      </c>
      <c r="H46" s="1604" t="str">
        <f>IF(OR(G46&gt;=0.3,G46&lt;=-0.3),"超过30%","")</f>
        <v/>
      </c>
      <c r="I46" s="1603">
        <f>IF(I41&lt;I42,I42/I41-1,I41/I42-1)</f>
        <v>0.124331447174638</v>
      </c>
      <c r="J46" s="1604" t="str">
        <f>IF(OR(I46&gt;=0.3,I46&lt;=-0.3),"超过30%","")</f>
        <v/>
      </c>
      <c r="K46" s="1601"/>
      <c r="L46" s="1650"/>
      <c r="M46" s="1646"/>
      <c r="N46" s="1646"/>
      <c r="O46" s="1646"/>
    </row>
    <row r="47" ht="13.5" customHeight="1" spans="1:29">
      <c r="A47" s="1581"/>
      <c r="B47" s="1581"/>
      <c r="C47" s="701" t="s">
        <v>1190</v>
      </c>
      <c r="D47" s="1141"/>
      <c r="E47" s="1603">
        <f>IF(E42&lt;G42,G42/E42-1,E42/G42-1)</f>
        <v>0.00935427574171022</v>
      </c>
      <c r="F47" s="1604" t="str">
        <f>IF(OR(E47&gt;=0.2,E47&lt;=-0.2),"超过20%","")</f>
        <v/>
      </c>
      <c r="G47" s="1603">
        <f>IF(G42&lt;I42,I42/G42-1,G42/I42-1)</f>
        <v>0.110379040384466</v>
      </c>
      <c r="H47" s="1604" t="str">
        <f>IF(OR(G47&gt;=0.2,G47&lt;=-0.2),"超过20%","")</f>
        <v/>
      </c>
      <c r="I47" s="1603">
        <f>IF(I42&lt;E42,E42/I42-1,I42/E42-1)</f>
        <v>0.120765832106038</v>
      </c>
      <c r="J47" s="1604" t="str">
        <f>IF(OR(I47&gt;=0.2,I47&lt;=-0.2),"超过20%","")</f>
        <v/>
      </c>
      <c r="K47" s="1601"/>
      <c r="L47" s="1650"/>
      <c r="M47" s="1646"/>
      <c r="N47" s="1646"/>
      <c r="O47" s="1646"/>
    </row>
    <row r="48" s="1374" customFormat="1" ht="13.5" customHeight="1" spans="1:29">
      <c r="A48" s="1605"/>
      <c r="B48" s="1605"/>
      <c r="C48" s="701" t="s">
        <v>1191</v>
      </c>
      <c r="D48" s="1141"/>
      <c r="E48" s="1603">
        <f>IF(E41&lt;G41,G41/E41-1,E41/G41-1)</f>
        <v>0</v>
      </c>
      <c r="F48" s="1604" t="str">
        <f>IF(OR(E48&gt;=0.3,E48&lt;=-0.3),"超过30%","")</f>
        <v/>
      </c>
      <c r="G48" s="1603">
        <f>IF(G41&lt;I41,I41/G41-1,G41/I41-1)</f>
        <v>0.0341261633919339</v>
      </c>
      <c r="H48" s="1604" t="str">
        <f>IF(OR(G48&gt;=0.3,G48&lt;=-0.3),"超过30%","")</f>
        <v/>
      </c>
      <c r="I48" s="1603">
        <f>IF(I41&lt;E41,E41/I41-1,I41/E41-1)</f>
        <v>0.0341261633919339</v>
      </c>
      <c r="J48" s="1604" t="str">
        <f>IF(OR(I48&gt;=0.3,I48&lt;=-0.3),"超过30%","")</f>
        <v/>
      </c>
      <c r="K48" s="1606"/>
      <c r="L48" s="3418"/>
      <c r="M48" s="3419"/>
      <c r="N48" s="3419"/>
      <c r="O48" s="3419"/>
      <c r="P48" s="3420"/>
      <c r="Q48" s="3420"/>
      <c r="R48" s="3420"/>
      <c r="S48" s="3420"/>
      <c r="T48" s="3420"/>
      <c r="U48" s="3420"/>
      <c r="V48" s="3420"/>
      <c r="W48" s="3420"/>
    </row>
    <row r="49" s="1374" customFormat="1" spans="1:23">
      <c r="A49" s="1605"/>
      <c r="B49" s="1608"/>
      <c r="C49" s="1992"/>
      <c r="D49" s="1605"/>
      <c r="E49" s="1605"/>
      <c r="F49" s="1605"/>
      <c r="G49" s="1605"/>
      <c r="H49" s="1605"/>
      <c r="I49" s="1605"/>
      <c r="J49" s="1605"/>
      <c r="K49" s="1606"/>
      <c r="L49" s="3418"/>
      <c r="M49" s="3419"/>
      <c r="N49" s="3419"/>
      <c r="O49" s="3419"/>
      <c r="P49" s="3420"/>
      <c r="Q49" s="3420"/>
      <c r="R49" s="3420"/>
      <c r="S49" s="3420"/>
      <c r="T49" s="3420"/>
      <c r="U49" s="3420"/>
      <c r="V49" s="3420"/>
      <c r="W49" s="3420"/>
    </row>
    <row r="50" spans="1:23">
      <c r="A50" s="1581"/>
      <c r="B50" s="1608"/>
      <c r="C50" s="1992"/>
      <c r="D50" s="1581"/>
      <c r="E50" s="1581"/>
      <c r="F50" s="1581"/>
      <c r="G50" s="1581"/>
      <c r="H50" s="1581"/>
      <c r="I50" s="1581"/>
      <c r="J50" s="1581"/>
      <c r="K50" s="1601"/>
      <c r="L50" s="1650"/>
      <c r="M50" s="1646"/>
      <c r="N50" s="1646"/>
      <c r="O50" s="1646"/>
    </row>
    <row r="51" ht="21" spans="1:23">
      <c r="A51" s="1652" t="s">
        <v>1192</v>
      </c>
      <c r="B51" s="1583"/>
      <c r="C51" s="1653"/>
      <c r="D51" s="1653"/>
      <c r="E51" s="1653"/>
      <c r="F51" s="1654"/>
      <c r="G51" s="1654"/>
      <c r="H51" s="1653"/>
      <c r="I51" s="1653"/>
      <c r="J51" s="1653"/>
      <c r="K51" s="2048"/>
      <c r="L51" s="1845"/>
      <c r="M51" s="1657"/>
      <c r="N51" s="1657"/>
      <c r="O51" s="1657"/>
      <c r="P51" s="3421"/>
      <c r="Q51" s="3422"/>
    </row>
    <row r="52" s="1376" customFormat="1" ht="15" spans="1:23">
      <c r="A52" s="1993" t="s">
        <v>1140</v>
      </c>
      <c r="B52" s="1994"/>
      <c r="C52" s="1995" t="str">
        <f>YEAR(C7)&amp;"-"&amp;MONTH(C7)</f>
        <v>2026-3</v>
      </c>
      <c r="D52" s="1996">
        <f>EDATE(C52,-1)</f>
        <v>46054</v>
      </c>
      <c r="E52" s="1996">
        <f t="shared" ref="E52:O52" si="16">EDATE(D52,-1)</f>
        <v>46023</v>
      </c>
      <c r="F52" s="1996">
        <f t="shared" si="16"/>
        <v>45992</v>
      </c>
      <c r="G52" s="1996">
        <f t="shared" si="16"/>
        <v>45962</v>
      </c>
      <c r="H52" s="1996">
        <f t="shared" si="16"/>
        <v>45931</v>
      </c>
      <c r="I52" s="1996">
        <f t="shared" si="16"/>
        <v>45901</v>
      </c>
      <c r="J52" s="1996">
        <f t="shared" si="16"/>
        <v>45870</v>
      </c>
      <c r="K52" s="1996">
        <f t="shared" si="16"/>
        <v>45839</v>
      </c>
      <c r="L52" s="1996">
        <f t="shared" si="16"/>
        <v>45809</v>
      </c>
      <c r="M52" s="1996">
        <f t="shared" si="16"/>
        <v>45778</v>
      </c>
      <c r="N52" s="1996">
        <f t="shared" si="16"/>
        <v>45748</v>
      </c>
      <c r="O52" s="1996">
        <f t="shared" si="16"/>
        <v>45717</v>
      </c>
      <c r="P52" s="3423"/>
      <c r="Q52" s="3424"/>
      <c r="R52" s="3424"/>
      <c r="S52" s="3424"/>
      <c r="T52" s="3424"/>
      <c r="U52" s="3424"/>
      <c r="V52" s="3424"/>
      <c r="W52" s="3424"/>
    </row>
    <row r="53" s="1371" customFormat="1" ht="15" spans="1:23">
      <c r="A53" s="1997"/>
      <c r="B53" s="1678"/>
      <c r="C53" s="1998">
        <v>100</v>
      </c>
      <c r="D53" s="1686"/>
      <c r="E53" s="1686"/>
      <c r="F53" s="1686"/>
      <c r="G53" s="1686"/>
      <c r="H53" s="1686"/>
      <c r="I53" s="1686"/>
      <c r="J53" s="1686"/>
      <c r="K53" s="1686"/>
      <c r="L53" s="1686"/>
      <c r="M53" s="1926"/>
      <c r="N53" s="1686"/>
      <c r="O53" s="1687"/>
      <c r="P53" s="3422"/>
      <c r="Q53" s="3425"/>
      <c r="R53" s="3425"/>
      <c r="S53" s="3425"/>
      <c r="T53" s="3425"/>
      <c r="U53" s="3425"/>
      <c r="V53" s="3425"/>
      <c r="W53" s="3425"/>
    </row>
    <row r="54" s="1371" customFormat="1" ht="15.75" spans="1:23">
      <c r="A54" s="1671" t="s">
        <v>1193</v>
      </c>
      <c r="B54" s="1672"/>
      <c r="C54" s="1673"/>
      <c r="D54" s="1674"/>
      <c r="E54" s="1674"/>
      <c r="F54" s="1674"/>
      <c r="G54" s="1674"/>
      <c r="H54" s="1674"/>
      <c r="I54" s="1674"/>
      <c r="J54" s="1674"/>
      <c r="K54" s="1674"/>
      <c r="L54" s="1674"/>
      <c r="M54" s="1675"/>
      <c r="N54" s="3426"/>
      <c r="O54" s="3427"/>
      <c r="P54" s="3422"/>
      <c r="Q54" s="3422"/>
      <c r="R54" s="3425"/>
      <c r="S54" s="3425"/>
      <c r="T54" s="3425"/>
      <c r="U54" s="3425"/>
      <c r="V54" s="3425"/>
      <c r="W54" s="3425"/>
    </row>
    <row r="55" s="1371" customFormat="1" ht="15" spans="1:23">
      <c r="A55" s="1677" t="s">
        <v>1143</v>
      </c>
      <c r="B55" s="1678"/>
      <c r="C55" s="1679" t="s">
        <v>1194</v>
      </c>
      <c r="D55" s="3428" t="s">
        <v>1144</v>
      </c>
      <c r="E55" s="3428" t="s">
        <v>1195</v>
      </c>
      <c r="F55" s="1680"/>
      <c r="G55" s="1680"/>
      <c r="H55" s="1680"/>
      <c r="I55" s="1680"/>
      <c r="J55" s="1680"/>
      <c r="K55" s="1680"/>
      <c r="L55" s="1681"/>
      <c r="M55" s="1682"/>
      <c r="N55" s="2219"/>
      <c r="O55" s="2219"/>
      <c r="P55" s="3429"/>
      <c r="Q55" s="3422"/>
      <c r="R55" s="3425"/>
      <c r="S55" s="3425"/>
      <c r="T55" s="3425"/>
      <c r="U55" s="3425"/>
      <c r="V55" s="3425"/>
      <c r="W55" s="3425"/>
    </row>
    <row r="56" s="1371" customFormat="1" ht="15.75" spans="1:23">
      <c r="A56" s="1677"/>
      <c r="B56" s="1678"/>
      <c r="C56" s="1685">
        <v>100</v>
      </c>
      <c r="D56" s="1686">
        <v>105</v>
      </c>
      <c r="E56" s="1686">
        <v>102</v>
      </c>
      <c r="F56" s="1686"/>
      <c r="G56" s="1686"/>
      <c r="H56" s="1686"/>
      <c r="I56" s="1686"/>
      <c r="J56" s="1686"/>
      <c r="K56" s="1686"/>
      <c r="L56" s="1686"/>
      <c r="M56" s="1687"/>
      <c r="N56" s="2219"/>
      <c r="O56" s="2219"/>
      <c r="P56" s="3422"/>
      <c r="Q56" s="3422"/>
      <c r="R56" s="3425"/>
      <c r="S56" s="3425"/>
      <c r="T56" s="3425"/>
      <c r="U56" s="3425"/>
      <c r="V56" s="3425"/>
      <c r="W56" s="3425"/>
    </row>
    <row r="57" spans="1:23">
      <c r="A57" s="1688" t="s">
        <v>1196</v>
      </c>
      <c r="B57" s="1689" t="s">
        <v>1147</v>
      </c>
      <c r="C57" s="1618" t="str">
        <f>C9</f>
        <v>工业</v>
      </c>
      <c r="D57" s="3430" t="s">
        <v>1148</v>
      </c>
      <c r="E57" s="1690"/>
      <c r="F57" s="1690"/>
      <c r="G57" s="1690"/>
      <c r="H57" s="1690"/>
      <c r="I57" s="1690"/>
      <c r="J57" s="1690"/>
      <c r="K57" s="1691"/>
      <c r="L57" s="1692"/>
      <c r="M57" s="1693"/>
      <c r="N57" s="2221"/>
      <c r="O57" s="2221"/>
      <c r="P57" s="3431"/>
      <c r="Q57" s="3422"/>
    </row>
    <row r="58" ht="15.75" spans="1:23">
      <c r="A58" s="1695"/>
      <c r="B58" s="1696"/>
      <c r="C58" s="1697">
        <v>100</v>
      </c>
      <c r="D58" s="1697">
        <v>102</v>
      </c>
      <c r="E58" s="1697"/>
      <c r="F58" s="1697"/>
      <c r="G58" s="1697"/>
      <c r="H58" s="1697"/>
      <c r="I58" s="1697"/>
      <c r="J58" s="1697"/>
      <c r="K58" s="1697"/>
      <c r="L58" s="1697"/>
      <c r="M58" s="1698"/>
      <c r="N58" s="2223"/>
      <c r="O58" s="2223"/>
      <c r="P58" s="3431"/>
      <c r="Q58" s="3422"/>
    </row>
    <row r="59" ht="27.75" spans="1:23">
      <c r="A59" s="1695"/>
      <c r="B59" s="1700" t="s">
        <v>1151</v>
      </c>
      <c r="C59" s="1753" t="s">
        <v>1197</v>
      </c>
      <c r="D59" s="1753" t="s">
        <v>1198</v>
      </c>
      <c r="E59" s="1753"/>
      <c r="F59" s="1753"/>
      <c r="G59" s="1753"/>
      <c r="H59" s="1753"/>
      <c r="I59" s="1753"/>
      <c r="J59" s="1753"/>
      <c r="K59" s="1754"/>
      <c r="L59" s="1755"/>
      <c r="M59" s="1756"/>
      <c r="N59" s="2221"/>
      <c r="O59" s="2221"/>
      <c r="P59" s="3431"/>
      <c r="Q59" s="3422"/>
    </row>
    <row r="60" ht="15.75" spans="1:23">
      <c r="A60" s="1695"/>
      <c r="B60" s="1705" t="s">
        <v>1199</v>
      </c>
      <c r="C60" s="1697">
        <v>100</v>
      </c>
      <c r="D60" s="1697">
        <v>97</v>
      </c>
      <c r="E60" s="1697"/>
      <c r="F60" s="1697"/>
      <c r="G60" s="1697"/>
      <c r="H60" s="1697"/>
      <c r="I60" s="1697"/>
      <c r="J60" s="1697"/>
      <c r="K60" s="1697"/>
      <c r="L60" s="1697"/>
      <c r="M60" s="1698"/>
      <c r="N60" s="2223"/>
      <c r="O60" s="2223"/>
      <c r="P60" s="3431"/>
      <c r="Q60" s="3422"/>
    </row>
    <row r="61" ht="15.75" spans="1:23">
      <c r="A61" s="1695"/>
      <c r="B61" s="1708" t="s">
        <v>1154</v>
      </c>
      <c r="C61" s="1709" t="str">
        <f>C62&amp;"（含）"&amp;"-"&amp;D62</f>
        <v>0（含）-0.5</v>
      </c>
      <c r="D61" s="1709" t="str">
        <f t="shared" ref="D61:L61" si="17">D62&amp;"（含）"&amp;"-"&amp;E62</f>
        <v>0.5（含）-1</v>
      </c>
      <c r="E61" s="1709" t="str">
        <f t="shared" si="17"/>
        <v>1（含）-1.5</v>
      </c>
      <c r="F61" s="1709" t="str">
        <f t="shared" si="17"/>
        <v>1.5（含）-2</v>
      </c>
      <c r="G61" s="1709" t="str">
        <f t="shared" si="17"/>
        <v>2（含）-</v>
      </c>
      <c r="H61" s="1709" t="str">
        <f t="shared" si="17"/>
        <v>（含）-</v>
      </c>
      <c r="I61" s="1709" t="str">
        <f t="shared" si="17"/>
        <v>（含）-</v>
      </c>
      <c r="J61" s="1709" t="str">
        <f t="shared" si="17"/>
        <v>（含）-</v>
      </c>
      <c r="K61" s="1709" t="str">
        <f t="shared" si="17"/>
        <v>（含）-</v>
      </c>
      <c r="L61" s="1709" t="str">
        <f t="shared" si="17"/>
        <v>（含）-</v>
      </c>
      <c r="M61" s="1710" t="str">
        <f>M62&amp;"（含）"&amp;"-"&amp;P62</f>
        <v>（含）-</v>
      </c>
      <c r="N61" s="2223"/>
      <c r="O61" s="2223"/>
      <c r="P61" s="3431"/>
      <c r="Q61" s="3422"/>
    </row>
    <row r="62" ht="15" spans="1:23">
      <c r="A62" s="1695"/>
      <c r="B62" s="1711"/>
      <c r="C62" s="1712">
        <v>0</v>
      </c>
      <c r="D62" s="1712">
        <v>0.5</v>
      </c>
      <c r="E62" s="1712">
        <v>1</v>
      </c>
      <c r="F62" s="1712">
        <v>1.5</v>
      </c>
      <c r="G62" s="1712">
        <v>2</v>
      </c>
      <c r="H62" s="1712"/>
      <c r="I62" s="1712"/>
      <c r="J62" s="1712"/>
      <c r="K62" s="1713"/>
      <c r="L62" s="1714"/>
      <c r="M62" s="1715"/>
      <c r="N62" s="2221"/>
      <c r="O62" s="2221"/>
      <c r="P62" s="3431"/>
      <c r="Q62" s="3422"/>
    </row>
    <row r="63" ht="15.75" spans="1:23">
      <c r="A63" s="1695"/>
      <c r="B63" s="1696"/>
      <c r="C63" s="1706">
        <v>100</v>
      </c>
      <c r="D63" s="1706">
        <f t="shared" ref="D63:M63" si="18">C63-$K11</f>
        <v>100</v>
      </c>
      <c r="E63" s="1706">
        <f t="shared" si="18"/>
        <v>100</v>
      </c>
      <c r="F63" s="1706">
        <f t="shared" si="18"/>
        <v>100</v>
      </c>
      <c r="G63" s="1706">
        <f t="shared" si="18"/>
        <v>100</v>
      </c>
      <c r="H63" s="1706">
        <f t="shared" si="18"/>
        <v>100</v>
      </c>
      <c r="I63" s="1706">
        <f t="shared" si="18"/>
        <v>100</v>
      </c>
      <c r="J63" s="1706">
        <f t="shared" si="18"/>
        <v>100</v>
      </c>
      <c r="K63" s="1706">
        <f t="shared" si="18"/>
        <v>100</v>
      </c>
      <c r="L63" s="1706">
        <f t="shared" si="18"/>
        <v>100</v>
      </c>
      <c r="M63" s="1707">
        <f t="shared" si="18"/>
        <v>100</v>
      </c>
      <c r="N63" s="2223"/>
      <c r="O63" s="2223"/>
      <c r="P63" s="3431"/>
      <c r="Q63" s="3422"/>
    </row>
    <row r="64" s="1373" customFormat="1" ht="15.75" spans="1:23">
      <c r="A64" s="1716"/>
      <c r="B64" s="1700">
        <f>B12</f>
        <v>111</v>
      </c>
      <c r="C64" s="1717"/>
      <c r="D64" s="1717"/>
      <c r="E64" s="1717"/>
      <c r="F64" s="1717"/>
      <c r="G64" s="1717"/>
      <c r="H64" s="1718"/>
      <c r="I64" s="1718"/>
      <c r="J64" s="1718"/>
      <c r="K64" s="1718"/>
      <c r="L64" s="1719"/>
      <c r="M64" s="1720"/>
      <c r="N64" s="2224"/>
      <c r="O64" s="2224"/>
      <c r="P64" s="3432"/>
      <c r="Q64" s="3433"/>
      <c r="R64" s="3434"/>
      <c r="S64" s="3434"/>
      <c r="T64" s="3434"/>
      <c r="U64" s="3434"/>
      <c r="V64" s="3434"/>
      <c r="W64" s="3434"/>
    </row>
    <row r="65" s="1373" customFormat="1" ht="15.75" spans="1:23">
      <c r="A65" s="1716"/>
      <c r="B65" s="1705"/>
      <c r="C65" s="1724"/>
      <c r="D65" s="1697"/>
      <c r="E65" s="1697"/>
      <c r="F65" s="1697"/>
      <c r="G65" s="1697"/>
      <c r="H65" s="1697"/>
      <c r="I65" s="1697"/>
      <c r="J65" s="1697"/>
      <c r="K65" s="1697"/>
      <c r="L65" s="1697"/>
      <c r="M65" s="1698"/>
      <c r="N65" s="2223"/>
      <c r="O65" s="2223"/>
      <c r="P65" s="3432"/>
      <c r="Q65" s="3433"/>
      <c r="R65" s="3434"/>
      <c r="S65" s="3434"/>
      <c r="T65" s="3434"/>
      <c r="U65" s="3434"/>
      <c r="V65" s="3434"/>
      <c r="W65" s="3434"/>
    </row>
    <row r="66" s="1373" customFormat="1" ht="15.75" spans="1:23">
      <c r="A66" s="1716"/>
      <c r="B66" s="1700">
        <f>B13</f>
        <v>111</v>
      </c>
      <c r="C66" s="1717"/>
      <c r="D66" s="1717"/>
      <c r="E66" s="1717"/>
      <c r="F66" s="1717"/>
      <c r="G66" s="1717"/>
      <c r="H66" s="1718"/>
      <c r="I66" s="1718"/>
      <c r="J66" s="1718"/>
      <c r="K66" s="1718"/>
      <c r="L66" s="1719"/>
      <c r="M66" s="1720"/>
      <c r="N66" s="2224"/>
      <c r="O66" s="2224"/>
      <c r="P66" s="3435"/>
      <c r="Q66" s="3436"/>
      <c r="R66" s="3434"/>
      <c r="S66" s="3434"/>
      <c r="T66" s="3434"/>
      <c r="U66" s="3434"/>
      <c r="V66" s="3434"/>
      <c r="W66" s="3434"/>
    </row>
    <row r="67" s="1373" customFormat="1" ht="15.75" spans="1:23">
      <c r="A67" s="1716"/>
      <c r="B67" s="1705"/>
      <c r="C67" s="1724"/>
      <c r="D67" s="1697"/>
      <c r="E67" s="1697"/>
      <c r="F67" s="1697"/>
      <c r="G67" s="1724"/>
      <c r="H67" s="1726"/>
      <c r="I67" s="1726"/>
      <c r="J67" s="1726"/>
      <c r="K67" s="1726"/>
      <c r="L67" s="1726"/>
      <c r="M67" s="1727"/>
      <c r="N67" s="2224"/>
      <c r="O67" s="2224"/>
      <c r="P67" s="3432"/>
      <c r="Q67" s="3433"/>
      <c r="R67" s="3434"/>
      <c r="S67" s="3434"/>
      <c r="T67" s="3434"/>
      <c r="U67" s="3434"/>
      <c r="V67" s="3434"/>
      <c r="W67" s="3434"/>
    </row>
    <row r="68" s="1373" customFormat="1" ht="15.75" spans="1:23">
      <c r="A68" s="1716"/>
      <c r="B68" s="1708">
        <f>B14</f>
        <v>111</v>
      </c>
      <c r="C68" s="1680"/>
      <c r="D68" s="1680"/>
      <c r="E68" s="1680"/>
      <c r="F68" s="1680"/>
      <c r="G68" s="1680"/>
      <c r="H68" s="1728"/>
      <c r="I68" s="1728"/>
      <c r="J68" s="1728"/>
      <c r="K68" s="1728"/>
      <c r="L68" s="1729"/>
      <c r="M68" s="1730"/>
      <c r="N68" s="2224"/>
      <c r="O68" s="2224"/>
      <c r="P68" s="3432"/>
      <c r="Q68" s="3433"/>
      <c r="R68" s="3434"/>
      <c r="S68" s="3434"/>
      <c r="T68" s="3434"/>
      <c r="U68" s="3434"/>
      <c r="V68" s="3434"/>
      <c r="W68" s="3434"/>
    </row>
    <row r="69" s="1373" customFormat="1" ht="15.75" spans="1:23">
      <c r="A69" s="1732"/>
      <c r="B69" s="1733"/>
      <c r="C69" s="1734"/>
      <c r="D69" s="1734"/>
      <c r="E69" s="1734"/>
      <c r="F69" s="1734"/>
      <c r="G69" s="1734"/>
      <c r="H69" s="1735"/>
      <c r="I69" s="1735"/>
      <c r="J69" s="1735"/>
      <c r="K69" s="1735"/>
      <c r="L69" s="1735"/>
      <c r="M69" s="1736"/>
      <c r="N69" s="2224"/>
      <c r="O69" s="2224"/>
      <c r="P69" s="3432"/>
      <c r="Q69" s="3433"/>
      <c r="R69" s="3434"/>
      <c r="S69" s="3434"/>
      <c r="T69" s="3434"/>
      <c r="U69" s="3434"/>
      <c r="V69" s="3434"/>
      <c r="W69" s="3434"/>
    </row>
    <row r="70" spans="1:23">
      <c r="A70" s="1688" t="s">
        <v>1155</v>
      </c>
      <c r="B70" s="1689" t="s">
        <v>1156</v>
      </c>
      <c r="C70" s="1737" t="s">
        <v>1200</v>
      </c>
      <c r="D70" s="1737" t="s">
        <v>1201</v>
      </c>
      <c r="E70" s="1737" t="s">
        <v>1202</v>
      </c>
      <c r="F70" s="1737" t="s">
        <v>1203</v>
      </c>
      <c r="G70" s="1737" t="s">
        <v>1204</v>
      </c>
      <c r="H70" s="1618"/>
      <c r="I70" s="1618"/>
      <c r="J70" s="1618"/>
      <c r="K70" s="1738"/>
      <c r="L70" s="1739"/>
      <c r="M70" s="1740"/>
      <c r="N70" s="2221"/>
      <c r="O70" s="2221"/>
      <c r="P70" s="3431"/>
      <c r="Q70" s="3422"/>
    </row>
    <row r="71" ht="15.75" spans="1:23">
      <c r="A71" s="1695"/>
      <c r="B71" s="1705"/>
      <c r="C71" s="1706">
        <v>100</v>
      </c>
      <c r="D71" s="1706">
        <f>C71-$K15</f>
        <v>97</v>
      </c>
      <c r="E71" s="1706">
        <f>D71-$K15</f>
        <v>94</v>
      </c>
      <c r="F71" s="1706">
        <f>E71-$K15</f>
        <v>91</v>
      </c>
      <c r="G71" s="1706">
        <f>F71-$K15</f>
        <v>88</v>
      </c>
      <c r="H71" s="1706"/>
      <c r="I71" s="1706"/>
      <c r="J71" s="1706"/>
      <c r="K71" s="1706"/>
      <c r="L71" s="1706"/>
      <c r="M71" s="1707"/>
      <c r="N71" s="2223"/>
      <c r="O71" s="2223"/>
      <c r="P71" s="3431"/>
      <c r="Q71" s="3422"/>
    </row>
    <row r="72" ht="15.75" spans="1:23">
      <c r="A72" s="1695"/>
      <c r="B72" s="1700" t="s">
        <v>1159</v>
      </c>
      <c r="C72" s="1742" t="s">
        <v>1200</v>
      </c>
      <c r="D72" s="1742" t="s">
        <v>1201</v>
      </c>
      <c r="E72" s="1742" t="s">
        <v>1202</v>
      </c>
      <c r="F72" s="1742" t="s">
        <v>1203</v>
      </c>
      <c r="G72" s="1742" t="s">
        <v>1204</v>
      </c>
      <c r="H72" s="1701"/>
      <c r="I72" s="1701"/>
      <c r="J72" s="1701"/>
      <c r="K72" s="1702"/>
      <c r="L72" s="1703"/>
      <c r="M72" s="1704"/>
      <c r="N72" s="2221"/>
      <c r="O72" s="2221"/>
      <c r="P72" s="3431"/>
      <c r="Q72" s="3422"/>
    </row>
    <row r="73" ht="15.75" spans="1:23">
      <c r="A73" s="1695"/>
      <c r="B73" s="1705"/>
      <c r="C73" s="1706">
        <v>100</v>
      </c>
      <c r="D73" s="1706">
        <f>C73-$K17</f>
        <v>98</v>
      </c>
      <c r="E73" s="1706">
        <f>D73-$K17</f>
        <v>96</v>
      </c>
      <c r="F73" s="1706">
        <f>E73-$K17</f>
        <v>94</v>
      </c>
      <c r="G73" s="1706">
        <f>F73-$K17</f>
        <v>92</v>
      </c>
      <c r="H73" s="1706"/>
      <c r="I73" s="1706"/>
      <c r="J73" s="1706"/>
      <c r="K73" s="1706"/>
      <c r="L73" s="1706"/>
      <c r="M73" s="1707"/>
      <c r="N73" s="2223"/>
      <c r="O73" s="2223"/>
      <c r="P73" s="3431"/>
      <c r="Q73" s="3422"/>
    </row>
    <row r="74" ht="15.75" spans="1:23">
      <c r="A74" s="1695"/>
      <c r="B74" s="1700" t="s">
        <v>1160</v>
      </c>
      <c r="C74" s="1742" t="s">
        <v>1200</v>
      </c>
      <c r="D74" s="1742" t="s">
        <v>1201</v>
      </c>
      <c r="E74" s="1742" t="s">
        <v>1202</v>
      </c>
      <c r="F74" s="1742" t="s">
        <v>1203</v>
      </c>
      <c r="G74" s="1742" t="s">
        <v>1204</v>
      </c>
      <c r="H74" s="1701"/>
      <c r="I74" s="1701"/>
      <c r="J74" s="1701"/>
      <c r="K74" s="1702"/>
      <c r="L74" s="1703"/>
      <c r="M74" s="1704"/>
      <c r="N74" s="2221"/>
      <c r="O74" s="2221"/>
      <c r="P74" s="3431"/>
      <c r="Q74" s="3422"/>
    </row>
    <row r="75" ht="15.75" spans="1:23">
      <c r="A75" s="1695"/>
      <c r="B75" s="1705"/>
      <c r="C75" s="1706">
        <v>100</v>
      </c>
      <c r="D75" s="1706">
        <f>C75-$K19</f>
        <v>98</v>
      </c>
      <c r="E75" s="1706">
        <f>D75-$K19</f>
        <v>96</v>
      </c>
      <c r="F75" s="1706">
        <f>E75-$K19</f>
        <v>94</v>
      </c>
      <c r="G75" s="1706">
        <f>F75-$K19</f>
        <v>92</v>
      </c>
      <c r="H75" s="1706"/>
      <c r="I75" s="1706"/>
      <c r="J75" s="1706"/>
      <c r="K75" s="1706"/>
      <c r="L75" s="1706"/>
      <c r="M75" s="1707"/>
      <c r="N75" s="2223"/>
      <c r="O75" s="2223"/>
      <c r="P75" s="3431"/>
      <c r="Q75" s="3422"/>
    </row>
    <row r="76" ht="15.75" spans="1:23">
      <c r="A76" s="1695"/>
      <c r="B76" s="1708" t="s">
        <v>1162</v>
      </c>
      <c r="C76" s="1518" t="s">
        <v>1205</v>
      </c>
      <c r="D76" s="1518" t="s">
        <v>1206</v>
      </c>
      <c r="E76" s="1518" t="s">
        <v>1207</v>
      </c>
      <c r="F76" s="1518" t="s">
        <v>1208</v>
      </c>
      <c r="G76" s="1518" t="s">
        <v>1209</v>
      </c>
      <c r="H76" s="1701"/>
      <c r="I76" s="1701"/>
      <c r="J76" s="1701"/>
      <c r="K76" s="1701"/>
      <c r="L76" s="1701"/>
      <c r="M76" s="1999"/>
      <c r="N76" s="2223"/>
      <c r="O76" s="2223"/>
      <c r="P76" s="3431"/>
      <c r="Q76" s="3422"/>
    </row>
    <row r="77" ht="15.75" spans="1:23">
      <c r="A77" s="1695"/>
      <c r="B77" s="1708"/>
      <c r="C77" s="1706">
        <v>100</v>
      </c>
      <c r="D77" s="1706">
        <f>C77-$K21</f>
        <v>99</v>
      </c>
      <c r="E77" s="1706">
        <f>D77-$K21</f>
        <v>98</v>
      </c>
      <c r="F77" s="1706">
        <f>E77-$K21</f>
        <v>97</v>
      </c>
      <c r="G77" s="1706">
        <f>F77-$K21</f>
        <v>96</v>
      </c>
      <c r="H77" s="1518"/>
      <c r="I77" s="1518"/>
      <c r="J77" s="1518"/>
      <c r="K77" s="1518"/>
      <c r="L77" s="1518"/>
      <c r="M77" s="1948"/>
      <c r="N77" s="2223"/>
      <c r="O77" s="2223"/>
      <c r="P77" s="3431"/>
      <c r="Q77" s="3422"/>
    </row>
    <row r="78" ht="15.75" spans="1:23">
      <c r="A78" s="1695"/>
      <c r="B78" s="1700" t="s">
        <v>1163</v>
      </c>
      <c r="C78" s="1742" t="s">
        <v>1200</v>
      </c>
      <c r="D78" s="1742" t="s">
        <v>1201</v>
      </c>
      <c r="E78" s="1742" t="s">
        <v>1202</v>
      </c>
      <c r="F78" s="1742" t="s">
        <v>1203</v>
      </c>
      <c r="G78" s="1742" t="s">
        <v>1204</v>
      </c>
      <c r="H78" s="1701"/>
      <c r="I78" s="1701"/>
      <c r="J78" s="1701"/>
      <c r="K78" s="1702"/>
      <c r="L78" s="1703"/>
      <c r="M78" s="1704"/>
      <c r="N78" s="2221"/>
      <c r="O78" s="2221"/>
      <c r="P78" s="3431"/>
      <c r="Q78" s="3422"/>
    </row>
    <row r="79" ht="15.75" spans="1:23">
      <c r="A79" s="1695"/>
      <c r="B79" s="1705"/>
      <c r="C79" s="1706">
        <v>100</v>
      </c>
      <c r="D79" s="1706">
        <f>C79-$K23</f>
        <v>98</v>
      </c>
      <c r="E79" s="1706">
        <f>D79-$K23</f>
        <v>96</v>
      </c>
      <c r="F79" s="1706">
        <f>E79-$K23</f>
        <v>94</v>
      </c>
      <c r="G79" s="1706">
        <f>F79-$K23</f>
        <v>92</v>
      </c>
      <c r="H79" s="1706"/>
      <c r="I79" s="1706"/>
      <c r="J79" s="1706"/>
      <c r="K79" s="1706"/>
      <c r="L79" s="1706"/>
      <c r="M79" s="1707"/>
      <c r="N79" s="2223"/>
      <c r="O79" s="2223"/>
      <c r="P79" s="3431"/>
      <c r="Q79" s="3422"/>
    </row>
    <row r="80" s="1371" customFormat="1" ht="15.75" spans="1:23">
      <c r="A80" s="1743"/>
      <c r="B80" s="1700" t="str">
        <f>B25</f>
        <v>楼层</v>
      </c>
      <c r="C80" s="3437" t="s">
        <v>1210</v>
      </c>
      <c r="D80" s="3437" t="s">
        <v>1211</v>
      </c>
      <c r="E80" s="3437" t="s">
        <v>1212</v>
      </c>
      <c r="F80" s="1717"/>
      <c r="G80" s="1717"/>
      <c r="H80" s="1717"/>
      <c r="I80" s="1717"/>
      <c r="J80" s="1717"/>
      <c r="K80" s="1717"/>
      <c r="L80" s="2000"/>
      <c r="M80" s="2001"/>
      <c r="N80" s="2219"/>
      <c r="O80" s="2219"/>
      <c r="P80" s="3431"/>
      <c r="Q80" s="3422"/>
      <c r="R80" s="3425"/>
      <c r="S80" s="3425"/>
      <c r="T80" s="3425"/>
      <c r="U80" s="3425"/>
      <c r="V80" s="3425"/>
      <c r="W80" s="3425"/>
    </row>
    <row r="81" s="1371" customFormat="1" ht="15.75" spans="1:23">
      <c r="A81" s="1743"/>
      <c r="B81" s="1705"/>
      <c r="C81" s="1724">
        <v>100</v>
      </c>
      <c r="D81" s="1697">
        <v>98</v>
      </c>
      <c r="E81" s="1697">
        <v>96</v>
      </c>
      <c r="F81" s="1697"/>
      <c r="G81" s="1697"/>
      <c r="H81" s="1697"/>
      <c r="I81" s="1697"/>
      <c r="J81" s="1697"/>
      <c r="K81" s="1697"/>
      <c r="L81" s="1697"/>
      <c r="M81" s="1698"/>
      <c r="N81" s="2223"/>
      <c r="O81" s="2223"/>
      <c r="P81" s="3431"/>
      <c r="Q81" s="3422"/>
      <c r="R81" s="3425"/>
      <c r="S81" s="3425"/>
      <c r="T81" s="3425"/>
      <c r="U81" s="3425"/>
      <c r="V81" s="3425"/>
      <c r="W81" s="3425"/>
    </row>
    <row r="82" s="1371" customFormat="1" ht="15.75" spans="1:23">
      <c r="A82" s="1743"/>
      <c r="B82" s="1700">
        <f>B26</f>
        <v>111</v>
      </c>
      <c r="C82" s="1717"/>
      <c r="D82" s="1717"/>
      <c r="E82" s="1717"/>
      <c r="F82" s="1717"/>
      <c r="G82" s="1717"/>
      <c r="H82" s="1717"/>
      <c r="I82" s="1717"/>
      <c r="J82" s="1717"/>
      <c r="K82" s="1717"/>
      <c r="L82" s="2000"/>
      <c r="M82" s="2001"/>
      <c r="N82" s="2219"/>
      <c r="O82" s="2219"/>
      <c r="P82" s="3431"/>
      <c r="Q82" s="3422"/>
      <c r="R82" s="3425"/>
      <c r="S82" s="3425"/>
      <c r="T82" s="3425"/>
      <c r="U82" s="3425"/>
      <c r="V82" s="3425"/>
      <c r="W82" s="3425"/>
    </row>
    <row r="83" s="1371" customFormat="1" ht="15.75" spans="1:23">
      <c r="A83" s="1743"/>
      <c r="B83" s="1705"/>
      <c r="C83" s="1724"/>
      <c r="D83" s="1697"/>
      <c r="E83" s="1697"/>
      <c r="F83" s="1697"/>
      <c r="G83" s="1697"/>
      <c r="H83" s="1697"/>
      <c r="I83" s="1697"/>
      <c r="J83" s="1697"/>
      <c r="K83" s="1697"/>
      <c r="L83" s="1697"/>
      <c r="M83" s="1698"/>
      <c r="N83" s="2223"/>
      <c r="O83" s="2223"/>
      <c r="P83" s="3431"/>
      <c r="Q83" s="3422"/>
      <c r="R83" s="3425"/>
      <c r="S83" s="3425"/>
      <c r="T83" s="3425"/>
      <c r="U83" s="3425"/>
      <c r="V83" s="3425"/>
      <c r="W83" s="3425"/>
    </row>
    <row r="84" s="1373" customFormat="1" ht="15.75" spans="1:23">
      <c r="A84" s="1716"/>
      <c r="B84" s="1700">
        <f>B27</f>
        <v>111</v>
      </c>
      <c r="C84" s="1717"/>
      <c r="D84" s="1717"/>
      <c r="E84" s="1717"/>
      <c r="F84" s="1717"/>
      <c r="G84" s="1717"/>
      <c r="H84" s="1717"/>
      <c r="I84" s="1717"/>
      <c r="J84" s="1717"/>
      <c r="K84" s="1717"/>
      <c r="L84" s="2000"/>
      <c r="M84" s="2001"/>
      <c r="N84" s="2224"/>
      <c r="O84" s="2224"/>
      <c r="P84" s="3432"/>
      <c r="Q84" s="3433"/>
      <c r="R84" s="3434"/>
      <c r="S84" s="3434"/>
      <c r="T84" s="3434"/>
      <c r="U84" s="3434"/>
      <c r="V84" s="3434"/>
      <c r="W84" s="3434"/>
    </row>
    <row r="85" s="1373" customFormat="1" ht="15.75" spans="1:23">
      <c r="A85" s="1716"/>
      <c r="B85" s="1705"/>
      <c r="C85" s="1724"/>
      <c r="D85" s="1697"/>
      <c r="E85" s="1697"/>
      <c r="F85" s="1697"/>
      <c r="G85" s="1697"/>
      <c r="H85" s="1697"/>
      <c r="I85" s="1697"/>
      <c r="J85" s="1697"/>
      <c r="K85" s="1697"/>
      <c r="L85" s="1697"/>
      <c r="M85" s="1698"/>
      <c r="N85" s="2224"/>
      <c r="O85" s="2224"/>
      <c r="P85" s="3432"/>
      <c r="Q85" s="3433"/>
      <c r="R85" s="3434"/>
      <c r="S85" s="3434"/>
      <c r="T85" s="3434"/>
      <c r="U85" s="3434"/>
      <c r="V85" s="3434"/>
      <c r="W85" s="3434"/>
    </row>
    <row r="86" ht="15.75" spans="1:23">
      <c r="A86" s="1695"/>
      <c r="B86" s="1708">
        <f>B28</f>
        <v>111</v>
      </c>
      <c r="C86" s="1680"/>
      <c r="D86" s="1680"/>
      <c r="E86" s="1680"/>
      <c r="F86" s="1680"/>
      <c r="G86" s="1757"/>
      <c r="H86" s="1757"/>
      <c r="I86" s="1757"/>
      <c r="J86" s="1757"/>
      <c r="K86" s="1758"/>
      <c r="L86" s="1759"/>
      <c r="M86" s="1760"/>
      <c r="N86" s="2221"/>
      <c r="O86" s="2221"/>
      <c r="P86" s="3431"/>
      <c r="Q86" s="3422"/>
    </row>
    <row r="87" ht="15.75" spans="1:23">
      <c r="A87" s="2085"/>
      <c r="B87" s="1733"/>
      <c r="C87" s="1734"/>
      <c r="D87" s="1734"/>
      <c r="E87" s="1734"/>
      <c r="F87" s="1734"/>
      <c r="G87" s="1761"/>
      <c r="H87" s="1761"/>
      <c r="I87" s="1761"/>
      <c r="J87" s="1761"/>
      <c r="K87" s="1761"/>
      <c r="L87" s="1761"/>
      <c r="M87" s="1762"/>
      <c r="N87" s="2223"/>
      <c r="O87" s="2223"/>
      <c r="P87" s="3431"/>
      <c r="Q87" s="3422"/>
    </row>
    <row r="88" spans="1:23">
      <c r="A88" s="1688" t="s">
        <v>1166</v>
      </c>
      <c r="B88" s="1689" t="s">
        <v>1167</v>
      </c>
      <c r="C88" s="3430" t="s">
        <v>1168</v>
      </c>
      <c r="D88" s="1690"/>
      <c r="E88" s="1690"/>
      <c r="F88" s="1690"/>
      <c r="G88" s="1690"/>
      <c r="H88" s="1690"/>
      <c r="I88" s="1690"/>
      <c r="J88" s="1690"/>
      <c r="K88" s="1691"/>
      <c r="L88" s="1692"/>
      <c r="M88" s="1693"/>
      <c r="N88" s="2221"/>
      <c r="O88" s="2221"/>
      <c r="P88" s="3431"/>
      <c r="Q88" s="3422"/>
    </row>
    <row r="89" ht="15.75" spans="1:23">
      <c r="A89" s="1695"/>
      <c r="B89" s="1705"/>
      <c r="C89" s="1706">
        <v>100</v>
      </c>
      <c r="D89" s="1706">
        <f t="shared" ref="D89:M89" si="19">C89-$K29</f>
        <v>98</v>
      </c>
      <c r="E89" s="1706">
        <f t="shared" si="19"/>
        <v>96</v>
      </c>
      <c r="F89" s="1706">
        <f t="shared" si="19"/>
        <v>94</v>
      </c>
      <c r="G89" s="1706">
        <f t="shared" si="19"/>
        <v>92</v>
      </c>
      <c r="H89" s="1706">
        <f t="shared" si="19"/>
        <v>90</v>
      </c>
      <c r="I89" s="1706">
        <f t="shared" si="19"/>
        <v>88</v>
      </c>
      <c r="J89" s="1706">
        <f t="shared" si="19"/>
        <v>86</v>
      </c>
      <c r="K89" s="1706">
        <f t="shared" si="19"/>
        <v>84</v>
      </c>
      <c r="L89" s="1706">
        <f t="shared" si="19"/>
        <v>82</v>
      </c>
      <c r="M89" s="1707">
        <f t="shared" si="19"/>
        <v>80</v>
      </c>
      <c r="N89" s="2223"/>
      <c r="O89" s="2223"/>
      <c r="P89" s="3431"/>
      <c r="Q89" s="3422"/>
    </row>
    <row r="90" ht="29.25" spans="1:23">
      <c r="A90" s="1695"/>
      <c r="B90" s="1700" t="s">
        <v>1170</v>
      </c>
      <c r="C90" s="1742" t="str">
        <f>C91&amp;"(含)"&amp;"-"&amp;D91</f>
        <v>0(含)-500</v>
      </c>
      <c r="D90" s="1742" t="str">
        <f t="shared" ref="D90:L90" si="20">D91&amp;"(含)"&amp;"-"&amp;E91</f>
        <v>500(含)-1000</v>
      </c>
      <c r="E90" s="1742" t="str">
        <f t="shared" si="20"/>
        <v>1000(含)-2000</v>
      </c>
      <c r="F90" s="1742" t="str">
        <f t="shared" si="20"/>
        <v>2000(含)-3000</v>
      </c>
      <c r="G90" s="1742" t="str">
        <f t="shared" si="20"/>
        <v>3000(含)-5000</v>
      </c>
      <c r="H90" s="1742" t="str">
        <f t="shared" si="20"/>
        <v>5000(含)-</v>
      </c>
      <c r="I90" s="1742" t="str">
        <f t="shared" si="20"/>
        <v>(含)-</v>
      </c>
      <c r="J90" s="1742" t="str">
        <f t="shared" si="20"/>
        <v>(含)-</v>
      </c>
      <c r="K90" s="1742" t="str">
        <f t="shared" si="20"/>
        <v>(含)-</v>
      </c>
      <c r="L90" s="1742" t="str">
        <f t="shared" si="20"/>
        <v>(含)-</v>
      </c>
      <c r="M90" s="1745" t="str">
        <f>M91&amp;"(含)"&amp;"-"&amp;P91</f>
        <v>(含)-</v>
      </c>
      <c r="N90" s="2219"/>
      <c r="O90" s="2219"/>
      <c r="P90" s="3431"/>
      <c r="Q90" s="3422"/>
    </row>
    <row r="91" s="1373" customFormat="1" ht="15" spans="1:23">
      <c r="A91" s="1764"/>
      <c r="B91" s="1765"/>
      <c r="C91" s="1667">
        <v>0</v>
      </c>
      <c r="D91" s="1667">
        <v>500</v>
      </c>
      <c r="E91" s="1667">
        <v>1000</v>
      </c>
      <c r="F91" s="1667">
        <v>2000</v>
      </c>
      <c r="G91" s="1667">
        <v>3000</v>
      </c>
      <c r="H91" s="1667">
        <v>5000</v>
      </c>
      <c r="I91" s="1667"/>
      <c r="J91" s="1766"/>
      <c r="K91" s="1766"/>
      <c r="L91" s="1767"/>
      <c r="M91" s="1768"/>
      <c r="N91" s="2224"/>
      <c r="O91" s="2224"/>
      <c r="P91" s="3432"/>
      <c r="Q91" s="3433"/>
      <c r="R91" s="3434"/>
      <c r="S91" s="3434"/>
      <c r="T91" s="3434"/>
      <c r="U91" s="3434"/>
      <c r="V91" s="3434"/>
      <c r="W91" s="3434"/>
    </row>
    <row r="92" s="1373" customFormat="1" ht="15.75" spans="1:23">
      <c r="A92" s="1716"/>
      <c r="B92" s="1705"/>
      <c r="C92" s="1724">
        <v>100</v>
      </c>
      <c r="D92" s="1697">
        <v>98</v>
      </c>
      <c r="E92" s="1697">
        <v>96</v>
      </c>
      <c r="F92" s="1697">
        <v>94</v>
      </c>
      <c r="G92" s="1697">
        <v>92</v>
      </c>
      <c r="H92" s="1697">
        <v>90</v>
      </c>
      <c r="I92" s="1697"/>
      <c r="J92" s="1697"/>
      <c r="K92" s="1697"/>
      <c r="L92" s="1697"/>
      <c r="M92" s="1698"/>
      <c r="N92" s="2223"/>
      <c r="O92" s="2223"/>
      <c r="P92" s="3432"/>
      <c r="Q92" s="3433"/>
      <c r="R92" s="3434">
        <f>E30/7</f>
        <v>299.22</v>
      </c>
      <c r="S92" s="3434"/>
      <c r="T92" s="3434"/>
      <c r="U92" s="3434"/>
      <c r="V92" s="3434"/>
      <c r="W92" s="3434"/>
    </row>
    <row r="93" ht="15.75" spans="1:23">
      <c r="A93" s="1773"/>
      <c r="B93" s="1700" t="s">
        <v>1171</v>
      </c>
      <c r="C93" s="3437" t="s">
        <v>1172</v>
      </c>
      <c r="D93" s="1717"/>
      <c r="E93" s="1753"/>
      <c r="F93" s="1753"/>
      <c r="G93" s="1753"/>
      <c r="H93" s="1753"/>
      <c r="I93" s="1753"/>
      <c r="J93" s="1753"/>
      <c r="K93" s="1754"/>
      <c r="L93" s="1755"/>
      <c r="M93" s="1756"/>
      <c r="N93" s="2221"/>
      <c r="O93" s="2221"/>
      <c r="P93" s="3431"/>
      <c r="Q93" s="3422"/>
      <c r="R93" s="3390">
        <f>R92/E30</f>
        <v>0.142857142857143</v>
      </c>
    </row>
    <row r="94" ht="15.75" spans="1:23">
      <c r="A94" s="1695"/>
      <c r="B94" s="1705"/>
      <c r="C94" s="1706">
        <v>100</v>
      </c>
      <c r="D94" s="1706">
        <f t="shared" ref="D94:M94" si="21">C94-$K31</f>
        <v>98</v>
      </c>
      <c r="E94" s="1706">
        <f t="shared" si="21"/>
        <v>96</v>
      </c>
      <c r="F94" s="1706">
        <f t="shared" si="21"/>
        <v>94</v>
      </c>
      <c r="G94" s="1706">
        <f t="shared" si="21"/>
        <v>92</v>
      </c>
      <c r="H94" s="1706">
        <f t="shared" si="21"/>
        <v>90</v>
      </c>
      <c r="I94" s="1706">
        <f t="shared" si="21"/>
        <v>88</v>
      </c>
      <c r="J94" s="1706">
        <f t="shared" si="21"/>
        <v>86</v>
      </c>
      <c r="K94" s="1706">
        <f t="shared" si="21"/>
        <v>84</v>
      </c>
      <c r="L94" s="1706">
        <f t="shared" si="21"/>
        <v>82</v>
      </c>
      <c r="M94" s="1707">
        <f t="shared" si="21"/>
        <v>80</v>
      </c>
      <c r="N94" s="2223"/>
      <c r="O94" s="2223"/>
      <c r="P94" s="3431"/>
      <c r="Q94" s="3422"/>
    </row>
    <row r="95" ht="15.75" spans="1:23">
      <c r="A95" s="1773"/>
      <c r="B95" s="1700" t="s">
        <v>1173</v>
      </c>
      <c r="C95" s="3437" t="s">
        <v>1174</v>
      </c>
      <c r="D95" s="1717"/>
      <c r="E95" s="1717"/>
      <c r="F95" s="1753"/>
      <c r="G95" s="1753"/>
      <c r="H95" s="1753"/>
      <c r="I95" s="1753"/>
      <c r="J95" s="1753"/>
      <c r="K95" s="1754"/>
      <c r="L95" s="1755"/>
      <c r="M95" s="1756"/>
      <c r="N95" s="2221"/>
      <c r="O95" s="2221"/>
      <c r="P95" s="3431"/>
      <c r="Q95" s="3422"/>
    </row>
    <row r="96" ht="15.75" spans="1:23">
      <c r="A96" s="1695"/>
      <c r="B96" s="1705"/>
      <c r="C96" s="1706">
        <v>100</v>
      </c>
      <c r="D96" s="1706">
        <f t="shared" ref="D96:M96" si="22">C96-$K32</f>
        <v>98</v>
      </c>
      <c r="E96" s="1706">
        <f t="shared" si="22"/>
        <v>96</v>
      </c>
      <c r="F96" s="1706">
        <f t="shared" si="22"/>
        <v>94</v>
      </c>
      <c r="G96" s="1706">
        <f t="shared" si="22"/>
        <v>92</v>
      </c>
      <c r="H96" s="1706">
        <f t="shared" si="22"/>
        <v>90</v>
      </c>
      <c r="I96" s="1706">
        <f t="shared" si="22"/>
        <v>88</v>
      </c>
      <c r="J96" s="1706">
        <f t="shared" si="22"/>
        <v>86</v>
      </c>
      <c r="K96" s="1706">
        <f t="shared" si="22"/>
        <v>84</v>
      </c>
      <c r="L96" s="1706">
        <f t="shared" si="22"/>
        <v>82</v>
      </c>
      <c r="M96" s="1707">
        <f t="shared" si="22"/>
        <v>80</v>
      </c>
      <c r="N96" s="2223"/>
      <c r="O96" s="2223"/>
      <c r="P96" s="3431"/>
      <c r="Q96" s="3422"/>
    </row>
    <row r="97" ht="15.75" spans="1:23">
      <c r="A97" s="1773"/>
      <c r="B97" s="1700" t="s">
        <v>716</v>
      </c>
      <c r="C97" s="1742" t="str">
        <f>C98&amp;"(含)"&amp;"-"&amp;D98</f>
        <v>0.5(含)-0.55</v>
      </c>
      <c r="D97" s="1742" t="str">
        <f>D98&amp;"(含)"&amp;"-"&amp;E98</f>
        <v>0.55(含)-0.6</v>
      </c>
      <c r="E97" s="1742" t="str">
        <f>E98&amp;"(含)"&amp;"-"&amp;F98</f>
        <v>0.6(含)-0.65</v>
      </c>
      <c r="F97" s="1742" t="str">
        <f>F98&amp;"(含)"&amp;"-"&amp;G98</f>
        <v>0.65(含)-0.7</v>
      </c>
      <c r="G97" s="1742" t="str">
        <f t="shared" ref="G97:K97" si="23">G98&amp;"(含)"&amp;"-"&amp;H98</f>
        <v>0.7(含)-0.75</v>
      </c>
      <c r="H97" s="1742" t="str">
        <f t="shared" si="23"/>
        <v>0.75(含)-0.8</v>
      </c>
      <c r="I97" s="1742" t="str">
        <f t="shared" si="23"/>
        <v>0.8(含)-0.85</v>
      </c>
      <c r="J97" s="1742" t="str">
        <f t="shared" si="23"/>
        <v>0.85(含)-0.9</v>
      </c>
      <c r="K97" s="1742" t="str">
        <f t="shared" si="23"/>
        <v>0.9(含)-0.95</v>
      </c>
      <c r="L97" s="1742" t="str">
        <f t="shared" ref="L97" si="24">L98&amp;"(含)"&amp;"-"&amp;ROUND(M98,0)&amp;"(含)"</f>
        <v>0.95(含)-1(含)</v>
      </c>
      <c r="M97" s="1742"/>
      <c r="N97" s="2221"/>
      <c r="O97" s="2221"/>
      <c r="P97" s="3431"/>
      <c r="Q97" s="3422"/>
    </row>
    <row r="98" ht="15" spans="1:23">
      <c r="A98" s="1773"/>
      <c r="B98" s="1708"/>
      <c r="C98" s="1188">
        <v>0.5</v>
      </c>
      <c r="D98" s="1188">
        <v>0.55</v>
      </c>
      <c r="E98" s="1188">
        <v>0.6</v>
      </c>
      <c r="F98" s="1188">
        <v>0.65</v>
      </c>
      <c r="G98" s="1188">
        <v>0.7</v>
      </c>
      <c r="H98" s="1188">
        <v>0.75</v>
      </c>
      <c r="I98" s="1188">
        <v>0.8</v>
      </c>
      <c r="J98" s="1188">
        <v>0.85</v>
      </c>
      <c r="K98" s="1188">
        <v>0.9</v>
      </c>
      <c r="L98" s="1188">
        <v>0.95</v>
      </c>
      <c r="M98" s="1188">
        <v>1.0001</v>
      </c>
      <c r="N98" s="2221"/>
      <c r="O98" s="2221"/>
      <c r="P98" s="3431"/>
      <c r="Q98" s="3422"/>
    </row>
    <row r="99" ht="15.75" spans="1:23">
      <c r="A99" s="1695"/>
      <c r="B99" s="1705"/>
      <c r="C99" s="1746">
        <v>100</v>
      </c>
      <c r="D99" s="1706">
        <f>C99+$K33</f>
        <v>102</v>
      </c>
      <c r="E99" s="1706">
        <f t="shared" ref="E99:M99" si="25">D99+$K33</f>
        <v>104</v>
      </c>
      <c r="F99" s="1706">
        <f t="shared" si="25"/>
        <v>106</v>
      </c>
      <c r="G99" s="1706">
        <f t="shared" si="25"/>
        <v>108</v>
      </c>
      <c r="H99" s="1706">
        <f t="shared" si="25"/>
        <v>110</v>
      </c>
      <c r="I99" s="1706">
        <f t="shared" si="25"/>
        <v>112</v>
      </c>
      <c r="J99" s="1706">
        <f t="shared" si="25"/>
        <v>114</v>
      </c>
      <c r="K99" s="1706">
        <f t="shared" si="25"/>
        <v>116</v>
      </c>
      <c r="L99" s="1706">
        <f t="shared" si="25"/>
        <v>118</v>
      </c>
      <c r="M99" s="1706">
        <f t="shared" si="25"/>
        <v>120</v>
      </c>
      <c r="N99" s="2223"/>
      <c r="O99" s="2223"/>
      <c r="P99" s="3431"/>
      <c r="Q99" s="3422"/>
    </row>
    <row r="100" s="1373" customFormat="1" ht="15.75" spans="1:23">
      <c r="A100" s="1764"/>
      <c r="B100" s="1700" t="s">
        <v>1175</v>
      </c>
      <c r="C100" s="1717"/>
      <c r="D100" s="1717"/>
      <c r="E100" s="1717"/>
      <c r="F100" s="1717"/>
      <c r="G100" s="1717"/>
      <c r="H100" s="1753"/>
      <c r="I100" s="1753"/>
      <c r="J100" s="1753"/>
      <c r="K100" s="1754"/>
      <c r="L100" s="1755"/>
      <c r="M100" s="1756"/>
      <c r="N100" s="2224"/>
      <c r="O100" s="2224"/>
      <c r="P100" s="3432"/>
      <c r="Q100" s="3433"/>
      <c r="R100" s="3434"/>
      <c r="S100" s="3434"/>
      <c r="T100" s="3434"/>
      <c r="U100" s="3434"/>
      <c r="V100" s="3434"/>
      <c r="W100" s="3434"/>
    </row>
    <row r="101" s="1373" customFormat="1" ht="15.75" spans="1:23">
      <c r="A101" s="1716"/>
      <c r="B101" s="1705"/>
      <c r="C101" s="1706">
        <v>100</v>
      </c>
      <c r="D101" s="1706">
        <f>C101-$K34</f>
        <v>100</v>
      </c>
      <c r="E101" s="1706">
        <f t="shared" ref="E101:M101" si="26">D101-$K34</f>
        <v>100</v>
      </c>
      <c r="F101" s="1706">
        <f t="shared" si="26"/>
        <v>100</v>
      </c>
      <c r="G101" s="1706">
        <f t="shared" si="26"/>
        <v>100</v>
      </c>
      <c r="H101" s="1706">
        <f t="shared" si="26"/>
        <v>100</v>
      </c>
      <c r="I101" s="1706">
        <f t="shared" si="26"/>
        <v>100</v>
      </c>
      <c r="J101" s="1706">
        <f t="shared" si="26"/>
        <v>100</v>
      </c>
      <c r="K101" s="1706">
        <f t="shared" si="26"/>
        <v>100</v>
      </c>
      <c r="L101" s="1706">
        <f t="shared" si="26"/>
        <v>100</v>
      </c>
      <c r="M101" s="1706">
        <f t="shared" si="26"/>
        <v>100</v>
      </c>
      <c r="N101" s="2224"/>
      <c r="O101" s="2224"/>
      <c r="P101" s="3432"/>
      <c r="Q101" s="3433"/>
      <c r="R101" s="3434"/>
      <c r="S101" s="3434"/>
      <c r="T101" s="3434"/>
      <c r="U101" s="3434"/>
      <c r="V101" s="3434"/>
      <c r="W101" s="3434"/>
    </row>
    <row r="102" ht="15.75" spans="1:23">
      <c r="A102" s="1773"/>
      <c r="B102" s="1700" t="s">
        <v>1176</v>
      </c>
      <c r="C102" s="1717"/>
      <c r="D102" s="1717"/>
      <c r="E102" s="1717"/>
      <c r="F102" s="1717"/>
      <c r="G102" s="1717"/>
      <c r="H102" s="1753"/>
      <c r="I102" s="1753"/>
      <c r="J102" s="1753"/>
      <c r="K102" s="1754"/>
      <c r="L102" s="1755"/>
      <c r="M102" s="1756"/>
      <c r="N102" s="2221"/>
      <c r="O102" s="2221"/>
      <c r="P102" s="3431"/>
      <c r="Q102" s="3422"/>
    </row>
    <row r="103" ht="15.75" spans="1:23">
      <c r="A103" s="1695"/>
      <c r="B103" s="1705"/>
      <c r="C103" s="1706">
        <v>100</v>
      </c>
      <c r="D103" s="1706">
        <f t="shared" ref="D103:M103" si="27">C103-$K35</f>
        <v>100</v>
      </c>
      <c r="E103" s="1706">
        <f t="shared" si="27"/>
        <v>100</v>
      </c>
      <c r="F103" s="1706">
        <f t="shared" si="27"/>
        <v>100</v>
      </c>
      <c r="G103" s="1706">
        <f t="shared" si="27"/>
        <v>100</v>
      </c>
      <c r="H103" s="1706">
        <f t="shared" si="27"/>
        <v>100</v>
      </c>
      <c r="I103" s="1706">
        <f t="shared" si="27"/>
        <v>100</v>
      </c>
      <c r="J103" s="1706">
        <f t="shared" si="27"/>
        <v>100</v>
      </c>
      <c r="K103" s="1706">
        <f t="shared" si="27"/>
        <v>100</v>
      </c>
      <c r="L103" s="1706">
        <f t="shared" si="27"/>
        <v>100</v>
      </c>
      <c r="M103" s="1707">
        <f t="shared" si="27"/>
        <v>100</v>
      </c>
      <c r="N103" s="2223"/>
      <c r="O103" s="2223"/>
      <c r="P103" s="3431"/>
      <c r="Q103" s="3422"/>
    </row>
    <row r="104" ht="15.75" spans="1:23">
      <c r="A104" s="1773"/>
      <c r="B104" s="1700" t="s">
        <v>1177</v>
      </c>
      <c r="C104" s="3437" t="s">
        <v>1174</v>
      </c>
      <c r="D104" s="3437" t="s">
        <v>1179</v>
      </c>
      <c r="E104" s="3437" t="s">
        <v>1213</v>
      </c>
      <c r="F104" s="3437" t="s">
        <v>1178</v>
      </c>
      <c r="G104" s="1717"/>
      <c r="H104" s="1753"/>
      <c r="I104" s="1753"/>
      <c r="J104" s="1753"/>
      <c r="K104" s="1754"/>
      <c r="L104" s="1755"/>
      <c r="M104" s="1756"/>
      <c r="N104" s="2221"/>
      <c r="O104" s="2221"/>
      <c r="P104" s="3431"/>
      <c r="Q104" s="3422"/>
    </row>
    <row r="105" ht="15.75" spans="1:23">
      <c r="A105" s="1695"/>
      <c r="B105" s="1705"/>
      <c r="C105" s="1706">
        <v>100</v>
      </c>
      <c r="D105" s="1706">
        <f>C105-$K36</f>
        <v>98</v>
      </c>
      <c r="E105" s="1706">
        <f>D105-$K36</f>
        <v>96</v>
      </c>
      <c r="F105" s="1706">
        <f>E105-$K36</f>
        <v>94</v>
      </c>
      <c r="G105" s="1706">
        <f>F105-$K36</f>
        <v>92</v>
      </c>
      <c r="H105" s="1706"/>
      <c r="I105" s="1706"/>
      <c r="J105" s="1706"/>
      <c r="K105" s="1706"/>
      <c r="L105" s="1706"/>
      <c r="M105" s="1707"/>
      <c r="N105" s="2223"/>
      <c r="O105" s="2223"/>
      <c r="P105" s="3431"/>
      <c r="Q105" s="3422"/>
    </row>
    <row r="106" ht="15.75" spans="1:23">
      <c r="A106" s="1773"/>
      <c r="B106" s="2002" t="s">
        <v>1214</v>
      </c>
      <c r="C106" s="1742" t="s">
        <v>1200</v>
      </c>
      <c r="D106" s="1742" t="s">
        <v>1201</v>
      </c>
      <c r="E106" s="1742" t="s">
        <v>1202</v>
      </c>
      <c r="F106" s="1742" t="s">
        <v>1203</v>
      </c>
      <c r="G106" s="1742" t="s">
        <v>1204</v>
      </c>
      <c r="H106" s="1701"/>
      <c r="I106" s="1701"/>
      <c r="J106" s="1701"/>
      <c r="K106" s="1702"/>
      <c r="L106" s="1703"/>
      <c r="M106" s="1704"/>
      <c r="N106" s="2223"/>
      <c r="O106" s="2223"/>
      <c r="P106" s="3438"/>
      <c r="Q106" s="3439"/>
    </row>
    <row r="107" ht="15.75" spans="1:23">
      <c r="A107" s="1695"/>
      <c r="B107" s="1705"/>
      <c r="C107" s="1746">
        <v>100</v>
      </c>
      <c r="D107" s="1706">
        <f t="shared" ref="D107:M107" si="28">C107-$K37</f>
        <v>98</v>
      </c>
      <c r="E107" s="1706">
        <f t="shared" si="28"/>
        <v>96</v>
      </c>
      <c r="F107" s="1706">
        <f t="shared" si="28"/>
        <v>94</v>
      </c>
      <c r="G107" s="1706">
        <f t="shared" si="28"/>
        <v>92</v>
      </c>
      <c r="H107" s="1706">
        <f t="shared" si="28"/>
        <v>90</v>
      </c>
      <c r="I107" s="1706">
        <f t="shared" si="28"/>
        <v>88</v>
      </c>
      <c r="J107" s="1706">
        <f t="shared" si="28"/>
        <v>86</v>
      </c>
      <c r="K107" s="1706">
        <f t="shared" si="28"/>
        <v>84</v>
      </c>
      <c r="L107" s="1706">
        <f t="shared" si="28"/>
        <v>82</v>
      </c>
      <c r="M107" s="1706">
        <f t="shared" si="28"/>
        <v>80</v>
      </c>
      <c r="N107" s="2223"/>
      <c r="O107" s="2223"/>
      <c r="P107" s="3431"/>
      <c r="Q107" s="3422"/>
    </row>
    <row r="108" s="1373" customFormat="1" ht="29.25" spans="1:23">
      <c r="A108" s="1764"/>
      <c r="B108" s="1700" t="str">
        <f>B38</f>
        <v>地下面积占比</v>
      </c>
      <c r="C108" s="3440" t="s">
        <v>1182</v>
      </c>
      <c r="D108" s="3440" t="s">
        <v>1184</v>
      </c>
      <c r="E108" s="3440" t="s">
        <v>1215</v>
      </c>
      <c r="F108" s="1717"/>
      <c r="G108" s="1717"/>
      <c r="H108" s="1718"/>
      <c r="I108" s="1718"/>
      <c r="J108" s="1718"/>
      <c r="K108" s="1718"/>
      <c r="L108" s="1719"/>
      <c r="M108" s="1720"/>
      <c r="N108" s="2224">
        <v>5</v>
      </c>
      <c r="O108" s="2224"/>
      <c r="P108" s="3432"/>
      <c r="Q108" s="3433"/>
      <c r="R108" s="3434"/>
      <c r="S108" s="3434"/>
      <c r="T108" s="3434"/>
      <c r="U108" s="3434"/>
      <c r="V108" s="3434"/>
      <c r="W108" s="3434"/>
    </row>
    <row r="109" s="1373" customFormat="1" ht="15.75" spans="1:23">
      <c r="A109" s="1716"/>
      <c r="B109" s="1696"/>
      <c r="C109" s="1724">
        <v>100</v>
      </c>
      <c r="D109" s="1697">
        <f>C109-$N$108</f>
        <v>95</v>
      </c>
      <c r="E109" s="1697">
        <f>D109-$N$108</f>
        <v>90</v>
      </c>
      <c r="F109" s="1697"/>
      <c r="G109" s="1724"/>
      <c r="H109" s="1726"/>
      <c r="I109" s="1726"/>
      <c r="J109" s="1726"/>
      <c r="K109" s="1726"/>
      <c r="L109" s="1726"/>
      <c r="M109" s="1727"/>
      <c r="N109" s="2224"/>
      <c r="O109" s="2224"/>
      <c r="P109" s="3432"/>
      <c r="Q109" s="3433"/>
      <c r="R109" s="3434"/>
      <c r="S109" s="3434"/>
      <c r="T109" s="3434"/>
      <c r="U109" s="3434"/>
      <c r="V109" s="3434"/>
      <c r="W109" s="3434"/>
    </row>
    <row r="110" ht="15.75" spans="1:23">
      <c r="A110" s="1773"/>
      <c r="B110" s="1700">
        <f>B39</f>
        <v>111</v>
      </c>
      <c r="C110" s="1717"/>
      <c r="D110" s="1717"/>
      <c r="E110" s="1717"/>
      <c r="F110" s="1717"/>
      <c r="G110" s="1717"/>
      <c r="H110" s="1718"/>
      <c r="I110" s="1718"/>
      <c r="J110" s="1718"/>
      <c r="K110" s="1718"/>
      <c r="L110" s="1719"/>
      <c r="M110" s="1720"/>
      <c r="N110" s="2221"/>
      <c r="O110" s="2221"/>
      <c r="P110" s="3431"/>
      <c r="Q110" s="3422"/>
    </row>
    <row r="111" ht="15.75" spans="1:23">
      <c r="A111" s="1695"/>
      <c r="B111" s="1705"/>
      <c r="C111" s="1724"/>
      <c r="D111" s="1697"/>
      <c r="E111" s="1697"/>
      <c r="F111" s="1697"/>
      <c r="G111" s="1724"/>
      <c r="H111" s="1726"/>
      <c r="I111" s="1726"/>
      <c r="J111" s="1726"/>
      <c r="K111" s="1726"/>
      <c r="L111" s="1726"/>
      <c r="M111" s="1727"/>
      <c r="N111" s="2223"/>
      <c r="O111" s="2223"/>
      <c r="P111" s="3431"/>
      <c r="Q111" s="3422"/>
    </row>
    <row r="112" ht="15.75" spans="1:23">
      <c r="A112" s="1773"/>
      <c r="B112" s="1708">
        <f>B40</f>
        <v>111</v>
      </c>
      <c r="C112" s="1680"/>
      <c r="D112" s="1680"/>
      <c r="E112" s="1680"/>
      <c r="F112" s="1680"/>
      <c r="G112" s="1757"/>
      <c r="H112" s="1757"/>
      <c r="I112" s="1757"/>
      <c r="J112" s="1757"/>
      <c r="K112" s="1680"/>
      <c r="L112" s="1681"/>
      <c r="M112" s="1760"/>
      <c r="N112" s="2221"/>
      <c r="O112" s="2221"/>
      <c r="P112" s="3431"/>
      <c r="Q112" s="3422"/>
    </row>
    <row r="113" ht="15.75" spans="1:17">
      <c r="A113" s="2085"/>
      <c r="B113" s="1733"/>
      <c r="C113" s="1734"/>
      <c r="D113" s="1734"/>
      <c r="E113" s="1734"/>
      <c r="F113" s="1734"/>
      <c r="G113" s="1761"/>
      <c r="H113" s="1761"/>
      <c r="I113" s="1761"/>
      <c r="J113" s="1761"/>
      <c r="K113" s="1761"/>
      <c r="L113" s="1761"/>
      <c r="M113" s="1762"/>
      <c r="N113" s="2223"/>
      <c r="O113" s="2223"/>
      <c r="P113" s="3431"/>
      <c r="Q113" s="342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3" customWidth="1"/>
    <col min="2" max="9" width="10" style="4753" customWidth="1"/>
    <col min="10" max="16384" width="9" style="4753"/>
  </cols>
  <sheetData>
    <row r="36" spans="1:9">
      <c r="A36" s="4752" t="s">
        <v>75</v>
      </c>
      <c r="B36" s="4752" t="s">
        <v>76</v>
      </c>
    </row>
    <row r="37" ht="27.75" customHeight="1" spans="1:9">
      <c r="A37" s="4752"/>
      <c r="B37" s="4754" t="str">
        <f>项目基本情况!B1</f>
        <v>北京市房地产抵押价值预评估</v>
      </c>
      <c r="C37" s="4754"/>
      <c r="D37" s="4754"/>
      <c r="E37" s="4754"/>
      <c r="F37" s="4754"/>
      <c r="G37" s="4754"/>
      <c r="H37" s="4754"/>
      <c r="I37" s="4754"/>
    </row>
    <row r="38" spans="1:9">
      <c r="A38" s="4755"/>
      <c r="B38" s="4755"/>
    </row>
    <row r="39" spans="1:9">
      <c r="A39" s="4752" t="s">
        <v>75</v>
      </c>
      <c r="B39" s="4752" t="s">
        <v>77</v>
      </c>
    </row>
    <row r="40" spans="1:9">
      <c r="A40" s="4752"/>
      <c r="B40" s="4756">
        <f>项目基本情况!B5</f>
        <v>0</v>
      </c>
    </row>
    <row r="41" spans="1:9">
      <c r="A41" s="4752"/>
      <c r="B41" s="4752"/>
    </row>
    <row r="42" spans="1:9">
      <c r="A42" s="4752" t="s">
        <v>75</v>
      </c>
      <c r="B42" s="4752" t="s">
        <v>78</v>
      </c>
    </row>
    <row r="43" spans="1:9">
      <c r="A43" s="4752"/>
      <c r="B43" s="4756" t="s">
        <v>79</v>
      </c>
    </row>
    <row r="44" spans="1:9">
      <c r="A44" s="4752"/>
      <c r="B44" s="4752"/>
    </row>
    <row r="45" spans="1:9">
      <c r="A45" s="4752" t="s">
        <v>75</v>
      </c>
      <c r="B45" s="4752" t="s">
        <v>80</v>
      </c>
    </row>
    <row r="46" s="4752" customFormat="1" ht="12.75" spans="1:9">
      <c r="B46" s="4756" t="str">
        <f ca="1">项目基本情况!K4</f>
        <v>（注册号：0)、（注册号：0)</v>
      </c>
    </row>
    <row r="47" spans="1:9">
      <c r="A47" s="4752"/>
      <c r="B47" s="4752" t="str">
        <f ca="1">项目基本情况!K5</f>
        <v>（注册号：0)、（注册号：0)</v>
      </c>
    </row>
    <row r="48" spans="1:9">
      <c r="A48" s="4752" t="s">
        <v>75</v>
      </c>
      <c r="B48" s="4752" t="s">
        <v>81</v>
      </c>
    </row>
    <row r="49" spans="2:2">
      <c r="B49" s="475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K30" sqref="K30"/>
    </sheetView>
  </sheetViews>
  <sheetFormatPr defaultColWidth="9" defaultRowHeight="12.75"/>
  <cols>
    <col min="1" max="1" width="11.5" style="3275" customWidth="1"/>
    <col min="2" max="2" width="9.25" style="3276" customWidth="1"/>
    <col min="3" max="3" width="5" style="3276" customWidth="1"/>
    <col min="4" max="4" width="9" style="3276"/>
    <col min="5" max="5" width="5" style="3276" customWidth="1"/>
    <col min="6" max="6" width="9" style="3276"/>
    <col min="7" max="7" width="5" style="3276" customWidth="1"/>
    <col min="8" max="8" width="9" style="3276"/>
    <col min="9" max="9" width="5" style="3276" customWidth="1"/>
    <col min="10" max="10" width="9" style="3276"/>
    <col min="11" max="11" width="5" style="3276" customWidth="1"/>
    <col min="12" max="12" width="9" style="3276"/>
    <col min="13" max="13" width="5" style="3276" customWidth="1"/>
    <col min="14" max="14" width="9" style="3276"/>
    <col min="15" max="15" width="5" style="3276" customWidth="1"/>
    <col min="16" max="16" width="9" style="3276"/>
    <col min="17" max="17" width="5" style="3276" customWidth="1"/>
    <col min="18" max="18" width="9" style="3276"/>
    <col min="19" max="19" width="9" style="3275"/>
    <col min="20" max="45" width="9" style="3277"/>
    <col min="46" max="16384" width="9" style="3275"/>
  </cols>
  <sheetData>
    <row r="1" ht="14.25" customHeight="1" spans="1:45">
      <c r="A1" s="3278"/>
      <c r="B1" s="3279" t="s">
        <v>1216</v>
      </c>
      <c r="C1" s="3280" t="s">
        <v>1217</v>
      </c>
      <c r="D1" s="3281"/>
      <c r="E1" s="3281"/>
      <c r="F1" s="3281"/>
      <c r="G1" s="3281"/>
      <c r="H1" s="3281"/>
      <c r="I1" s="3281"/>
      <c r="J1" s="3281"/>
      <c r="K1" s="3281"/>
      <c r="L1" s="3281"/>
      <c r="M1" s="3281"/>
      <c r="N1" s="3281"/>
      <c r="O1" s="3281"/>
      <c r="P1" s="3281"/>
      <c r="Q1" s="3281"/>
      <c r="R1" s="3281"/>
      <c r="S1" s="3282"/>
      <c r="T1" s="3279" t="s">
        <v>1218</v>
      </c>
    </row>
    <row r="2" s="2565" customFormat="1" ht="38.25" spans="1:45">
      <c r="A2" s="3283"/>
      <c r="B2" s="3284" t="s">
        <v>540</v>
      </c>
      <c r="C2" s="3285" t="str">
        <f t="shared" ref="C2:L2" si="0">C3&amp;"(含)"&amp;"-"&amp;D3</f>
        <v>0(含)-500</v>
      </c>
      <c r="D2" s="3286" t="str">
        <f t="shared" si="0"/>
        <v>500(含)-1000</v>
      </c>
      <c r="E2" s="3286" t="str">
        <f t="shared" si="0"/>
        <v>1000(含)-2000</v>
      </c>
      <c r="F2" s="3286" t="str">
        <f t="shared" si="0"/>
        <v>2000(含)-3000</v>
      </c>
      <c r="G2" s="3286" t="str">
        <f t="shared" si="0"/>
        <v>3000(含)-5000</v>
      </c>
      <c r="H2" s="3286" t="str">
        <f t="shared" si="0"/>
        <v>5000(含)-</v>
      </c>
      <c r="I2" s="3286" t="str">
        <f t="shared" si="0"/>
        <v>(含)-</v>
      </c>
      <c r="J2" s="3286" t="str">
        <f t="shared" si="0"/>
        <v>(含)-</v>
      </c>
      <c r="K2" s="3286" t="str">
        <f t="shared" si="0"/>
        <v>(含)-</v>
      </c>
      <c r="L2" s="3286" t="str">
        <f t="shared" si="0"/>
        <v>(含)-</v>
      </c>
      <c r="M2" s="3286" t="str">
        <f t="shared" ref="M2" si="1">M3&amp;"(含)"&amp;"-"&amp;N3</f>
        <v>(含)-</v>
      </c>
      <c r="N2" s="3286" t="str">
        <f t="shared" ref="N2" si="2">N3&amp;"(含)"&amp;"-"&amp;O3</f>
        <v>(含)-</v>
      </c>
      <c r="O2" s="3286" t="str">
        <f t="shared" ref="O2" si="3">O3&amp;"(含)"&amp;"-"&amp;P3</f>
        <v>(含)-</v>
      </c>
      <c r="P2" s="3286" t="str">
        <f t="shared" ref="P2" si="4">P3&amp;"(含)"&amp;"-"&amp;Q3</f>
        <v>(含)-</v>
      </c>
      <c r="Q2" s="3286" t="str">
        <f t="shared" ref="Q2" si="5">Q3&amp;"(含)"&amp;"-"&amp;R3</f>
        <v>(含)-</v>
      </c>
      <c r="R2" s="3286" t="str">
        <f t="shared" ref="R2" si="6">R3&amp;"(含)"&amp;"-"&amp;S3</f>
        <v>(含)-</v>
      </c>
      <c r="S2" s="3287" t="str">
        <f>S3&amp;"(含)"&amp;"-"</f>
        <v>(含)-</v>
      </c>
      <c r="T2" s="3288"/>
      <c r="U2" s="2836"/>
      <c r="V2" s="2836"/>
      <c r="W2" s="2836"/>
      <c r="X2" s="2836"/>
      <c r="Y2" s="2836"/>
      <c r="Z2" s="2836"/>
      <c r="AA2" s="2836"/>
      <c r="AB2" s="2836"/>
      <c r="AC2" s="2836"/>
      <c r="AD2" s="2836"/>
      <c r="AE2" s="2836"/>
      <c r="AF2" s="2836"/>
      <c r="AG2" s="2836"/>
      <c r="AH2" s="2836"/>
      <c r="AI2" s="2836"/>
      <c r="AJ2" s="2836"/>
      <c r="AK2" s="2836"/>
      <c r="AL2" s="2836"/>
      <c r="AM2" s="2836"/>
      <c r="AN2" s="2836"/>
      <c r="AO2" s="2836"/>
      <c r="AP2" s="2836"/>
      <c r="AQ2" s="2836"/>
      <c r="AR2" s="2836"/>
      <c r="AS2" s="2836"/>
    </row>
    <row r="3" s="3270" customFormat="1" spans="1:45">
      <c r="A3" s="3289"/>
      <c r="B3" s="3290"/>
      <c r="C3" s="3291">
        <f>'比较法-工业'!C91</f>
        <v>0</v>
      </c>
      <c r="D3" s="3291">
        <f>'比较法-工业'!D91</f>
        <v>500</v>
      </c>
      <c r="E3" s="3291">
        <f>'比较法-工业'!E91</f>
        <v>1000</v>
      </c>
      <c r="F3" s="3291">
        <f>'比较法-工业'!F91</f>
        <v>2000</v>
      </c>
      <c r="G3" s="3291">
        <f>'比较法-工业'!G91</f>
        <v>3000</v>
      </c>
      <c r="H3" s="3291">
        <f>'比较法-工业'!H91</f>
        <v>5000</v>
      </c>
      <c r="I3" s="3292"/>
      <c r="J3" s="3292"/>
      <c r="K3" s="3292"/>
      <c r="L3" s="1225"/>
      <c r="M3" s="3293"/>
      <c r="N3" s="3293"/>
      <c r="O3" s="3292"/>
      <c r="P3" s="3292"/>
      <c r="Q3" s="3292"/>
      <c r="R3" s="3292"/>
      <c r="S3" s="3294"/>
      <c r="T3" s="3295"/>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row>
    <row r="4" s="3270" customFormat="1" ht="13.5" spans="1:45">
      <c r="A4" s="3297"/>
      <c r="B4" s="3298"/>
      <c r="C4" s="3299">
        <f>'比较法-工业'!C92</f>
        <v>100</v>
      </c>
      <c r="D4" s="3299">
        <f>'比较法-工业'!D92</f>
        <v>98</v>
      </c>
      <c r="E4" s="3299">
        <f>'比较法-工业'!E92</f>
        <v>96</v>
      </c>
      <c r="F4" s="3299">
        <f>'比较法-工业'!F92</f>
        <v>94</v>
      </c>
      <c r="G4" s="3299">
        <f>'比较法-工业'!G92</f>
        <v>92</v>
      </c>
      <c r="H4" s="3299">
        <f>'比较法-工业'!H92</f>
        <v>90</v>
      </c>
      <c r="I4" s="3300"/>
      <c r="J4" s="3300"/>
      <c r="K4" s="3300"/>
      <c r="L4" s="3300"/>
      <c r="M4" s="3301"/>
      <c r="N4" s="3301"/>
      <c r="O4" s="3300"/>
      <c r="P4" s="3300"/>
      <c r="Q4" s="3300"/>
      <c r="R4" s="3300"/>
      <c r="S4" s="3302"/>
      <c r="T4" s="1157"/>
      <c r="U4" s="3296"/>
      <c r="V4" s="3296"/>
      <c r="W4" s="3296"/>
      <c r="X4" s="3296"/>
      <c r="Y4" s="3296"/>
      <c r="Z4" s="3296"/>
      <c r="AA4" s="3296"/>
      <c r="AB4" s="3296"/>
      <c r="AC4" s="3296"/>
      <c r="AD4" s="3296"/>
      <c r="AE4" s="3296"/>
      <c r="AF4" s="3296"/>
      <c r="AG4" s="3296"/>
      <c r="AH4" s="3296"/>
      <c r="AI4" s="3296"/>
      <c r="AJ4" s="3296"/>
      <c r="AK4" s="3296"/>
      <c r="AL4" s="3296"/>
      <c r="AM4" s="3296"/>
      <c r="AN4" s="3296"/>
      <c r="AO4" s="3296"/>
      <c r="AP4" s="3296"/>
      <c r="AQ4" s="3296"/>
      <c r="AR4" s="3296"/>
      <c r="AS4" s="3296"/>
    </row>
    <row r="5" s="3271" customFormat="1" ht="50.25" spans="1:45">
      <c r="A5" s="2761"/>
      <c r="B5" s="3303" t="s">
        <v>1181</v>
      </c>
      <c r="C5" s="3304" t="str">
        <f>'比较法-工业'!C108</f>
        <v>0（含）-10%</v>
      </c>
      <c r="D5" s="3305" t="str">
        <f>'比较法-工业'!D108</f>
        <v>10%（含）-20%</v>
      </c>
      <c r="E5" s="3305" t="str">
        <f>'比较法-工业'!E108</f>
        <v>20%（含）-30%</v>
      </c>
      <c r="F5" s="3306"/>
      <c r="G5" s="3306"/>
      <c r="H5" s="3306"/>
      <c r="I5" s="3306"/>
      <c r="J5" s="3306"/>
      <c r="K5" s="3306"/>
      <c r="L5" s="3307"/>
      <c r="M5" s="3308"/>
      <c r="N5" s="3308"/>
      <c r="O5" s="3306"/>
      <c r="P5" s="3306"/>
      <c r="Q5" s="3306"/>
      <c r="R5" s="3306"/>
      <c r="S5" s="3309"/>
      <c r="T5" s="3310">
        <f>'比较法-工业'!N108</f>
        <v>5</v>
      </c>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row>
    <row r="6" s="3271" customFormat="1" ht="13.5" spans="1:45">
      <c r="A6" s="2761"/>
      <c r="B6" s="3311"/>
      <c r="C6" s="3312">
        <v>100</v>
      </c>
      <c r="D6" s="3313">
        <f>C6-$T5</f>
        <v>95</v>
      </c>
      <c r="E6" s="3313">
        <f t="shared" ref="E6:S6" si="7">D6-$T5</f>
        <v>90</v>
      </c>
      <c r="F6" s="3314">
        <f t="shared" si="7"/>
        <v>85</v>
      </c>
      <c r="G6" s="3314">
        <f t="shared" si="7"/>
        <v>80</v>
      </c>
      <c r="H6" s="3314">
        <f t="shared" si="7"/>
        <v>75</v>
      </c>
      <c r="I6" s="3314">
        <f t="shared" si="7"/>
        <v>70</v>
      </c>
      <c r="J6" s="3314">
        <f t="shared" si="7"/>
        <v>65</v>
      </c>
      <c r="K6" s="3314">
        <f t="shared" si="7"/>
        <v>60</v>
      </c>
      <c r="L6" s="3314">
        <f t="shared" si="7"/>
        <v>55</v>
      </c>
      <c r="M6" s="3314">
        <f t="shared" si="7"/>
        <v>50</v>
      </c>
      <c r="N6" s="3314">
        <f t="shared" si="7"/>
        <v>45</v>
      </c>
      <c r="O6" s="3314">
        <f t="shared" si="7"/>
        <v>40</v>
      </c>
      <c r="P6" s="3314">
        <f t="shared" si="7"/>
        <v>35</v>
      </c>
      <c r="Q6" s="3314">
        <f t="shared" si="7"/>
        <v>30</v>
      </c>
      <c r="R6" s="3314">
        <f t="shared" si="7"/>
        <v>25</v>
      </c>
      <c r="S6" s="3314">
        <f t="shared" si="7"/>
        <v>20</v>
      </c>
      <c r="T6" s="3315"/>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row>
    <row r="7" s="3271" customFormat="1" spans="1:45">
      <c r="A7" s="2761"/>
      <c r="B7" s="3316" t="s">
        <v>1219</v>
      </c>
      <c r="C7" s="3317"/>
      <c r="D7" s="3318"/>
      <c r="E7" s="3318"/>
      <c r="F7" s="3319"/>
      <c r="G7" s="3319"/>
      <c r="H7" s="3319"/>
      <c r="I7" s="3319"/>
      <c r="J7" s="3319"/>
      <c r="K7" s="3319"/>
      <c r="L7" s="3319"/>
      <c r="M7" s="3320"/>
      <c r="N7" s="3321"/>
      <c r="O7" s="3322"/>
      <c r="P7" s="3322"/>
      <c r="Q7" s="3322"/>
      <c r="R7" s="3323"/>
      <c r="S7" s="3324"/>
      <c r="T7" s="3325"/>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row>
    <row r="8" s="3271" customFormat="1" ht="13.5" spans="1:45">
      <c r="A8" s="2761"/>
      <c r="B8" s="3311"/>
      <c r="C8" s="3312">
        <v>100</v>
      </c>
      <c r="D8" s="3313">
        <f>C8-$T7</f>
        <v>100</v>
      </c>
      <c r="E8" s="3313">
        <f t="shared" ref="E8:S8" si="8">D8-$T7</f>
        <v>100</v>
      </c>
      <c r="F8" s="3314">
        <f t="shared" si="8"/>
        <v>100</v>
      </c>
      <c r="G8" s="3314">
        <f t="shared" si="8"/>
        <v>100</v>
      </c>
      <c r="H8" s="3314">
        <f t="shared" si="8"/>
        <v>100</v>
      </c>
      <c r="I8" s="3314">
        <f t="shared" si="8"/>
        <v>100</v>
      </c>
      <c r="J8" s="3314">
        <f t="shared" si="8"/>
        <v>100</v>
      </c>
      <c r="K8" s="3314">
        <f t="shared" si="8"/>
        <v>100</v>
      </c>
      <c r="L8" s="3314">
        <f t="shared" si="8"/>
        <v>100</v>
      </c>
      <c r="M8" s="3314">
        <f t="shared" si="8"/>
        <v>100</v>
      </c>
      <c r="N8" s="3314">
        <f t="shared" si="8"/>
        <v>100</v>
      </c>
      <c r="O8" s="3314">
        <f t="shared" si="8"/>
        <v>100</v>
      </c>
      <c r="P8" s="3314">
        <f t="shared" si="8"/>
        <v>100</v>
      </c>
      <c r="Q8" s="3314">
        <f t="shared" si="8"/>
        <v>100</v>
      </c>
      <c r="R8" s="3314">
        <f t="shared" si="8"/>
        <v>100</v>
      </c>
      <c r="S8" s="3314">
        <f t="shared" si="8"/>
        <v>100</v>
      </c>
      <c r="T8" s="3315"/>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row>
    <row r="9" s="3271" customFormat="1" spans="1:45">
      <c r="A9" s="2761"/>
      <c r="B9" s="3316" t="s">
        <v>1220</v>
      </c>
      <c r="C9" s="3317"/>
      <c r="D9" s="3318"/>
      <c r="E9" s="3318"/>
      <c r="F9" s="3319"/>
      <c r="G9" s="3319"/>
      <c r="H9" s="3319"/>
      <c r="I9" s="3319"/>
      <c r="J9" s="3319"/>
      <c r="K9" s="3319"/>
      <c r="L9" s="3326"/>
      <c r="M9" s="3320"/>
      <c r="N9" s="3321"/>
      <c r="O9" s="3322"/>
      <c r="P9" s="3322"/>
      <c r="Q9" s="3322"/>
      <c r="R9" s="3323"/>
      <c r="S9" s="3324"/>
      <c r="T9" s="3325"/>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row>
    <row r="10" s="3271" customFormat="1" ht="13.5" spans="1:45">
      <c r="A10" s="2761"/>
      <c r="B10" s="3298"/>
      <c r="C10" s="3327">
        <v>100</v>
      </c>
      <c r="D10" s="3328">
        <f>C10-$T9</f>
        <v>100</v>
      </c>
      <c r="E10" s="3328">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157"/>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row>
    <row r="11" s="3271" customFormat="1" spans="1:45">
      <c r="A11" s="2761"/>
      <c r="B11" s="3329" t="s">
        <v>1221</v>
      </c>
      <c r="C11" s="3304"/>
      <c r="D11" s="3305"/>
      <c r="E11" s="3305"/>
      <c r="F11" s="3305"/>
      <c r="G11" s="3305"/>
      <c r="H11" s="3305"/>
      <c r="I11" s="3305"/>
      <c r="J11" s="3305"/>
      <c r="K11" s="3305"/>
      <c r="L11" s="3305"/>
      <c r="M11" s="3330"/>
      <c r="N11" s="3331"/>
      <c r="O11" s="3332"/>
      <c r="P11" s="3332"/>
      <c r="Q11" s="3332"/>
      <c r="R11" s="3333"/>
      <c r="S11" s="3334"/>
      <c r="T11" s="3310"/>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row>
    <row r="12" s="3271" customFormat="1" ht="13.5" spans="1:45">
      <c r="A12" s="2761"/>
      <c r="B12" s="3311"/>
      <c r="C12" s="3312">
        <v>100</v>
      </c>
      <c r="D12" s="3313">
        <f>C12-$T11</f>
        <v>100</v>
      </c>
      <c r="E12" s="3313">
        <f t="shared" ref="E12:S12" si="10">D12-$T11</f>
        <v>100</v>
      </c>
      <c r="F12" s="3313">
        <f t="shared" si="10"/>
        <v>100</v>
      </c>
      <c r="G12" s="3313">
        <f t="shared" si="10"/>
        <v>100</v>
      </c>
      <c r="H12" s="3313">
        <f t="shared" si="10"/>
        <v>100</v>
      </c>
      <c r="I12" s="3313">
        <f t="shared" si="10"/>
        <v>100</v>
      </c>
      <c r="J12" s="3313">
        <f t="shared" si="10"/>
        <v>100</v>
      </c>
      <c r="K12" s="3313">
        <f t="shared" si="10"/>
        <v>100</v>
      </c>
      <c r="L12" s="3313">
        <f t="shared" si="10"/>
        <v>100</v>
      </c>
      <c r="M12" s="3313">
        <f t="shared" si="10"/>
        <v>100</v>
      </c>
      <c r="N12" s="3313">
        <f t="shared" si="10"/>
        <v>100</v>
      </c>
      <c r="O12" s="3313">
        <f t="shared" si="10"/>
        <v>100</v>
      </c>
      <c r="P12" s="3313">
        <f t="shared" si="10"/>
        <v>100</v>
      </c>
      <c r="Q12" s="3313">
        <f t="shared" si="10"/>
        <v>100</v>
      </c>
      <c r="R12" s="3313">
        <f t="shared" si="10"/>
        <v>100</v>
      </c>
      <c r="S12" s="3313">
        <f t="shared" si="10"/>
        <v>100</v>
      </c>
      <c r="T12" s="3315"/>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row>
    <row r="13" s="3271" customFormat="1" spans="1:45">
      <c r="A13" s="2761"/>
      <c r="B13" s="3329" t="s">
        <v>1222</v>
      </c>
      <c r="C13" s="3304"/>
      <c r="D13" s="3305"/>
      <c r="E13" s="3305"/>
      <c r="F13" s="3305"/>
      <c r="G13" s="3305"/>
      <c r="H13" s="3305"/>
      <c r="I13" s="3305"/>
      <c r="J13" s="3305"/>
      <c r="K13" s="3305"/>
      <c r="L13" s="3305"/>
      <c r="M13" s="3330"/>
      <c r="N13" s="3331"/>
      <c r="O13" s="3332"/>
      <c r="P13" s="3332"/>
      <c r="Q13" s="3332"/>
      <c r="R13" s="3333"/>
      <c r="S13" s="3334"/>
      <c r="T13" s="3335"/>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row>
    <row r="14" s="3271" customFormat="1" ht="13.5" spans="1:45">
      <c r="A14" s="2761"/>
      <c r="B14" s="3311"/>
      <c r="C14" s="3336"/>
      <c r="D14" s="3337"/>
      <c r="E14" s="3337"/>
      <c r="F14" s="3337"/>
      <c r="G14" s="3337"/>
      <c r="H14" s="3337"/>
      <c r="I14" s="3337"/>
      <c r="J14" s="3337"/>
      <c r="K14" s="3337"/>
      <c r="L14" s="3337"/>
      <c r="M14" s="3338"/>
      <c r="N14" s="3338"/>
      <c r="O14" s="3337"/>
      <c r="P14" s="3337"/>
      <c r="Q14" s="3337"/>
      <c r="R14" s="3337"/>
      <c r="S14" s="3339"/>
      <c r="T14" s="3315"/>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row>
    <row r="15" s="3271" customFormat="1" spans="1:45">
      <c r="A15" s="2761"/>
      <c r="B15" s="3329" t="s">
        <v>1223</v>
      </c>
      <c r="C15" s="3304"/>
      <c r="D15" s="3305"/>
      <c r="E15" s="3305"/>
      <c r="F15" s="3305"/>
      <c r="G15" s="3305"/>
      <c r="H15" s="3305"/>
      <c r="I15" s="3305"/>
      <c r="J15" s="3305"/>
      <c r="K15" s="3305"/>
      <c r="L15" s="3305"/>
      <c r="M15" s="3330"/>
      <c r="N15" s="3331"/>
      <c r="O15" s="3332"/>
      <c r="P15" s="3332"/>
      <c r="Q15" s="3332"/>
      <c r="R15" s="3333"/>
      <c r="S15" s="3334"/>
      <c r="T15" s="3335"/>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row>
    <row r="16" s="3271" customFormat="1" ht="13.5" spans="1:45">
      <c r="A16" s="2761"/>
      <c r="B16" s="3298"/>
      <c r="C16" s="3299"/>
      <c r="D16" s="3340"/>
      <c r="E16" s="3340"/>
      <c r="F16" s="3340"/>
      <c r="G16" s="3340"/>
      <c r="H16" s="3340"/>
      <c r="I16" s="3340"/>
      <c r="J16" s="3340"/>
      <c r="K16" s="3340"/>
      <c r="L16" s="3340"/>
      <c r="M16" s="3341"/>
      <c r="N16" s="3341"/>
      <c r="O16" s="3340"/>
      <c r="P16" s="3340"/>
      <c r="Q16" s="3340"/>
      <c r="R16" s="3340"/>
      <c r="S16" s="3342"/>
      <c r="T16" s="1157"/>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row>
    <row r="17" s="2565" customFormat="1" spans="1:45">
      <c r="A17" s="3343" t="s">
        <v>1224</v>
      </c>
      <c r="B17" s="3344" t="s">
        <v>1225</v>
      </c>
      <c r="C17" s="3345" t="s">
        <v>1165</v>
      </c>
      <c r="D17" s="3345" t="s">
        <v>1226</v>
      </c>
      <c r="E17" s="3346"/>
      <c r="F17" s="3347"/>
      <c r="G17" s="3347"/>
      <c r="H17" s="3347"/>
      <c r="I17" s="3347"/>
      <c r="J17" s="3347"/>
      <c r="K17" s="3347"/>
      <c r="L17" s="3348"/>
      <c r="M17" s="3349"/>
      <c r="N17" s="3350"/>
      <c r="O17" s="3351"/>
      <c r="P17" s="3351"/>
      <c r="Q17" s="3351"/>
      <c r="R17" s="3352"/>
      <c r="S17" s="3353"/>
      <c r="T17" s="3353"/>
      <c r="U17" s="3353"/>
      <c r="V17" s="3353"/>
      <c r="W17" s="3353"/>
      <c r="X17" s="3353"/>
      <c r="Y17" s="3353"/>
      <c r="Z17" s="3353"/>
      <c r="AA17" s="3353"/>
      <c r="AB17" s="3353"/>
      <c r="AC17" s="3353"/>
      <c r="AD17" s="3353"/>
      <c r="AE17" s="3353"/>
      <c r="AF17" s="3353"/>
      <c r="AG17" s="3353"/>
      <c r="AH17" s="3353"/>
      <c r="AI17" s="3353"/>
      <c r="AJ17" s="3353"/>
      <c r="AK17" s="3353"/>
      <c r="AL17" s="3353"/>
      <c r="AM17" s="3353"/>
      <c r="AN17" s="3353"/>
      <c r="AO17" s="3353"/>
      <c r="AP17" s="3353"/>
      <c r="AQ17" s="3353"/>
      <c r="AR17" s="2836"/>
      <c r="AS17" s="2836"/>
    </row>
    <row r="18" s="3272" customFormat="1" ht="13.5" spans="1:45">
      <c r="A18" s="3354"/>
      <c r="B18" s="3355"/>
      <c r="C18" s="3356">
        <f>'比较法-工业'!C81</f>
        <v>100</v>
      </c>
      <c r="D18" s="3356">
        <v>102</v>
      </c>
      <c r="E18" s="3356"/>
      <c r="F18" s="3357"/>
      <c r="G18" s="3357"/>
      <c r="H18" s="3357"/>
      <c r="I18" s="3357"/>
      <c r="J18" s="3357"/>
      <c r="K18" s="3357"/>
      <c r="L18" s="3357"/>
      <c r="M18" s="3358"/>
      <c r="N18" s="3358"/>
      <c r="O18" s="3357"/>
      <c r="P18" s="3357"/>
      <c r="Q18" s="3357"/>
      <c r="R18" s="3357"/>
      <c r="S18" s="3359"/>
      <c r="T18" s="3359"/>
      <c r="U18" s="3360"/>
      <c r="V18" s="3360"/>
      <c r="W18" s="3360"/>
      <c r="X18" s="3360"/>
      <c r="Y18" s="3360"/>
      <c r="Z18" s="3360"/>
      <c r="AA18" s="3360"/>
      <c r="AB18" s="3360"/>
      <c r="AC18" s="3360"/>
      <c r="AD18" s="3360"/>
      <c r="AE18" s="3360"/>
      <c r="AF18" s="3360"/>
      <c r="AG18" s="3360"/>
      <c r="AH18" s="3360"/>
      <c r="AI18" s="3360"/>
      <c r="AJ18" s="3360"/>
      <c r="AK18" s="3360"/>
      <c r="AL18" s="3360"/>
      <c r="AM18" s="3360"/>
      <c r="AN18" s="3360"/>
      <c r="AO18" s="3360"/>
      <c r="AP18" s="3360"/>
      <c r="AQ18" s="3360"/>
      <c r="AR18" s="3361"/>
      <c r="AS18" s="3361"/>
    </row>
    <row r="19" spans="1:45">
      <c r="A19" s="3362"/>
      <c r="B19" s="3363"/>
      <c r="C19" s="3363"/>
      <c r="D19" s="3364" t="s">
        <v>1227</v>
      </c>
      <c r="E19" s="3365"/>
      <c r="F19" s="3365"/>
      <c r="G19" s="3365"/>
      <c r="H19" s="2730"/>
      <c r="I19" s="3363"/>
      <c r="J19" s="3363"/>
      <c r="K19" s="3363"/>
      <c r="L19" s="3363"/>
      <c r="M19" s="3363"/>
      <c r="N19" s="3363"/>
      <c r="O19" s="3363"/>
      <c r="P19" s="3363"/>
      <c r="Q19" s="3363"/>
      <c r="R19" s="3363"/>
      <c r="S19" s="3362"/>
    </row>
    <row r="20" ht="16.5" spans="1:45">
      <c r="A20" s="3366" t="s">
        <v>1228</v>
      </c>
      <c r="B20" s="3367">
        <f ca="1">IF(D20="——",S22,S22-F20)</f>
        <v>28480</v>
      </c>
      <c r="C20" s="3363"/>
      <c r="D20" s="3368" t="s">
        <v>124</v>
      </c>
      <c r="E20" s="3369"/>
      <c r="F20" s="3370" t="e">
        <f ca="1">SUMIF(INDIRECT("'"&amp;H20&amp;"'"&amp;"!A:A"),"承租人权益价值",INDIRECT("'"&amp;H20&amp;"'"&amp;"!c:c"))</f>
        <v>#REF!</v>
      </c>
      <c r="G20" s="3279" t="s">
        <v>887</v>
      </c>
      <c r="H20" s="3371"/>
      <c r="I20" s="3363"/>
      <c r="J20" s="3363"/>
      <c r="K20" s="3363"/>
      <c r="L20" s="3363"/>
      <c r="M20" s="3363"/>
      <c r="N20" s="3363"/>
      <c r="O20" s="3363"/>
      <c r="P20" s="3363"/>
      <c r="Q20" s="3363"/>
      <c r="R20" s="3363"/>
      <c r="S20" s="3362"/>
    </row>
    <row r="21" ht="15.75" spans="1:45">
      <c r="A21" s="3366" t="s">
        <v>1229</v>
      </c>
      <c r="B21" s="3367">
        <f ca="1">ROUND(B20*10000/B22,0)</f>
        <v>13625</v>
      </c>
      <c r="C21" s="3363"/>
      <c r="D21" s="3363"/>
      <c r="E21" s="3363"/>
      <c r="F21" s="3363"/>
      <c r="G21" s="3363"/>
      <c r="H21" s="3363"/>
      <c r="I21" s="3363"/>
      <c r="J21" s="3363"/>
      <c r="K21" s="3363"/>
      <c r="L21" s="3363"/>
      <c r="M21" s="3363"/>
      <c r="N21" s="3363"/>
      <c r="O21" s="3363"/>
      <c r="P21" s="3363"/>
      <c r="Q21" s="3363"/>
      <c r="R21" s="3363"/>
      <c r="S21" s="3362"/>
      <c r="T21" s="3372" t="s">
        <v>834</v>
      </c>
      <c r="V21" s="3372" t="s">
        <v>377</v>
      </c>
    </row>
    <row r="22" spans="1:45">
      <c r="A22" s="2619" t="s">
        <v>1230</v>
      </c>
      <c r="B22" s="1310">
        <f>SUM(B24:B10000)</f>
        <v>20903.38</v>
      </c>
      <c r="C22" s="2741" t="s">
        <v>124</v>
      </c>
      <c r="D22" s="2665"/>
      <c r="E22" s="2665"/>
      <c r="F22" s="2665"/>
      <c r="G22" s="2665"/>
      <c r="H22" s="2665"/>
      <c r="I22" s="2665"/>
      <c r="J22" s="2665"/>
      <c r="K22" s="2665"/>
      <c r="L22" s="2665"/>
      <c r="M22" s="2665"/>
      <c r="N22" s="2665"/>
      <c r="O22" s="2665"/>
      <c r="P22" s="2665"/>
      <c r="Q22" s="3373"/>
      <c r="R22" s="2973">
        <f>ROUND(S22*10000/B22,0)</f>
        <v>13625</v>
      </c>
      <c r="S22" s="2973">
        <f>SUM(S24:S10000)</f>
        <v>28480</v>
      </c>
      <c r="T22" s="3277">
        <f ca="1">结果表!M49</f>
        <v>26223</v>
      </c>
      <c r="V22" s="3277">
        <f ca="1">结果表!P59</f>
        <v>23562</v>
      </c>
    </row>
    <row r="23" s="3273" customFormat="1" ht="24" spans="1:45">
      <c r="A23" s="3374" t="s">
        <v>1231</v>
      </c>
      <c r="B23" s="3375" t="s">
        <v>540</v>
      </c>
      <c r="C23" s="3374" t="s">
        <v>1218</v>
      </c>
      <c r="D23" s="2662" t="str">
        <f>B5</f>
        <v>地下面积占比</v>
      </c>
      <c r="E23" s="3374" t="s">
        <v>1218</v>
      </c>
      <c r="F23" s="2662" t="str">
        <f>B7</f>
        <v>修正项3</v>
      </c>
      <c r="G23" s="3374" t="s">
        <v>1218</v>
      </c>
      <c r="H23" s="2662" t="str">
        <f>B9</f>
        <v>修正项4</v>
      </c>
      <c r="I23" s="3374" t="s">
        <v>1218</v>
      </c>
      <c r="J23" s="2662" t="str">
        <f>B11</f>
        <v>修正项5</v>
      </c>
      <c r="K23" s="3374" t="s">
        <v>1218</v>
      </c>
      <c r="L23" s="2662" t="str">
        <f>B13</f>
        <v>修正项6</v>
      </c>
      <c r="M23" s="3374" t="s">
        <v>1218</v>
      </c>
      <c r="N23" s="2662" t="str">
        <f>B15</f>
        <v>修正项7</v>
      </c>
      <c r="O23" s="3374" t="s">
        <v>1218</v>
      </c>
      <c r="P23" s="2662" t="str">
        <f>B17</f>
        <v>楼层</v>
      </c>
      <c r="Q23" s="3374" t="s">
        <v>1218</v>
      </c>
      <c r="R23" s="3374" t="s">
        <v>1232</v>
      </c>
      <c r="S23" s="3374" t="s">
        <v>1233</v>
      </c>
      <c r="T23" s="3376"/>
      <c r="U23" s="3376"/>
      <c r="V23" s="3376"/>
      <c r="W23" s="3376"/>
      <c r="X23" s="3376"/>
      <c r="Y23" s="3376"/>
      <c r="Z23" s="3376"/>
      <c r="AA23" s="3376"/>
      <c r="AB23" s="3376"/>
      <c r="AC23" s="3376"/>
      <c r="AD23" s="3376"/>
      <c r="AE23" s="3376"/>
      <c r="AF23" s="3376"/>
      <c r="AG23" s="3376"/>
      <c r="AH23" s="3376"/>
      <c r="AI23" s="3376"/>
      <c r="AJ23" s="3376"/>
      <c r="AK23" s="3376"/>
      <c r="AL23" s="3376"/>
      <c r="AM23" s="3376"/>
      <c r="AN23" s="3376"/>
      <c r="AO23" s="3376"/>
      <c r="AP23" s="3376"/>
      <c r="AQ23" s="3376"/>
      <c r="AR23" s="3376"/>
      <c r="AS23" s="3376"/>
    </row>
    <row r="24" s="3274" customFormat="1" spans="1:45">
      <c r="A24" s="3377" t="s">
        <v>1234</v>
      </c>
      <c r="B24" s="3378">
        <f>清单!G6</f>
        <v>2513.84</v>
      </c>
      <c r="C24" s="3379">
        <v>1</v>
      </c>
      <c r="D24" s="3380" t="s">
        <v>1235</v>
      </c>
      <c r="E24" s="3379">
        <v>1</v>
      </c>
      <c r="F24" s="3380"/>
      <c r="G24" s="3379">
        <v>1</v>
      </c>
      <c r="H24" s="3380"/>
      <c r="I24" s="3379">
        <v>1</v>
      </c>
      <c r="J24" s="3380"/>
      <c r="K24" s="3379">
        <v>1</v>
      </c>
      <c r="L24" s="3380"/>
      <c r="M24" s="3379">
        <v>1</v>
      </c>
      <c r="N24" s="3380"/>
      <c r="O24" s="3379">
        <v>1</v>
      </c>
      <c r="P24" s="3380" t="s">
        <v>1165</v>
      </c>
      <c r="Q24" s="3379">
        <v>1</v>
      </c>
      <c r="R24" s="3381">
        <f>'比较法-工业'!C42</f>
        <v>13895</v>
      </c>
      <c r="S24" s="3382">
        <f t="shared" ref="S24:S54" si="11">ROUND(R24*B24/10000,0)</f>
        <v>3493</v>
      </c>
      <c r="T24" s="3383">
        <f ca="1">ROUND(S24/$S$22*$T$22,0)</f>
        <v>3216</v>
      </c>
      <c r="U24" s="3383">
        <f ca="1">ROUND(T24*10000/B24,0)</f>
        <v>12793</v>
      </c>
      <c r="V24" s="3383">
        <f ca="1">ROUND(S24/$S$22*$V$22,0)</f>
        <v>2890</v>
      </c>
      <c r="W24" s="3383">
        <f ca="1">ROUND(V24*10000/B24,0)</f>
        <v>11496</v>
      </c>
      <c r="X24" s="3383"/>
      <c r="Y24" s="3383"/>
      <c r="Z24" s="3383"/>
      <c r="AA24" s="3384"/>
      <c r="AB24" s="3383"/>
      <c r="AC24" s="3383"/>
      <c r="AD24" s="3383"/>
      <c r="AE24" s="3383"/>
      <c r="AF24" s="3383"/>
      <c r="AG24" s="3383"/>
      <c r="AH24" s="3383"/>
      <c r="AI24" s="3383"/>
      <c r="AJ24" s="3383"/>
      <c r="AK24" s="3383"/>
      <c r="AL24" s="3383"/>
      <c r="AM24" s="3383"/>
      <c r="AN24" s="3383"/>
      <c r="AO24" s="3383"/>
      <c r="AP24" s="3383"/>
      <c r="AQ24" s="3383"/>
      <c r="AR24" s="3383"/>
      <c r="AS24" s="3383"/>
    </row>
    <row r="25" spans="1:45">
      <c r="A25" s="3385" t="s">
        <v>1236</v>
      </c>
      <c r="B25" s="3386">
        <f>清单!G7</f>
        <v>2453.92</v>
      </c>
      <c r="C25" s="3387">
        <f>IF(B25="",1,(LOOKUP(B25,$3:$3,$4:$4)-LOOKUP($B$24,$3:$3,$4:$4)+100)/100)</f>
        <v>1</v>
      </c>
      <c r="D25" s="3388" t="s">
        <v>1235</v>
      </c>
      <c r="E25" s="3387">
        <f>(SUMIF($5:$5,D25,$6:$6)-SUMIF($5:$5,$D$24,$6:$6)+100)/100</f>
        <v>1</v>
      </c>
      <c r="F25" s="3388"/>
      <c r="G25" s="3387">
        <f>(SUMIF($7:$7,F25,$8:$8)-SUMIF($7:$7,$F$24,$8:$8)+100)/100</f>
        <v>1</v>
      </c>
      <c r="H25" s="3388"/>
      <c r="I25" s="3387">
        <f>(SUMIF($9:$9,H25,$10:$10)-SUMIF($9:$9,$H$24,$10:$10)+100)/100</f>
        <v>1</v>
      </c>
      <c r="J25" s="3388"/>
      <c r="K25" s="3387">
        <f>(SUMIF($11:$11,J25,$12:$12)-SUMIF($11:$11,$J$24,$12:$12)+100)/100</f>
        <v>1</v>
      </c>
      <c r="L25" s="3388"/>
      <c r="M25" s="3387">
        <f>(SUMIF($13:$13,L25,$14:$14)-SUMIF($13:$13,$L$24,$14:$14)+100)/100</f>
        <v>1</v>
      </c>
      <c r="N25" s="3388"/>
      <c r="O25" s="3387">
        <f>(SUMIF($15:$15,N25,$16:$16)-SUMIF($15:$15,$N$24,$16:$16)+100)/100</f>
        <v>1</v>
      </c>
      <c r="P25" s="3388" t="s">
        <v>1165</v>
      </c>
      <c r="Q25" s="3387">
        <f>(SUMIF($17:$17,P25,$18:$18)-SUMIF($17:$17,$P$24,$18:$18)+100)/100</f>
        <v>1</v>
      </c>
      <c r="R25" s="2973">
        <f>IF(B25="",0,ROUND($R$24*C25*E25*G25*I25*K25*M25*O25*Q25,0))</f>
        <v>13895</v>
      </c>
      <c r="S25" s="2850">
        <f t="shared" si="11"/>
        <v>3410</v>
      </c>
      <c r="T25" s="3383">
        <f ca="1" t="shared" ref="T25:T30" si="12">ROUND(S25/$S$22*$T$22,0)</f>
        <v>3140</v>
      </c>
      <c r="U25" s="3383">
        <f ca="1" t="shared" ref="U25:U31" si="13">ROUND(T25*10000/B25,0)</f>
        <v>12796</v>
      </c>
      <c r="V25" s="3383">
        <f ca="1" t="shared" ref="V25:V30" si="14">ROUND(S25/$S$22*$V$22,0)</f>
        <v>2821</v>
      </c>
      <c r="W25" s="3383">
        <f ca="1" t="shared" ref="W25:W31" si="15">ROUND(V25*10000/B25,0)</f>
        <v>11496</v>
      </c>
    </row>
    <row r="26" spans="1:45">
      <c r="A26" s="3385" t="s">
        <v>1237</v>
      </c>
      <c r="B26" s="3386">
        <f>清单!G10</f>
        <v>2585.73</v>
      </c>
      <c r="C26" s="3387">
        <f t="shared" ref="C26:C89" si="16">IF(B26="",1,(LOOKUP(B26,$3:$3,$4:$4)-LOOKUP($B$24,$3:$3,$4:$4)+100)/100)</f>
        <v>1</v>
      </c>
      <c r="D26" s="3388" t="s">
        <v>1235</v>
      </c>
      <c r="E26" s="3387">
        <f t="shared" ref="E26:E89" si="17">(SUMIF($5:$5,D26,$6:$6)-SUMIF($5:$5,$D$24,$6:$6)+100)/100</f>
        <v>1</v>
      </c>
      <c r="F26" s="3388"/>
      <c r="G26" s="3387">
        <f t="shared" ref="G26:G89" si="18">(SUMIF($7:$7,F26,$8:$8)-SUMIF($7:$7,$F$24,$8:$8)+100)/100</f>
        <v>1</v>
      </c>
      <c r="H26" s="3388"/>
      <c r="I26" s="3387">
        <f t="shared" ref="I26:I89" si="19">(SUMIF($9:$9,H26,$10:$10)-SUMIF($9:$9,$H$24,$10:$10)+100)/100</f>
        <v>1</v>
      </c>
      <c r="J26" s="3388"/>
      <c r="K26" s="3387">
        <f t="shared" ref="K26:K89" si="20">(SUMIF($11:$11,J26,$12:$12)-SUMIF($11:$11,$J$24,$12:$12)+100)/100</f>
        <v>1</v>
      </c>
      <c r="L26" s="3388"/>
      <c r="M26" s="3387">
        <f t="shared" ref="M26:M89" si="21">(SUMIF($13:$13,L26,$14:$14)-SUMIF($13:$13,$L$24,$14:$14)+100)/100</f>
        <v>1</v>
      </c>
      <c r="N26" s="3388"/>
      <c r="O26" s="3387">
        <f t="shared" ref="O26:O89" si="22">(SUMIF($15:$15,N26,$16:$16)-SUMIF($15:$15,$N$24,$16:$16)+100)/100</f>
        <v>1</v>
      </c>
      <c r="P26" s="3388" t="s">
        <v>1165</v>
      </c>
      <c r="Q26" s="3387">
        <f t="shared" ref="Q26:Q89" si="23">(SUMIF($17:$17,P26,$18:$18)-SUMIF($17:$17,$P$24,$18:$18)+100)/100</f>
        <v>1</v>
      </c>
      <c r="R26" s="2973">
        <f t="shared" ref="R26:R89" si="24">IF(B26="",0,ROUND($R$24*C26*E26*G26*I26*K26*M26*O26*Q26,0))</f>
        <v>13895</v>
      </c>
      <c r="S26" s="2850">
        <f t="shared" si="11"/>
        <v>3593</v>
      </c>
      <c r="T26" s="3383">
        <f ca="1" t="shared" si="12"/>
        <v>3308</v>
      </c>
      <c r="U26" s="3383">
        <f ca="1" t="shared" si="13"/>
        <v>12793</v>
      </c>
      <c r="V26" s="3383">
        <f ca="1" t="shared" si="14"/>
        <v>2973</v>
      </c>
      <c r="W26" s="3383">
        <f ca="1" t="shared" si="15"/>
        <v>11498</v>
      </c>
      <c r="AA26" s="3372"/>
    </row>
    <row r="27" spans="1:45">
      <c r="A27" s="3385" t="s">
        <v>1238</v>
      </c>
      <c r="B27" s="3386">
        <f>清单!G11</f>
        <v>2067.62</v>
      </c>
      <c r="C27" s="3387">
        <f t="shared" si="16"/>
        <v>1</v>
      </c>
      <c r="D27" s="3388" t="s">
        <v>1239</v>
      </c>
      <c r="E27" s="3387">
        <f t="shared" si="17"/>
        <v>0.9</v>
      </c>
      <c r="F27" s="3388"/>
      <c r="G27" s="3387">
        <f t="shared" si="18"/>
        <v>1</v>
      </c>
      <c r="H27" s="3388"/>
      <c r="I27" s="3387">
        <f t="shared" si="19"/>
        <v>1</v>
      </c>
      <c r="J27" s="3388"/>
      <c r="K27" s="3387">
        <f t="shared" si="20"/>
        <v>1</v>
      </c>
      <c r="L27" s="3388"/>
      <c r="M27" s="3387">
        <f t="shared" si="21"/>
        <v>1</v>
      </c>
      <c r="N27" s="3388"/>
      <c r="O27" s="3387">
        <f t="shared" si="22"/>
        <v>1</v>
      </c>
      <c r="P27" s="3388" t="s">
        <v>1165</v>
      </c>
      <c r="Q27" s="3387">
        <f t="shared" si="23"/>
        <v>1</v>
      </c>
      <c r="R27" s="2973">
        <f t="shared" si="24"/>
        <v>12506</v>
      </c>
      <c r="S27" s="2850">
        <f t="shared" si="11"/>
        <v>2586</v>
      </c>
      <c r="T27" s="3383">
        <f ca="1" t="shared" si="12"/>
        <v>2381</v>
      </c>
      <c r="U27" s="3383">
        <f ca="1" t="shared" si="13"/>
        <v>11516</v>
      </c>
      <c r="V27" s="3383">
        <f ca="1" t="shared" si="14"/>
        <v>2139</v>
      </c>
      <c r="W27" s="3383">
        <f ca="1" t="shared" si="15"/>
        <v>10345</v>
      </c>
    </row>
    <row r="28" spans="1:45">
      <c r="A28" s="3385" t="s">
        <v>1240</v>
      </c>
      <c r="B28" s="3386">
        <f>清单!G12</f>
        <v>5832.84</v>
      </c>
      <c r="C28" s="3387">
        <f t="shared" si="16"/>
        <v>0.96</v>
      </c>
      <c r="D28" s="3388" t="s">
        <v>1235</v>
      </c>
      <c r="E28" s="3387">
        <f t="shared" si="17"/>
        <v>1</v>
      </c>
      <c r="F28" s="3388"/>
      <c r="G28" s="3387">
        <f t="shared" si="18"/>
        <v>1</v>
      </c>
      <c r="H28" s="3388"/>
      <c r="I28" s="3387">
        <f t="shared" si="19"/>
        <v>1</v>
      </c>
      <c r="J28" s="3388"/>
      <c r="K28" s="3387">
        <f t="shared" si="20"/>
        <v>1</v>
      </c>
      <c r="L28" s="3388"/>
      <c r="M28" s="3387">
        <f t="shared" si="21"/>
        <v>1</v>
      </c>
      <c r="N28" s="3388"/>
      <c r="O28" s="3387">
        <f t="shared" si="22"/>
        <v>1</v>
      </c>
      <c r="P28" s="3388" t="s">
        <v>1165</v>
      </c>
      <c r="Q28" s="3387">
        <f t="shared" si="23"/>
        <v>1</v>
      </c>
      <c r="R28" s="2973">
        <f t="shared" si="24"/>
        <v>13339</v>
      </c>
      <c r="S28" s="2850">
        <f t="shared" si="11"/>
        <v>7780</v>
      </c>
      <c r="T28" s="3383">
        <f ca="1" t="shared" si="12"/>
        <v>7163</v>
      </c>
      <c r="U28" s="3383">
        <f ca="1" t="shared" si="13"/>
        <v>12280</v>
      </c>
      <c r="V28" s="3383">
        <f ca="1" t="shared" si="14"/>
        <v>6437</v>
      </c>
      <c r="W28" s="3383">
        <f ca="1" t="shared" si="15"/>
        <v>11036</v>
      </c>
    </row>
    <row r="29" spans="1:45">
      <c r="A29" s="3385" t="s">
        <v>1241</v>
      </c>
      <c r="B29" s="3386">
        <f>清单!G13</f>
        <v>2394.78</v>
      </c>
      <c r="C29" s="3387">
        <f t="shared" si="16"/>
        <v>1</v>
      </c>
      <c r="D29" s="3388" t="s">
        <v>1235</v>
      </c>
      <c r="E29" s="3387">
        <f t="shared" si="17"/>
        <v>1</v>
      </c>
      <c r="F29" s="3388"/>
      <c r="G29" s="3387">
        <f t="shared" si="18"/>
        <v>1</v>
      </c>
      <c r="H29" s="3388"/>
      <c r="I29" s="3387">
        <f t="shared" si="19"/>
        <v>1</v>
      </c>
      <c r="J29" s="3388"/>
      <c r="K29" s="3387">
        <f t="shared" si="20"/>
        <v>1</v>
      </c>
      <c r="L29" s="3388"/>
      <c r="M29" s="3387">
        <f t="shared" si="21"/>
        <v>1</v>
      </c>
      <c r="N29" s="3388"/>
      <c r="O29" s="3387">
        <f t="shared" si="22"/>
        <v>1</v>
      </c>
      <c r="P29" s="3388" t="s">
        <v>1165</v>
      </c>
      <c r="Q29" s="3387">
        <f t="shared" si="23"/>
        <v>1</v>
      </c>
      <c r="R29" s="2973">
        <f t="shared" si="24"/>
        <v>13895</v>
      </c>
      <c r="S29" s="2850">
        <f t="shared" si="11"/>
        <v>3328</v>
      </c>
      <c r="T29" s="3383">
        <f ca="1" t="shared" si="12"/>
        <v>3064</v>
      </c>
      <c r="U29" s="3383">
        <f ca="1" t="shared" si="13"/>
        <v>12794</v>
      </c>
      <c r="V29" s="3383">
        <f ca="1" t="shared" si="14"/>
        <v>2753</v>
      </c>
      <c r="W29" s="3383">
        <f ca="1" t="shared" si="15"/>
        <v>11496</v>
      </c>
    </row>
    <row r="30" spans="1:45">
      <c r="A30" s="3385" t="s">
        <v>1242</v>
      </c>
      <c r="B30" s="3386">
        <f>清单!G14</f>
        <v>541.26</v>
      </c>
      <c r="C30" s="3387">
        <f t="shared" si="16"/>
        <v>1.04</v>
      </c>
      <c r="D30" s="3388" t="s">
        <v>1235</v>
      </c>
      <c r="E30" s="3387">
        <f t="shared" si="17"/>
        <v>1</v>
      </c>
      <c r="F30" s="3388"/>
      <c r="G30" s="3387">
        <f t="shared" si="18"/>
        <v>1</v>
      </c>
      <c r="H30" s="3388"/>
      <c r="I30" s="3387">
        <f t="shared" si="19"/>
        <v>1</v>
      </c>
      <c r="J30" s="3388"/>
      <c r="K30" s="3387">
        <f t="shared" si="20"/>
        <v>1</v>
      </c>
      <c r="L30" s="3388"/>
      <c r="M30" s="3387">
        <f t="shared" si="21"/>
        <v>1</v>
      </c>
      <c r="N30" s="3388"/>
      <c r="O30" s="3387">
        <f t="shared" si="22"/>
        <v>1</v>
      </c>
      <c r="P30" s="3388" t="s">
        <v>1226</v>
      </c>
      <c r="Q30" s="3387">
        <f t="shared" si="23"/>
        <v>1.02</v>
      </c>
      <c r="R30" s="2973">
        <f t="shared" si="24"/>
        <v>14740</v>
      </c>
      <c r="S30" s="2850">
        <f t="shared" si="11"/>
        <v>798</v>
      </c>
      <c r="T30" s="3383">
        <f ca="1" t="shared" si="12"/>
        <v>735</v>
      </c>
      <c r="U30" s="3383">
        <f ca="1" t="shared" si="13"/>
        <v>13579</v>
      </c>
      <c r="V30" s="3383">
        <f ca="1" t="shared" si="14"/>
        <v>660</v>
      </c>
      <c r="W30" s="3383">
        <f ca="1" t="shared" si="15"/>
        <v>12194</v>
      </c>
    </row>
    <row r="31" spans="1:45">
      <c r="A31" s="3385" t="s">
        <v>1243</v>
      </c>
      <c r="B31" s="3386">
        <f>清单!G15</f>
        <v>2513.39</v>
      </c>
      <c r="C31" s="3387">
        <f t="shared" si="16"/>
        <v>1</v>
      </c>
      <c r="D31" s="3388" t="s">
        <v>1235</v>
      </c>
      <c r="E31" s="3387">
        <f t="shared" si="17"/>
        <v>1</v>
      </c>
      <c r="F31" s="3388"/>
      <c r="G31" s="3387">
        <f t="shared" si="18"/>
        <v>1</v>
      </c>
      <c r="H31" s="3388"/>
      <c r="I31" s="3387">
        <f t="shared" si="19"/>
        <v>1</v>
      </c>
      <c r="J31" s="3388"/>
      <c r="K31" s="3387">
        <f t="shared" si="20"/>
        <v>1</v>
      </c>
      <c r="L31" s="3388"/>
      <c r="M31" s="3387">
        <f t="shared" si="21"/>
        <v>1</v>
      </c>
      <c r="N31" s="3388"/>
      <c r="O31" s="3387">
        <f t="shared" si="22"/>
        <v>1</v>
      </c>
      <c r="P31" s="3388" t="s">
        <v>1165</v>
      </c>
      <c r="Q31" s="3387">
        <f t="shared" si="23"/>
        <v>1</v>
      </c>
      <c r="R31" s="2973">
        <f t="shared" si="24"/>
        <v>13895</v>
      </c>
      <c r="S31" s="2850">
        <f t="shared" si="11"/>
        <v>3492</v>
      </c>
      <c r="T31" s="3277">
        <f ca="1">T22-T24-T25-T26-T27-T28-T29-T30</f>
        <v>3216</v>
      </c>
      <c r="U31" s="3383">
        <f ca="1" t="shared" si="13"/>
        <v>12795</v>
      </c>
      <c r="V31" s="3277">
        <f ca="1">V22-V24-V25-V26-V27-V28-V29-V30</f>
        <v>2889</v>
      </c>
      <c r="W31" s="3383">
        <f ca="1" t="shared" si="15"/>
        <v>11494</v>
      </c>
    </row>
    <row r="32" spans="1:45">
      <c r="A32" s="3389"/>
      <c r="B32" s="3386"/>
      <c r="C32" s="3387">
        <f t="shared" si="16"/>
        <v>1</v>
      </c>
      <c r="D32" s="3388"/>
      <c r="E32" s="3387">
        <f t="shared" si="17"/>
        <v>0</v>
      </c>
      <c r="F32" s="3388"/>
      <c r="G32" s="3387">
        <f t="shared" si="18"/>
        <v>1</v>
      </c>
      <c r="H32" s="3388"/>
      <c r="I32" s="3387">
        <f t="shared" si="19"/>
        <v>1</v>
      </c>
      <c r="J32" s="3388"/>
      <c r="K32" s="3387">
        <f t="shared" si="20"/>
        <v>1</v>
      </c>
      <c r="L32" s="3388"/>
      <c r="M32" s="3387">
        <f t="shared" si="21"/>
        <v>1</v>
      </c>
      <c r="N32" s="3388"/>
      <c r="O32" s="3387">
        <f t="shared" si="22"/>
        <v>1</v>
      </c>
      <c r="P32" s="3388"/>
      <c r="Q32" s="3387">
        <f t="shared" si="23"/>
        <v>0</v>
      </c>
      <c r="R32" s="2973">
        <f t="shared" si="24"/>
        <v>0</v>
      </c>
      <c r="S32" s="2850">
        <f t="shared" si="11"/>
        <v>0</v>
      </c>
    </row>
    <row r="33" spans="1:23">
      <c r="A33" s="3389"/>
      <c r="B33" s="3386"/>
      <c r="C33" s="3387">
        <f t="shared" si="16"/>
        <v>1</v>
      </c>
      <c r="D33" s="3388"/>
      <c r="E33" s="3387">
        <f t="shared" si="17"/>
        <v>0</v>
      </c>
      <c r="F33" s="3388"/>
      <c r="G33" s="3387">
        <f t="shared" si="18"/>
        <v>1</v>
      </c>
      <c r="H33" s="3388"/>
      <c r="I33" s="3387">
        <f t="shared" si="19"/>
        <v>1</v>
      </c>
      <c r="J33" s="3388"/>
      <c r="K33" s="3387">
        <f t="shared" si="20"/>
        <v>1</v>
      </c>
      <c r="L33" s="3388"/>
      <c r="M33" s="3387">
        <f t="shared" si="21"/>
        <v>1</v>
      </c>
      <c r="N33" s="3388"/>
      <c r="O33" s="3387">
        <f t="shared" si="22"/>
        <v>1</v>
      </c>
      <c r="P33" s="3388"/>
      <c r="Q33" s="3387">
        <f t="shared" si="23"/>
        <v>0</v>
      </c>
      <c r="R33" s="2973">
        <f t="shared" si="24"/>
        <v>0</v>
      </c>
      <c r="S33" s="2850">
        <f t="shared" si="11"/>
        <v>0</v>
      </c>
      <c r="T33" s="3277">
        <f ca="1">T22-T24-T25</f>
        <v>19867</v>
      </c>
      <c r="U33" s="3277">
        <f ca="1">ROUND(T33*10000/(B22-B24-B25),0)</f>
        <v>12467</v>
      </c>
      <c r="V33" s="3277">
        <f ca="1">V22-V24-V25</f>
        <v>17851</v>
      </c>
      <c r="W33" s="3277">
        <f ca="1">ROUND(V33*10000/(B22-B24-B25),0)</f>
        <v>11202</v>
      </c>
    </row>
    <row r="34" spans="1:23">
      <c r="A34" s="3389"/>
      <c r="B34" s="3386"/>
      <c r="C34" s="3387">
        <f t="shared" si="16"/>
        <v>1</v>
      </c>
      <c r="D34" s="3388"/>
      <c r="E34" s="3387">
        <f t="shared" si="17"/>
        <v>0</v>
      </c>
      <c r="F34" s="3388"/>
      <c r="G34" s="3387">
        <f t="shared" si="18"/>
        <v>1</v>
      </c>
      <c r="H34" s="3388"/>
      <c r="I34" s="3387">
        <f t="shared" si="19"/>
        <v>1</v>
      </c>
      <c r="J34" s="3388"/>
      <c r="K34" s="3387">
        <f t="shared" si="20"/>
        <v>1</v>
      </c>
      <c r="L34" s="3388"/>
      <c r="M34" s="3387">
        <f t="shared" si="21"/>
        <v>1</v>
      </c>
      <c r="N34" s="3388"/>
      <c r="O34" s="3387">
        <f t="shared" si="22"/>
        <v>1</v>
      </c>
      <c r="P34" s="3388"/>
      <c r="Q34" s="3387">
        <f t="shared" si="23"/>
        <v>0</v>
      </c>
      <c r="R34" s="2973">
        <f t="shared" si="24"/>
        <v>0</v>
      </c>
      <c r="S34" s="2850">
        <f t="shared" si="11"/>
        <v>0</v>
      </c>
    </row>
    <row r="35" spans="1:23">
      <c r="A35" s="3389"/>
      <c r="B35" s="3386"/>
      <c r="C35" s="3387">
        <f t="shared" si="16"/>
        <v>1</v>
      </c>
      <c r="D35" s="3388"/>
      <c r="E35" s="3387">
        <f t="shared" si="17"/>
        <v>0</v>
      </c>
      <c r="F35" s="3388"/>
      <c r="G35" s="3387">
        <f t="shared" si="18"/>
        <v>1</v>
      </c>
      <c r="H35" s="3388"/>
      <c r="I35" s="3387">
        <f t="shared" si="19"/>
        <v>1</v>
      </c>
      <c r="J35" s="3388"/>
      <c r="K35" s="3387">
        <f t="shared" si="20"/>
        <v>1</v>
      </c>
      <c r="L35" s="3388"/>
      <c r="M35" s="3387">
        <f t="shared" si="21"/>
        <v>1</v>
      </c>
      <c r="N35" s="3388"/>
      <c r="O35" s="3387">
        <f t="shared" si="22"/>
        <v>1</v>
      </c>
      <c r="P35" s="3388"/>
      <c r="Q35" s="3387">
        <f t="shared" si="23"/>
        <v>0</v>
      </c>
      <c r="R35" s="2973">
        <f t="shared" si="24"/>
        <v>0</v>
      </c>
      <c r="S35" s="2850">
        <f t="shared" si="11"/>
        <v>0</v>
      </c>
    </row>
    <row r="36" spans="1:23">
      <c r="A36" s="3389"/>
      <c r="B36" s="3386"/>
      <c r="C36" s="3387">
        <f t="shared" si="16"/>
        <v>1</v>
      </c>
      <c r="D36" s="3388"/>
      <c r="E36" s="3387">
        <f t="shared" si="17"/>
        <v>0</v>
      </c>
      <c r="F36" s="3388"/>
      <c r="G36" s="3387">
        <f t="shared" si="18"/>
        <v>1</v>
      </c>
      <c r="H36" s="3388"/>
      <c r="I36" s="3387">
        <f t="shared" si="19"/>
        <v>1</v>
      </c>
      <c r="J36" s="3388"/>
      <c r="K36" s="3387">
        <f t="shared" si="20"/>
        <v>1</v>
      </c>
      <c r="L36" s="3388"/>
      <c r="M36" s="3387">
        <f t="shared" si="21"/>
        <v>1</v>
      </c>
      <c r="N36" s="3388"/>
      <c r="O36" s="3387">
        <f t="shared" si="22"/>
        <v>1</v>
      </c>
      <c r="P36" s="3388"/>
      <c r="Q36" s="3387">
        <f t="shared" si="23"/>
        <v>0</v>
      </c>
      <c r="R36" s="2973">
        <f t="shared" si="24"/>
        <v>0</v>
      </c>
      <c r="S36" s="2850">
        <f t="shared" si="11"/>
        <v>0</v>
      </c>
    </row>
    <row r="37" spans="1:23">
      <c r="A37" s="3389"/>
      <c r="B37" s="3386"/>
      <c r="C37" s="3387">
        <f t="shared" si="16"/>
        <v>1</v>
      </c>
      <c r="D37" s="3388"/>
      <c r="E37" s="3387">
        <f t="shared" si="17"/>
        <v>0</v>
      </c>
      <c r="F37" s="3388"/>
      <c r="G37" s="3387">
        <f t="shared" si="18"/>
        <v>1</v>
      </c>
      <c r="H37" s="3388"/>
      <c r="I37" s="3387">
        <f t="shared" si="19"/>
        <v>1</v>
      </c>
      <c r="J37" s="3388"/>
      <c r="K37" s="3387">
        <f t="shared" si="20"/>
        <v>1</v>
      </c>
      <c r="L37" s="3388"/>
      <c r="M37" s="3387">
        <f t="shared" si="21"/>
        <v>1</v>
      </c>
      <c r="N37" s="3388"/>
      <c r="O37" s="3387">
        <f t="shared" si="22"/>
        <v>1</v>
      </c>
      <c r="P37" s="3388"/>
      <c r="Q37" s="3387">
        <f t="shared" si="23"/>
        <v>0</v>
      </c>
      <c r="R37" s="2973">
        <f t="shared" si="24"/>
        <v>0</v>
      </c>
      <c r="S37" s="2850">
        <f t="shared" si="11"/>
        <v>0</v>
      </c>
    </row>
    <row r="38" spans="1:23">
      <c r="A38" s="3389"/>
      <c r="B38" s="3386"/>
      <c r="C38" s="3387">
        <f t="shared" si="16"/>
        <v>1</v>
      </c>
      <c r="D38" s="3388"/>
      <c r="E38" s="3387">
        <f t="shared" si="17"/>
        <v>0</v>
      </c>
      <c r="F38" s="3388"/>
      <c r="G38" s="3387">
        <f t="shared" si="18"/>
        <v>1</v>
      </c>
      <c r="H38" s="3388"/>
      <c r="I38" s="3387">
        <f t="shared" si="19"/>
        <v>1</v>
      </c>
      <c r="J38" s="3388"/>
      <c r="K38" s="3387">
        <f t="shared" si="20"/>
        <v>1</v>
      </c>
      <c r="L38" s="3388"/>
      <c r="M38" s="3387">
        <f t="shared" si="21"/>
        <v>1</v>
      </c>
      <c r="N38" s="3388"/>
      <c r="O38" s="3387">
        <f t="shared" si="22"/>
        <v>1</v>
      </c>
      <c r="P38" s="3388"/>
      <c r="Q38" s="3387">
        <f t="shared" si="23"/>
        <v>0</v>
      </c>
      <c r="R38" s="2973">
        <f t="shared" si="24"/>
        <v>0</v>
      </c>
      <c r="S38" s="2850">
        <f t="shared" si="11"/>
        <v>0</v>
      </c>
    </row>
    <row r="39" spans="1:23">
      <c r="A39" s="3389"/>
      <c r="B39" s="3386"/>
      <c r="C39" s="3387">
        <f t="shared" si="16"/>
        <v>1</v>
      </c>
      <c r="D39" s="3388"/>
      <c r="E39" s="3387">
        <f t="shared" si="17"/>
        <v>0</v>
      </c>
      <c r="F39" s="3388"/>
      <c r="G39" s="3387">
        <f t="shared" si="18"/>
        <v>1</v>
      </c>
      <c r="H39" s="3388"/>
      <c r="I39" s="3387">
        <f t="shared" si="19"/>
        <v>1</v>
      </c>
      <c r="J39" s="3388"/>
      <c r="K39" s="3387">
        <f t="shared" si="20"/>
        <v>1</v>
      </c>
      <c r="L39" s="3388"/>
      <c r="M39" s="3387">
        <f t="shared" si="21"/>
        <v>1</v>
      </c>
      <c r="N39" s="3388"/>
      <c r="O39" s="3387">
        <f t="shared" si="22"/>
        <v>1</v>
      </c>
      <c r="P39" s="3388"/>
      <c r="Q39" s="3387">
        <f t="shared" si="23"/>
        <v>0</v>
      </c>
      <c r="R39" s="2973">
        <f t="shared" si="24"/>
        <v>0</v>
      </c>
      <c r="S39" s="2850">
        <f t="shared" si="11"/>
        <v>0</v>
      </c>
    </row>
    <row r="40" spans="1:23">
      <c r="A40" s="3389"/>
      <c r="B40" s="3386"/>
      <c r="C40" s="3387">
        <f t="shared" si="16"/>
        <v>1</v>
      </c>
      <c r="D40" s="3388"/>
      <c r="E40" s="3387">
        <f t="shared" si="17"/>
        <v>0</v>
      </c>
      <c r="F40" s="3388"/>
      <c r="G40" s="3387">
        <f t="shared" si="18"/>
        <v>1</v>
      </c>
      <c r="H40" s="3388"/>
      <c r="I40" s="3387">
        <f t="shared" si="19"/>
        <v>1</v>
      </c>
      <c r="J40" s="3388"/>
      <c r="K40" s="3387">
        <f t="shared" si="20"/>
        <v>1</v>
      </c>
      <c r="L40" s="3388"/>
      <c r="M40" s="3387">
        <f t="shared" si="21"/>
        <v>1</v>
      </c>
      <c r="N40" s="3388"/>
      <c r="O40" s="3387">
        <f t="shared" si="22"/>
        <v>1</v>
      </c>
      <c r="P40" s="3388"/>
      <c r="Q40" s="3387">
        <f t="shared" si="23"/>
        <v>0</v>
      </c>
      <c r="R40" s="2973">
        <f t="shared" si="24"/>
        <v>0</v>
      </c>
      <c r="S40" s="2850">
        <f t="shared" si="11"/>
        <v>0</v>
      </c>
    </row>
    <row r="41" spans="1:23">
      <c r="A41" s="3389"/>
      <c r="B41" s="3386"/>
      <c r="C41" s="3387">
        <f t="shared" si="16"/>
        <v>1</v>
      </c>
      <c r="D41" s="3388"/>
      <c r="E41" s="3387">
        <f t="shared" si="17"/>
        <v>0</v>
      </c>
      <c r="F41" s="3388"/>
      <c r="G41" s="3387">
        <f t="shared" si="18"/>
        <v>1</v>
      </c>
      <c r="H41" s="3388"/>
      <c r="I41" s="3387">
        <f t="shared" si="19"/>
        <v>1</v>
      </c>
      <c r="J41" s="3388"/>
      <c r="K41" s="3387">
        <f t="shared" si="20"/>
        <v>1</v>
      </c>
      <c r="L41" s="3388"/>
      <c r="M41" s="3387">
        <f t="shared" si="21"/>
        <v>1</v>
      </c>
      <c r="N41" s="3388"/>
      <c r="O41" s="3387">
        <f t="shared" si="22"/>
        <v>1</v>
      </c>
      <c r="P41" s="3388"/>
      <c r="Q41" s="3387">
        <f t="shared" si="23"/>
        <v>0</v>
      </c>
      <c r="R41" s="2973">
        <f t="shared" si="24"/>
        <v>0</v>
      </c>
      <c r="S41" s="2850">
        <f t="shared" si="11"/>
        <v>0</v>
      </c>
    </row>
    <row r="42" spans="1:23">
      <c r="A42" s="3389"/>
      <c r="B42" s="3386"/>
      <c r="C42" s="3387">
        <f t="shared" si="16"/>
        <v>1</v>
      </c>
      <c r="D42" s="3388"/>
      <c r="E42" s="3387">
        <f t="shared" si="17"/>
        <v>0</v>
      </c>
      <c r="F42" s="3388"/>
      <c r="G42" s="3387">
        <f t="shared" si="18"/>
        <v>1</v>
      </c>
      <c r="H42" s="3388"/>
      <c r="I42" s="3387">
        <f t="shared" si="19"/>
        <v>1</v>
      </c>
      <c r="J42" s="3388"/>
      <c r="K42" s="3387">
        <f t="shared" si="20"/>
        <v>1</v>
      </c>
      <c r="L42" s="3388"/>
      <c r="M42" s="3387">
        <f t="shared" si="21"/>
        <v>1</v>
      </c>
      <c r="N42" s="3388"/>
      <c r="O42" s="3387">
        <f t="shared" si="22"/>
        <v>1</v>
      </c>
      <c r="P42" s="3388"/>
      <c r="Q42" s="3387">
        <f t="shared" si="23"/>
        <v>0</v>
      </c>
      <c r="R42" s="2973">
        <f t="shared" si="24"/>
        <v>0</v>
      </c>
      <c r="S42" s="2850">
        <f t="shared" si="11"/>
        <v>0</v>
      </c>
    </row>
    <row r="43" spans="1:23">
      <c r="A43" s="3389"/>
      <c r="B43" s="3386"/>
      <c r="C43" s="3387">
        <f t="shared" si="16"/>
        <v>1</v>
      </c>
      <c r="D43" s="3388"/>
      <c r="E43" s="3387">
        <f t="shared" si="17"/>
        <v>0</v>
      </c>
      <c r="F43" s="3388"/>
      <c r="G43" s="3387">
        <f t="shared" si="18"/>
        <v>1</v>
      </c>
      <c r="H43" s="3388"/>
      <c r="I43" s="3387">
        <f t="shared" si="19"/>
        <v>1</v>
      </c>
      <c r="J43" s="3388"/>
      <c r="K43" s="3387">
        <f t="shared" si="20"/>
        <v>1</v>
      </c>
      <c r="L43" s="3388"/>
      <c r="M43" s="3387">
        <f t="shared" si="21"/>
        <v>1</v>
      </c>
      <c r="N43" s="3388"/>
      <c r="O43" s="3387">
        <f t="shared" si="22"/>
        <v>1</v>
      </c>
      <c r="P43" s="3388"/>
      <c r="Q43" s="3387">
        <f t="shared" si="23"/>
        <v>0</v>
      </c>
      <c r="R43" s="2973">
        <f t="shared" si="24"/>
        <v>0</v>
      </c>
      <c r="S43" s="2850">
        <f t="shared" si="11"/>
        <v>0</v>
      </c>
    </row>
    <row r="44" spans="1:23">
      <c r="A44" s="3389"/>
      <c r="B44" s="3386"/>
      <c r="C44" s="3387">
        <f t="shared" si="16"/>
        <v>1</v>
      </c>
      <c r="D44" s="3388"/>
      <c r="E44" s="3387">
        <f t="shared" si="17"/>
        <v>0</v>
      </c>
      <c r="F44" s="3388"/>
      <c r="G44" s="3387">
        <f t="shared" si="18"/>
        <v>1</v>
      </c>
      <c r="H44" s="3388"/>
      <c r="I44" s="3387">
        <f t="shared" si="19"/>
        <v>1</v>
      </c>
      <c r="J44" s="3388"/>
      <c r="K44" s="3387">
        <f t="shared" si="20"/>
        <v>1</v>
      </c>
      <c r="L44" s="3388"/>
      <c r="M44" s="3387">
        <f t="shared" si="21"/>
        <v>1</v>
      </c>
      <c r="N44" s="3388"/>
      <c r="O44" s="3387">
        <f t="shared" si="22"/>
        <v>1</v>
      </c>
      <c r="P44" s="3388"/>
      <c r="Q44" s="3387">
        <f t="shared" si="23"/>
        <v>0</v>
      </c>
      <c r="R44" s="2973">
        <f t="shared" si="24"/>
        <v>0</v>
      </c>
      <c r="S44" s="2850">
        <f t="shared" si="11"/>
        <v>0</v>
      </c>
    </row>
    <row r="45" spans="1:23">
      <c r="A45" s="3389"/>
      <c r="B45" s="3386"/>
      <c r="C45" s="3387">
        <f t="shared" si="16"/>
        <v>1</v>
      </c>
      <c r="D45" s="3388"/>
      <c r="E45" s="3387">
        <f t="shared" si="17"/>
        <v>0</v>
      </c>
      <c r="F45" s="3388"/>
      <c r="G45" s="3387">
        <f t="shared" si="18"/>
        <v>1</v>
      </c>
      <c r="H45" s="3388"/>
      <c r="I45" s="3387">
        <f t="shared" si="19"/>
        <v>1</v>
      </c>
      <c r="J45" s="3388"/>
      <c r="K45" s="3387">
        <f t="shared" si="20"/>
        <v>1</v>
      </c>
      <c r="L45" s="3388"/>
      <c r="M45" s="3387">
        <f t="shared" si="21"/>
        <v>1</v>
      </c>
      <c r="N45" s="3388"/>
      <c r="O45" s="3387">
        <f t="shared" si="22"/>
        <v>1</v>
      </c>
      <c r="P45" s="3388"/>
      <c r="Q45" s="3387">
        <f t="shared" si="23"/>
        <v>0</v>
      </c>
      <c r="R45" s="2973">
        <f t="shared" si="24"/>
        <v>0</v>
      </c>
      <c r="S45" s="2850">
        <f t="shared" si="11"/>
        <v>0</v>
      </c>
    </row>
    <row r="46" spans="1:23">
      <c r="A46" s="3389"/>
      <c r="B46" s="3386"/>
      <c r="C46" s="3387">
        <f t="shared" si="16"/>
        <v>1</v>
      </c>
      <c r="D46" s="3388"/>
      <c r="E46" s="3387">
        <f t="shared" si="17"/>
        <v>0</v>
      </c>
      <c r="F46" s="3388"/>
      <c r="G46" s="3387">
        <f t="shared" si="18"/>
        <v>1</v>
      </c>
      <c r="H46" s="3388"/>
      <c r="I46" s="3387">
        <f t="shared" si="19"/>
        <v>1</v>
      </c>
      <c r="J46" s="3388"/>
      <c r="K46" s="3387">
        <f t="shared" si="20"/>
        <v>1</v>
      </c>
      <c r="L46" s="3388"/>
      <c r="M46" s="3387">
        <f t="shared" si="21"/>
        <v>1</v>
      </c>
      <c r="N46" s="3388"/>
      <c r="O46" s="3387">
        <f t="shared" si="22"/>
        <v>1</v>
      </c>
      <c r="P46" s="3388"/>
      <c r="Q46" s="3387">
        <f t="shared" si="23"/>
        <v>0</v>
      </c>
      <c r="R46" s="2973">
        <f t="shared" si="24"/>
        <v>0</v>
      </c>
      <c r="S46" s="2850">
        <f t="shared" si="11"/>
        <v>0</v>
      </c>
    </row>
    <row r="47" spans="1:23">
      <c r="A47" s="3389"/>
      <c r="B47" s="3386"/>
      <c r="C47" s="3387">
        <f t="shared" si="16"/>
        <v>1</v>
      </c>
      <c r="D47" s="3388"/>
      <c r="E47" s="3387">
        <f t="shared" si="17"/>
        <v>0</v>
      </c>
      <c r="F47" s="3388"/>
      <c r="G47" s="3387">
        <f t="shared" si="18"/>
        <v>1</v>
      </c>
      <c r="H47" s="3388"/>
      <c r="I47" s="3387">
        <f t="shared" si="19"/>
        <v>1</v>
      </c>
      <c r="J47" s="3388"/>
      <c r="K47" s="3387">
        <f t="shared" si="20"/>
        <v>1</v>
      </c>
      <c r="L47" s="3388"/>
      <c r="M47" s="3387">
        <f t="shared" si="21"/>
        <v>1</v>
      </c>
      <c r="N47" s="3388"/>
      <c r="O47" s="3387">
        <f t="shared" si="22"/>
        <v>1</v>
      </c>
      <c r="P47" s="3388"/>
      <c r="Q47" s="3387">
        <f t="shared" si="23"/>
        <v>0</v>
      </c>
      <c r="R47" s="2973">
        <f t="shared" si="24"/>
        <v>0</v>
      </c>
      <c r="S47" s="2850">
        <f t="shared" si="11"/>
        <v>0</v>
      </c>
    </row>
    <row r="48" spans="1:23">
      <c r="A48" s="3389"/>
      <c r="B48" s="3386"/>
      <c r="C48" s="3387">
        <f t="shared" si="16"/>
        <v>1</v>
      </c>
      <c r="D48" s="3388"/>
      <c r="E48" s="3387">
        <f t="shared" si="17"/>
        <v>0</v>
      </c>
      <c r="F48" s="3388"/>
      <c r="G48" s="3387">
        <f t="shared" si="18"/>
        <v>1</v>
      </c>
      <c r="H48" s="3388"/>
      <c r="I48" s="3387">
        <f t="shared" si="19"/>
        <v>1</v>
      </c>
      <c r="J48" s="3388"/>
      <c r="K48" s="3387">
        <f t="shared" si="20"/>
        <v>1</v>
      </c>
      <c r="L48" s="3388"/>
      <c r="M48" s="3387">
        <f t="shared" si="21"/>
        <v>1</v>
      </c>
      <c r="N48" s="3388"/>
      <c r="O48" s="3387">
        <f t="shared" si="22"/>
        <v>1</v>
      </c>
      <c r="P48" s="3388"/>
      <c r="Q48" s="3387">
        <f t="shared" si="23"/>
        <v>0</v>
      </c>
      <c r="R48" s="2973">
        <f t="shared" si="24"/>
        <v>0</v>
      </c>
      <c r="S48" s="2850">
        <f t="shared" si="11"/>
        <v>0</v>
      </c>
    </row>
    <row r="49" spans="1:19">
      <c r="A49" s="3389"/>
      <c r="B49" s="3386"/>
      <c r="C49" s="3387">
        <f t="shared" si="16"/>
        <v>1</v>
      </c>
      <c r="D49" s="3388"/>
      <c r="E49" s="3387">
        <f t="shared" si="17"/>
        <v>0</v>
      </c>
      <c r="F49" s="3388"/>
      <c r="G49" s="3387">
        <f t="shared" si="18"/>
        <v>1</v>
      </c>
      <c r="H49" s="3388"/>
      <c r="I49" s="3387">
        <f t="shared" si="19"/>
        <v>1</v>
      </c>
      <c r="J49" s="3388"/>
      <c r="K49" s="3387">
        <f t="shared" si="20"/>
        <v>1</v>
      </c>
      <c r="L49" s="3388"/>
      <c r="M49" s="3387">
        <f t="shared" si="21"/>
        <v>1</v>
      </c>
      <c r="N49" s="3388"/>
      <c r="O49" s="3387">
        <f t="shared" si="22"/>
        <v>1</v>
      </c>
      <c r="P49" s="3388"/>
      <c r="Q49" s="3387">
        <f t="shared" si="23"/>
        <v>0</v>
      </c>
      <c r="R49" s="2973">
        <f t="shared" si="24"/>
        <v>0</v>
      </c>
      <c r="S49" s="2850">
        <f t="shared" si="11"/>
        <v>0</v>
      </c>
    </row>
    <row r="50" spans="1:19">
      <c r="A50" s="3389"/>
      <c r="B50" s="3386"/>
      <c r="C50" s="3387">
        <f t="shared" si="16"/>
        <v>1</v>
      </c>
      <c r="D50" s="3388"/>
      <c r="E50" s="3387">
        <f t="shared" si="17"/>
        <v>0</v>
      </c>
      <c r="F50" s="3388"/>
      <c r="G50" s="3387">
        <f t="shared" si="18"/>
        <v>1</v>
      </c>
      <c r="H50" s="3388"/>
      <c r="I50" s="3387">
        <f t="shared" si="19"/>
        <v>1</v>
      </c>
      <c r="J50" s="3388"/>
      <c r="K50" s="3387">
        <f t="shared" si="20"/>
        <v>1</v>
      </c>
      <c r="L50" s="3388"/>
      <c r="M50" s="3387">
        <f t="shared" si="21"/>
        <v>1</v>
      </c>
      <c r="N50" s="3388"/>
      <c r="O50" s="3387">
        <f t="shared" si="22"/>
        <v>1</v>
      </c>
      <c r="P50" s="3388"/>
      <c r="Q50" s="3387">
        <f t="shared" si="23"/>
        <v>0</v>
      </c>
      <c r="R50" s="2973">
        <f t="shared" si="24"/>
        <v>0</v>
      </c>
      <c r="S50" s="2850">
        <f t="shared" si="11"/>
        <v>0</v>
      </c>
    </row>
    <row r="51" spans="1:19">
      <c r="A51" s="3389"/>
      <c r="B51" s="3386"/>
      <c r="C51" s="3387">
        <f t="shared" si="16"/>
        <v>1</v>
      </c>
      <c r="D51" s="3388"/>
      <c r="E51" s="3387">
        <f t="shared" si="17"/>
        <v>0</v>
      </c>
      <c r="F51" s="3388"/>
      <c r="G51" s="3387">
        <f t="shared" si="18"/>
        <v>1</v>
      </c>
      <c r="H51" s="3388"/>
      <c r="I51" s="3387">
        <f t="shared" si="19"/>
        <v>1</v>
      </c>
      <c r="J51" s="3388"/>
      <c r="K51" s="3387">
        <f t="shared" si="20"/>
        <v>1</v>
      </c>
      <c r="L51" s="3388"/>
      <c r="M51" s="3387">
        <f t="shared" si="21"/>
        <v>1</v>
      </c>
      <c r="N51" s="3388"/>
      <c r="O51" s="3387">
        <f t="shared" si="22"/>
        <v>1</v>
      </c>
      <c r="P51" s="3388"/>
      <c r="Q51" s="3387">
        <f t="shared" si="23"/>
        <v>0</v>
      </c>
      <c r="R51" s="2973">
        <f t="shared" si="24"/>
        <v>0</v>
      </c>
      <c r="S51" s="2850">
        <f t="shared" si="11"/>
        <v>0</v>
      </c>
    </row>
    <row r="52" spans="1:19">
      <c r="A52" s="3389"/>
      <c r="B52" s="3386"/>
      <c r="C52" s="3387">
        <f t="shared" si="16"/>
        <v>1</v>
      </c>
      <c r="D52" s="3388"/>
      <c r="E52" s="3387">
        <f t="shared" si="17"/>
        <v>0</v>
      </c>
      <c r="F52" s="3388"/>
      <c r="G52" s="3387">
        <f t="shared" si="18"/>
        <v>1</v>
      </c>
      <c r="H52" s="3388"/>
      <c r="I52" s="3387">
        <f t="shared" si="19"/>
        <v>1</v>
      </c>
      <c r="J52" s="3388"/>
      <c r="K52" s="3387">
        <f t="shared" si="20"/>
        <v>1</v>
      </c>
      <c r="L52" s="3388"/>
      <c r="M52" s="3387">
        <f t="shared" si="21"/>
        <v>1</v>
      </c>
      <c r="N52" s="3388"/>
      <c r="O52" s="3387">
        <f t="shared" si="22"/>
        <v>1</v>
      </c>
      <c r="P52" s="3388"/>
      <c r="Q52" s="3387">
        <f t="shared" si="23"/>
        <v>0</v>
      </c>
      <c r="R52" s="2973">
        <f t="shared" si="24"/>
        <v>0</v>
      </c>
      <c r="S52" s="2850">
        <f t="shared" si="11"/>
        <v>0</v>
      </c>
    </row>
    <row r="53" spans="1:19">
      <c r="A53" s="3389"/>
      <c r="B53" s="3386"/>
      <c r="C53" s="3387">
        <f t="shared" si="16"/>
        <v>1</v>
      </c>
      <c r="D53" s="3388"/>
      <c r="E53" s="3387">
        <f t="shared" si="17"/>
        <v>0</v>
      </c>
      <c r="F53" s="3388"/>
      <c r="G53" s="3387">
        <f t="shared" si="18"/>
        <v>1</v>
      </c>
      <c r="H53" s="3388"/>
      <c r="I53" s="3387">
        <f t="shared" si="19"/>
        <v>1</v>
      </c>
      <c r="J53" s="3388"/>
      <c r="K53" s="3387">
        <f t="shared" si="20"/>
        <v>1</v>
      </c>
      <c r="L53" s="3388"/>
      <c r="M53" s="3387">
        <f t="shared" si="21"/>
        <v>1</v>
      </c>
      <c r="N53" s="3388"/>
      <c r="O53" s="3387">
        <f t="shared" si="22"/>
        <v>1</v>
      </c>
      <c r="P53" s="3388"/>
      <c r="Q53" s="3387">
        <f t="shared" si="23"/>
        <v>0</v>
      </c>
      <c r="R53" s="2973">
        <f t="shared" si="24"/>
        <v>0</v>
      </c>
      <c r="S53" s="2850">
        <f t="shared" si="11"/>
        <v>0</v>
      </c>
    </row>
    <row r="54" spans="1:19">
      <c r="A54" s="3389"/>
      <c r="B54" s="3386"/>
      <c r="C54" s="3387">
        <f t="shared" si="16"/>
        <v>1</v>
      </c>
      <c r="D54" s="3388"/>
      <c r="E54" s="3387">
        <f t="shared" si="17"/>
        <v>0</v>
      </c>
      <c r="F54" s="3388"/>
      <c r="G54" s="3387">
        <f t="shared" si="18"/>
        <v>1</v>
      </c>
      <c r="H54" s="3388"/>
      <c r="I54" s="3387">
        <f t="shared" si="19"/>
        <v>1</v>
      </c>
      <c r="J54" s="3388"/>
      <c r="K54" s="3387">
        <f t="shared" si="20"/>
        <v>1</v>
      </c>
      <c r="L54" s="3388"/>
      <c r="M54" s="3387">
        <f t="shared" si="21"/>
        <v>1</v>
      </c>
      <c r="N54" s="3388"/>
      <c r="O54" s="3387">
        <f t="shared" si="22"/>
        <v>1</v>
      </c>
      <c r="P54" s="3388"/>
      <c r="Q54" s="3387">
        <f t="shared" si="23"/>
        <v>0</v>
      </c>
      <c r="R54" s="2973">
        <f t="shared" si="24"/>
        <v>0</v>
      </c>
      <c r="S54" s="2850">
        <f t="shared" si="11"/>
        <v>0</v>
      </c>
    </row>
    <row r="55" spans="1:19">
      <c r="A55" s="3389"/>
      <c r="B55" s="3386"/>
      <c r="C55" s="3387">
        <f t="shared" si="16"/>
        <v>1</v>
      </c>
      <c r="D55" s="3388"/>
      <c r="E55" s="3387">
        <f t="shared" si="17"/>
        <v>0</v>
      </c>
      <c r="F55" s="3388"/>
      <c r="G55" s="3387">
        <f t="shared" si="18"/>
        <v>1</v>
      </c>
      <c r="H55" s="3388"/>
      <c r="I55" s="3387">
        <f t="shared" si="19"/>
        <v>1</v>
      </c>
      <c r="J55" s="3388"/>
      <c r="K55" s="3387">
        <f t="shared" si="20"/>
        <v>1</v>
      </c>
      <c r="L55" s="3388"/>
      <c r="M55" s="3387">
        <f t="shared" si="21"/>
        <v>1</v>
      </c>
      <c r="N55" s="3388"/>
      <c r="O55" s="3387">
        <f t="shared" si="22"/>
        <v>1</v>
      </c>
      <c r="P55" s="3388"/>
      <c r="Q55" s="3387">
        <f t="shared" si="23"/>
        <v>0</v>
      </c>
      <c r="R55" s="2973">
        <f t="shared" si="24"/>
        <v>0</v>
      </c>
      <c r="S55" s="2850">
        <f t="shared" ref="S55:S77" si="25">ROUND(R55*B55/10000,0)</f>
        <v>0</v>
      </c>
    </row>
    <row r="56" spans="1:19">
      <c r="A56" s="3389"/>
      <c r="B56" s="3386"/>
      <c r="C56" s="3387">
        <f t="shared" si="16"/>
        <v>1</v>
      </c>
      <c r="D56" s="3388"/>
      <c r="E56" s="3387">
        <f t="shared" si="17"/>
        <v>0</v>
      </c>
      <c r="F56" s="3388"/>
      <c r="G56" s="3387">
        <f t="shared" si="18"/>
        <v>1</v>
      </c>
      <c r="H56" s="3388"/>
      <c r="I56" s="3387">
        <f t="shared" si="19"/>
        <v>1</v>
      </c>
      <c r="J56" s="3388"/>
      <c r="K56" s="3387">
        <f t="shared" si="20"/>
        <v>1</v>
      </c>
      <c r="L56" s="3388"/>
      <c r="M56" s="3387">
        <f t="shared" si="21"/>
        <v>1</v>
      </c>
      <c r="N56" s="3388"/>
      <c r="O56" s="3387">
        <f t="shared" si="22"/>
        <v>1</v>
      </c>
      <c r="P56" s="3388"/>
      <c r="Q56" s="3387">
        <f t="shared" si="23"/>
        <v>0</v>
      </c>
      <c r="R56" s="2973">
        <f t="shared" si="24"/>
        <v>0</v>
      </c>
      <c r="S56" s="2850">
        <f t="shared" si="25"/>
        <v>0</v>
      </c>
    </row>
    <row r="57" spans="1:19">
      <c r="A57" s="3389"/>
      <c r="B57" s="3386"/>
      <c r="C57" s="3387">
        <f t="shared" si="16"/>
        <v>1</v>
      </c>
      <c r="D57" s="3388"/>
      <c r="E57" s="3387">
        <f t="shared" si="17"/>
        <v>0</v>
      </c>
      <c r="F57" s="3388"/>
      <c r="G57" s="3387">
        <f t="shared" si="18"/>
        <v>1</v>
      </c>
      <c r="H57" s="3388"/>
      <c r="I57" s="3387">
        <f t="shared" si="19"/>
        <v>1</v>
      </c>
      <c r="J57" s="3388"/>
      <c r="K57" s="3387">
        <f t="shared" si="20"/>
        <v>1</v>
      </c>
      <c r="L57" s="3388"/>
      <c r="M57" s="3387">
        <f t="shared" si="21"/>
        <v>1</v>
      </c>
      <c r="N57" s="3388"/>
      <c r="O57" s="3387">
        <f t="shared" si="22"/>
        <v>1</v>
      </c>
      <c r="P57" s="3388"/>
      <c r="Q57" s="3387">
        <f t="shared" si="23"/>
        <v>0</v>
      </c>
      <c r="R57" s="2973">
        <f t="shared" si="24"/>
        <v>0</v>
      </c>
      <c r="S57" s="2850">
        <f t="shared" si="25"/>
        <v>0</v>
      </c>
    </row>
    <row r="58" spans="1:19">
      <c r="A58" s="3389"/>
      <c r="B58" s="3386"/>
      <c r="C58" s="3387">
        <f t="shared" si="16"/>
        <v>1</v>
      </c>
      <c r="D58" s="3388"/>
      <c r="E58" s="3387">
        <f t="shared" si="17"/>
        <v>0</v>
      </c>
      <c r="F58" s="3388"/>
      <c r="G58" s="3387">
        <f t="shared" si="18"/>
        <v>1</v>
      </c>
      <c r="H58" s="3388"/>
      <c r="I58" s="3387">
        <f t="shared" si="19"/>
        <v>1</v>
      </c>
      <c r="J58" s="3388"/>
      <c r="K58" s="3387">
        <f t="shared" si="20"/>
        <v>1</v>
      </c>
      <c r="L58" s="3388"/>
      <c r="M58" s="3387">
        <f t="shared" si="21"/>
        <v>1</v>
      </c>
      <c r="N58" s="3388"/>
      <c r="O58" s="3387">
        <f t="shared" si="22"/>
        <v>1</v>
      </c>
      <c r="P58" s="3388"/>
      <c r="Q58" s="3387">
        <f t="shared" si="23"/>
        <v>0</v>
      </c>
      <c r="R58" s="2973">
        <f t="shared" si="24"/>
        <v>0</v>
      </c>
      <c r="S58" s="2850">
        <f t="shared" si="25"/>
        <v>0</v>
      </c>
    </row>
    <row r="59" spans="1:19">
      <c r="A59" s="3389"/>
      <c r="B59" s="3386"/>
      <c r="C59" s="3387">
        <f t="shared" si="16"/>
        <v>1</v>
      </c>
      <c r="D59" s="3388"/>
      <c r="E59" s="3387">
        <f t="shared" si="17"/>
        <v>0</v>
      </c>
      <c r="F59" s="3388"/>
      <c r="G59" s="3387">
        <f t="shared" si="18"/>
        <v>1</v>
      </c>
      <c r="H59" s="3388"/>
      <c r="I59" s="3387">
        <f t="shared" si="19"/>
        <v>1</v>
      </c>
      <c r="J59" s="3388"/>
      <c r="K59" s="3387">
        <f t="shared" si="20"/>
        <v>1</v>
      </c>
      <c r="L59" s="3388"/>
      <c r="M59" s="3387">
        <f t="shared" si="21"/>
        <v>1</v>
      </c>
      <c r="N59" s="3388"/>
      <c r="O59" s="3387">
        <f t="shared" si="22"/>
        <v>1</v>
      </c>
      <c r="P59" s="3388"/>
      <c r="Q59" s="3387">
        <f t="shared" si="23"/>
        <v>0</v>
      </c>
      <c r="R59" s="2973">
        <f t="shared" si="24"/>
        <v>0</v>
      </c>
      <c r="S59" s="2850">
        <f t="shared" si="25"/>
        <v>0</v>
      </c>
    </row>
    <row r="60" spans="1:19">
      <c r="A60" s="3389"/>
      <c r="B60" s="3386"/>
      <c r="C60" s="3387">
        <f t="shared" si="16"/>
        <v>1</v>
      </c>
      <c r="D60" s="3388"/>
      <c r="E60" s="3387">
        <f t="shared" si="17"/>
        <v>0</v>
      </c>
      <c r="F60" s="3388"/>
      <c r="G60" s="3387">
        <f t="shared" si="18"/>
        <v>1</v>
      </c>
      <c r="H60" s="3388"/>
      <c r="I60" s="3387">
        <f t="shared" si="19"/>
        <v>1</v>
      </c>
      <c r="J60" s="3388"/>
      <c r="K60" s="3387">
        <f t="shared" si="20"/>
        <v>1</v>
      </c>
      <c r="L60" s="3388"/>
      <c r="M60" s="3387">
        <f t="shared" si="21"/>
        <v>1</v>
      </c>
      <c r="N60" s="3388"/>
      <c r="O60" s="3387">
        <f t="shared" si="22"/>
        <v>1</v>
      </c>
      <c r="P60" s="3388"/>
      <c r="Q60" s="3387">
        <f t="shared" si="23"/>
        <v>0</v>
      </c>
      <c r="R60" s="2973">
        <f t="shared" si="24"/>
        <v>0</v>
      </c>
      <c r="S60" s="2850">
        <f t="shared" si="25"/>
        <v>0</v>
      </c>
    </row>
    <row r="61" spans="1:19">
      <c r="A61" s="3389"/>
      <c r="B61" s="3386"/>
      <c r="C61" s="3387">
        <f t="shared" si="16"/>
        <v>1</v>
      </c>
      <c r="D61" s="3388"/>
      <c r="E61" s="3387">
        <f t="shared" si="17"/>
        <v>0</v>
      </c>
      <c r="F61" s="3388"/>
      <c r="G61" s="3387">
        <f t="shared" si="18"/>
        <v>1</v>
      </c>
      <c r="H61" s="3388"/>
      <c r="I61" s="3387">
        <f t="shared" si="19"/>
        <v>1</v>
      </c>
      <c r="J61" s="3388"/>
      <c r="K61" s="3387">
        <f t="shared" si="20"/>
        <v>1</v>
      </c>
      <c r="L61" s="3388"/>
      <c r="M61" s="3387">
        <f t="shared" si="21"/>
        <v>1</v>
      </c>
      <c r="N61" s="3388"/>
      <c r="O61" s="3387">
        <f t="shared" si="22"/>
        <v>1</v>
      </c>
      <c r="P61" s="3388"/>
      <c r="Q61" s="3387">
        <f t="shared" si="23"/>
        <v>0</v>
      </c>
      <c r="R61" s="2973">
        <f t="shared" si="24"/>
        <v>0</v>
      </c>
      <c r="S61" s="2850">
        <f t="shared" si="25"/>
        <v>0</v>
      </c>
    </row>
    <row r="62" spans="1:19">
      <c r="A62" s="3389"/>
      <c r="B62" s="3386"/>
      <c r="C62" s="3387">
        <f t="shared" si="16"/>
        <v>1</v>
      </c>
      <c r="D62" s="3388"/>
      <c r="E62" s="3387">
        <f t="shared" si="17"/>
        <v>0</v>
      </c>
      <c r="F62" s="3388"/>
      <c r="G62" s="3387">
        <f t="shared" si="18"/>
        <v>1</v>
      </c>
      <c r="H62" s="3388"/>
      <c r="I62" s="3387">
        <f t="shared" si="19"/>
        <v>1</v>
      </c>
      <c r="J62" s="3388"/>
      <c r="K62" s="3387">
        <f t="shared" si="20"/>
        <v>1</v>
      </c>
      <c r="L62" s="3388"/>
      <c r="M62" s="3387">
        <f t="shared" si="21"/>
        <v>1</v>
      </c>
      <c r="N62" s="3388"/>
      <c r="O62" s="3387">
        <f t="shared" si="22"/>
        <v>1</v>
      </c>
      <c r="P62" s="3388"/>
      <c r="Q62" s="3387">
        <f t="shared" si="23"/>
        <v>0</v>
      </c>
      <c r="R62" s="2973">
        <f t="shared" si="24"/>
        <v>0</v>
      </c>
      <c r="S62" s="2850">
        <f t="shared" si="25"/>
        <v>0</v>
      </c>
    </row>
    <row r="63" spans="1:19">
      <c r="A63" s="3389"/>
      <c r="B63" s="3386"/>
      <c r="C63" s="3387">
        <f t="shared" si="16"/>
        <v>1</v>
      </c>
      <c r="D63" s="3388"/>
      <c r="E63" s="3387">
        <f t="shared" si="17"/>
        <v>0</v>
      </c>
      <c r="F63" s="3388"/>
      <c r="G63" s="3387">
        <f t="shared" si="18"/>
        <v>1</v>
      </c>
      <c r="H63" s="3388"/>
      <c r="I63" s="3387">
        <f t="shared" si="19"/>
        <v>1</v>
      </c>
      <c r="J63" s="3388"/>
      <c r="K63" s="3387">
        <f t="shared" si="20"/>
        <v>1</v>
      </c>
      <c r="L63" s="3388"/>
      <c r="M63" s="3387">
        <f t="shared" si="21"/>
        <v>1</v>
      </c>
      <c r="N63" s="3388"/>
      <c r="O63" s="3387">
        <f t="shared" si="22"/>
        <v>1</v>
      </c>
      <c r="P63" s="3388"/>
      <c r="Q63" s="3387">
        <f t="shared" si="23"/>
        <v>0</v>
      </c>
      <c r="R63" s="2973">
        <f t="shared" si="24"/>
        <v>0</v>
      </c>
      <c r="S63" s="2850">
        <f t="shared" si="25"/>
        <v>0</v>
      </c>
    </row>
    <row r="64" spans="1:19">
      <c r="A64" s="3389"/>
      <c r="B64" s="3386"/>
      <c r="C64" s="3387">
        <f t="shared" si="16"/>
        <v>1</v>
      </c>
      <c r="D64" s="3388"/>
      <c r="E64" s="3387">
        <f t="shared" si="17"/>
        <v>0</v>
      </c>
      <c r="F64" s="3388"/>
      <c r="G64" s="3387">
        <f t="shared" si="18"/>
        <v>1</v>
      </c>
      <c r="H64" s="3388"/>
      <c r="I64" s="3387">
        <f t="shared" si="19"/>
        <v>1</v>
      </c>
      <c r="J64" s="3388"/>
      <c r="K64" s="3387">
        <f t="shared" si="20"/>
        <v>1</v>
      </c>
      <c r="L64" s="3388"/>
      <c r="M64" s="3387">
        <f t="shared" si="21"/>
        <v>1</v>
      </c>
      <c r="N64" s="3388"/>
      <c r="O64" s="3387">
        <f t="shared" si="22"/>
        <v>1</v>
      </c>
      <c r="P64" s="3388"/>
      <c r="Q64" s="3387">
        <f t="shared" si="23"/>
        <v>0</v>
      </c>
      <c r="R64" s="2973">
        <f t="shared" si="24"/>
        <v>0</v>
      </c>
      <c r="S64" s="2850">
        <f t="shared" si="25"/>
        <v>0</v>
      </c>
    </row>
    <row r="65" spans="1:19">
      <c r="A65" s="3389"/>
      <c r="B65" s="3386"/>
      <c r="C65" s="3387">
        <f t="shared" si="16"/>
        <v>1</v>
      </c>
      <c r="D65" s="3388"/>
      <c r="E65" s="3387">
        <f t="shared" si="17"/>
        <v>0</v>
      </c>
      <c r="F65" s="3388"/>
      <c r="G65" s="3387">
        <f t="shared" si="18"/>
        <v>1</v>
      </c>
      <c r="H65" s="3388"/>
      <c r="I65" s="3387">
        <f t="shared" si="19"/>
        <v>1</v>
      </c>
      <c r="J65" s="3388"/>
      <c r="K65" s="3387">
        <f t="shared" si="20"/>
        <v>1</v>
      </c>
      <c r="L65" s="3388"/>
      <c r="M65" s="3387">
        <f t="shared" si="21"/>
        <v>1</v>
      </c>
      <c r="N65" s="3388"/>
      <c r="O65" s="3387">
        <f t="shared" si="22"/>
        <v>1</v>
      </c>
      <c r="P65" s="3388"/>
      <c r="Q65" s="3387">
        <f t="shared" si="23"/>
        <v>0</v>
      </c>
      <c r="R65" s="2973">
        <f t="shared" si="24"/>
        <v>0</v>
      </c>
      <c r="S65" s="2850">
        <f t="shared" si="25"/>
        <v>0</v>
      </c>
    </row>
    <row r="66" spans="1:19">
      <c r="A66" s="3389"/>
      <c r="B66" s="3386"/>
      <c r="C66" s="3387">
        <f t="shared" si="16"/>
        <v>1</v>
      </c>
      <c r="D66" s="3388"/>
      <c r="E66" s="3387">
        <f t="shared" si="17"/>
        <v>0</v>
      </c>
      <c r="F66" s="3388"/>
      <c r="G66" s="3387">
        <f t="shared" si="18"/>
        <v>1</v>
      </c>
      <c r="H66" s="3388"/>
      <c r="I66" s="3387">
        <f t="shared" si="19"/>
        <v>1</v>
      </c>
      <c r="J66" s="3388"/>
      <c r="K66" s="3387">
        <f t="shared" si="20"/>
        <v>1</v>
      </c>
      <c r="L66" s="3388"/>
      <c r="M66" s="3387">
        <f t="shared" si="21"/>
        <v>1</v>
      </c>
      <c r="N66" s="3388"/>
      <c r="O66" s="3387">
        <f t="shared" si="22"/>
        <v>1</v>
      </c>
      <c r="P66" s="3388"/>
      <c r="Q66" s="3387">
        <f t="shared" si="23"/>
        <v>0</v>
      </c>
      <c r="R66" s="2973">
        <f t="shared" si="24"/>
        <v>0</v>
      </c>
      <c r="S66" s="2850">
        <f t="shared" si="25"/>
        <v>0</v>
      </c>
    </row>
    <row r="67" spans="1:19">
      <c r="A67" s="3389"/>
      <c r="B67" s="3386"/>
      <c r="C67" s="3387">
        <f t="shared" si="16"/>
        <v>1</v>
      </c>
      <c r="D67" s="3388"/>
      <c r="E67" s="3387">
        <f t="shared" si="17"/>
        <v>0</v>
      </c>
      <c r="F67" s="3388"/>
      <c r="G67" s="3387">
        <f t="shared" si="18"/>
        <v>1</v>
      </c>
      <c r="H67" s="3388"/>
      <c r="I67" s="3387">
        <f t="shared" si="19"/>
        <v>1</v>
      </c>
      <c r="J67" s="3388"/>
      <c r="K67" s="3387">
        <f t="shared" si="20"/>
        <v>1</v>
      </c>
      <c r="L67" s="3388"/>
      <c r="M67" s="3387">
        <f t="shared" si="21"/>
        <v>1</v>
      </c>
      <c r="N67" s="3388"/>
      <c r="O67" s="3387">
        <f t="shared" si="22"/>
        <v>1</v>
      </c>
      <c r="P67" s="3388"/>
      <c r="Q67" s="3387">
        <f t="shared" si="23"/>
        <v>0</v>
      </c>
      <c r="R67" s="2973">
        <f t="shared" si="24"/>
        <v>0</v>
      </c>
      <c r="S67" s="2850">
        <f t="shared" si="25"/>
        <v>0</v>
      </c>
    </row>
    <row r="68" spans="1:19">
      <c r="A68" s="3389"/>
      <c r="B68" s="3386"/>
      <c r="C68" s="3387">
        <f t="shared" si="16"/>
        <v>1</v>
      </c>
      <c r="D68" s="3388"/>
      <c r="E68" s="3387">
        <f t="shared" si="17"/>
        <v>0</v>
      </c>
      <c r="F68" s="3388"/>
      <c r="G68" s="3387">
        <f t="shared" si="18"/>
        <v>1</v>
      </c>
      <c r="H68" s="3388"/>
      <c r="I68" s="3387">
        <f t="shared" si="19"/>
        <v>1</v>
      </c>
      <c r="J68" s="3388"/>
      <c r="K68" s="3387">
        <f t="shared" si="20"/>
        <v>1</v>
      </c>
      <c r="L68" s="3388"/>
      <c r="M68" s="3387">
        <f t="shared" si="21"/>
        <v>1</v>
      </c>
      <c r="N68" s="3388"/>
      <c r="O68" s="3387">
        <f t="shared" si="22"/>
        <v>1</v>
      </c>
      <c r="P68" s="3388"/>
      <c r="Q68" s="3387">
        <f t="shared" si="23"/>
        <v>0</v>
      </c>
      <c r="R68" s="2973">
        <f t="shared" si="24"/>
        <v>0</v>
      </c>
      <c r="S68" s="2850">
        <f t="shared" si="25"/>
        <v>0</v>
      </c>
    </row>
    <row r="69" spans="1:19">
      <c r="A69" s="3389"/>
      <c r="B69" s="3386"/>
      <c r="C69" s="3387">
        <f t="shared" si="16"/>
        <v>1</v>
      </c>
      <c r="D69" s="3388"/>
      <c r="E69" s="3387">
        <f t="shared" si="17"/>
        <v>0</v>
      </c>
      <c r="F69" s="3388"/>
      <c r="G69" s="3387">
        <f t="shared" si="18"/>
        <v>1</v>
      </c>
      <c r="H69" s="3388"/>
      <c r="I69" s="3387">
        <f t="shared" si="19"/>
        <v>1</v>
      </c>
      <c r="J69" s="3388"/>
      <c r="K69" s="3387">
        <f t="shared" si="20"/>
        <v>1</v>
      </c>
      <c r="L69" s="3388"/>
      <c r="M69" s="3387">
        <f t="shared" si="21"/>
        <v>1</v>
      </c>
      <c r="N69" s="3388"/>
      <c r="O69" s="3387">
        <f t="shared" si="22"/>
        <v>1</v>
      </c>
      <c r="P69" s="3388"/>
      <c r="Q69" s="3387">
        <f t="shared" si="23"/>
        <v>0</v>
      </c>
      <c r="R69" s="2973">
        <f t="shared" si="24"/>
        <v>0</v>
      </c>
      <c r="S69" s="2850">
        <f t="shared" si="25"/>
        <v>0</v>
      </c>
    </row>
    <row r="70" spans="1:19">
      <c r="A70" s="3389"/>
      <c r="B70" s="3386"/>
      <c r="C70" s="3387">
        <f t="shared" si="16"/>
        <v>1</v>
      </c>
      <c r="D70" s="3388"/>
      <c r="E70" s="3387">
        <f t="shared" si="17"/>
        <v>0</v>
      </c>
      <c r="F70" s="3388"/>
      <c r="G70" s="3387">
        <f t="shared" si="18"/>
        <v>1</v>
      </c>
      <c r="H70" s="3388"/>
      <c r="I70" s="3387">
        <f t="shared" si="19"/>
        <v>1</v>
      </c>
      <c r="J70" s="3388"/>
      <c r="K70" s="3387">
        <f t="shared" si="20"/>
        <v>1</v>
      </c>
      <c r="L70" s="3388"/>
      <c r="M70" s="3387">
        <f t="shared" si="21"/>
        <v>1</v>
      </c>
      <c r="N70" s="3388"/>
      <c r="O70" s="3387">
        <f t="shared" si="22"/>
        <v>1</v>
      </c>
      <c r="P70" s="3388"/>
      <c r="Q70" s="3387">
        <f t="shared" si="23"/>
        <v>0</v>
      </c>
      <c r="R70" s="2973">
        <f t="shared" si="24"/>
        <v>0</v>
      </c>
      <c r="S70" s="2850">
        <f t="shared" si="25"/>
        <v>0</v>
      </c>
    </row>
    <row r="71" spans="1:19">
      <c r="A71" s="3389"/>
      <c r="B71" s="3386"/>
      <c r="C71" s="3387">
        <f t="shared" si="16"/>
        <v>1</v>
      </c>
      <c r="D71" s="3388"/>
      <c r="E71" s="3387">
        <f t="shared" si="17"/>
        <v>0</v>
      </c>
      <c r="F71" s="3388"/>
      <c r="G71" s="3387">
        <f t="shared" si="18"/>
        <v>1</v>
      </c>
      <c r="H71" s="3388"/>
      <c r="I71" s="3387">
        <f t="shared" si="19"/>
        <v>1</v>
      </c>
      <c r="J71" s="3388"/>
      <c r="K71" s="3387">
        <f t="shared" si="20"/>
        <v>1</v>
      </c>
      <c r="L71" s="3388"/>
      <c r="M71" s="3387">
        <f t="shared" si="21"/>
        <v>1</v>
      </c>
      <c r="N71" s="3388"/>
      <c r="O71" s="3387">
        <f t="shared" si="22"/>
        <v>1</v>
      </c>
      <c r="P71" s="3388"/>
      <c r="Q71" s="3387">
        <f t="shared" si="23"/>
        <v>0</v>
      </c>
      <c r="R71" s="2973">
        <f t="shared" si="24"/>
        <v>0</v>
      </c>
      <c r="S71" s="2850">
        <f t="shared" si="25"/>
        <v>0</v>
      </c>
    </row>
    <row r="72" spans="1:19">
      <c r="A72" s="3389"/>
      <c r="B72" s="3386"/>
      <c r="C72" s="3387">
        <f t="shared" si="16"/>
        <v>1</v>
      </c>
      <c r="D72" s="3388"/>
      <c r="E72" s="3387">
        <f t="shared" si="17"/>
        <v>0</v>
      </c>
      <c r="F72" s="3388"/>
      <c r="G72" s="3387">
        <f t="shared" si="18"/>
        <v>1</v>
      </c>
      <c r="H72" s="3388"/>
      <c r="I72" s="3387">
        <f t="shared" si="19"/>
        <v>1</v>
      </c>
      <c r="J72" s="3388"/>
      <c r="K72" s="3387">
        <f t="shared" si="20"/>
        <v>1</v>
      </c>
      <c r="L72" s="3388"/>
      <c r="M72" s="3387">
        <f t="shared" si="21"/>
        <v>1</v>
      </c>
      <c r="N72" s="3388"/>
      <c r="O72" s="3387">
        <f t="shared" si="22"/>
        <v>1</v>
      </c>
      <c r="P72" s="3388"/>
      <c r="Q72" s="3387">
        <f t="shared" si="23"/>
        <v>0</v>
      </c>
      <c r="R72" s="2973">
        <f t="shared" si="24"/>
        <v>0</v>
      </c>
      <c r="S72" s="2850">
        <f t="shared" si="25"/>
        <v>0</v>
      </c>
    </row>
    <row r="73" spans="1:19">
      <c r="A73" s="3389"/>
      <c r="B73" s="3386"/>
      <c r="C73" s="3387">
        <f t="shared" si="16"/>
        <v>1</v>
      </c>
      <c r="D73" s="3388"/>
      <c r="E73" s="3387">
        <f t="shared" si="17"/>
        <v>0</v>
      </c>
      <c r="F73" s="3388"/>
      <c r="G73" s="3387">
        <f t="shared" si="18"/>
        <v>1</v>
      </c>
      <c r="H73" s="3388"/>
      <c r="I73" s="3387">
        <f t="shared" si="19"/>
        <v>1</v>
      </c>
      <c r="J73" s="3388"/>
      <c r="K73" s="3387">
        <f t="shared" si="20"/>
        <v>1</v>
      </c>
      <c r="L73" s="3388"/>
      <c r="M73" s="3387">
        <f t="shared" si="21"/>
        <v>1</v>
      </c>
      <c r="N73" s="3388"/>
      <c r="O73" s="3387">
        <f t="shared" si="22"/>
        <v>1</v>
      </c>
      <c r="P73" s="3388"/>
      <c r="Q73" s="3387">
        <f t="shared" si="23"/>
        <v>0</v>
      </c>
      <c r="R73" s="2973">
        <f t="shared" si="24"/>
        <v>0</v>
      </c>
      <c r="S73" s="2850">
        <f t="shared" si="25"/>
        <v>0</v>
      </c>
    </row>
    <row r="74" spans="1:19">
      <c r="A74" s="3389"/>
      <c r="B74" s="3386"/>
      <c r="C74" s="3387">
        <f t="shared" si="16"/>
        <v>1</v>
      </c>
      <c r="D74" s="3388"/>
      <c r="E74" s="3387">
        <f t="shared" si="17"/>
        <v>0</v>
      </c>
      <c r="F74" s="3388"/>
      <c r="G74" s="3387">
        <f t="shared" si="18"/>
        <v>1</v>
      </c>
      <c r="H74" s="3388"/>
      <c r="I74" s="3387">
        <f t="shared" si="19"/>
        <v>1</v>
      </c>
      <c r="J74" s="3388"/>
      <c r="K74" s="3387">
        <f t="shared" si="20"/>
        <v>1</v>
      </c>
      <c r="L74" s="3388"/>
      <c r="M74" s="3387">
        <f t="shared" si="21"/>
        <v>1</v>
      </c>
      <c r="N74" s="3388"/>
      <c r="O74" s="3387">
        <f t="shared" si="22"/>
        <v>1</v>
      </c>
      <c r="P74" s="3388"/>
      <c r="Q74" s="3387">
        <f t="shared" si="23"/>
        <v>0</v>
      </c>
      <c r="R74" s="2973">
        <f t="shared" si="24"/>
        <v>0</v>
      </c>
      <c r="S74" s="2850">
        <f t="shared" si="25"/>
        <v>0</v>
      </c>
    </row>
    <row r="75" spans="1:19">
      <c r="A75" s="3389"/>
      <c r="B75" s="3386"/>
      <c r="C75" s="3387">
        <f t="shared" si="16"/>
        <v>1</v>
      </c>
      <c r="D75" s="3388"/>
      <c r="E75" s="3387">
        <f t="shared" si="17"/>
        <v>0</v>
      </c>
      <c r="F75" s="3388"/>
      <c r="G75" s="3387">
        <f t="shared" si="18"/>
        <v>1</v>
      </c>
      <c r="H75" s="3388"/>
      <c r="I75" s="3387">
        <f t="shared" si="19"/>
        <v>1</v>
      </c>
      <c r="J75" s="3388"/>
      <c r="K75" s="3387">
        <f t="shared" si="20"/>
        <v>1</v>
      </c>
      <c r="L75" s="3388"/>
      <c r="M75" s="3387">
        <f t="shared" si="21"/>
        <v>1</v>
      </c>
      <c r="N75" s="3388"/>
      <c r="O75" s="3387">
        <f t="shared" si="22"/>
        <v>1</v>
      </c>
      <c r="P75" s="3388"/>
      <c r="Q75" s="3387">
        <f t="shared" si="23"/>
        <v>0</v>
      </c>
      <c r="R75" s="2973">
        <f t="shared" si="24"/>
        <v>0</v>
      </c>
      <c r="S75" s="2850">
        <f t="shared" si="25"/>
        <v>0</v>
      </c>
    </row>
    <row r="76" spans="1:19">
      <c r="A76" s="3389"/>
      <c r="B76" s="3386"/>
      <c r="C76" s="3387">
        <f t="shared" si="16"/>
        <v>1</v>
      </c>
      <c r="D76" s="3388"/>
      <c r="E76" s="3387">
        <f t="shared" si="17"/>
        <v>0</v>
      </c>
      <c r="F76" s="3388"/>
      <c r="G76" s="3387">
        <f t="shared" si="18"/>
        <v>1</v>
      </c>
      <c r="H76" s="3388"/>
      <c r="I76" s="3387">
        <f t="shared" si="19"/>
        <v>1</v>
      </c>
      <c r="J76" s="3388"/>
      <c r="K76" s="3387">
        <f t="shared" si="20"/>
        <v>1</v>
      </c>
      <c r="L76" s="3388"/>
      <c r="M76" s="3387">
        <f t="shared" si="21"/>
        <v>1</v>
      </c>
      <c r="N76" s="3388"/>
      <c r="O76" s="3387">
        <f t="shared" si="22"/>
        <v>1</v>
      </c>
      <c r="P76" s="3388"/>
      <c r="Q76" s="3387">
        <f t="shared" si="23"/>
        <v>0</v>
      </c>
      <c r="R76" s="2973">
        <f t="shared" si="24"/>
        <v>0</v>
      </c>
      <c r="S76" s="2850">
        <f t="shared" si="25"/>
        <v>0</v>
      </c>
    </row>
    <row r="77" spans="1:19">
      <c r="A77" s="3389"/>
      <c r="B77" s="3386"/>
      <c r="C77" s="3387">
        <f t="shared" si="16"/>
        <v>1</v>
      </c>
      <c r="D77" s="3388"/>
      <c r="E77" s="3387">
        <f t="shared" si="17"/>
        <v>0</v>
      </c>
      <c r="F77" s="3388"/>
      <c r="G77" s="3387">
        <f t="shared" si="18"/>
        <v>1</v>
      </c>
      <c r="H77" s="3388"/>
      <c r="I77" s="3387">
        <f t="shared" si="19"/>
        <v>1</v>
      </c>
      <c r="J77" s="3388"/>
      <c r="K77" s="3387">
        <f t="shared" si="20"/>
        <v>1</v>
      </c>
      <c r="L77" s="3388"/>
      <c r="M77" s="3387">
        <f t="shared" si="21"/>
        <v>1</v>
      </c>
      <c r="N77" s="3388"/>
      <c r="O77" s="3387">
        <f t="shared" si="22"/>
        <v>1</v>
      </c>
      <c r="P77" s="3388"/>
      <c r="Q77" s="3387">
        <f t="shared" si="23"/>
        <v>0</v>
      </c>
      <c r="R77" s="2973">
        <f t="shared" si="24"/>
        <v>0</v>
      </c>
      <c r="S77" s="2850">
        <f t="shared" si="25"/>
        <v>0</v>
      </c>
    </row>
    <row r="78" spans="1:19">
      <c r="A78" s="3389"/>
      <c r="B78" s="3386"/>
      <c r="C78" s="3387">
        <f t="shared" si="16"/>
        <v>1</v>
      </c>
      <c r="D78" s="3388"/>
      <c r="E78" s="3387">
        <f t="shared" si="17"/>
        <v>0</v>
      </c>
      <c r="F78" s="3388"/>
      <c r="G78" s="3387">
        <f t="shared" si="18"/>
        <v>1</v>
      </c>
      <c r="H78" s="3388"/>
      <c r="I78" s="3387">
        <f t="shared" si="19"/>
        <v>1</v>
      </c>
      <c r="J78" s="3388"/>
      <c r="K78" s="3387">
        <f t="shared" si="20"/>
        <v>1</v>
      </c>
      <c r="L78" s="3388"/>
      <c r="M78" s="3387">
        <f t="shared" si="21"/>
        <v>1</v>
      </c>
      <c r="N78" s="3388"/>
      <c r="O78" s="3387">
        <f t="shared" si="22"/>
        <v>1</v>
      </c>
      <c r="P78" s="3388"/>
      <c r="Q78" s="3387">
        <f t="shared" si="23"/>
        <v>0</v>
      </c>
      <c r="R78" s="2973">
        <f t="shared" si="24"/>
        <v>0</v>
      </c>
      <c r="S78" s="2850">
        <f t="shared" ref="S78:S122" si="26">ROUND(R78*B78/10000,0)</f>
        <v>0</v>
      </c>
    </row>
    <row r="79" spans="1:19">
      <c r="A79" s="3389"/>
      <c r="B79" s="3386"/>
      <c r="C79" s="3387">
        <f t="shared" si="16"/>
        <v>1</v>
      </c>
      <c r="D79" s="3388"/>
      <c r="E79" s="3387">
        <f t="shared" si="17"/>
        <v>0</v>
      </c>
      <c r="F79" s="3388"/>
      <c r="G79" s="3387">
        <f t="shared" si="18"/>
        <v>1</v>
      </c>
      <c r="H79" s="3388"/>
      <c r="I79" s="3387">
        <f t="shared" si="19"/>
        <v>1</v>
      </c>
      <c r="J79" s="3388"/>
      <c r="K79" s="3387">
        <f t="shared" si="20"/>
        <v>1</v>
      </c>
      <c r="L79" s="3388"/>
      <c r="M79" s="3387">
        <f t="shared" si="21"/>
        <v>1</v>
      </c>
      <c r="N79" s="3388"/>
      <c r="O79" s="3387">
        <f t="shared" si="22"/>
        <v>1</v>
      </c>
      <c r="P79" s="3388"/>
      <c r="Q79" s="3387">
        <f t="shared" si="23"/>
        <v>0</v>
      </c>
      <c r="R79" s="2973">
        <f t="shared" si="24"/>
        <v>0</v>
      </c>
      <c r="S79" s="2850">
        <f t="shared" si="26"/>
        <v>0</v>
      </c>
    </row>
    <row r="80" spans="1:19">
      <c r="A80" s="3389"/>
      <c r="B80" s="3386"/>
      <c r="C80" s="3387">
        <f t="shared" si="16"/>
        <v>1</v>
      </c>
      <c r="D80" s="3388"/>
      <c r="E80" s="3387">
        <f t="shared" si="17"/>
        <v>0</v>
      </c>
      <c r="F80" s="3388"/>
      <c r="G80" s="3387">
        <f t="shared" si="18"/>
        <v>1</v>
      </c>
      <c r="H80" s="3388"/>
      <c r="I80" s="3387">
        <f t="shared" si="19"/>
        <v>1</v>
      </c>
      <c r="J80" s="3388"/>
      <c r="K80" s="3387">
        <f t="shared" si="20"/>
        <v>1</v>
      </c>
      <c r="L80" s="3388"/>
      <c r="M80" s="3387">
        <f t="shared" si="21"/>
        <v>1</v>
      </c>
      <c r="N80" s="3388"/>
      <c r="O80" s="3387">
        <f t="shared" si="22"/>
        <v>1</v>
      </c>
      <c r="P80" s="3388"/>
      <c r="Q80" s="3387">
        <f t="shared" si="23"/>
        <v>0</v>
      </c>
      <c r="R80" s="2973">
        <f t="shared" si="24"/>
        <v>0</v>
      </c>
      <c r="S80" s="2850">
        <f t="shared" si="26"/>
        <v>0</v>
      </c>
    </row>
    <row r="81" spans="1:19">
      <c r="A81" s="3389"/>
      <c r="B81" s="3386"/>
      <c r="C81" s="3387">
        <f t="shared" si="16"/>
        <v>1</v>
      </c>
      <c r="D81" s="3388"/>
      <c r="E81" s="3387">
        <f t="shared" si="17"/>
        <v>0</v>
      </c>
      <c r="F81" s="3388"/>
      <c r="G81" s="3387">
        <f t="shared" si="18"/>
        <v>1</v>
      </c>
      <c r="H81" s="3388"/>
      <c r="I81" s="3387">
        <f t="shared" si="19"/>
        <v>1</v>
      </c>
      <c r="J81" s="3388"/>
      <c r="K81" s="3387">
        <f t="shared" si="20"/>
        <v>1</v>
      </c>
      <c r="L81" s="3388"/>
      <c r="M81" s="3387">
        <f t="shared" si="21"/>
        <v>1</v>
      </c>
      <c r="N81" s="3388"/>
      <c r="O81" s="3387">
        <f t="shared" si="22"/>
        <v>1</v>
      </c>
      <c r="P81" s="3388"/>
      <c r="Q81" s="3387">
        <f t="shared" si="23"/>
        <v>0</v>
      </c>
      <c r="R81" s="2973">
        <f t="shared" si="24"/>
        <v>0</v>
      </c>
      <c r="S81" s="2850">
        <f t="shared" si="26"/>
        <v>0</v>
      </c>
    </row>
    <row r="82" spans="1:19">
      <c r="A82" s="3389"/>
      <c r="B82" s="3386"/>
      <c r="C82" s="3387">
        <f t="shared" si="16"/>
        <v>1</v>
      </c>
      <c r="D82" s="3388"/>
      <c r="E82" s="3387">
        <f t="shared" si="17"/>
        <v>0</v>
      </c>
      <c r="F82" s="3388"/>
      <c r="G82" s="3387">
        <f t="shared" si="18"/>
        <v>1</v>
      </c>
      <c r="H82" s="3388"/>
      <c r="I82" s="3387">
        <f t="shared" si="19"/>
        <v>1</v>
      </c>
      <c r="J82" s="3388"/>
      <c r="K82" s="3387">
        <f t="shared" si="20"/>
        <v>1</v>
      </c>
      <c r="L82" s="3388"/>
      <c r="M82" s="3387">
        <f t="shared" si="21"/>
        <v>1</v>
      </c>
      <c r="N82" s="3388"/>
      <c r="O82" s="3387">
        <f t="shared" si="22"/>
        <v>1</v>
      </c>
      <c r="P82" s="3388"/>
      <c r="Q82" s="3387">
        <f t="shared" si="23"/>
        <v>0</v>
      </c>
      <c r="R82" s="2973">
        <f t="shared" si="24"/>
        <v>0</v>
      </c>
      <c r="S82" s="2850">
        <f t="shared" si="26"/>
        <v>0</v>
      </c>
    </row>
    <row r="83" spans="1:19">
      <c r="A83" s="3389"/>
      <c r="B83" s="3386"/>
      <c r="C83" s="3387">
        <f t="shared" si="16"/>
        <v>1</v>
      </c>
      <c r="D83" s="3388"/>
      <c r="E83" s="3387">
        <f t="shared" si="17"/>
        <v>0</v>
      </c>
      <c r="F83" s="3388"/>
      <c r="G83" s="3387">
        <f t="shared" si="18"/>
        <v>1</v>
      </c>
      <c r="H83" s="3388"/>
      <c r="I83" s="3387">
        <f t="shared" si="19"/>
        <v>1</v>
      </c>
      <c r="J83" s="3388"/>
      <c r="K83" s="3387">
        <f t="shared" si="20"/>
        <v>1</v>
      </c>
      <c r="L83" s="3388"/>
      <c r="M83" s="3387">
        <f t="shared" si="21"/>
        <v>1</v>
      </c>
      <c r="N83" s="3388"/>
      <c r="O83" s="3387">
        <f t="shared" si="22"/>
        <v>1</v>
      </c>
      <c r="P83" s="3388"/>
      <c r="Q83" s="3387">
        <f t="shared" si="23"/>
        <v>0</v>
      </c>
      <c r="R83" s="2973">
        <f t="shared" si="24"/>
        <v>0</v>
      </c>
      <c r="S83" s="2850">
        <f t="shared" si="26"/>
        <v>0</v>
      </c>
    </row>
    <row r="84" spans="1:19">
      <c r="A84" s="3389"/>
      <c r="B84" s="3386"/>
      <c r="C84" s="3387">
        <f t="shared" si="16"/>
        <v>1</v>
      </c>
      <c r="D84" s="3388"/>
      <c r="E84" s="3387">
        <f t="shared" si="17"/>
        <v>0</v>
      </c>
      <c r="F84" s="3388"/>
      <c r="G84" s="3387">
        <f t="shared" si="18"/>
        <v>1</v>
      </c>
      <c r="H84" s="3388"/>
      <c r="I84" s="3387">
        <f t="shared" si="19"/>
        <v>1</v>
      </c>
      <c r="J84" s="3388"/>
      <c r="K84" s="3387">
        <f t="shared" si="20"/>
        <v>1</v>
      </c>
      <c r="L84" s="3388"/>
      <c r="M84" s="3387">
        <f t="shared" si="21"/>
        <v>1</v>
      </c>
      <c r="N84" s="3388"/>
      <c r="O84" s="3387">
        <f t="shared" si="22"/>
        <v>1</v>
      </c>
      <c r="P84" s="3388"/>
      <c r="Q84" s="3387">
        <f t="shared" si="23"/>
        <v>0</v>
      </c>
      <c r="R84" s="2973">
        <f t="shared" si="24"/>
        <v>0</v>
      </c>
      <c r="S84" s="2850">
        <f t="shared" si="26"/>
        <v>0</v>
      </c>
    </row>
    <row r="85" spans="1:19">
      <c r="A85" s="3389"/>
      <c r="B85" s="3386"/>
      <c r="C85" s="3387">
        <f t="shared" si="16"/>
        <v>1</v>
      </c>
      <c r="D85" s="3388"/>
      <c r="E85" s="3387">
        <f t="shared" si="17"/>
        <v>0</v>
      </c>
      <c r="F85" s="3388"/>
      <c r="G85" s="3387">
        <f t="shared" si="18"/>
        <v>1</v>
      </c>
      <c r="H85" s="3388"/>
      <c r="I85" s="3387">
        <f t="shared" si="19"/>
        <v>1</v>
      </c>
      <c r="J85" s="3388"/>
      <c r="K85" s="3387">
        <f t="shared" si="20"/>
        <v>1</v>
      </c>
      <c r="L85" s="3388"/>
      <c r="M85" s="3387">
        <f t="shared" si="21"/>
        <v>1</v>
      </c>
      <c r="N85" s="3388"/>
      <c r="O85" s="3387">
        <f t="shared" si="22"/>
        <v>1</v>
      </c>
      <c r="P85" s="3388"/>
      <c r="Q85" s="3387">
        <f t="shared" si="23"/>
        <v>0</v>
      </c>
      <c r="R85" s="2973">
        <f t="shared" si="24"/>
        <v>0</v>
      </c>
      <c r="S85" s="2850">
        <f t="shared" si="26"/>
        <v>0</v>
      </c>
    </row>
    <row r="86" spans="1:19">
      <c r="A86" s="3389"/>
      <c r="B86" s="3386"/>
      <c r="C86" s="3387">
        <f t="shared" si="16"/>
        <v>1</v>
      </c>
      <c r="D86" s="3388"/>
      <c r="E86" s="3387">
        <f t="shared" si="17"/>
        <v>0</v>
      </c>
      <c r="F86" s="3388"/>
      <c r="G86" s="3387">
        <f t="shared" si="18"/>
        <v>1</v>
      </c>
      <c r="H86" s="3388"/>
      <c r="I86" s="3387">
        <f t="shared" si="19"/>
        <v>1</v>
      </c>
      <c r="J86" s="3388"/>
      <c r="K86" s="3387">
        <f t="shared" si="20"/>
        <v>1</v>
      </c>
      <c r="L86" s="3388"/>
      <c r="M86" s="3387">
        <f t="shared" si="21"/>
        <v>1</v>
      </c>
      <c r="N86" s="3388"/>
      <c r="O86" s="3387">
        <f t="shared" si="22"/>
        <v>1</v>
      </c>
      <c r="P86" s="3388"/>
      <c r="Q86" s="3387">
        <f t="shared" si="23"/>
        <v>0</v>
      </c>
      <c r="R86" s="2973">
        <f t="shared" si="24"/>
        <v>0</v>
      </c>
      <c r="S86" s="2850">
        <f t="shared" si="26"/>
        <v>0</v>
      </c>
    </row>
    <row r="87" spans="1:19">
      <c r="A87" s="3389"/>
      <c r="B87" s="3386"/>
      <c r="C87" s="3387">
        <f t="shared" si="16"/>
        <v>1</v>
      </c>
      <c r="D87" s="3388"/>
      <c r="E87" s="3387">
        <f t="shared" si="17"/>
        <v>0</v>
      </c>
      <c r="F87" s="3388"/>
      <c r="G87" s="3387">
        <f t="shared" si="18"/>
        <v>1</v>
      </c>
      <c r="H87" s="3388"/>
      <c r="I87" s="3387">
        <f t="shared" si="19"/>
        <v>1</v>
      </c>
      <c r="J87" s="3388"/>
      <c r="K87" s="3387">
        <f t="shared" si="20"/>
        <v>1</v>
      </c>
      <c r="L87" s="3388"/>
      <c r="M87" s="3387">
        <f t="shared" si="21"/>
        <v>1</v>
      </c>
      <c r="N87" s="3388"/>
      <c r="O87" s="3387">
        <f t="shared" si="22"/>
        <v>1</v>
      </c>
      <c r="P87" s="3388"/>
      <c r="Q87" s="3387">
        <f t="shared" si="23"/>
        <v>0</v>
      </c>
      <c r="R87" s="2973">
        <f t="shared" si="24"/>
        <v>0</v>
      </c>
      <c r="S87" s="2850">
        <f t="shared" si="26"/>
        <v>0</v>
      </c>
    </row>
    <row r="88" spans="1:19">
      <c r="A88" s="3389"/>
      <c r="B88" s="3386"/>
      <c r="C88" s="3387">
        <f t="shared" si="16"/>
        <v>1</v>
      </c>
      <c r="D88" s="3388"/>
      <c r="E88" s="3387">
        <f t="shared" si="17"/>
        <v>0</v>
      </c>
      <c r="F88" s="3388"/>
      <c r="G88" s="3387">
        <f t="shared" si="18"/>
        <v>1</v>
      </c>
      <c r="H88" s="3388"/>
      <c r="I88" s="3387">
        <f t="shared" si="19"/>
        <v>1</v>
      </c>
      <c r="J88" s="3388"/>
      <c r="K88" s="3387">
        <f t="shared" si="20"/>
        <v>1</v>
      </c>
      <c r="L88" s="3388"/>
      <c r="M88" s="3387">
        <f t="shared" si="21"/>
        <v>1</v>
      </c>
      <c r="N88" s="3388"/>
      <c r="O88" s="3387">
        <f t="shared" si="22"/>
        <v>1</v>
      </c>
      <c r="P88" s="3388"/>
      <c r="Q88" s="3387">
        <f t="shared" si="23"/>
        <v>0</v>
      </c>
      <c r="R88" s="2973">
        <f t="shared" si="24"/>
        <v>0</v>
      </c>
      <c r="S88" s="2850">
        <f t="shared" si="26"/>
        <v>0</v>
      </c>
    </row>
    <row r="89" spans="1:19">
      <c r="A89" s="3389"/>
      <c r="B89" s="3386"/>
      <c r="C89" s="3387">
        <f t="shared" si="16"/>
        <v>1</v>
      </c>
      <c r="D89" s="3388"/>
      <c r="E89" s="3387">
        <f t="shared" si="17"/>
        <v>0</v>
      </c>
      <c r="F89" s="3388"/>
      <c r="G89" s="3387">
        <f t="shared" si="18"/>
        <v>1</v>
      </c>
      <c r="H89" s="3388"/>
      <c r="I89" s="3387">
        <f t="shared" si="19"/>
        <v>1</v>
      </c>
      <c r="J89" s="3388"/>
      <c r="K89" s="3387">
        <f t="shared" si="20"/>
        <v>1</v>
      </c>
      <c r="L89" s="3388"/>
      <c r="M89" s="3387">
        <f t="shared" si="21"/>
        <v>1</v>
      </c>
      <c r="N89" s="3388"/>
      <c r="O89" s="3387">
        <f t="shared" si="22"/>
        <v>1</v>
      </c>
      <c r="P89" s="3388"/>
      <c r="Q89" s="3387">
        <f t="shared" si="23"/>
        <v>0</v>
      </c>
      <c r="R89" s="2973">
        <f t="shared" si="24"/>
        <v>0</v>
      </c>
      <c r="S89" s="2850">
        <f t="shared" si="26"/>
        <v>0</v>
      </c>
    </row>
    <row r="90" spans="1:19">
      <c r="A90" s="3389"/>
      <c r="B90" s="3386"/>
      <c r="C90" s="3387">
        <f t="shared" ref="C90:C153" si="27">IF(B90="",1,(LOOKUP(B90,$3:$3,$4:$4)-LOOKUP($B$24,$3:$3,$4:$4)+100)/100)</f>
        <v>1</v>
      </c>
      <c r="D90" s="3388"/>
      <c r="E90" s="3387">
        <f t="shared" ref="E90:E153" si="28">(SUMIF($5:$5,D90,$6:$6)-SUMIF($5:$5,$D$24,$6:$6)+100)/100</f>
        <v>0</v>
      </c>
      <c r="F90" s="3388"/>
      <c r="G90" s="3387">
        <f t="shared" ref="G90:G153" si="29">(SUMIF($7:$7,F90,$8:$8)-SUMIF($7:$7,$F$24,$8:$8)+100)/100</f>
        <v>1</v>
      </c>
      <c r="H90" s="3388"/>
      <c r="I90" s="3387">
        <f t="shared" ref="I90:I153" si="30">(SUMIF($9:$9,H90,$10:$10)-SUMIF($9:$9,$H$24,$10:$10)+100)/100</f>
        <v>1</v>
      </c>
      <c r="J90" s="3388"/>
      <c r="K90" s="3387">
        <f t="shared" ref="K90:K153" si="31">(SUMIF($11:$11,J90,$12:$12)-SUMIF($11:$11,$J$24,$12:$12)+100)/100</f>
        <v>1</v>
      </c>
      <c r="L90" s="3388"/>
      <c r="M90" s="3387">
        <f t="shared" ref="M90:M153" si="32">(SUMIF($13:$13,L90,$14:$14)-SUMIF($13:$13,$L$24,$14:$14)+100)/100</f>
        <v>1</v>
      </c>
      <c r="N90" s="3388"/>
      <c r="O90" s="3387">
        <f t="shared" ref="O90:O153" si="33">(SUMIF($15:$15,N90,$16:$16)-SUMIF($15:$15,$N$24,$16:$16)+100)/100</f>
        <v>1</v>
      </c>
      <c r="P90" s="3388"/>
      <c r="Q90" s="3387">
        <f t="shared" ref="Q90:Q153" si="34">(SUMIF($17:$17,P90,$18:$18)-SUMIF($17:$17,$P$24,$18:$18)+100)/100</f>
        <v>0</v>
      </c>
      <c r="R90" s="2973">
        <f t="shared" ref="R90:R153" si="35">IF(B90="",0,ROUND($R$24*C90*E90*G90*I90*K90*M90*O90*Q90,0))</f>
        <v>0</v>
      </c>
      <c r="S90" s="2850">
        <f t="shared" si="26"/>
        <v>0</v>
      </c>
    </row>
    <row r="91" spans="1:19">
      <c r="A91" s="3389"/>
      <c r="B91" s="3386"/>
      <c r="C91" s="3387">
        <f t="shared" si="27"/>
        <v>1</v>
      </c>
      <c r="D91" s="3388"/>
      <c r="E91" s="3387">
        <f t="shared" si="28"/>
        <v>0</v>
      </c>
      <c r="F91" s="3388"/>
      <c r="G91" s="3387">
        <f t="shared" si="29"/>
        <v>1</v>
      </c>
      <c r="H91" s="3388"/>
      <c r="I91" s="3387">
        <f t="shared" si="30"/>
        <v>1</v>
      </c>
      <c r="J91" s="3388"/>
      <c r="K91" s="3387">
        <f t="shared" si="31"/>
        <v>1</v>
      </c>
      <c r="L91" s="3388"/>
      <c r="M91" s="3387">
        <f t="shared" si="32"/>
        <v>1</v>
      </c>
      <c r="N91" s="3388"/>
      <c r="O91" s="3387">
        <f t="shared" si="33"/>
        <v>1</v>
      </c>
      <c r="P91" s="3388"/>
      <c r="Q91" s="3387">
        <f t="shared" si="34"/>
        <v>0</v>
      </c>
      <c r="R91" s="2973">
        <f t="shared" si="35"/>
        <v>0</v>
      </c>
      <c r="S91" s="2850">
        <f t="shared" si="26"/>
        <v>0</v>
      </c>
    </row>
    <row r="92" spans="1:19">
      <c r="A92" s="3389"/>
      <c r="B92" s="3386"/>
      <c r="C92" s="3387">
        <f t="shared" si="27"/>
        <v>1</v>
      </c>
      <c r="D92" s="3388"/>
      <c r="E92" s="3387">
        <f t="shared" si="28"/>
        <v>0</v>
      </c>
      <c r="F92" s="3388"/>
      <c r="G92" s="3387">
        <f t="shared" si="29"/>
        <v>1</v>
      </c>
      <c r="H92" s="3388"/>
      <c r="I92" s="3387">
        <f t="shared" si="30"/>
        <v>1</v>
      </c>
      <c r="J92" s="3388"/>
      <c r="K92" s="3387">
        <f t="shared" si="31"/>
        <v>1</v>
      </c>
      <c r="L92" s="3388"/>
      <c r="M92" s="3387">
        <f t="shared" si="32"/>
        <v>1</v>
      </c>
      <c r="N92" s="3388"/>
      <c r="O92" s="3387">
        <f t="shared" si="33"/>
        <v>1</v>
      </c>
      <c r="P92" s="3388"/>
      <c r="Q92" s="3387">
        <f t="shared" si="34"/>
        <v>0</v>
      </c>
      <c r="R92" s="2973">
        <f t="shared" si="35"/>
        <v>0</v>
      </c>
      <c r="S92" s="2850">
        <f t="shared" si="26"/>
        <v>0</v>
      </c>
    </row>
    <row r="93" spans="1:19">
      <c r="A93" s="3389"/>
      <c r="B93" s="3386"/>
      <c r="C93" s="3387">
        <f t="shared" si="27"/>
        <v>1</v>
      </c>
      <c r="D93" s="3388"/>
      <c r="E93" s="3387">
        <f t="shared" si="28"/>
        <v>0</v>
      </c>
      <c r="F93" s="3388"/>
      <c r="G93" s="3387">
        <f t="shared" si="29"/>
        <v>1</v>
      </c>
      <c r="H93" s="3388"/>
      <c r="I93" s="3387">
        <f t="shared" si="30"/>
        <v>1</v>
      </c>
      <c r="J93" s="3388"/>
      <c r="K93" s="3387">
        <f t="shared" si="31"/>
        <v>1</v>
      </c>
      <c r="L93" s="3388"/>
      <c r="M93" s="3387">
        <f t="shared" si="32"/>
        <v>1</v>
      </c>
      <c r="N93" s="3388"/>
      <c r="O93" s="3387">
        <f t="shared" si="33"/>
        <v>1</v>
      </c>
      <c r="P93" s="3388"/>
      <c r="Q93" s="3387">
        <f t="shared" si="34"/>
        <v>0</v>
      </c>
      <c r="R93" s="2973">
        <f t="shared" si="35"/>
        <v>0</v>
      </c>
      <c r="S93" s="2850">
        <f t="shared" si="26"/>
        <v>0</v>
      </c>
    </row>
    <row r="94" spans="1:19">
      <c r="A94" s="3389"/>
      <c r="B94" s="3386"/>
      <c r="C94" s="3387">
        <f t="shared" si="27"/>
        <v>1</v>
      </c>
      <c r="D94" s="3388"/>
      <c r="E94" s="3387">
        <f t="shared" si="28"/>
        <v>0</v>
      </c>
      <c r="F94" s="3388"/>
      <c r="G94" s="3387">
        <f t="shared" si="29"/>
        <v>1</v>
      </c>
      <c r="H94" s="3388"/>
      <c r="I94" s="3387">
        <f t="shared" si="30"/>
        <v>1</v>
      </c>
      <c r="J94" s="3388"/>
      <c r="K94" s="3387">
        <f t="shared" si="31"/>
        <v>1</v>
      </c>
      <c r="L94" s="3388"/>
      <c r="M94" s="3387">
        <f t="shared" si="32"/>
        <v>1</v>
      </c>
      <c r="N94" s="3388"/>
      <c r="O94" s="3387">
        <f t="shared" si="33"/>
        <v>1</v>
      </c>
      <c r="P94" s="3388"/>
      <c r="Q94" s="3387">
        <f t="shared" si="34"/>
        <v>0</v>
      </c>
      <c r="R94" s="2973">
        <f t="shared" si="35"/>
        <v>0</v>
      </c>
      <c r="S94" s="2850">
        <f t="shared" si="26"/>
        <v>0</v>
      </c>
    </row>
    <row r="95" spans="1:19">
      <c r="A95" s="3389"/>
      <c r="B95" s="3386"/>
      <c r="C95" s="3387">
        <f t="shared" si="27"/>
        <v>1</v>
      </c>
      <c r="D95" s="3388"/>
      <c r="E95" s="3387">
        <f t="shared" si="28"/>
        <v>0</v>
      </c>
      <c r="F95" s="3388"/>
      <c r="G95" s="3387">
        <f t="shared" si="29"/>
        <v>1</v>
      </c>
      <c r="H95" s="3388"/>
      <c r="I95" s="3387">
        <f t="shared" si="30"/>
        <v>1</v>
      </c>
      <c r="J95" s="3388"/>
      <c r="K95" s="3387">
        <f t="shared" si="31"/>
        <v>1</v>
      </c>
      <c r="L95" s="3388"/>
      <c r="M95" s="3387">
        <f t="shared" si="32"/>
        <v>1</v>
      </c>
      <c r="N95" s="3388"/>
      <c r="O95" s="3387">
        <f t="shared" si="33"/>
        <v>1</v>
      </c>
      <c r="P95" s="3388"/>
      <c r="Q95" s="3387">
        <f t="shared" si="34"/>
        <v>0</v>
      </c>
      <c r="R95" s="2973">
        <f t="shared" si="35"/>
        <v>0</v>
      </c>
      <c r="S95" s="2850">
        <f t="shared" si="26"/>
        <v>0</v>
      </c>
    </row>
    <row r="96" spans="1:19">
      <c r="A96" s="3389"/>
      <c r="B96" s="3386"/>
      <c r="C96" s="3387">
        <f t="shared" si="27"/>
        <v>1</v>
      </c>
      <c r="D96" s="3388"/>
      <c r="E96" s="3387">
        <f t="shared" si="28"/>
        <v>0</v>
      </c>
      <c r="F96" s="3388"/>
      <c r="G96" s="3387">
        <f t="shared" si="29"/>
        <v>1</v>
      </c>
      <c r="H96" s="3388"/>
      <c r="I96" s="3387">
        <f t="shared" si="30"/>
        <v>1</v>
      </c>
      <c r="J96" s="3388"/>
      <c r="K96" s="3387">
        <f t="shared" si="31"/>
        <v>1</v>
      </c>
      <c r="L96" s="3388"/>
      <c r="M96" s="3387">
        <f t="shared" si="32"/>
        <v>1</v>
      </c>
      <c r="N96" s="3388"/>
      <c r="O96" s="3387">
        <f t="shared" si="33"/>
        <v>1</v>
      </c>
      <c r="P96" s="3388"/>
      <c r="Q96" s="3387">
        <f t="shared" si="34"/>
        <v>0</v>
      </c>
      <c r="R96" s="2973">
        <f t="shared" si="35"/>
        <v>0</v>
      </c>
      <c r="S96" s="2850">
        <f t="shared" si="26"/>
        <v>0</v>
      </c>
    </row>
    <row r="97" spans="1:19">
      <c r="A97" s="3389"/>
      <c r="B97" s="3386"/>
      <c r="C97" s="3387">
        <f t="shared" si="27"/>
        <v>1</v>
      </c>
      <c r="D97" s="3388"/>
      <c r="E97" s="3387">
        <f t="shared" si="28"/>
        <v>0</v>
      </c>
      <c r="F97" s="3388"/>
      <c r="G97" s="3387">
        <f t="shared" si="29"/>
        <v>1</v>
      </c>
      <c r="H97" s="3388"/>
      <c r="I97" s="3387">
        <f t="shared" si="30"/>
        <v>1</v>
      </c>
      <c r="J97" s="3388"/>
      <c r="K97" s="3387">
        <f t="shared" si="31"/>
        <v>1</v>
      </c>
      <c r="L97" s="3388"/>
      <c r="M97" s="3387">
        <f t="shared" si="32"/>
        <v>1</v>
      </c>
      <c r="N97" s="3388"/>
      <c r="O97" s="3387">
        <f t="shared" si="33"/>
        <v>1</v>
      </c>
      <c r="P97" s="3388"/>
      <c r="Q97" s="3387">
        <f t="shared" si="34"/>
        <v>0</v>
      </c>
      <c r="R97" s="2973">
        <f t="shared" si="35"/>
        <v>0</v>
      </c>
      <c r="S97" s="2850">
        <f t="shared" si="26"/>
        <v>0</v>
      </c>
    </row>
    <row r="98" spans="1:19">
      <c r="A98" s="3389"/>
      <c r="B98" s="3386"/>
      <c r="C98" s="3387">
        <f t="shared" si="27"/>
        <v>1</v>
      </c>
      <c r="D98" s="3388"/>
      <c r="E98" s="3387">
        <f t="shared" si="28"/>
        <v>0</v>
      </c>
      <c r="F98" s="3388"/>
      <c r="G98" s="3387">
        <f t="shared" si="29"/>
        <v>1</v>
      </c>
      <c r="H98" s="3388"/>
      <c r="I98" s="3387">
        <f t="shared" si="30"/>
        <v>1</v>
      </c>
      <c r="J98" s="3388"/>
      <c r="K98" s="3387">
        <f t="shared" si="31"/>
        <v>1</v>
      </c>
      <c r="L98" s="3388"/>
      <c r="M98" s="3387">
        <f t="shared" si="32"/>
        <v>1</v>
      </c>
      <c r="N98" s="3388"/>
      <c r="O98" s="3387">
        <f t="shared" si="33"/>
        <v>1</v>
      </c>
      <c r="P98" s="3388"/>
      <c r="Q98" s="3387">
        <f t="shared" si="34"/>
        <v>0</v>
      </c>
      <c r="R98" s="2973">
        <f t="shared" si="35"/>
        <v>0</v>
      </c>
      <c r="S98" s="2850">
        <f t="shared" si="26"/>
        <v>0</v>
      </c>
    </row>
    <row r="99" spans="1:19">
      <c r="A99" s="3389"/>
      <c r="B99" s="3386"/>
      <c r="C99" s="3387">
        <f t="shared" si="27"/>
        <v>1</v>
      </c>
      <c r="D99" s="3388"/>
      <c r="E99" s="3387">
        <f t="shared" si="28"/>
        <v>0</v>
      </c>
      <c r="F99" s="3388"/>
      <c r="G99" s="3387">
        <f t="shared" si="29"/>
        <v>1</v>
      </c>
      <c r="H99" s="3388"/>
      <c r="I99" s="3387">
        <f t="shared" si="30"/>
        <v>1</v>
      </c>
      <c r="J99" s="3388"/>
      <c r="K99" s="3387">
        <f t="shared" si="31"/>
        <v>1</v>
      </c>
      <c r="L99" s="3388"/>
      <c r="M99" s="3387">
        <f t="shared" si="32"/>
        <v>1</v>
      </c>
      <c r="N99" s="3388"/>
      <c r="O99" s="3387">
        <f t="shared" si="33"/>
        <v>1</v>
      </c>
      <c r="P99" s="3388"/>
      <c r="Q99" s="3387">
        <f t="shared" si="34"/>
        <v>0</v>
      </c>
      <c r="R99" s="2973">
        <f t="shared" si="35"/>
        <v>0</v>
      </c>
      <c r="S99" s="2850">
        <f t="shared" si="26"/>
        <v>0</v>
      </c>
    </row>
    <row r="100" spans="1:19">
      <c r="A100" s="3389"/>
      <c r="B100" s="3386"/>
      <c r="C100" s="3387">
        <f t="shared" si="27"/>
        <v>1</v>
      </c>
      <c r="D100" s="3388"/>
      <c r="E100" s="3387">
        <f t="shared" si="28"/>
        <v>0</v>
      </c>
      <c r="F100" s="3388"/>
      <c r="G100" s="3387">
        <f t="shared" si="29"/>
        <v>1</v>
      </c>
      <c r="H100" s="3388"/>
      <c r="I100" s="3387">
        <f t="shared" si="30"/>
        <v>1</v>
      </c>
      <c r="J100" s="3388"/>
      <c r="K100" s="3387">
        <f t="shared" si="31"/>
        <v>1</v>
      </c>
      <c r="L100" s="3388"/>
      <c r="M100" s="3387">
        <f t="shared" si="32"/>
        <v>1</v>
      </c>
      <c r="N100" s="3388"/>
      <c r="O100" s="3387">
        <f t="shared" si="33"/>
        <v>1</v>
      </c>
      <c r="P100" s="3388"/>
      <c r="Q100" s="3387">
        <f t="shared" si="34"/>
        <v>0</v>
      </c>
      <c r="R100" s="2973">
        <f t="shared" si="35"/>
        <v>0</v>
      </c>
      <c r="S100" s="2850">
        <f t="shared" si="26"/>
        <v>0</v>
      </c>
    </row>
    <row r="101" spans="1:19">
      <c r="A101" s="3389"/>
      <c r="B101" s="3386"/>
      <c r="C101" s="3387">
        <f t="shared" si="27"/>
        <v>1</v>
      </c>
      <c r="D101" s="3388"/>
      <c r="E101" s="3387">
        <f t="shared" si="28"/>
        <v>0</v>
      </c>
      <c r="F101" s="3388"/>
      <c r="G101" s="3387">
        <f t="shared" si="29"/>
        <v>1</v>
      </c>
      <c r="H101" s="3388"/>
      <c r="I101" s="3387">
        <f t="shared" si="30"/>
        <v>1</v>
      </c>
      <c r="J101" s="3388"/>
      <c r="K101" s="3387">
        <f t="shared" si="31"/>
        <v>1</v>
      </c>
      <c r="L101" s="3388"/>
      <c r="M101" s="3387">
        <f t="shared" si="32"/>
        <v>1</v>
      </c>
      <c r="N101" s="3388"/>
      <c r="O101" s="3387">
        <f t="shared" si="33"/>
        <v>1</v>
      </c>
      <c r="P101" s="3388"/>
      <c r="Q101" s="3387">
        <f t="shared" si="34"/>
        <v>0</v>
      </c>
      <c r="R101" s="2973">
        <f t="shared" si="35"/>
        <v>0</v>
      </c>
      <c r="S101" s="2850">
        <f t="shared" si="26"/>
        <v>0</v>
      </c>
    </row>
    <row r="102" spans="1:19">
      <c r="A102" s="3389"/>
      <c r="B102" s="3386"/>
      <c r="C102" s="3387">
        <f t="shared" si="27"/>
        <v>1</v>
      </c>
      <c r="D102" s="3388"/>
      <c r="E102" s="3387">
        <f t="shared" si="28"/>
        <v>0</v>
      </c>
      <c r="F102" s="3388"/>
      <c r="G102" s="3387">
        <f t="shared" si="29"/>
        <v>1</v>
      </c>
      <c r="H102" s="3388"/>
      <c r="I102" s="3387">
        <f t="shared" si="30"/>
        <v>1</v>
      </c>
      <c r="J102" s="3388"/>
      <c r="K102" s="3387">
        <f t="shared" si="31"/>
        <v>1</v>
      </c>
      <c r="L102" s="3388"/>
      <c r="M102" s="3387">
        <f t="shared" si="32"/>
        <v>1</v>
      </c>
      <c r="N102" s="3388"/>
      <c r="O102" s="3387">
        <f t="shared" si="33"/>
        <v>1</v>
      </c>
      <c r="P102" s="3388"/>
      <c r="Q102" s="3387">
        <f t="shared" si="34"/>
        <v>0</v>
      </c>
      <c r="R102" s="2973">
        <f t="shared" si="35"/>
        <v>0</v>
      </c>
      <c r="S102" s="2850">
        <f t="shared" si="26"/>
        <v>0</v>
      </c>
    </row>
    <row r="103" spans="1:19">
      <c r="A103" s="3389"/>
      <c r="B103" s="3386"/>
      <c r="C103" s="3387">
        <f t="shared" si="27"/>
        <v>1</v>
      </c>
      <c r="D103" s="3388"/>
      <c r="E103" s="3387">
        <f t="shared" si="28"/>
        <v>0</v>
      </c>
      <c r="F103" s="3388"/>
      <c r="G103" s="3387">
        <f t="shared" si="29"/>
        <v>1</v>
      </c>
      <c r="H103" s="3388"/>
      <c r="I103" s="3387">
        <f t="shared" si="30"/>
        <v>1</v>
      </c>
      <c r="J103" s="3388"/>
      <c r="K103" s="3387">
        <f t="shared" si="31"/>
        <v>1</v>
      </c>
      <c r="L103" s="3388"/>
      <c r="M103" s="3387">
        <f t="shared" si="32"/>
        <v>1</v>
      </c>
      <c r="N103" s="3388"/>
      <c r="O103" s="3387">
        <f t="shared" si="33"/>
        <v>1</v>
      </c>
      <c r="P103" s="3388"/>
      <c r="Q103" s="3387">
        <f t="shared" si="34"/>
        <v>0</v>
      </c>
      <c r="R103" s="2973">
        <f t="shared" si="35"/>
        <v>0</v>
      </c>
      <c r="S103" s="2850">
        <f t="shared" si="26"/>
        <v>0</v>
      </c>
    </row>
    <row r="104" spans="1:19">
      <c r="A104" s="3389"/>
      <c r="B104" s="3386"/>
      <c r="C104" s="3387">
        <f t="shared" si="27"/>
        <v>1</v>
      </c>
      <c r="D104" s="3388"/>
      <c r="E104" s="3387">
        <f t="shared" si="28"/>
        <v>0</v>
      </c>
      <c r="F104" s="3388"/>
      <c r="G104" s="3387">
        <f t="shared" si="29"/>
        <v>1</v>
      </c>
      <c r="H104" s="3388"/>
      <c r="I104" s="3387">
        <f t="shared" si="30"/>
        <v>1</v>
      </c>
      <c r="J104" s="3388"/>
      <c r="K104" s="3387">
        <f t="shared" si="31"/>
        <v>1</v>
      </c>
      <c r="L104" s="3388"/>
      <c r="M104" s="3387">
        <f t="shared" si="32"/>
        <v>1</v>
      </c>
      <c r="N104" s="3388"/>
      <c r="O104" s="3387">
        <f t="shared" si="33"/>
        <v>1</v>
      </c>
      <c r="P104" s="3388"/>
      <c r="Q104" s="3387">
        <f t="shared" si="34"/>
        <v>0</v>
      </c>
      <c r="R104" s="2973">
        <f t="shared" si="35"/>
        <v>0</v>
      </c>
      <c r="S104" s="2850">
        <f t="shared" si="26"/>
        <v>0</v>
      </c>
    </row>
    <row r="105" spans="1:19">
      <c r="A105" s="3389"/>
      <c r="B105" s="3386"/>
      <c r="C105" s="3387">
        <f t="shared" si="27"/>
        <v>1</v>
      </c>
      <c r="D105" s="3388"/>
      <c r="E105" s="3387">
        <f t="shared" si="28"/>
        <v>0</v>
      </c>
      <c r="F105" s="3388"/>
      <c r="G105" s="3387">
        <f t="shared" si="29"/>
        <v>1</v>
      </c>
      <c r="H105" s="3388"/>
      <c r="I105" s="3387">
        <f t="shared" si="30"/>
        <v>1</v>
      </c>
      <c r="J105" s="3388"/>
      <c r="K105" s="3387">
        <f t="shared" si="31"/>
        <v>1</v>
      </c>
      <c r="L105" s="3388"/>
      <c r="M105" s="3387">
        <f t="shared" si="32"/>
        <v>1</v>
      </c>
      <c r="N105" s="3388"/>
      <c r="O105" s="3387">
        <f t="shared" si="33"/>
        <v>1</v>
      </c>
      <c r="P105" s="3388"/>
      <c r="Q105" s="3387">
        <f t="shared" si="34"/>
        <v>0</v>
      </c>
      <c r="R105" s="2973">
        <f t="shared" si="35"/>
        <v>0</v>
      </c>
      <c r="S105" s="2850">
        <f t="shared" si="26"/>
        <v>0</v>
      </c>
    </row>
    <row r="106" spans="1:19">
      <c r="A106" s="3389"/>
      <c r="B106" s="3386"/>
      <c r="C106" s="3387">
        <f t="shared" si="27"/>
        <v>1</v>
      </c>
      <c r="D106" s="3388"/>
      <c r="E106" s="3387">
        <f t="shared" si="28"/>
        <v>0</v>
      </c>
      <c r="F106" s="3388"/>
      <c r="G106" s="3387">
        <f t="shared" si="29"/>
        <v>1</v>
      </c>
      <c r="H106" s="3388"/>
      <c r="I106" s="3387">
        <f t="shared" si="30"/>
        <v>1</v>
      </c>
      <c r="J106" s="3388"/>
      <c r="K106" s="3387">
        <f t="shared" si="31"/>
        <v>1</v>
      </c>
      <c r="L106" s="3388"/>
      <c r="M106" s="3387">
        <f t="shared" si="32"/>
        <v>1</v>
      </c>
      <c r="N106" s="3388"/>
      <c r="O106" s="3387">
        <f t="shared" si="33"/>
        <v>1</v>
      </c>
      <c r="P106" s="3388"/>
      <c r="Q106" s="3387">
        <f t="shared" si="34"/>
        <v>0</v>
      </c>
      <c r="R106" s="2973">
        <f t="shared" si="35"/>
        <v>0</v>
      </c>
      <c r="S106" s="2850">
        <f t="shared" si="26"/>
        <v>0</v>
      </c>
    </row>
    <row r="107" spans="1:19">
      <c r="A107" s="3389"/>
      <c r="B107" s="3386"/>
      <c r="C107" s="3387">
        <f t="shared" si="27"/>
        <v>1</v>
      </c>
      <c r="D107" s="3388"/>
      <c r="E107" s="3387">
        <f t="shared" si="28"/>
        <v>0</v>
      </c>
      <c r="F107" s="3388"/>
      <c r="G107" s="3387">
        <f t="shared" si="29"/>
        <v>1</v>
      </c>
      <c r="H107" s="3388"/>
      <c r="I107" s="3387">
        <f t="shared" si="30"/>
        <v>1</v>
      </c>
      <c r="J107" s="3388"/>
      <c r="K107" s="3387">
        <f t="shared" si="31"/>
        <v>1</v>
      </c>
      <c r="L107" s="3388"/>
      <c r="M107" s="3387">
        <f t="shared" si="32"/>
        <v>1</v>
      </c>
      <c r="N107" s="3388"/>
      <c r="O107" s="3387">
        <f t="shared" si="33"/>
        <v>1</v>
      </c>
      <c r="P107" s="3388"/>
      <c r="Q107" s="3387">
        <f t="shared" si="34"/>
        <v>0</v>
      </c>
      <c r="R107" s="2973">
        <f t="shared" si="35"/>
        <v>0</v>
      </c>
      <c r="S107" s="2850">
        <f t="shared" si="26"/>
        <v>0</v>
      </c>
    </row>
    <row r="108" spans="1:19">
      <c r="A108" s="3389"/>
      <c r="B108" s="3386"/>
      <c r="C108" s="3387">
        <f t="shared" si="27"/>
        <v>1</v>
      </c>
      <c r="D108" s="3388"/>
      <c r="E108" s="3387">
        <f t="shared" si="28"/>
        <v>0</v>
      </c>
      <c r="F108" s="3388"/>
      <c r="G108" s="3387">
        <f t="shared" si="29"/>
        <v>1</v>
      </c>
      <c r="H108" s="3388"/>
      <c r="I108" s="3387">
        <f t="shared" si="30"/>
        <v>1</v>
      </c>
      <c r="J108" s="3388"/>
      <c r="K108" s="3387">
        <f t="shared" si="31"/>
        <v>1</v>
      </c>
      <c r="L108" s="3388"/>
      <c r="M108" s="3387">
        <f t="shared" si="32"/>
        <v>1</v>
      </c>
      <c r="N108" s="3388"/>
      <c r="O108" s="3387">
        <f t="shared" si="33"/>
        <v>1</v>
      </c>
      <c r="P108" s="3388"/>
      <c r="Q108" s="3387">
        <f t="shared" si="34"/>
        <v>0</v>
      </c>
      <c r="R108" s="2973">
        <f t="shared" si="35"/>
        <v>0</v>
      </c>
      <c r="S108" s="2850">
        <f t="shared" si="26"/>
        <v>0</v>
      </c>
    </row>
    <row r="109" spans="1:19">
      <c r="A109" s="3389"/>
      <c r="B109" s="3386"/>
      <c r="C109" s="3387">
        <f t="shared" si="27"/>
        <v>1</v>
      </c>
      <c r="D109" s="3388"/>
      <c r="E109" s="3387">
        <f t="shared" si="28"/>
        <v>0</v>
      </c>
      <c r="F109" s="3388"/>
      <c r="G109" s="3387">
        <f t="shared" si="29"/>
        <v>1</v>
      </c>
      <c r="H109" s="3388"/>
      <c r="I109" s="3387">
        <f t="shared" si="30"/>
        <v>1</v>
      </c>
      <c r="J109" s="3388"/>
      <c r="K109" s="3387">
        <f t="shared" si="31"/>
        <v>1</v>
      </c>
      <c r="L109" s="3388"/>
      <c r="M109" s="3387">
        <f t="shared" si="32"/>
        <v>1</v>
      </c>
      <c r="N109" s="3388"/>
      <c r="O109" s="3387">
        <f t="shared" si="33"/>
        <v>1</v>
      </c>
      <c r="P109" s="3388"/>
      <c r="Q109" s="3387">
        <f t="shared" si="34"/>
        <v>0</v>
      </c>
      <c r="R109" s="2973">
        <f t="shared" si="35"/>
        <v>0</v>
      </c>
      <c r="S109" s="2850">
        <f t="shared" si="26"/>
        <v>0</v>
      </c>
    </row>
    <row r="110" spans="1:19">
      <c r="A110" s="3389"/>
      <c r="B110" s="3386"/>
      <c r="C110" s="3387">
        <f t="shared" si="27"/>
        <v>1</v>
      </c>
      <c r="D110" s="3388"/>
      <c r="E110" s="3387">
        <f t="shared" si="28"/>
        <v>0</v>
      </c>
      <c r="F110" s="3388"/>
      <c r="G110" s="3387">
        <f t="shared" si="29"/>
        <v>1</v>
      </c>
      <c r="H110" s="3388"/>
      <c r="I110" s="3387">
        <f t="shared" si="30"/>
        <v>1</v>
      </c>
      <c r="J110" s="3388"/>
      <c r="K110" s="3387">
        <f t="shared" si="31"/>
        <v>1</v>
      </c>
      <c r="L110" s="3388"/>
      <c r="M110" s="3387">
        <f t="shared" si="32"/>
        <v>1</v>
      </c>
      <c r="N110" s="3388"/>
      <c r="O110" s="3387">
        <f t="shared" si="33"/>
        <v>1</v>
      </c>
      <c r="P110" s="3388"/>
      <c r="Q110" s="3387">
        <f t="shared" si="34"/>
        <v>0</v>
      </c>
      <c r="R110" s="2973">
        <f t="shared" si="35"/>
        <v>0</v>
      </c>
      <c r="S110" s="2850">
        <f t="shared" si="26"/>
        <v>0</v>
      </c>
    </row>
    <row r="111" spans="1:19">
      <c r="A111" s="3389"/>
      <c r="B111" s="3386"/>
      <c r="C111" s="3387">
        <f t="shared" si="27"/>
        <v>1</v>
      </c>
      <c r="D111" s="3388"/>
      <c r="E111" s="3387">
        <f t="shared" si="28"/>
        <v>0</v>
      </c>
      <c r="F111" s="3388"/>
      <c r="G111" s="3387">
        <f t="shared" si="29"/>
        <v>1</v>
      </c>
      <c r="H111" s="3388"/>
      <c r="I111" s="3387">
        <f t="shared" si="30"/>
        <v>1</v>
      </c>
      <c r="J111" s="3388"/>
      <c r="K111" s="3387">
        <f t="shared" si="31"/>
        <v>1</v>
      </c>
      <c r="L111" s="3388"/>
      <c r="M111" s="3387">
        <f t="shared" si="32"/>
        <v>1</v>
      </c>
      <c r="N111" s="3388"/>
      <c r="O111" s="3387">
        <f t="shared" si="33"/>
        <v>1</v>
      </c>
      <c r="P111" s="3388"/>
      <c r="Q111" s="3387">
        <f t="shared" si="34"/>
        <v>0</v>
      </c>
      <c r="R111" s="2973">
        <f t="shared" si="35"/>
        <v>0</v>
      </c>
      <c r="S111" s="2850">
        <f t="shared" si="26"/>
        <v>0</v>
      </c>
    </row>
    <row r="112" spans="1:19">
      <c r="A112" s="3389"/>
      <c r="B112" s="3386"/>
      <c r="C112" s="3387">
        <f t="shared" si="27"/>
        <v>1</v>
      </c>
      <c r="D112" s="3388"/>
      <c r="E112" s="3387">
        <f t="shared" si="28"/>
        <v>0</v>
      </c>
      <c r="F112" s="3388"/>
      <c r="G112" s="3387">
        <f t="shared" si="29"/>
        <v>1</v>
      </c>
      <c r="H112" s="3388"/>
      <c r="I112" s="3387">
        <f t="shared" si="30"/>
        <v>1</v>
      </c>
      <c r="J112" s="3388"/>
      <c r="K112" s="3387">
        <f t="shared" si="31"/>
        <v>1</v>
      </c>
      <c r="L112" s="3388"/>
      <c r="M112" s="3387">
        <f t="shared" si="32"/>
        <v>1</v>
      </c>
      <c r="N112" s="3388"/>
      <c r="O112" s="3387">
        <f t="shared" si="33"/>
        <v>1</v>
      </c>
      <c r="P112" s="3388"/>
      <c r="Q112" s="3387">
        <f t="shared" si="34"/>
        <v>0</v>
      </c>
      <c r="R112" s="2973">
        <f t="shared" si="35"/>
        <v>0</v>
      </c>
      <c r="S112" s="2850">
        <f t="shared" si="26"/>
        <v>0</v>
      </c>
    </row>
    <row r="113" spans="1:19">
      <c r="A113" s="3389"/>
      <c r="B113" s="3386"/>
      <c r="C113" s="3387">
        <f t="shared" si="27"/>
        <v>1</v>
      </c>
      <c r="D113" s="3388"/>
      <c r="E113" s="3387">
        <f t="shared" si="28"/>
        <v>0</v>
      </c>
      <c r="F113" s="3388"/>
      <c r="G113" s="3387">
        <f t="shared" si="29"/>
        <v>1</v>
      </c>
      <c r="H113" s="3388"/>
      <c r="I113" s="3387">
        <f t="shared" si="30"/>
        <v>1</v>
      </c>
      <c r="J113" s="3388"/>
      <c r="K113" s="3387">
        <f t="shared" si="31"/>
        <v>1</v>
      </c>
      <c r="L113" s="3388"/>
      <c r="M113" s="3387">
        <f t="shared" si="32"/>
        <v>1</v>
      </c>
      <c r="N113" s="3388"/>
      <c r="O113" s="3387">
        <f t="shared" si="33"/>
        <v>1</v>
      </c>
      <c r="P113" s="3388"/>
      <c r="Q113" s="3387">
        <f t="shared" si="34"/>
        <v>0</v>
      </c>
      <c r="R113" s="2973">
        <f t="shared" si="35"/>
        <v>0</v>
      </c>
      <c r="S113" s="2850">
        <f t="shared" si="26"/>
        <v>0</v>
      </c>
    </row>
    <row r="114" spans="1:19">
      <c r="A114" s="3389"/>
      <c r="B114" s="3386"/>
      <c r="C114" s="3387">
        <f t="shared" si="27"/>
        <v>1</v>
      </c>
      <c r="D114" s="3388"/>
      <c r="E114" s="3387">
        <f t="shared" si="28"/>
        <v>0</v>
      </c>
      <c r="F114" s="3388"/>
      <c r="G114" s="3387">
        <f t="shared" si="29"/>
        <v>1</v>
      </c>
      <c r="H114" s="3388"/>
      <c r="I114" s="3387">
        <f t="shared" si="30"/>
        <v>1</v>
      </c>
      <c r="J114" s="3388"/>
      <c r="K114" s="3387">
        <f t="shared" si="31"/>
        <v>1</v>
      </c>
      <c r="L114" s="3388"/>
      <c r="M114" s="3387">
        <f t="shared" si="32"/>
        <v>1</v>
      </c>
      <c r="N114" s="3388"/>
      <c r="O114" s="3387">
        <f t="shared" si="33"/>
        <v>1</v>
      </c>
      <c r="P114" s="3388"/>
      <c r="Q114" s="3387">
        <f t="shared" si="34"/>
        <v>0</v>
      </c>
      <c r="R114" s="2973">
        <f t="shared" si="35"/>
        <v>0</v>
      </c>
      <c r="S114" s="2850">
        <f t="shared" si="26"/>
        <v>0</v>
      </c>
    </row>
    <row r="115" spans="1:19">
      <c r="A115" s="3389"/>
      <c r="B115" s="3386"/>
      <c r="C115" s="3387">
        <f t="shared" si="27"/>
        <v>1</v>
      </c>
      <c r="D115" s="3388"/>
      <c r="E115" s="3387">
        <f t="shared" si="28"/>
        <v>0</v>
      </c>
      <c r="F115" s="3388"/>
      <c r="G115" s="3387">
        <f t="shared" si="29"/>
        <v>1</v>
      </c>
      <c r="H115" s="3388"/>
      <c r="I115" s="3387">
        <f t="shared" si="30"/>
        <v>1</v>
      </c>
      <c r="J115" s="3388"/>
      <c r="K115" s="3387">
        <f t="shared" si="31"/>
        <v>1</v>
      </c>
      <c r="L115" s="3388"/>
      <c r="M115" s="3387">
        <f t="shared" si="32"/>
        <v>1</v>
      </c>
      <c r="N115" s="3388"/>
      <c r="O115" s="3387">
        <f t="shared" si="33"/>
        <v>1</v>
      </c>
      <c r="P115" s="3388"/>
      <c r="Q115" s="3387">
        <f t="shared" si="34"/>
        <v>0</v>
      </c>
      <c r="R115" s="2973">
        <f t="shared" si="35"/>
        <v>0</v>
      </c>
      <c r="S115" s="2850">
        <f t="shared" si="26"/>
        <v>0</v>
      </c>
    </row>
    <row r="116" spans="1:19">
      <c r="A116" s="3389"/>
      <c r="B116" s="3386"/>
      <c r="C116" s="3387">
        <f t="shared" si="27"/>
        <v>1</v>
      </c>
      <c r="D116" s="3388"/>
      <c r="E116" s="3387">
        <f t="shared" si="28"/>
        <v>0</v>
      </c>
      <c r="F116" s="3388"/>
      <c r="G116" s="3387">
        <f t="shared" si="29"/>
        <v>1</v>
      </c>
      <c r="H116" s="3388"/>
      <c r="I116" s="3387">
        <f t="shared" si="30"/>
        <v>1</v>
      </c>
      <c r="J116" s="3388"/>
      <c r="K116" s="3387">
        <f t="shared" si="31"/>
        <v>1</v>
      </c>
      <c r="L116" s="3388"/>
      <c r="M116" s="3387">
        <f t="shared" si="32"/>
        <v>1</v>
      </c>
      <c r="N116" s="3388"/>
      <c r="O116" s="3387">
        <f t="shared" si="33"/>
        <v>1</v>
      </c>
      <c r="P116" s="3388"/>
      <c r="Q116" s="3387">
        <f t="shared" si="34"/>
        <v>0</v>
      </c>
      <c r="R116" s="2973">
        <f t="shared" si="35"/>
        <v>0</v>
      </c>
      <c r="S116" s="2850">
        <f t="shared" si="26"/>
        <v>0</v>
      </c>
    </row>
    <row r="117" spans="1:19">
      <c r="A117" s="3389"/>
      <c r="B117" s="3386"/>
      <c r="C117" s="3387">
        <f t="shared" si="27"/>
        <v>1</v>
      </c>
      <c r="D117" s="3388"/>
      <c r="E117" s="3387">
        <f t="shared" si="28"/>
        <v>0</v>
      </c>
      <c r="F117" s="3388"/>
      <c r="G117" s="3387">
        <f t="shared" si="29"/>
        <v>1</v>
      </c>
      <c r="H117" s="3388"/>
      <c r="I117" s="3387">
        <f t="shared" si="30"/>
        <v>1</v>
      </c>
      <c r="J117" s="3388"/>
      <c r="K117" s="3387">
        <f t="shared" si="31"/>
        <v>1</v>
      </c>
      <c r="L117" s="3388"/>
      <c r="M117" s="3387">
        <f t="shared" si="32"/>
        <v>1</v>
      </c>
      <c r="N117" s="3388"/>
      <c r="O117" s="3387">
        <f t="shared" si="33"/>
        <v>1</v>
      </c>
      <c r="P117" s="3388"/>
      <c r="Q117" s="3387">
        <f t="shared" si="34"/>
        <v>0</v>
      </c>
      <c r="R117" s="2973">
        <f t="shared" si="35"/>
        <v>0</v>
      </c>
      <c r="S117" s="2850">
        <f t="shared" si="26"/>
        <v>0</v>
      </c>
    </row>
    <row r="118" spans="1:19">
      <c r="A118" s="3389"/>
      <c r="B118" s="3386"/>
      <c r="C118" s="3387">
        <f t="shared" si="27"/>
        <v>1</v>
      </c>
      <c r="D118" s="3388"/>
      <c r="E118" s="3387">
        <f t="shared" si="28"/>
        <v>0</v>
      </c>
      <c r="F118" s="3388"/>
      <c r="G118" s="3387">
        <f t="shared" si="29"/>
        <v>1</v>
      </c>
      <c r="H118" s="3388"/>
      <c r="I118" s="3387">
        <f t="shared" si="30"/>
        <v>1</v>
      </c>
      <c r="J118" s="3388"/>
      <c r="K118" s="3387">
        <f t="shared" si="31"/>
        <v>1</v>
      </c>
      <c r="L118" s="3388"/>
      <c r="M118" s="3387">
        <f t="shared" si="32"/>
        <v>1</v>
      </c>
      <c r="N118" s="3388"/>
      <c r="O118" s="3387">
        <f t="shared" si="33"/>
        <v>1</v>
      </c>
      <c r="P118" s="3388"/>
      <c r="Q118" s="3387">
        <f t="shared" si="34"/>
        <v>0</v>
      </c>
      <c r="R118" s="2973">
        <f t="shared" si="35"/>
        <v>0</v>
      </c>
      <c r="S118" s="2850">
        <f t="shared" si="26"/>
        <v>0</v>
      </c>
    </row>
    <row r="119" spans="1:19">
      <c r="A119" s="3389"/>
      <c r="B119" s="3386"/>
      <c r="C119" s="3387">
        <f t="shared" si="27"/>
        <v>1</v>
      </c>
      <c r="D119" s="3388"/>
      <c r="E119" s="3387">
        <f t="shared" si="28"/>
        <v>0</v>
      </c>
      <c r="F119" s="3388"/>
      <c r="G119" s="3387">
        <f t="shared" si="29"/>
        <v>1</v>
      </c>
      <c r="H119" s="3388"/>
      <c r="I119" s="3387">
        <f t="shared" si="30"/>
        <v>1</v>
      </c>
      <c r="J119" s="3388"/>
      <c r="K119" s="3387">
        <f t="shared" si="31"/>
        <v>1</v>
      </c>
      <c r="L119" s="3388"/>
      <c r="M119" s="3387">
        <f t="shared" si="32"/>
        <v>1</v>
      </c>
      <c r="N119" s="3388"/>
      <c r="O119" s="3387">
        <f t="shared" si="33"/>
        <v>1</v>
      </c>
      <c r="P119" s="3388"/>
      <c r="Q119" s="3387">
        <f t="shared" si="34"/>
        <v>0</v>
      </c>
      <c r="R119" s="2973">
        <f t="shared" si="35"/>
        <v>0</v>
      </c>
      <c r="S119" s="2850">
        <f t="shared" si="26"/>
        <v>0</v>
      </c>
    </row>
    <row r="120" spans="1:19">
      <c r="A120" s="3389"/>
      <c r="B120" s="3386"/>
      <c r="C120" s="3387">
        <f t="shared" si="27"/>
        <v>1</v>
      </c>
      <c r="D120" s="3388"/>
      <c r="E120" s="3387">
        <f t="shared" si="28"/>
        <v>0</v>
      </c>
      <c r="F120" s="3388"/>
      <c r="G120" s="3387">
        <f t="shared" si="29"/>
        <v>1</v>
      </c>
      <c r="H120" s="3388"/>
      <c r="I120" s="3387">
        <f t="shared" si="30"/>
        <v>1</v>
      </c>
      <c r="J120" s="3388"/>
      <c r="K120" s="3387">
        <f t="shared" si="31"/>
        <v>1</v>
      </c>
      <c r="L120" s="3388"/>
      <c r="M120" s="3387">
        <f t="shared" si="32"/>
        <v>1</v>
      </c>
      <c r="N120" s="3388"/>
      <c r="O120" s="3387">
        <f t="shared" si="33"/>
        <v>1</v>
      </c>
      <c r="P120" s="3388"/>
      <c r="Q120" s="3387">
        <f t="shared" si="34"/>
        <v>0</v>
      </c>
      <c r="R120" s="2973">
        <f t="shared" si="35"/>
        <v>0</v>
      </c>
      <c r="S120" s="2850">
        <f t="shared" si="26"/>
        <v>0</v>
      </c>
    </row>
    <row r="121" spans="1:19">
      <c r="A121" s="3389"/>
      <c r="B121" s="3386"/>
      <c r="C121" s="3387">
        <f t="shared" si="27"/>
        <v>1</v>
      </c>
      <c r="D121" s="3388"/>
      <c r="E121" s="3387">
        <f t="shared" si="28"/>
        <v>0</v>
      </c>
      <c r="F121" s="3388"/>
      <c r="G121" s="3387">
        <f t="shared" si="29"/>
        <v>1</v>
      </c>
      <c r="H121" s="3388"/>
      <c r="I121" s="3387">
        <f t="shared" si="30"/>
        <v>1</v>
      </c>
      <c r="J121" s="3388"/>
      <c r="K121" s="3387">
        <f t="shared" si="31"/>
        <v>1</v>
      </c>
      <c r="L121" s="3388"/>
      <c r="M121" s="3387">
        <f t="shared" si="32"/>
        <v>1</v>
      </c>
      <c r="N121" s="3388"/>
      <c r="O121" s="3387">
        <f t="shared" si="33"/>
        <v>1</v>
      </c>
      <c r="P121" s="3388"/>
      <c r="Q121" s="3387">
        <f t="shared" si="34"/>
        <v>0</v>
      </c>
      <c r="R121" s="2973">
        <f t="shared" si="35"/>
        <v>0</v>
      </c>
      <c r="S121" s="2850">
        <f t="shared" si="26"/>
        <v>0</v>
      </c>
    </row>
    <row r="122" spans="1:19">
      <c r="A122" s="3389"/>
      <c r="B122" s="3386"/>
      <c r="C122" s="3387">
        <f t="shared" si="27"/>
        <v>1</v>
      </c>
      <c r="D122" s="3388"/>
      <c r="E122" s="3387">
        <f t="shared" si="28"/>
        <v>0</v>
      </c>
      <c r="F122" s="3388"/>
      <c r="G122" s="3387">
        <f t="shared" si="29"/>
        <v>1</v>
      </c>
      <c r="H122" s="3388"/>
      <c r="I122" s="3387">
        <f t="shared" si="30"/>
        <v>1</v>
      </c>
      <c r="J122" s="3388"/>
      <c r="K122" s="3387">
        <f t="shared" si="31"/>
        <v>1</v>
      </c>
      <c r="L122" s="3388"/>
      <c r="M122" s="3387">
        <f t="shared" si="32"/>
        <v>1</v>
      </c>
      <c r="N122" s="3388"/>
      <c r="O122" s="3387">
        <f t="shared" si="33"/>
        <v>1</v>
      </c>
      <c r="P122" s="3388"/>
      <c r="Q122" s="3387">
        <f t="shared" si="34"/>
        <v>0</v>
      </c>
      <c r="R122" s="2973">
        <f t="shared" si="35"/>
        <v>0</v>
      </c>
      <c r="S122" s="2850">
        <f t="shared" si="26"/>
        <v>0</v>
      </c>
    </row>
    <row r="123" spans="1:19">
      <c r="A123" s="3389"/>
      <c r="B123" s="3386"/>
      <c r="C123" s="3387">
        <f t="shared" si="27"/>
        <v>1</v>
      </c>
      <c r="D123" s="3388"/>
      <c r="E123" s="3387">
        <f t="shared" si="28"/>
        <v>0</v>
      </c>
      <c r="F123" s="3388"/>
      <c r="G123" s="3387">
        <f t="shared" si="29"/>
        <v>1</v>
      </c>
      <c r="H123" s="3388"/>
      <c r="I123" s="3387">
        <f t="shared" si="30"/>
        <v>1</v>
      </c>
      <c r="J123" s="3388"/>
      <c r="K123" s="3387">
        <f t="shared" si="31"/>
        <v>1</v>
      </c>
      <c r="L123" s="3388"/>
      <c r="M123" s="3387">
        <f t="shared" si="32"/>
        <v>1</v>
      </c>
      <c r="N123" s="3388"/>
      <c r="O123" s="3387">
        <f t="shared" si="33"/>
        <v>1</v>
      </c>
      <c r="P123" s="3388"/>
      <c r="Q123" s="3387">
        <f t="shared" si="34"/>
        <v>0</v>
      </c>
      <c r="R123" s="2973">
        <f t="shared" si="35"/>
        <v>0</v>
      </c>
      <c r="S123" s="2850">
        <f t="shared" ref="S123:S186" si="36">ROUND(R123*B123/10000,0)</f>
        <v>0</v>
      </c>
    </row>
    <row r="124" spans="1:19">
      <c r="A124" s="3389"/>
      <c r="B124" s="3386"/>
      <c r="C124" s="3387">
        <f t="shared" si="27"/>
        <v>1</v>
      </c>
      <c r="D124" s="3388"/>
      <c r="E124" s="3387">
        <f t="shared" si="28"/>
        <v>0</v>
      </c>
      <c r="F124" s="3388"/>
      <c r="G124" s="3387">
        <f t="shared" si="29"/>
        <v>1</v>
      </c>
      <c r="H124" s="3388"/>
      <c r="I124" s="3387">
        <f t="shared" si="30"/>
        <v>1</v>
      </c>
      <c r="J124" s="3388"/>
      <c r="K124" s="3387">
        <f t="shared" si="31"/>
        <v>1</v>
      </c>
      <c r="L124" s="3388"/>
      <c r="M124" s="3387">
        <f t="shared" si="32"/>
        <v>1</v>
      </c>
      <c r="N124" s="3388"/>
      <c r="O124" s="3387">
        <f t="shared" si="33"/>
        <v>1</v>
      </c>
      <c r="P124" s="3388"/>
      <c r="Q124" s="3387">
        <f t="shared" si="34"/>
        <v>0</v>
      </c>
      <c r="R124" s="2973">
        <f t="shared" si="35"/>
        <v>0</v>
      </c>
      <c r="S124" s="2850">
        <f t="shared" si="36"/>
        <v>0</v>
      </c>
    </row>
    <row r="125" spans="1:19">
      <c r="A125" s="3389"/>
      <c r="B125" s="3386"/>
      <c r="C125" s="3387">
        <f t="shared" si="27"/>
        <v>1</v>
      </c>
      <c r="D125" s="3388"/>
      <c r="E125" s="3387">
        <f t="shared" si="28"/>
        <v>0</v>
      </c>
      <c r="F125" s="3388"/>
      <c r="G125" s="3387">
        <f t="shared" si="29"/>
        <v>1</v>
      </c>
      <c r="H125" s="3388"/>
      <c r="I125" s="3387">
        <f t="shared" si="30"/>
        <v>1</v>
      </c>
      <c r="J125" s="3388"/>
      <c r="K125" s="3387">
        <f t="shared" si="31"/>
        <v>1</v>
      </c>
      <c r="L125" s="3388"/>
      <c r="M125" s="3387">
        <f t="shared" si="32"/>
        <v>1</v>
      </c>
      <c r="N125" s="3388"/>
      <c r="O125" s="3387">
        <f t="shared" si="33"/>
        <v>1</v>
      </c>
      <c r="P125" s="3388"/>
      <c r="Q125" s="3387">
        <f t="shared" si="34"/>
        <v>0</v>
      </c>
      <c r="R125" s="2973">
        <f t="shared" si="35"/>
        <v>0</v>
      </c>
      <c r="S125" s="2850">
        <f t="shared" si="36"/>
        <v>0</v>
      </c>
    </row>
    <row r="126" spans="1:19">
      <c r="A126" s="3389"/>
      <c r="B126" s="3386"/>
      <c r="C126" s="3387">
        <f t="shared" si="27"/>
        <v>1</v>
      </c>
      <c r="D126" s="3388"/>
      <c r="E126" s="3387">
        <f t="shared" si="28"/>
        <v>0</v>
      </c>
      <c r="F126" s="3388"/>
      <c r="G126" s="3387">
        <f t="shared" si="29"/>
        <v>1</v>
      </c>
      <c r="H126" s="3388"/>
      <c r="I126" s="3387">
        <f t="shared" si="30"/>
        <v>1</v>
      </c>
      <c r="J126" s="3388"/>
      <c r="K126" s="3387">
        <f t="shared" si="31"/>
        <v>1</v>
      </c>
      <c r="L126" s="3388"/>
      <c r="M126" s="3387">
        <f t="shared" si="32"/>
        <v>1</v>
      </c>
      <c r="N126" s="3388"/>
      <c r="O126" s="3387">
        <f t="shared" si="33"/>
        <v>1</v>
      </c>
      <c r="P126" s="3388"/>
      <c r="Q126" s="3387">
        <f t="shared" si="34"/>
        <v>0</v>
      </c>
      <c r="R126" s="2973">
        <f t="shared" si="35"/>
        <v>0</v>
      </c>
      <c r="S126" s="2850">
        <f t="shared" si="36"/>
        <v>0</v>
      </c>
    </row>
    <row r="127" spans="1:19">
      <c r="A127" s="3389"/>
      <c r="B127" s="3386"/>
      <c r="C127" s="3387">
        <f t="shared" si="27"/>
        <v>1</v>
      </c>
      <c r="D127" s="3388"/>
      <c r="E127" s="3387">
        <f t="shared" si="28"/>
        <v>0</v>
      </c>
      <c r="F127" s="3388"/>
      <c r="G127" s="3387">
        <f t="shared" si="29"/>
        <v>1</v>
      </c>
      <c r="H127" s="3388"/>
      <c r="I127" s="3387">
        <f t="shared" si="30"/>
        <v>1</v>
      </c>
      <c r="J127" s="3388"/>
      <c r="K127" s="3387">
        <f t="shared" si="31"/>
        <v>1</v>
      </c>
      <c r="L127" s="3388"/>
      <c r="M127" s="3387">
        <f t="shared" si="32"/>
        <v>1</v>
      </c>
      <c r="N127" s="3388"/>
      <c r="O127" s="3387">
        <f t="shared" si="33"/>
        <v>1</v>
      </c>
      <c r="P127" s="3388"/>
      <c r="Q127" s="3387">
        <f t="shared" si="34"/>
        <v>0</v>
      </c>
      <c r="R127" s="2973">
        <f t="shared" si="35"/>
        <v>0</v>
      </c>
      <c r="S127" s="2850">
        <f t="shared" si="36"/>
        <v>0</v>
      </c>
    </row>
    <row r="128" spans="1:19">
      <c r="A128" s="3389"/>
      <c r="B128" s="3386"/>
      <c r="C128" s="3387">
        <f t="shared" si="27"/>
        <v>1</v>
      </c>
      <c r="D128" s="3388"/>
      <c r="E128" s="3387">
        <f t="shared" si="28"/>
        <v>0</v>
      </c>
      <c r="F128" s="3388"/>
      <c r="G128" s="3387">
        <f t="shared" si="29"/>
        <v>1</v>
      </c>
      <c r="H128" s="3388"/>
      <c r="I128" s="3387">
        <f t="shared" si="30"/>
        <v>1</v>
      </c>
      <c r="J128" s="3388"/>
      <c r="K128" s="3387">
        <f t="shared" si="31"/>
        <v>1</v>
      </c>
      <c r="L128" s="3388"/>
      <c r="M128" s="3387">
        <f t="shared" si="32"/>
        <v>1</v>
      </c>
      <c r="N128" s="3388"/>
      <c r="O128" s="3387">
        <f t="shared" si="33"/>
        <v>1</v>
      </c>
      <c r="P128" s="3388"/>
      <c r="Q128" s="3387">
        <f t="shared" si="34"/>
        <v>0</v>
      </c>
      <c r="R128" s="2973">
        <f t="shared" si="35"/>
        <v>0</v>
      </c>
      <c r="S128" s="2850">
        <f t="shared" si="36"/>
        <v>0</v>
      </c>
    </row>
    <row r="129" spans="1:19">
      <c r="A129" s="3389"/>
      <c r="B129" s="3386"/>
      <c r="C129" s="3387">
        <f t="shared" si="27"/>
        <v>1</v>
      </c>
      <c r="D129" s="3388"/>
      <c r="E129" s="3387">
        <f t="shared" si="28"/>
        <v>0</v>
      </c>
      <c r="F129" s="3388"/>
      <c r="G129" s="3387">
        <f t="shared" si="29"/>
        <v>1</v>
      </c>
      <c r="H129" s="3388"/>
      <c r="I129" s="3387">
        <f t="shared" si="30"/>
        <v>1</v>
      </c>
      <c r="J129" s="3388"/>
      <c r="K129" s="3387">
        <f t="shared" si="31"/>
        <v>1</v>
      </c>
      <c r="L129" s="3388"/>
      <c r="M129" s="3387">
        <f t="shared" si="32"/>
        <v>1</v>
      </c>
      <c r="N129" s="3388"/>
      <c r="O129" s="3387">
        <f t="shared" si="33"/>
        <v>1</v>
      </c>
      <c r="P129" s="3388"/>
      <c r="Q129" s="3387">
        <f t="shared" si="34"/>
        <v>0</v>
      </c>
      <c r="R129" s="2973">
        <f t="shared" si="35"/>
        <v>0</v>
      </c>
      <c r="S129" s="2850">
        <f t="shared" si="36"/>
        <v>0</v>
      </c>
    </row>
    <row r="130" spans="1:19">
      <c r="A130" s="3389"/>
      <c r="B130" s="3386"/>
      <c r="C130" s="3387">
        <f t="shared" si="27"/>
        <v>1</v>
      </c>
      <c r="D130" s="3388"/>
      <c r="E130" s="3387">
        <f t="shared" si="28"/>
        <v>0</v>
      </c>
      <c r="F130" s="3388"/>
      <c r="G130" s="3387">
        <f t="shared" si="29"/>
        <v>1</v>
      </c>
      <c r="H130" s="3388"/>
      <c r="I130" s="3387">
        <f t="shared" si="30"/>
        <v>1</v>
      </c>
      <c r="J130" s="3388"/>
      <c r="K130" s="3387">
        <f t="shared" si="31"/>
        <v>1</v>
      </c>
      <c r="L130" s="3388"/>
      <c r="M130" s="3387">
        <f t="shared" si="32"/>
        <v>1</v>
      </c>
      <c r="N130" s="3388"/>
      <c r="O130" s="3387">
        <f t="shared" si="33"/>
        <v>1</v>
      </c>
      <c r="P130" s="3388"/>
      <c r="Q130" s="3387">
        <f t="shared" si="34"/>
        <v>0</v>
      </c>
      <c r="R130" s="2973">
        <f t="shared" si="35"/>
        <v>0</v>
      </c>
      <c r="S130" s="2850">
        <f t="shared" si="36"/>
        <v>0</v>
      </c>
    </row>
    <row r="131" spans="1:19">
      <c r="A131" s="3389"/>
      <c r="B131" s="3386"/>
      <c r="C131" s="3387">
        <f t="shared" si="27"/>
        <v>1</v>
      </c>
      <c r="D131" s="3388"/>
      <c r="E131" s="3387">
        <f t="shared" si="28"/>
        <v>0</v>
      </c>
      <c r="F131" s="3388"/>
      <c r="G131" s="3387">
        <f t="shared" si="29"/>
        <v>1</v>
      </c>
      <c r="H131" s="3388"/>
      <c r="I131" s="3387">
        <f t="shared" si="30"/>
        <v>1</v>
      </c>
      <c r="J131" s="3388"/>
      <c r="K131" s="3387">
        <f t="shared" si="31"/>
        <v>1</v>
      </c>
      <c r="L131" s="3388"/>
      <c r="M131" s="3387">
        <f t="shared" si="32"/>
        <v>1</v>
      </c>
      <c r="N131" s="3388"/>
      <c r="O131" s="3387">
        <f t="shared" si="33"/>
        <v>1</v>
      </c>
      <c r="P131" s="3388"/>
      <c r="Q131" s="3387">
        <f t="shared" si="34"/>
        <v>0</v>
      </c>
      <c r="R131" s="2973">
        <f t="shared" si="35"/>
        <v>0</v>
      </c>
      <c r="S131" s="2850">
        <f t="shared" si="36"/>
        <v>0</v>
      </c>
    </row>
    <row r="132" spans="1:19">
      <c r="A132" s="3389"/>
      <c r="B132" s="3386"/>
      <c r="C132" s="3387">
        <f t="shared" si="27"/>
        <v>1</v>
      </c>
      <c r="D132" s="3388"/>
      <c r="E132" s="3387">
        <f t="shared" si="28"/>
        <v>0</v>
      </c>
      <c r="F132" s="3388"/>
      <c r="G132" s="3387">
        <f t="shared" si="29"/>
        <v>1</v>
      </c>
      <c r="H132" s="3388"/>
      <c r="I132" s="3387">
        <f t="shared" si="30"/>
        <v>1</v>
      </c>
      <c r="J132" s="3388"/>
      <c r="K132" s="3387">
        <f t="shared" si="31"/>
        <v>1</v>
      </c>
      <c r="L132" s="3388"/>
      <c r="M132" s="3387">
        <f t="shared" si="32"/>
        <v>1</v>
      </c>
      <c r="N132" s="3388"/>
      <c r="O132" s="3387">
        <f t="shared" si="33"/>
        <v>1</v>
      </c>
      <c r="P132" s="3388"/>
      <c r="Q132" s="3387">
        <f t="shared" si="34"/>
        <v>0</v>
      </c>
      <c r="R132" s="2973">
        <f t="shared" si="35"/>
        <v>0</v>
      </c>
      <c r="S132" s="2850">
        <f t="shared" si="36"/>
        <v>0</v>
      </c>
    </row>
    <row r="133" spans="1:19">
      <c r="A133" s="3389"/>
      <c r="B133" s="3386"/>
      <c r="C133" s="3387">
        <f t="shared" si="27"/>
        <v>1</v>
      </c>
      <c r="D133" s="3388"/>
      <c r="E133" s="3387">
        <f t="shared" si="28"/>
        <v>0</v>
      </c>
      <c r="F133" s="3388"/>
      <c r="G133" s="3387">
        <f t="shared" si="29"/>
        <v>1</v>
      </c>
      <c r="H133" s="3388"/>
      <c r="I133" s="3387">
        <f t="shared" si="30"/>
        <v>1</v>
      </c>
      <c r="J133" s="3388"/>
      <c r="K133" s="3387">
        <f t="shared" si="31"/>
        <v>1</v>
      </c>
      <c r="L133" s="3388"/>
      <c r="M133" s="3387">
        <f t="shared" si="32"/>
        <v>1</v>
      </c>
      <c r="N133" s="3388"/>
      <c r="O133" s="3387">
        <f t="shared" si="33"/>
        <v>1</v>
      </c>
      <c r="P133" s="3388"/>
      <c r="Q133" s="3387">
        <f t="shared" si="34"/>
        <v>0</v>
      </c>
      <c r="R133" s="2973">
        <f t="shared" si="35"/>
        <v>0</v>
      </c>
      <c r="S133" s="2850">
        <f t="shared" si="36"/>
        <v>0</v>
      </c>
    </row>
    <row r="134" spans="1:19">
      <c r="A134" s="3389"/>
      <c r="B134" s="3386"/>
      <c r="C134" s="3387">
        <f t="shared" si="27"/>
        <v>1</v>
      </c>
      <c r="D134" s="3388"/>
      <c r="E134" s="3387">
        <f t="shared" si="28"/>
        <v>0</v>
      </c>
      <c r="F134" s="3388"/>
      <c r="G134" s="3387">
        <f t="shared" si="29"/>
        <v>1</v>
      </c>
      <c r="H134" s="3388"/>
      <c r="I134" s="3387">
        <f t="shared" si="30"/>
        <v>1</v>
      </c>
      <c r="J134" s="3388"/>
      <c r="K134" s="3387">
        <f t="shared" si="31"/>
        <v>1</v>
      </c>
      <c r="L134" s="3388"/>
      <c r="M134" s="3387">
        <f t="shared" si="32"/>
        <v>1</v>
      </c>
      <c r="N134" s="3388"/>
      <c r="O134" s="3387">
        <f t="shared" si="33"/>
        <v>1</v>
      </c>
      <c r="P134" s="3388"/>
      <c r="Q134" s="3387">
        <f t="shared" si="34"/>
        <v>0</v>
      </c>
      <c r="R134" s="2973">
        <f t="shared" si="35"/>
        <v>0</v>
      </c>
      <c r="S134" s="2850">
        <f t="shared" si="36"/>
        <v>0</v>
      </c>
    </row>
    <row r="135" spans="1:19">
      <c r="A135" s="3389"/>
      <c r="B135" s="3386"/>
      <c r="C135" s="3387">
        <f t="shared" si="27"/>
        <v>1</v>
      </c>
      <c r="D135" s="3388"/>
      <c r="E135" s="3387">
        <f t="shared" si="28"/>
        <v>0</v>
      </c>
      <c r="F135" s="3388"/>
      <c r="G135" s="3387">
        <f t="shared" si="29"/>
        <v>1</v>
      </c>
      <c r="H135" s="3388"/>
      <c r="I135" s="3387">
        <f t="shared" si="30"/>
        <v>1</v>
      </c>
      <c r="J135" s="3388"/>
      <c r="K135" s="3387">
        <f t="shared" si="31"/>
        <v>1</v>
      </c>
      <c r="L135" s="3388"/>
      <c r="M135" s="3387">
        <f t="shared" si="32"/>
        <v>1</v>
      </c>
      <c r="N135" s="3388"/>
      <c r="O135" s="3387">
        <f t="shared" si="33"/>
        <v>1</v>
      </c>
      <c r="P135" s="3388"/>
      <c r="Q135" s="3387">
        <f t="shared" si="34"/>
        <v>0</v>
      </c>
      <c r="R135" s="2973">
        <f t="shared" si="35"/>
        <v>0</v>
      </c>
      <c r="S135" s="2850">
        <f t="shared" si="36"/>
        <v>0</v>
      </c>
    </row>
    <row r="136" spans="1:19">
      <c r="A136" s="3389"/>
      <c r="B136" s="3386"/>
      <c r="C136" s="3387">
        <f t="shared" si="27"/>
        <v>1</v>
      </c>
      <c r="D136" s="3388"/>
      <c r="E136" s="3387">
        <f t="shared" si="28"/>
        <v>0</v>
      </c>
      <c r="F136" s="3388"/>
      <c r="G136" s="3387">
        <f t="shared" si="29"/>
        <v>1</v>
      </c>
      <c r="H136" s="3388"/>
      <c r="I136" s="3387">
        <f t="shared" si="30"/>
        <v>1</v>
      </c>
      <c r="J136" s="3388"/>
      <c r="K136" s="3387">
        <f t="shared" si="31"/>
        <v>1</v>
      </c>
      <c r="L136" s="3388"/>
      <c r="M136" s="3387">
        <f t="shared" si="32"/>
        <v>1</v>
      </c>
      <c r="N136" s="3388"/>
      <c r="O136" s="3387">
        <f t="shared" si="33"/>
        <v>1</v>
      </c>
      <c r="P136" s="3388"/>
      <c r="Q136" s="3387">
        <f t="shared" si="34"/>
        <v>0</v>
      </c>
      <c r="R136" s="2973">
        <f t="shared" si="35"/>
        <v>0</v>
      </c>
      <c r="S136" s="2850">
        <f t="shared" si="36"/>
        <v>0</v>
      </c>
    </row>
    <row r="137" spans="1:19">
      <c r="A137" s="3389"/>
      <c r="B137" s="3386"/>
      <c r="C137" s="3387">
        <f t="shared" si="27"/>
        <v>1</v>
      </c>
      <c r="D137" s="3388"/>
      <c r="E137" s="3387">
        <f t="shared" si="28"/>
        <v>0</v>
      </c>
      <c r="F137" s="3388"/>
      <c r="G137" s="3387">
        <f t="shared" si="29"/>
        <v>1</v>
      </c>
      <c r="H137" s="3388"/>
      <c r="I137" s="3387">
        <f t="shared" si="30"/>
        <v>1</v>
      </c>
      <c r="J137" s="3388"/>
      <c r="K137" s="3387">
        <f t="shared" si="31"/>
        <v>1</v>
      </c>
      <c r="L137" s="3388"/>
      <c r="M137" s="3387">
        <f t="shared" si="32"/>
        <v>1</v>
      </c>
      <c r="N137" s="3388"/>
      <c r="O137" s="3387">
        <f t="shared" si="33"/>
        <v>1</v>
      </c>
      <c r="P137" s="3388"/>
      <c r="Q137" s="3387">
        <f t="shared" si="34"/>
        <v>0</v>
      </c>
      <c r="R137" s="2973">
        <f t="shared" si="35"/>
        <v>0</v>
      </c>
      <c r="S137" s="2850">
        <f t="shared" si="36"/>
        <v>0</v>
      </c>
    </row>
    <row r="138" spans="1:19">
      <c r="A138" s="3389"/>
      <c r="B138" s="3386"/>
      <c r="C138" s="3387">
        <f t="shared" si="27"/>
        <v>1</v>
      </c>
      <c r="D138" s="3388"/>
      <c r="E138" s="3387">
        <f t="shared" si="28"/>
        <v>0</v>
      </c>
      <c r="F138" s="3388"/>
      <c r="G138" s="3387">
        <f t="shared" si="29"/>
        <v>1</v>
      </c>
      <c r="H138" s="3388"/>
      <c r="I138" s="3387">
        <f t="shared" si="30"/>
        <v>1</v>
      </c>
      <c r="J138" s="3388"/>
      <c r="K138" s="3387">
        <f t="shared" si="31"/>
        <v>1</v>
      </c>
      <c r="L138" s="3388"/>
      <c r="M138" s="3387">
        <f t="shared" si="32"/>
        <v>1</v>
      </c>
      <c r="N138" s="3388"/>
      <c r="O138" s="3387">
        <f t="shared" si="33"/>
        <v>1</v>
      </c>
      <c r="P138" s="3388"/>
      <c r="Q138" s="3387">
        <f t="shared" si="34"/>
        <v>0</v>
      </c>
      <c r="R138" s="2973">
        <f t="shared" si="35"/>
        <v>0</v>
      </c>
      <c r="S138" s="2850">
        <f t="shared" si="36"/>
        <v>0</v>
      </c>
    </row>
    <row r="139" spans="1:19">
      <c r="A139" s="3389"/>
      <c r="B139" s="3386"/>
      <c r="C139" s="3387">
        <f t="shared" si="27"/>
        <v>1</v>
      </c>
      <c r="D139" s="3388"/>
      <c r="E139" s="3387">
        <f t="shared" si="28"/>
        <v>0</v>
      </c>
      <c r="F139" s="3388"/>
      <c r="G139" s="3387">
        <f t="shared" si="29"/>
        <v>1</v>
      </c>
      <c r="H139" s="3388"/>
      <c r="I139" s="3387">
        <f t="shared" si="30"/>
        <v>1</v>
      </c>
      <c r="J139" s="3388"/>
      <c r="K139" s="3387">
        <f t="shared" si="31"/>
        <v>1</v>
      </c>
      <c r="L139" s="3388"/>
      <c r="M139" s="3387">
        <f t="shared" si="32"/>
        <v>1</v>
      </c>
      <c r="N139" s="3388"/>
      <c r="O139" s="3387">
        <f t="shared" si="33"/>
        <v>1</v>
      </c>
      <c r="P139" s="3388"/>
      <c r="Q139" s="3387">
        <f t="shared" si="34"/>
        <v>0</v>
      </c>
      <c r="R139" s="2973">
        <f t="shared" si="35"/>
        <v>0</v>
      </c>
      <c r="S139" s="2850">
        <f t="shared" si="36"/>
        <v>0</v>
      </c>
    </row>
    <row r="140" spans="1:19">
      <c r="A140" s="3389"/>
      <c r="B140" s="3386"/>
      <c r="C140" s="3387">
        <f t="shared" si="27"/>
        <v>1</v>
      </c>
      <c r="D140" s="3388"/>
      <c r="E140" s="3387">
        <f t="shared" si="28"/>
        <v>0</v>
      </c>
      <c r="F140" s="3388"/>
      <c r="G140" s="3387">
        <f t="shared" si="29"/>
        <v>1</v>
      </c>
      <c r="H140" s="3388"/>
      <c r="I140" s="3387">
        <f t="shared" si="30"/>
        <v>1</v>
      </c>
      <c r="J140" s="3388"/>
      <c r="K140" s="3387">
        <f t="shared" si="31"/>
        <v>1</v>
      </c>
      <c r="L140" s="3388"/>
      <c r="M140" s="3387">
        <f t="shared" si="32"/>
        <v>1</v>
      </c>
      <c r="N140" s="3388"/>
      <c r="O140" s="3387">
        <f t="shared" si="33"/>
        <v>1</v>
      </c>
      <c r="P140" s="3388"/>
      <c r="Q140" s="3387">
        <f t="shared" si="34"/>
        <v>0</v>
      </c>
      <c r="R140" s="2973">
        <f t="shared" si="35"/>
        <v>0</v>
      </c>
      <c r="S140" s="2850">
        <f t="shared" si="36"/>
        <v>0</v>
      </c>
    </row>
    <row r="141" spans="1:19">
      <c r="A141" s="3389"/>
      <c r="B141" s="3386"/>
      <c r="C141" s="3387">
        <f t="shared" si="27"/>
        <v>1</v>
      </c>
      <c r="D141" s="3388"/>
      <c r="E141" s="3387">
        <f t="shared" si="28"/>
        <v>0</v>
      </c>
      <c r="F141" s="3388"/>
      <c r="G141" s="3387">
        <f t="shared" si="29"/>
        <v>1</v>
      </c>
      <c r="H141" s="3388"/>
      <c r="I141" s="3387">
        <f t="shared" si="30"/>
        <v>1</v>
      </c>
      <c r="J141" s="3388"/>
      <c r="K141" s="3387">
        <f t="shared" si="31"/>
        <v>1</v>
      </c>
      <c r="L141" s="3388"/>
      <c r="M141" s="3387">
        <f t="shared" si="32"/>
        <v>1</v>
      </c>
      <c r="N141" s="3388"/>
      <c r="O141" s="3387">
        <f t="shared" si="33"/>
        <v>1</v>
      </c>
      <c r="P141" s="3388"/>
      <c r="Q141" s="3387">
        <f t="shared" si="34"/>
        <v>0</v>
      </c>
      <c r="R141" s="2973">
        <f t="shared" si="35"/>
        <v>0</v>
      </c>
      <c r="S141" s="2850">
        <f t="shared" si="36"/>
        <v>0</v>
      </c>
    </row>
    <row r="142" spans="1:19">
      <c r="A142" s="3389"/>
      <c r="B142" s="3386"/>
      <c r="C142" s="3387">
        <f t="shared" si="27"/>
        <v>1</v>
      </c>
      <c r="D142" s="3388"/>
      <c r="E142" s="3387">
        <f t="shared" si="28"/>
        <v>0</v>
      </c>
      <c r="F142" s="3388"/>
      <c r="G142" s="3387">
        <f t="shared" si="29"/>
        <v>1</v>
      </c>
      <c r="H142" s="3388"/>
      <c r="I142" s="3387">
        <f t="shared" si="30"/>
        <v>1</v>
      </c>
      <c r="J142" s="3388"/>
      <c r="K142" s="3387">
        <f t="shared" si="31"/>
        <v>1</v>
      </c>
      <c r="L142" s="3388"/>
      <c r="M142" s="3387">
        <f t="shared" si="32"/>
        <v>1</v>
      </c>
      <c r="N142" s="3388"/>
      <c r="O142" s="3387">
        <f t="shared" si="33"/>
        <v>1</v>
      </c>
      <c r="P142" s="3388"/>
      <c r="Q142" s="3387">
        <f t="shared" si="34"/>
        <v>0</v>
      </c>
      <c r="R142" s="2973">
        <f t="shared" si="35"/>
        <v>0</v>
      </c>
      <c r="S142" s="2850">
        <f t="shared" si="36"/>
        <v>0</v>
      </c>
    </row>
    <row r="143" spans="1:19">
      <c r="A143" s="3389"/>
      <c r="B143" s="3386"/>
      <c r="C143" s="3387">
        <f t="shared" si="27"/>
        <v>1</v>
      </c>
      <c r="D143" s="3388"/>
      <c r="E143" s="3387">
        <f t="shared" si="28"/>
        <v>0</v>
      </c>
      <c r="F143" s="3388"/>
      <c r="G143" s="3387">
        <f t="shared" si="29"/>
        <v>1</v>
      </c>
      <c r="H143" s="3388"/>
      <c r="I143" s="3387">
        <f t="shared" si="30"/>
        <v>1</v>
      </c>
      <c r="J143" s="3388"/>
      <c r="K143" s="3387">
        <f t="shared" si="31"/>
        <v>1</v>
      </c>
      <c r="L143" s="3388"/>
      <c r="M143" s="3387">
        <f t="shared" si="32"/>
        <v>1</v>
      </c>
      <c r="N143" s="3388"/>
      <c r="O143" s="3387">
        <f t="shared" si="33"/>
        <v>1</v>
      </c>
      <c r="P143" s="3388"/>
      <c r="Q143" s="3387">
        <f t="shared" si="34"/>
        <v>0</v>
      </c>
      <c r="R143" s="2973">
        <f t="shared" si="35"/>
        <v>0</v>
      </c>
      <c r="S143" s="2850">
        <f t="shared" si="36"/>
        <v>0</v>
      </c>
    </row>
    <row r="144" spans="1:19">
      <c r="A144" s="3389"/>
      <c r="B144" s="3386"/>
      <c r="C144" s="3387">
        <f t="shared" si="27"/>
        <v>1</v>
      </c>
      <c r="D144" s="3388"/>
      <c r="E144" s="3387">
        <f t="shared" si="28"/>
        <v>0</v>
      </c>
      <c r="F144" s="3388"/>
      <c r="G144" s="3387">
        <f t="shared" si="29"/>
        <v>1</v>
      </c>
      <c r="H144" s="3388"/>
      <c r="I144" s="3387">
        <f t="shared" si="30"/>
        <v>1</v>
      </c>
      <c r="J144" s="3388"/>
      <c r="K144" s="3387">
        <f t="shared" si="31"/>
        <v>1</v>
      </c>
      <c r="L144" s="3388"/>
      <c r="M144" s="3387">
        <f t="shared" si="32"/>
        <v>1</v>
      </c>
      <c r="N144" s="3388"/>
      <c r="O144" s="3387">
        <f t="shared" si="33"/>
        <v>1</v>
      </c>
      <c r="P144" s="3388"/>
      <c r="Q144" s="3387">
        <f t="shared" si="34"/>
        <v>0</v>
      </c>
      <c r="R144" s="2973">
        <f t="shared" si="35"/>
        <v>0</v>
      </c>
      <c r="S144" s="2850">
        <f t="shared" si="36"/>
        <v>0</v>
      </c>
    </row>
    <row r="145" spans="1:19">
      <c r="A145" s="3389"/>
      <c r="B145" s="3386"/>
      <c r="C145" s="3387">
        <f t="shared" si="27"/>
        <v>1</v>
      </c>
      <c r="D145" s="3388"/>
      <c r="E145" s="3387">
        <f t="shared" si="28"/>
        <v>0</v>
      </c>
      <c r="F145" s="3388"/>
      <c r="G145" s="3387">
        <f t="shared" si="29"/>
        <v>1</v>
      </c>
      <c r="H145" s="3388"/>
      <c r="I145" s="3387">
        <f t="shared" si="30"/>
        <v>1</v>
      </c>
      <c r="J145" s="3388"/>
      <c r="K145" s="3387">
        <f t="shared" si="31"/>
        <v>1</v>
      </c>
      <c r="L145" s="3388"/>
      <c r="M145" s="3387">
        <f t="shared" si="32"/>
        <v>1</v>
      </c>
      <c r="N145" s="3388"/>
      <c r="O145" s="3387">
        <f t="shared" si="33"/>
        <v>1</v>
      </c>
      <c r="P145" s="3388"/>
      <c r="Q145" s="3387">
        <f t="shared" si="34"/>
        <v>0</v>
      </c>
      <c r="R145" s="2973">
        <f t="shared" si="35"/>
        <v>0</v>
      </c>
      <c r="S145" s="2850">
        <f t="shared" si="36"/>
        <v>0</v>
      </c>
    </row>
    <row r="146" spans="1:19">
      <c r="A146" s="3389"/>
      <c r="B146" s="3386"/>
      <c r="C146" s="3387">
        <f t="shared" si="27"/>
        <v>1</v>
      </c>
      <c r="D146" s="3388"/>
      <c r="E146" s="3387">
        <f t="shared" si="28"/>
        <v>0</v>
      </c>
      <c r="F146" s="3388"/>
      <c r="G146" s="3387">
        <f t="shared" si="29"/>
        <v>1</v>
      </c>
      <c r="H146" s="3388"/>
      <c r="I146" s="3387">
        <f t="shared" si="30"/>
        <v>1</v>
      </c>
      <c r="J146" s="3388"/>
      <c r="K146" s="3387">
        <f t="shared" si="31"/>
        <v>1</v>
      </c>
      <c r="L146" s="3388"/>
      <c r="M146" s="3387">
        <f t="shared" si="32"/>
        <v>1</v>
      </c>
      <c r="N146" s="3388"/>
      <c r="O146" s="3387">
        <f t="shared" si="33"/>
        <v>1</v>
      </c>
      <c r="P146" s="3388"/>
      <c r="Q146" s="3387">
        <f t="shared" si="34"/>
        <v>0</v>
      </c>
      <c r="R146" s="2973">
        <f t="shared" si="35"/>
        <v>0</v>
      </c>
      <c r="S146" s="2850">
        <f t="shared" si="36"/>
        <v>0</v>
      </c>
    </row>
    <row r="147" spans="1:19">
      <c r="A147" s="3389"/>
      <c r="B147" s="3386"/>
      <c r="C147" s="3387">
        <f t="shared" si="27"/>
        <v>1</v>
      </c>
      <c r="D147" s="3388"/>
      <c r="E147" s="3387">
        <f t="shared" si="28"/>
        <v>0</v>
      </c>
      <c r="F147" s="3388"/>
      <c r="G147" s="3387">
        <f t="shared" si="29"/>
        <v>1</v>
      </c>
      <c r="H147" s="3388"/>
      <c r="I147" s="3387">
        <f t="shared" si="30"/>
        <v>1</v>
      </c>
      <c r="J147" s="3388"/>
      <c r="K147" s="3387">
        <f t="shared" si="31"/>
        <v>1</v>
      </c>
      <c r="L147" s="3388"/>
      <c r="M147" s="3387">
        <f t="shared" si="32"/>
        <v>1</v>
      </c>
      <c r="N147" s="3388"/>
      <c r="O147" s="3387">
        <f t="shared" si="33"/>
        <v>1</v>
      </c>
      <c r="P147" s="3388"/>
      <c r="Q147" s="3387">
        <f t="shared" si="34"/>
        <v>0</v>
      </c>
      <c r="R147" s="2973">
        <f t="shared" si="35"/>
        <v>0</v>
      </c>
      <c r="S147" s="2850">
        <f t="shared" si="36"/>
        <v>0</v>
      </c>
    </row>
    <row r="148" spans="1:19">
      <c r="A148" s="3389"/>
      <c r="B148" s="3386"/>
      <c r="C148" s="3387">
        <f t="shared" si="27"/>
        <v>1</v>
      </c>
      <c r="D148" s="3388"/>
      <c r="E148" s="3387">
        <f t="shared" si="28"/>
        <v>0</v>
      </c>
      <c r="F148" s="3388"/>
      <c r="G148" s="3387">
        <f t="shared" si="29"/>
        <v>1</v>
      </c>
      <c r="H148" s="3388"/>
      <c r="I148" s="3387">
        <f t="shared" si="30"/>
        <v>1</v>
      </c>
      <c r="J148" s="3388"/>
      <c r="K148" s="3387">
        <f t="shared" si="31"/>
        <v>1</v>
      </c>
      <c r="L148" s="3388"/>
      <c r="M148" s="3387">
        <f t="shared" si="32"/>
        <v>1</v>
      </c>
      <c r="N148" s="3388"/>
      <c r="O148" s="3387">
        <f t="shared" si="33"/>
        <v>1</v>
      </c>
      <c r="P148" s="3388"/>
      <c r="Q148" s="3387">
        <f t="shared" si="34"/>
        <v>0</v>
      </c>
      <c r="R148" s="2973">
        <f t="shared" si="35"/>
        <v>0</v>
      </c>
      <c r="S148" s="2850">
        <f t="shared" si="36"/>
        <v>0</v>
      </c>
    </row>
    <row r="149" spans="1:19">
      <c r="A149" s="3389"/>
      <c r="B149" s="3386"/>
      <c r="C149" s="3387">
        <f t="shared" si="27"/>
        <v>1</v>
      </c>
      <c r="D149" s="3388"/>
      <c r="E149" s="3387">
        <f t="shared" si="28"/>
        <v>0</v>
      </c>
      <c r="F149" s="3388"/>
      <c r="G149" s="3387">
        <f t="shared" si="29"/>
        <v>1</v>
      </c>
      <c r="H149" s="3388"/>
      <c r="I149" s="3387">
        <f t="shared" si="30"/>
        <v>1</v>
      </c>
      <c r="J149" s="3388"/>
      <c r="K149" s="3387">
        <f t="shared" si="31"/>
        <v>1</v>
      </c>
      <c r="L149" s="3388"/>
      <c r="M149" s="3387">
        <f t="shared" si="32"/>
        <v>1</v>
      </c>
      <c r="N149" s="3388"/>
      <c r="O149" s="3387">
        <f t="shared" si="33"/>
        <v>1</v>
      </c>
      <c r="P149" s="3388"/>
      <c r="Q149" s="3387">
        <f t="shared" si="34"/>
        <v>0</v>
      </c>
      <c r="R149" s="2973">
        <f t="shared" si="35"/>
        <v>0</v>
      </c>
      <c r="S149" s="2850">
        <f t="shared" si="36"/>
        <v>0</v>
      </c>
    </row>
    <row r="150" spans="1:19">
      <c r="A150" s="3389"/>
      <c r="B150" s="3386"/>
      <c r="C150" s="3387">
        <f t="shared" si="27"/>
        <v>1</v>
      </c>
      <c r="D150" s="3388"/>
      <c r="E150" s="3387">
        <f t="shared" si="28"/>
        <v>0</v>
      </c>
      <c r="F150" s="3388"/>
      <c r="G150" s="3387">
        <f t="shared" si="29"/>
        <v>1</v>
      </c>
      <c r="H150" s="3388"/>
      <c r="I150" s="3387">
        <f t="shared" si="30"/>
        <v>1</v>
      </c>
      <c r="J150" s="3388"/>
      <c r="K150" s="3387">
        <f t="shared" si="31"/>
        <v>1</v>
      </c>
      <c r="L150" s="3388"/>
      <c r="M150" s="3387">
        <f t="shared" si="32"/>
        <v>1</v>
      </c>
      <c r="N150" s="3388"/>
      <c r="O150" s="3387">
        <f t="shared" si="33"/>
        <v>1</v>
      </c>
      <c r="P150" s="3388"/>
      <c r="Q150" s="3387">
        <f t="shared" si="34"/>
        <v>0</v>
      </c>
      <c r="R150" s="2973">
        <f t="shared" si="35"/>
        <v>0</v>
      </c>
      <c r="S150" s="2850">
        <f t="shared" si="36"/>
        <v>0</v>
      </c>
    </row>
    <row r="151" spans="1:19">
      <c r="A151" s="3389"/>
      <c r="B151" s="3386"/>
      <c r="C151" s="3387">
        <f t="shared" si="27"/>
        <v>1</v>
      </c>
      <c r="D151" s="3388"/>
      <c r="E151" s="3387">
        <f t="shared" si="28"/>
        <v>0</v>
      </c>
      <c r="F151" s="3388"/>
      <c r="G151" s="3387">
        <f t="shared" si="29"/>
        <v>1</v>
      </c>
      <c r="H151" s="3388"/>
      <c r="I151" s="3387">
        <f t="shared" si="30"/>
        <v>1</v>
      </c>
      <c r="J151" s="3388"/>
      <c r="K151" s="3387">
        <f t="shared" si="31"/>
        <v>1</v>
      </c>
      <c r="L151" s="3388"/>
      <c r="M151" s="3387">
        <f t="shared" si="32"/>
        <v>1</v>
      </c>
      <c r="N151" s="3388"/>
      <c r="O151" s="3387">
        <f t="shared" si="33"/>
        <v>1</v>
      </c>
      <c r="P151" s="3388"/>
      <c r="Q151" s="3387">
        <f t="shared" si="34"/>
        <v>0</v>
      </c>
      <c r="R151" s="2973">
        <f t="shared" si="35"/>
        <v>0</v>
      </c>
      <c r="S151" s="2850">
        <f t="shared" si="36"/>
        <v>0</v>
      </c>
    </row>
    <row r="152" spans="1:19">
      <c r="A152" s="3389"/>
      <c r="B152" s="3386"/>
      <c r="C152" s="3387">
        <f t="shared" si="27"/>
        <v>1</v>
      </c>
      <c r="D152" s="3388"/>
      <c r="E152" s="3387">
        <f t="shared" si="28"/>
        <v>0</v>
      </c>
      <c r="F152" s="3388"/>
      <c r="G152" s="3387">
        <f t="shared" si="29"/>
        <v>1</v>
      </c>
      <c r="H152" s="3388"/>
      <c r="I152" s="3387">
        <f t="shared" si="30"/>
        <v>1</v>
      </c>
      <c r="J152" s="3388"/>
      <c r="K152" s="3387">
        <f t="shared" si="31"/>
        <v>1</v>
      </c>
      <c r="L152" s="3388"/>
      <c r="M152" s="3387">
        <f t="shared" si="32"/>
        <v>1</v>
      </c>
      <c r="N152" s="3388"/>
      <c r="O152" s="3387">
        <f t="shared" si="33"/>
        <v>1</v>
      </c>
      <c r="P152" s="3388"/>
      <c r="Q152" s="3387">
        <f t="shared" si="34"/>
        <v>0</v>
      </c>
      <c r="R152" s="2973">
        <f t="shared" si="35"/>
        <v>0</v>
      </c>
      <c r="S152" s="2850">
        <f t="shared" si="36"/>
        <v>0</v>
      </c>
    </row>
    <row r="153" spans="1:19">
      <c r="A153" s="3389"/>
      <c r="B153" s="3386"/>
      <c r="C153" s="3387">
        <f t="shared" si="27"/>
        <v>1</v>
      </c>
      <c r="D153" s="3388"/>
      <c r="E153" s="3387">
        <f t="shared" si="28"/>
        <v>0</v>
      </c>
      <c r="F153" s="3388"/>
      <c r="G153" s="3387">
        <f t="shared" si="29"/>
        <v>1</v>
      </c>
      <c r="H153" s="3388"/>
      <c r="I153" s="3387">
        <f t="shared" si="30"/>
        <v>1</v>
      </c>
      <c r="J153" s="3388"/>
      <c r="K153" s="3387">
        <f t="shared" si="31"/>
        <v>1</v>
      </c>
      <c r="L153" s="3388"/>
      <c r="M153" s="3387">
        <f t="shared" si="32"/>
        <v>1</v>
      </c>
      <c r="N153" s="3388"/>
      <c r="O153" s="3387">
        <f t="shared" si="33"/>
        <v>1</v>
      </c>
      <c r="P153" s="3388"/>
      <c r="Q153" s="3387">
        <f t="shared" si="34"/>
        <v>0</v>
      </c>
      <c r="R153" s="2973">
        <f t="shared" si="35"/>
        <v>0</v>
      </c>
      <c r="S153" s="2850">
        <f t="shared" si="36"/>
        <v>0</v>
      </c>
    </row>
    <row r="154" spans="1:19">
      <c r="A154" s="3389"/>
      <c r="B154" s="3386"/>
      <c r="C154" s="3387">
        <f t="shared" ref="C154:C217" si="37">IF(B154="",1,(LOOKUP(B154,$3:$3,$4:$4)-LOOKUP($B$24,$3:$3,$4:$4)+100)/100)</f>
        <v>1</v>
      </c>
      <c r="D154" s="3388"/>
      <c r="E154" s="3387">
        <f t="shared" ref="E154:E217" si="38">(SUMIF($5:$5,D154,$6:$6)-SUMIF($5:$5,$D$24,$6:$6)+100)/100</f>
        <v>0</v>
      </c>
      <c r="F154" s="3388"/>
      <c r="G154" s="3387">
        <f t="shared" ref="G154:G217" si="39">(SUMIF($7:$7,F154,$8:$8)-SUMIF($7:$7,$F$24,$8:$8)+100)/100</f>
        <v>1</v>
      </c>
      <c r="H154" s="3388"/>
      <c r="I154" s="3387">
        <f t="shared" ref="I154:I217" si="40">(SUMIF($9:$9,H154,$10:$10)-SUMIF($9:$9,$H$24,$10:$10)+100)/100</f>
        <v>1</v>
      </c>
      <c r="J154" s="3388"/>
      <c r="K154" s="3387">
        <f t="shared" ref="K154:K217" si="41">(SUMIF($11:$11,J154,$12:$12)-SUMIF($11:$11,$J$24,$12:$12)+100)/100</f>
        <v>1</v>
      </c>
      <c r="L154" s="3388"/>
      <c r="M154" s="3387">
        <f t="shared" ref="M154:M217" si="42">(SUMIF($13:$13,L154,$14:$14)-SUMIF($13:$13,$L$24,$14:$14)+100)/100</f>
        <v>1</v>
      </c>
      <c r="N154" s="3388"/>
      <c r="O154" s="3387">
        <f t="shared" ref="O154:O217" si="43">(SUMIF($15:$15,N154,$16:$16)-SUMIF($15:$15,$N$24,$16:$16)+100)/100</f>
        <v>1</v>
      </c>
      <c r="P154" s="3388"/>
      <c r="Q154" s="3387">
        <f t="shared" ref="Q154:Q217" si="44">(SUMIF($17:$17,P154,$18:$18)-SUMIF($17:$17,$P$24,$18:$18)+100)/100</f>
        <v>0</v>
      </c>
      <c r="R154" s="2973">
        <f t="shared" ref="R154:R217" si="45">IF(B154="",0,ROUND($R$24*C154*E154*G154*I154*K154*M154*O154*Q154,0))</f>
        <v>0</v>
      </c>
      <c r="S154" s="2850">
        <f t="shared" si="36"/>
        <v>0</v>
      </c>
    </row>
    <row r="155" spans="1:19">
      <c r="A155" s="3389"/>
      <c r="B155" s="3386"/>
      <c r="C155" s="3387">
        <f t="shared" si="37"/>
        <v>1</v>
      </c>
      <c r="D155" s="3388"/>
      <c r="E155" s="3387">
        <f t="shared" si="38"/>
        <v>0</v>
      </c>
      <c r="F155" s="3388"/>
      <c r="G155" s="3387">
        <f t="shared" si="39"/>
        <v>1</v>
      </c>
      <c r="H155" s="3388"/>
      <c r="I155" s="3387">
        <f t="shared" si="40"/>
        <v>1</v>
      </c>
      <c r="J155" s="3388"/>
      <c r="K155" s="3387">
        <f t="shared" si="41"/>
        <v>1</v>
      </c>
      <c r="L155" s="3388"/>
      <c r="M155" s="3387">
        <f t="shared" si="42"/>
        <v>1</v>
      </c>
      <c r="N155" s="3388"/>
      <c r="O155" s="3387">
        <f t="shared" si="43"/>
        <v>1</v>
      </c>
      <c r="P155" s="3388"/>
      <c r="Q155" s="3387">
        <f t="shared" si="44"/>
        <v>0</v>
      </c>
      <c r="R155" s="2973">
        <f t="shared" si="45"/>
        <v>0</v>
      </c>
      <c r="S155" s="2850">
        <f t="shared" si="36"/>
        <v>0</v>
      </c>
    </row>
    <row r="156" spans="1:19">
      <c r="A156" s="3389"/>
      <c r="B156" s="3386"/>
      <c r="C156" s="3387">
        <f t="shared" si="37"/>
        <v>1</v>
      </c>
      <c r="D156" s="3388"/>
      <c r="E156" s="3387">
        <f t="shared" si="38"/>
        <v>0</v>
      </c>
      <c r="F156" s="3388"/>
      <c r="G156" s="3387">
        <f t="shared" si="39"/>
        <v>1</v>
      </c>
      <c r="H156" s="3388"/>
      <c r="I156" s="3387">
        <f t="shared" si="40"/>
        <v>1</v>
      </c>
      <c r="J156" s="3388"/>
      <c r="K156" s="3387">
        <f t="shared" si="41"/>
        <v>1</v>
      </c>
      <c r="L156" s="3388"/>
      <c r="M156" s="3387">
        <f t="shared" si="42"/>
        <v>1</v>
      </c>
      <c r="N156" s="3388"/>
      <c r="O156" s="3387">
        <f t="shared" si="43"/>
        <v>1</v>
      </c>
      <c r="P156" s="3388"/>
      <c r="Q156" s="3387">
        <f t="shared" si="44"/>
        <v>0</v>
      </c>
      <c r="R156" s="2973">
        <f t="shared" si="45"/>
        <v>0</v>
      </c>
      <c r="S156" s="2850">
        <f t="shared" si="36"/>
        <v>0</v>
      </c>
    </row>
    <row r="157" spans="1:19">
      <c r="A157" s="3389"/>
      <c r="B157" s="3386"/>
      <c r="C157" s="3387">
        <f t="shared" si="37"/>
        <v>1</v>
      </c>
      <c r="D157" s="3388"/>
      <c r="E157" s="3387">
        <f t="shared" si="38"/>
        <v>0</v>
      </c>
      <c r="F157" s="3388"/>
      <c r="G157" s="3387">
        <f t="shared" si="39"/>
        <v>1</v>
      </c>
      <c r="H157" s="3388"/>
      <c r="I157" s="3387">
        <f t="shared" si="40"/>
        <v>1</v>
      </c>
      <c r="J157" s="3388"/>
      <c r="K157" s="3387">
        <f t="shared" si="41"/>
        <v>1</v>
      </c>
      <c r="L157" s="3388"/>
      <c r="M157" s="3387">
        <f t="shared" si="42"/>
        <v>1</v>
      </c>
      <c r="N157" s="3388"/>
      <c r="O157" s="3387">
        <f t="shared" si="43"/>
        <v>1</v>
      </c>
      <c r="P157" s="3388"/>
      <c r="Q157" s="3387">
        <f t="shared" si="44"/>
        <v>0</v>
      </c>
      <c r="R157" s="2973">
        <f t="shared" si="45"/>
        <v>0</v>
      </c>
      <c r="S157" s="2850">
        <f t="shared" si="36"/>
        <v>0</v>
      </c>
    </row>
    <row r="158" spans="1:19">
      <c r="A158" s="3389"/>
      <c r="B158" s="3386"/>
      <c r="C158" s="3387">
        <f t="shared" si="37"/>
        <v>1</v>
      </c>
      <c r="D158" s="3388"/>
      <c r="E158" s="3387">
        <f t="shared" si="38"/>
        <v>0</v>
      </c>
      <c r="F158" s="3388"/>
      <c r="G158" s="3387">
        <f t="shared" si="39"/>
        <v>1</v>
      </c>
      <c r="H158" s="3388"/>
      <c r="I158" s="3387">
        <f t="shared" si="40"/>
        <v>1</v>
      </c>
      <c r="J158" s="3388"/>
      <c r="K158" s="3387">
        <f t="shared" si="41"/>
        <v>1</v>
      </c>
      <c r="L158" s="3388"/>
      <c r="M158" s="3387">
        <f t="shared" si="42"/>
        <v>1</v>
      </c>
      <c r="N158" s="3388"/>
      <c r="O158" s="3387">
        <f t="shared" si="43"/>
        <v>1</v>
      </c>
      <c r="P158" s="3388"/>
      <c r="Q158" s="3387">
        <f t="shared" si="44"/>
        <v>0</v>
      </c>
      <c r="R158" s="2973">
        <f t="shared" si="45"/>
        <v>0</v>
      </c>
      <c r="S158" s="2850">
        <f t="shared" si="36"/>
        <v>0</v>
      </c>
    </row>
    <row r="159" spans="1:19">
      <c r="A159" s="3389"/>
      <c r="B159" s="3386"/>
      <c r="C159" s="3387">
        <f t="shared" si="37"/>
        <v>1</v>
      </c>
      <c r="D159" s="3388"/>
      <c r="E159" s="3387">
        <f t="shared" si="38"/>
        <v>0</v>
      </c>
      <c r="F159" s="3388"/>
      <c r="G159" s="3387">
        <f t="shared" si="39"/>
        <v>1</v>
      </c>
      <c r="H159" s="3388"/>
      <c r="I159" s="3387">
        <f t="shared" si="40"/>
        <v>1</v>
      </c>
      <c r="J159" s="3388"/>
      <c r="K159" s="3387">
        <f t="shared" si="41"/>
        <v>1</v>
      </c>
      <c r="L159" s="3388"/>
      <c r="M159" s="3387">
        <f t="shared" si="42"/>
        <v>1</v>
      </c>
      <c r="N159" s="3388"/>
      <c r="O159" s="3387">
        <f t="shared" si="43"/>
        <v>1</v>
      </c>
      <c r="P159" s="3388"/>
      <c r="Q159" s="3387">
        <f t="shared" si="44"/>
        <v>0</v>
      </c>
      <c r="R159" s="2973">
        <f t="shared" si="45"/>
        <v>0</v>
      </c>
      <c r="S159" s="2850">
        <f t="shared" si="36"/>
        <v>0</v>
      </c>
    </row>
    <row r="160" spans="1:19">
      <c r="A160" s="3389"/>
      <c r="B160" s="3386"/>
      <c r="C160" s="3387">
        <f t="shared" si="37"/>
        <v>1</v>
      </c>
      <c r="D160" s="3388"/>
      <c r="E160" s="3387">
        <f t="shared" si="38"/>
        <v>0</v>
      </c>
      <c r="F160" s="3388"/>
      <c r="G160" s="3387">
        <f t="shared" si="39"/>
        <v>1</v>
      </c>
      <c r="H160" s="3388"/>
      <c r="I160" s="3387">
        <f t="shared" si="40"/>
        <v>1</v>
      </c>
      <c r="J160" s="3388"/>
      <c r="K160" s="3387">
        <f t="shared" si="41"/>
        <v>1</v>
      </c>
      <c r="L160" s="3388"/>
      <c r="M160" s="3387">
        <f t="shared" si="42"/>
        <v>1</v>
      </c>
      <c r="N160" s="3388"/>
      <c r="O160" s="3387">
        <f t="shared" si="43"/>
        <v>1</v>
      </c>
      <c r="P160" s="3388"/>
      <c r="Q160" s="3387">
        <f t="shared" si="44"/>
        <v>0</v>
      </c>
      <c r="R160" s="2973">
        <f t="shared" si="45"/>
        <v>0</v>
      </c>
      <c r="S160" s="2850">
        <f t="shared" si="36"/>
        <v>0</v>
      </c>
    </row>
    <row r="161" spans="1:19">
      <c r="A161" s="3389"/>
      <c r="B161" s="3386"/>
      <c r="C161" s="3387">
        <f t="shared" si="37"/>
        <v>1</v>
      </c>
      <c r="D161" s="3388"/>
      <c r="E161" s="3387">
        <f t="shared" si="38"/>
        <v>0</v>
      </c>
      <c r="F161" s="3388"/>
      <c r="G161" s="3387">
        <f t="shared" si="39"/>
        <v>1</v>
      </c>
      <c r="H161" s="3388"/>
      <c r="I161" s="3387">
        <f t="shared" si="40"/>
        <v>1</v>
      </c>
      <c r="J161" s="3388"/>
      <c r="K161" s="3387">
        <f t="shared" si="41"/>
        <v>1</v>
      </c>
      <c r="L161" s="3388"/>
      <c r="M161" s="3387">
        <f t="shared" si="42"/>
        <v>1</v>
      </c>
      <c r="N161" s="3388"/>
      <c r="O161" s="3387">
        <f t="shared" si="43"/>
        <v>1</v>
      </c>
      <c r="P161" s="3388"/>
      <c r="Q161" s="3387">
        <f t="shared" si="44"/>
        <v>0</v>
      </c>
      <c r="R161" s="2973">
        <f t="shared" si="45"/>
        <v>0</v>
      </c>
      <c r="S161" s="2850">
        <f t="shared" si="36"/>
        <v>0</v>
      </c>
    </row>
    <row r="162" spans="1:19">
      <c r="A162" s="3389"/>
      <c r="B162" s="3386"/>
      <c r="C162" s="3387">
        <f t="shared" si="37"/>
        <v>1</v>
      </c>
      <c r="D162" s="3388"/>
      <c r="E162" s="3387">
        <f t="shared" si="38"/>
        <v>0</v>
      </c>
      <c r="F162" s="3388"/>
      <c r="G162" s="3387">
        <f t="shared" si="39"/>
        <v>1</v>
      </c>
      <c r="H162" s="3388"/>
      <c r="I162" s="3387">
        <f t="shared" si="40"/>
        <v>1</v>
      </c>
      <c r="J162" s="3388"/>
      <c r="K162" s="3387">
        <f t="shared" si="41"/>
        <v>1</v>
      </c>
      <c r="L162" s="3388"/>
      <c r="M162" s="3387">
        <f t="shared" si="42"/>
        <v>1</v>
      </c>
      <c r="N162" s="3388"/>
      <c r="O162" s="3387">
        <f t="shared" si="43"/>
        <v>1</v>
      </c>
      <c r="P162" s="3388"/>
      <c r="Q162" s="3387">
        <f t="shared" si="44"/>
        <v>0</v>
      </c>
      <c r="R162" s="2973">
        <f t="shared" si="45"/>
        <v>0</v>
      </c>
      <c r="S162" s="2850">
        <f t="shared" si="36"/>
        <v>0</v>
      </c>
    </row>
    <row r="163" spans="1:19">
      <c r="A163" s="3389"/>
      <c r="B163" s="3386"/>
      <c r="C163" s="3387">
        <f t="shared" si="37"/>
        <v>1</v>
      </c>
      <c r="D163" s="3388"/>
      <c r="E163" s="3387">
        <f t="shared" si="38"/>
        <v>0</v>
      </c>
      <c r="F163" s="3388"/>
      <c r="G163" s="3387">
        <f t="shared" si="39"/>
        <v>1</v>
      </c>
      <c r="H163" s="3388"/>
      <c r="I163" s="3387">
        <f t="shared" si="40"/>
        <v>1</v>
      </c>
      <c r="J163" s="3388"/>
      <c r="K163" s="3387">
        <f t="shared" si="41"/>
        <v>1</v>
      </c>
      <c r="L163" s="3388"/>
      <c r="M163" s="3387">
        <f t="shared" si="42"/>
        <v>1</v>
      </c>
      <c r="N163" s="3388"/>
      <c r="O163" s="3387">
        <f t="shared" si="43"/>
        <v>1</v>
      </c>
      <c r="P163" s="3388"/>
      <c r="Q163" s="3387">
        <f t="shared" si="44"/>
        <v>0</v>
      </c>
      <c r="R163" s="2973">
        <f t="shared" si="45"/>
        <v>0</v>
      </c>
      <c r="S163" s="2850">
        <f t="shared" si="36"/>
        <v>0</v>
      </c>
    </row>
    <row r="164" spans="1:19">
      <c r="A164" s="3389"/>
      <c r="B164" s="3386"/>
      <c r="C164" s="3387">
        <f t="shared" si="37"/>
        <v>1</v>
      </c>
      <c r="D164" s="3388"/>
      <c r="E164" s="3387">
        <f t="shared" si="38"/>
        <v>0</v>
      </c>
      <c r="F164" s="3388"/>
      <c r="G164" s="3387">
        <f t="shared" si="39"/>
        <v>1</v>
      </c>
      <c r="H164" s="3388"/>
      <c r="I164" s="3387">
        <f t="shared" si="40"/>
        <v>1</v>
      </c>
      <c r="J164" s="3388"/>
      <c r="K164" s="3387">
        <f t="shared" si="41"/>
        <v>1</v>
      </c>
      <c r="L164" s="3388"/>
      <c r="M164" s="3387">
        <f t="shared" si="42"/>
        <v>1</v>
      </c>
      <c r="N164" s="3388"/>
      <c r="O164" s="3387">
        <f t="shared" si="43"/>
        <v>1</v>
      </c>
      <c r="P164" s="3388"/>
      <c r="Q164" s="3387">
        <f t="shared" si="44"/>
        <v>0</v>
      </c>
      <c r="R164" s="2973">
        <f t="shared" si="45"/>
        <v>0</v>
      </c>
      <c r="S164" s="2850">
        <f t="shared" si="36"/>
        <v>0</v>
      </c>
    </row>
    <row r="165" spans="1:19">
      <c r="A165" s="3389"/>
      <c r="B165" s="3386"/>
      <c r="C165" s="3387">
        <f t="shared" si="37"/>
        <v>1</v>
      </c>
      <c r="D165" s="3388"/>
      <c r="E165" s="3387">
        <f t="shared" si="38"/>
        <v>0</v>
      </c>
      <c r="F165" s="3388"/>
      <c r="G165" s="3387">
        <f t="shared" si="39"/>
        <v>1</v>
      </c>
      <c r="H165" s="3388"/>
      <c r="I165" s="3387">
        <f t="shared" si="40"/>
        <v>1</v>
      </c>
      <c r="J165" s="3388"/>
      <c r="K165" s="3387">
        <f t="shared" si="41"/>
        <v>1</v>
      </c>
      <c r="L165" s="3388"/>
      <c r="M165" s="3387">
        <f t="shared" si="42"/>
        <v>1</v>
      </c>
      <c r="N165" s="3388"/>
      <c r="O165" s="3387">
        <f t="shared" si="43"/>
        <v>1</v>
      </c>
      <c r="P165" s="3388"/>
      <c r="Q165" s="3387">
        <f t="shared" si="44"/>
        <v>0</v>
      </c>
      <c r="R165" s="2973">
        <f t="shared" si="45"/>
        <v>0</v>
      </c>
      <c r="S165" s="2850">
        <f t="shared" si="36"/>
        <v>0</v>
      </c>
    </row>
    <row r="166" spans="1:19">
      <c r="A166" s="3389"/>
      <c r="B166" s="3386"/>
      <c r="C166" s="3387">
        <f t="shared" si="37"/>
        <v>1</v>
      </c>
      <c r="D166" s="3388"/>
      <c r="E166" s="3387">
        <f t="shared" si="38"/>
        <v>0</v>
      </c>
      <c r="F166" s="3388"/>
      <c r="G166" s="3387">
        <f t="shared" si="39"/>
        <v>1</v>
      </c>
      <c r="H166" s="3388"/>
      <c r="I166" s="3387">
        <f t="shared" si="40"/>
        <v>1</v>
      </c>
      <c r="J166" s="3388"/>
      <c r="K166" s="3387">
        <f t="shared" si="41"/>
        <v>1</v>
      </c>
      <c r="L166" s="3388"/>
      <c r="M166" s="3387">
        <f t="shared" si="42"/>
        <v>1</v>
      </c>
      <c r="N166" s="3388"/>
      <c r="O166" s="3387">
        <f t="shared" si="43"/>
        <v>1</v>
      </c>
      <c r="P166" s="3388"/>
      <c r="Q166" s="3387">
        <f t="shared" si="44"/>
        <v>0</v>
      </c>
      <c r="R166" s="2973">
        <f t="shared" si="45"/>
        <v>0</v>
      </c>
      <c r="S166" s="2850">
        <f t="shared" si="36"/>
        <v>0</v>
      </c>
    </row>
    <row r="167" spans="1:19">
      <c r="A167" s="3389"/>
      <c r="B167" s="3386"/>
      <c r="C167" s="3387">
        <f t="shared" si="37"/>
        <v>1</v>
      </c>
      <c r="D167" s="3388"/>
      <c r="E167" s="3387">
        <f t="shared" si="38"/>
        <v>0</v>
      </c>
      <c r="F167" s="3388"/>
      <c r="G167" s="3387">
        <f t="shared" si="39"/>
        <v>1</v>
      </c>
      <c r="H167" s="3388"/>
      <c r="I167" s="3387">
        <f t="shared" si="40"/>
        <v>1</v>
      </c>
      <c r="J167" s="3388"/>
      <c r="K167" s="3387">
        <f t="shared" si="41"/>
        <v>1</v>
      </c>
      <c r="L167" s="3388"/>
      <c r="M167" s="3387">
        <f t="shared" si="42"/>
        <v>1</v>
      </c>
      <c r="N167" s="3388"/>
      <c r="O167" s="3387">
        <f t="shared" si="43"/>
        <v>1</v>
      </c>
      <c r="P167" s="3388"/>
      <c r="Q167" s="3387">
        <f t="shared" si="44"/>
        <v>0</v>
      </c>
      <c r="R167" s="2973">
        <f t="shared" si="45"/>
        <v>0</v>
      </c>
      <c r="S167" s="2850">
        <f t="shared" si="36"/>
        <v>0</v>
      </c>
    </row>
    <row r="168" spans="1:19">
      <c r="A168" s="3389"/>
      <c r="B168" s="3386"/>
      <c r="C168" s="3387">
        <f t="shared" si="37"/>
        <v>1</v>
      </c>
      <c r="D168" s="3388"/>
      <c r="E168" s="3387">
        <f t="shared" si="38"/>
        <v>0</v>
      </c>
      <c r="F168" s="3388"/>
      <c r="G168" s="3387">
        <f t="shared" si="39"/>
        <v>1</v>
      </c>
      <c r="H168" s="3388"/>
      <c r="I168" s="3387">
        <f t="shared" si="40"/>
        <v>1</v>
      </c>
      <c r="J168" s="3388"/>
      <c r="K168" s="3387">
        <f t="shared" si="41"/>
        <v>1</v>
      </c>
      <c r="L168" s="3388"/>
      <c r="M168" s="3387">
        <f t="shared" si="42"/>
        <v>1</v>
      </c>
      <c r="N168" s="3388"/>
      <c r="O168" s="3387">
        <f t="shared" si="43"/>
        <v>1</v>
      </c>
      <c r="P168" s="3388"/>
      <c r="Q168" s="3387">
        <f t="shared" si="44"/>
        <v>0</v>
      </c>
      <c r="R168" s="2973">
        <f t="shared" si="45"/>
        <v>0</v>
      </c>
      <c r="S168" s="2850">
        <f t="shared" si="36"/>
        <v>0</v>
      </c>
    </row>
    <row r="169" spans="1:19">
      <c r="A169" s="3389"/>
      <c r="B169" s="3386"/>
      <c r="C169" s="3387">
        <f t="shared" si="37"/>
        <v>1</v>
      </c>
      <c r="D169" s="3388"/>
      <c r="E169" s="3387">
        <f t="shared" si="38"/>
        <v>0</v>
      </c>
      <c r="F169" s="3388"/>
      <c r="G169" s="3387">
        <f t="shared" si="39"/>
        <v>1</v>
      </c>
      <c r="H169" s="3388"/>
      <c r="I169" s="3387">
        <f t="shared" si="40"/>
        <v>1</v>
      </c>
      <c r="J169" s="3388"/>
      <c r="K169" s="3387">
        <f t="shared" si="41"/>
        <v>1</v>
      </c>
      <c r="L169" s="3388"/>
      <c r="M169" s="3387">
        <f t="shared" si="42"/>
        <v>1</v>
      </c>
      <c r="N169" s="3388"/>
      <c r="O169" s="3387">
        <f t="shared" si="43"/>
        <v>1</v>
      </c>
      <c r="P169" s="3388"/>
      <c r="Q169" s="3387">
        <f t="shared" si="44"/>
        <v>0</v>
      </c>
      <c r="R169" s="2973">
        <f t="shared" si="45"/>
        <v>0</v>
      </c>
      <c r="S169" s="2850">
        <f t="shared" si="36"/>
        <v>0</v>
      </c>
    </row>
    <row r="170" spans="1:19">
      <c r="A170" s="3389"/>
      <c r="B170" s="3386"/>
      <c r="C170" s="3387">
        <f t="shared" si="37"/>
        <v>1</v>
      </c>
      <c r="D170" s="3388"/>
      <c r="E170" s="3387">
        <f t="shared" si="38"/>
        <v>0</v>
      </c>
      <c r="F170" s="3388"/>
      <c r="G170" s="3387">
        <f t="shared" si="39"/>
        <v>1</v>
      </c>
      <c r="H170" s="3388"/>
      <c r="I170" s="3387">
        <f t="shared" si="40"/>
        <v>1</v>
      </c>
      <c r="J170" s="3388"/>
      <c r="K170" s="3387">
        <f t="shared" si="41"/>
        <v>1</v>
      </c>
      <c r="L170" s="3388"/>
      <c r="M170" s="3387">
        <f t="shared" si="42"/>
        <v>1</v>
      </c>
      <c r="N170" s="3388"/>
      <c r="O170" s="3387">
        <f t="shared" si="43"/>
        <v>1</v>
      </c>
      <c r="P170" s="3388"/>
      <c r="Q170" s="3387">
        <f t="shared" si="44"/>
        <v>0</v>
      </c>
      <c r="R170" s="2973">
        <f t="shared" si="45"/>
        <v>0</v>
      </c>
      <c r="S170" s="2850">
        <f t="shared" si="36"/>
        <v>0</v>
      </c>
    </row>
    <row r="171" spans="1:19">
      <c r="A171" s="3389"/>
      <c r="B171" s="3386"/>
      <c r="C171" s="3387">
        <f t="shared" si="37"/>
        <v>1</v>
      </c>
      <c r="D171" s="3388"/>
      <c r="E171" s="3387">
        <f t="shared" si="38"/>
        <v>0</v>
      </c>
      <c r="F171" s="3388"/>
      <c r="G171" s="3387">
        <f t="shared" si="39"/>
        <v>1</v>
      </c>
      <c r="H171" s="3388"/>
      <c r="I171" s="3387">
        <f t="shared" si="40"/>
        <v>1</v>
      </c>
      <c r="J171" s="3388"/>
      <c r="K171" s="3387">
        <f t="shared" si="41"/>
        <v>1</v>
      </c>
      <c r="L171" s="3388"/>
      <c r="M171" s="3387">
        <f t="shared" si="42"/>
        <v>1</v>
      </c>
      <c r="N171" s="3388"/>
      <c r="O171" s="3387">
        <f t="shared" si="43"/>
        <v>1</v>
      </c>
      <c r="P171" s="3388"/>
      <c r="Q171" s="3387">
        <f t="shared" si="44"/>
        <v>0</v>
      </c>
      <c r="R171" s="2973">
        <f t="shared" si="45"/>
        <v>0</v>
      </c>
      <c r="S171" s="2850">
        <f t="shared" si="36"/>
        <v>0</v>
      </c>
    </row>
    <row r="172" spans="1:19">
      <c r="A172" s="3389"/>
      <c r="B172" s="3386"/>
      <c r="C172" s="3387">
        <f t="shared" si="37"/>
        <v>1</v>
      </c>
      <c r="D172" s="3388"/>
      <c r="E172" s="3387">
        <f t="shared" si="38"/>
        <v>0</v>
      </c>
      <c r="F172" s="3388"/>
      <c r="G172" s="3387">
        <f t="shared" si="39"/>
        <v>1</v>
      </c>
      <c r="H172" s="3388"/>
      <c r="I172" s="3387">
        <f t="shared" si="40"/>
        <v>1</v>
      </c>
      <c r="J172" s="3388"/>
      <c r="K172" s="3387">
        <f t="shared" si="41"/>
        <v>1</v>
      </c>
      <c r="L172" s="3388"/>
      <c r="M172" s="3387">
        <f t="shared" si="42"/>
        <v>1</v>
      </c>
      <c r="N172" s="3388"/>
      <c r="O172" s="3387">
        <f t="shared" si="43"/>
        <v>1</v>
      </c>
      <c r="P172" s="3388"/>
      <c r="Q172" s="3387">
        <f t="shared" si="44"/>
        <v>0</v>
      </c>
      <c r="R172" s="2973">
        <f t="shared" si="45"/>
        <v>0</v>
      </c>
      <c r="S172" s="2850">
        <f t="shared" si="36"/>
        <v>0</v>
      </c>
    </row>
    <row r="173" spans="1:19">
      <c r="A173" s="3389"/>
      <c r="B173" s="3386"/>
      <c r="C173" s="3387">
        <f t="shared" si="37"/>
        <v>1</v>
      </c>
      <c r="D173" s="3388"/>
      <c r="E173" s="3387">
        <f t="shared" si="38"/>
        <v>0</v>
      </c>
      <c r="F173" s="3388"/>
      <c r="G173" s="3387">
        <f t="shared" si="39"/>
        <v>1</v>
      </c>
      <c r="H173" s="3388"/>
      <c r="I173" s="3387">
        <f t="shared" si="40"/>
        <v>1</v>
      </c>
      <c r="J173" s="3388"/>
      <c r="K173" s="3387">
        <f t="shared" si="41"/>
        <v>1</v>
      </c>
      <c r="L173" s="3388"/>
      <c r="M173" s="3387">
        <f t="shared" si="42"/>
        <v>1</v>
      </c>
      <c r="N173" s="3388"/>
      <c r="O173" s="3387">
        <f t="shared" si="43"/>
        <v>1</v>
      </c>
      <c r="P173" s="3388"/>
      <c r="Q173" s="3387">
        <f t="shared" si="44"/>
        <v>0</v>
      </c>
      <c r="R173" s="2973">
        <f t="shared" si="45"/>
        <v>0</v>
      </c>
      <c r="S173" s="2850">
        <f t="shared" si="36"/>
        <v>0</v>
      </c>
    </row>
    <row r="174" spans="1:19">
      <c r="A174" s="3389"/>
      <c r="B174" s="3386"/>
      <c r="C174" s="3387">
        <f t="shared" si="37"/>
        <v>1</v>
      </c>
      <c r="D174" s="3388"/>
      <c r="E174" s="3387">
        <f t="shared" si="38"/>
        <v>0</v>
      </c>
      <c r="F174" s="3388"/>
      <c r="G174" s="3387">
        <f t="shared" si="39"/>
        <v>1</v>
      </c>
      <c r="H174" s="3388"/>
      <c r="I174" s="3387">
        <f t="shared" si="40"/>
        <v>1</v>
      </c>
      <c r="J174" s="3388"/>
      <c r="K174" s="3387">
        <f t="shared" si="41"/>
        <v>1</v>
      </c>
      <c r="L174" s="3388"/>
      <c r="M174" s="3387">
        <f t="shared" si="42"/>
        <v>1</v>
      </c>
      <c r="N174" s="3388"/>
      <c r="O174" s="3387">
        <f t="shared" si="43"/>
        <v>1</v>
      </c>
      <c r="P174" s="3388"/>
      <c r="Q174" s="3387">
        <f t="shared" si="44"/>
        <v>0</v>
      </c>
      <c r="R174" s="2973">
        <f t="shared" si="45"/>
        <v>0</v>
      </c>
      <c r="S174" s="2850">
        <f t="shared" si="36"/>
        <v>0</v>
      </c>
    </row>
    <row r="175" spans="1:19">
      <c r="A175" s="3389"/>
      <c r="B175" s="3386"/>
      <c r="C175" s="3387">
        <f t="shared" si="37"/>
        <v>1</v>
      </c>
      <c r="D175" s="3388"/>
      <c r="E175" s="3387">
        <f t="shared" si="38"/>
        <v>0</v>
      </c>
      <c r="F175" s="3388"/>
      <c r="G175" s="3387">
        <f t="shared" si="39"/>
        <v>1</v>
      </c>
      <c r="H175" s="3388"/>
      <c r="I175" s="3387">
        <f t="shared" si="40"/>
        <v>1</v>
      </c>
      <c r="J175" s="3388"/>
      <c r="K175" s="3387">
        <f t="shared" si="41"/>
        <v>1</v>
      </c>
      <c r="L175" s="3388"/>
      <c r="M175" s="3387">
        <f t="shared" si="42"/>
        <v>1</v>
      </c>
      <c r="N175" s="3388"/>
      <c r="O175" s="3387">
        <f t="shared" si="43"/>
        <v>1</v>
      </c>
      <c r="P175" s="3388"/>
      <c r="Q175" s="3387">
        <f t="shared" si="44"/>
        <v>0</v>
      </c>
      <c r="R175" s="2973">
        <f t="shared" si="45"/>
        <v>0</v>
      </c>
      <c r="S175" s="2850">
        <f t="shared" si="36"/>
        <v>0</v>
      </c>
    </row>
    <row r="176" spans="1:19">
      <c r="A176" s="3389"/>
      <c r="B176" s="3386"/>
      <c r="C176" s="3387">
        <f t="shared" si="37"/>
        <v>1</v>
      </c>
      <c r="D176" s="3388"/>
      <c r="E176" s="3387">
        <f t="shared" si="38"/>
        <v>0</v>
      </c>
      <c r="F176" s="3388"/>
      <c r="G176" s="3387">
        <f t="shared" si="39"/>
        <v>1</v>
      </c>
      <c r="H176" s="3388"/>
      <c r="I176" s="3387">
        <f t="shared" si="40"/>
        <v>1</v>
      </c>
      <c r="J176" s="3388"/>
      <c r="K176" s="3387">
        <f t="shared" si="41"/>
        <v>1</v>
      </c>
      <c r="L176" s="3388"/>
      <c r="M176" s="3387">
        <f t="shared" si="42"/>
        <v>1</v>
      </c>
      <c r="N176" s="3388"/>
      <c r="O176" s="3387">
        <f t="shared" si="43"/>
        <v>1</v>
      </c>
      <c r="P176" s="3388"/>
      <c r="Q176" s="3387">
        <f t="shared" si="44"/>
        <v>0</v>
      </c>
      <c r="R176" s="2973">
        <f t="shared" si="45"/>
        <v>0</v>
      </c>
      <c r="S176" s="2850">
        <f t="shared" si="36"/>
        <v>0</v>
      </c>
    </row>
    <row r="177" spans="1:19">
      <c r="A177" s="3389"/>
      <c r="B177" s="3386"/>
      <c r="C177" s="3387">
        <f t="shared" si="37"/>
        <v>1</v>
      </c>
      <c r="D177" s="3388"/>
      <c r="E177" s="3387">
        <f t="shared" si="38"/>
        <v>0</v>
      </c>
      <c r="F177" s="3388"/>
      <c r="G177" s="3387">
        <f t="shared" si="39"/>
        <v>1</v>
      </c>
      <c r="H177" s="3388"/>
      <c r="I177" s="3387">
        <f t="shared" si="40"/>
        <v>1</v>
      </c>
      <c r="J177" s="3388"/>
      <c r="K177" s="3387">
        <f t="shared" si="41"/>
        <v>1</v>
      </c>
      <c r="L177" s="3388"/>
      <c r="M177" s="3387">
        <f t="shared" si="42"/>
        <v>1</v>
      </c>
      <c r="N177" s="3388"/>
      <c r="O177" s="3387">
        <f t="shared" si="43"/>
        <v>1</v>
      </c>
      <c r="P177" s="3388"/>
      <c r="Q177" s="3387">
        <f t="shared" si="44"/>
        <v>0</v>
      </c>
      <c r="R177" s="2973">
        <f t="shared" si="45"/>
        <v>0</v>
      </c>
      <c r="S177" s="2850">
        <f t="shared" si="36"/>
        <v>0</v>
      </c>
    </row>
    <row r="178" spans="1:19">
      <c r="A178" s="3389"/>
      <c r="B178" s="3386"/>
      <c r="C178" s="3387">
        <f t="shared" si="37"/>
        <v>1</v>
      </c>
      <c r="D178" s="3388"/>
      <c r="E178" s="3387">
        <f t="shared" si="38"/>
        <v>0</v>
      </c>
      <c r="F178" s="3388"/>
      <c r="G178" s="3387">
        <f t="shared" si="39"/>
        <v>1</v>
      </c>
      <c r="H178" s="3388"/>
      <c r="I178" s="3387">
        <f t="shared" si="40"/>
        <v>1</v>
      </c>
      <c r="J178" s="3388"/>
      <c r="K178" s="3387">
        <f t="shared" si="41"/>
        <v>1</v>
      </c>
      <c r="L178" s="3388"/>
      <c r="M178" s="3387">
        <f t="shared" si="42"/>
        <v>1</v>
      </c>
      <c r="N178" s="3388"/>
      <c r="O178" s="3387">
        <f t="shared" si="43"/>
        <v>1</v>
      </c>
      <c r="P178" s="3388"/>
      <c r="Q178" s="3387">
        <f t="shared" si="44"/>
        <v>0</v>
      </c>
      <c r="R178" s="2973">
        <f t="shared" si="45"/>
        <v>0</v>
      </c>
      <c r="S178" s="2850">
        <f t="shared" si="36"/>
        <v>0</v>
      </c>
    </row>
    <row r="179" spans="1:19">
      <c r="A179" s="3389"/>
      <c r="B179" s="3386"/>
      <c r="C179" s="3387">
        <f t="shared" si="37"/>
        <v>1</v>
      </c>
      <c r="D179" s="3388"/>
      <c r="E179" s="3387">
        <f t="shared" si="38"/>
        <v>0</v>
      </c>
      <c r="F179" s="3388"/>
      <c r="G179" s="3387">
        <f t="shared" si="39"/>
        <v>1</v>
      </c>
      <c r="H179" s="3388"/>
      <c r="I179" s="3387">
        <f t="shared" si="40"/>
        <v>1</v>
      </c>
      <c r="J179" s="3388"/>
      <c r="K179" s="3387">
        <f t="shared" si="41"/>
        <v>1</v>
      </c>
      <c r="L179" s="3388"/>
      <c r="M179" s="3387">
        <f t="shared" si="42"/>
        <v>1</v>
      </c>
      <c r="N179" s="3388"/>
      <c r="O179" s="3387">
        <f t="shared" si="43"/>
        <v>1</v>
      </c>
      <c r="P179" s="3388"/>
      <c r="Q179" s="3387">
        <f t="shared" si="44"/>
        <v>0</v>
      </c>
      <c r="R179" s="2973">
        <f t="shared" si="45"/>
        <v>0</v>
      </c>
      <c r="S179" s="2850">
        <f t="shared" si="36"/>
        <v>0</v>
      </c>
    </row>
    <row r="180" spans="1:19">
      <c r="A180" s="3389"/>
      <c r="B180" s="3386"/>
      <c r="C180" s="3387">
        <f t="shared" si="37"/>
        <v>1</v>
      </c>
      <c r="D180" s="3388"/>
      <c r="E180" s="3387">
        <f t="shared" si="38"/>
        <v>0</v>
      </c>
      <c r="F180" s="3388"/>
      <c r="G180" s="3387">
        <f t="shared" si="39"/>
        <v>1</v>
      </c>
      <c r="H180" s="3388"/>
      <c r="I180" s="3387">
        <f t="shared" si="40"/>
        <v>1</v>
      </c>
      <c r="J180" s="3388"/>
      <c r="K180" s="3387">
        <f t="shared" si="41"/>
        <v>1</v>
      </c>
      <c r="L180" s="3388"/>
      <c r="M180" s="3387">
        <f t="shared" si="42"/>
        <v>1</v>
      </c>
      <c r="N180" s="3388"/>
      <c r="O180" s="3387">
        <f t="shared" si="43"/>
        <v>1</v>
      </c>
      <c r="P180" s="3388"/>
      <c r="Q180" s="3387">
        <f t="shared" si="44"/>
        <v>0</v>
      </c>
      <c r="R180" s="2973">
        <f t="shared" si="45"/>
        <v>0</v>
      </c>
      <c r="S180" s="2850">
        <f t="shared" si="36"/>
        <v>0</v>
      </c>
    </row>
    <row r="181" spans="1:19">
      <c r="A181" s="3389"/>
      <c r="B181" s="3386"/>
      <c r="C181" s="3387">
        <f t="shared" si="37"/>
        <v>1</v>
      </c>
      <c r="D181" s="3388"/>
      <c r="E181" s="3387">
        <f t="shared" si="38"/>
        <v>0</v>
      </c>
      <c r="F181" s="3388"/>
      <c r="G181" s="3387">
        <f t="shared" si="39"/>
        <v>1</v>
      </c>
      <c r="H181" s="3388"/>
      <c r="I181" s="3387">
        <f t="shared" si="40"/>
        <v>1</v>
      </c>
      <c r="J181" s="3388"/>
      <c r="K181" s="3387">
        <f t="shared" si="41"/>
        <v>1</v>
      </c>
      <c r="L181" s="3388"/>
      <c r="M181" s="3387">
        <f t="shared" si="42"/>
        <v>1</v>
      </c>
      <c r="N181" s="3388"/>
      <c r="O181" s="3387">
        <f t="shared" si="43"/>
        <v>1</v>
      </c>
      <c r="P181" s="3388"/>
      <c r="Q181" s="3387">
        <f t="shared" si="44"/>
        <v>0</v>
      </c>
      <c r="R181" s="2973">
        <f t="shared" si="45"/>
        <v>0</v>
      </c>
      <c r="S181" s="2850">
        <f t="shared" si="36"/>
        <v>0</v>
      </c>
    </row>
    <row r="182" spans="1:19">
      <c r="A182" s="3389"/>
      <c r="B182" s="3386"/>
      <c r="C182" s="3387">
        <f t="shared" si="37"/>
        <v>1</v>
      </c>
      <c r="D182" s="3388"/>
      <c r="E182" s="3387">
        <f t="shared" si="38"/>
        <v>0</v>
      </c>
      <c r="F182" s="3388"/>
      <c r="G182" s="3387">
        <f t="shared" si="39"/>
        <v>1</v>
      </c>
      <c r="H182" s="3388"/>
      <c r="I182" s="3387">
        <f t="shared" si="40"/>
        <v>1</v>
      </c>
      <c r="J182" s="3388"/>
      <c r="K182" s="3387">
        <f t="shared" si="41"/>
        <v>1</v>
      </c>
      <c r="L182" s="3388"/>
      <c r="M182" s="3387">
        <f t="shared" si="42"/>
        <v>1</v>
      </c>
      <c r="N182" s="3388"/>
      <c r="O182" s="3387">
        <f t="shared" si="43"/>
        <v>1</v>
      </c>
      <c r="P182" s="3388"/>
      <c r="Q182" s="3387">
        <f t="shared" si="44"/>
        <v>0</v>
      </c>
      <c r="R182" s="2973">
        <f t="shared" si="45"/>
        <v>0</v>
      </c>
      <c r="S182" s="2850">
        <f t="shared" si="36"/>
        <v>0</v>
      </c>
    </row>
    <row r="183" spans="1:19">
      <c r="A183" s="3389"/>
      <c r="B183" s="3386"/>
      <c r="C183" s="3387">
        <f t="shared" si="37"/>
        <v>1</v>
      </c>
      <c r="D183" s="3388"/>
      <c r="E183" s="3387">
        <f t="shared" si="38"/>
        <v>0</v>
      </c>
      <c r="F183" s="3388"/>
      <c r="G183" s="3387">
        <f t="shared" si="39"/>
        <v>1</v>
      </c>
      <c r="H183" s="3388"/>
      <c r="I183" s="3387">
        <f t="shared" si="40"/>
        <v>1</v>
      </c>
      <c r="J183" s="3388"/>
      <c r="K183" s="3387">
        <f t="shared" si="41"/>
        <v>1</v>
      </c>
      <c r="L183" s="3388"/>
      <c r="M183" s="3387">
        <f t="shared" si="42"/>
        <v>1</v>
      </c>
      <c r="N183" s="3388"/>
      <c r="O183" s="3387">
        <f t="shared" si="43"/>
        <v>1</v>
      </c>
      <c r="P183" s="3388"/>
      <c r="Q183" s="3387">
        <f t="shared" si="44"/>
        <v>0</v>
      </c>
      <c r="R183" s="2973">
        <f t="shared" si="45"/>
        <v>0</v>
      </c>
      <c r="S183" s="2850">
        <f t="shared" si="36"/>
        <v>0</v>
      </c>
    </row>
    <row r="184" spans="1:19">
      <c r="A184" s="3389"/>
      <c r="B184" s="3386"/>
      <c r="C184" s="3387">
        <f t="shared" si="37"/>
        <v>1</v>
      </c>
      <c r="D184" s="3388"/>
      <c r="E184" s="3387">
        <f t="shared" si="38"/>
        <v>0</v>
      </c>
      <c r="F184" s="3388"/>
      <c r="G184" s="3387">
        <f t="shared" si="39"/>
        <v>1</v>
      </c>
      <c r="H184" s="3388"/>
      <c r="I184" s="3387">
        <f t="shared" si="40"/>
        <v>1</v>
      </c>
      <c r="J184" s="3388"/>
      <c r="K184" s="3387">
        <f t="shared" si="41"/>
        <v>1</v>
      </c>
      <c r="L184" s="3388"/>
      <c r="M184" s="3387">
        <f t="shared" si="42"/>
        <v>1</v>
      </c>
      <c r="N184" s="3388"/>
      <c r="O184" s="3387">
        <f t="shared" si="43"/>
        <v>1</v>
      </c>
      <c r="P184" s="3388"/>
      <c r="Q184" s="3387">
        <f t="shared" si="44"/>
        <v>0</v>
      </c>
      <c r="R184" s="2973">
        <f t="shared" si="45"/>
        <v>0</v>
      </c>
      <c r="S184" s="2850">
        <f t="shared" si="36"/>
        <v>0</v>
      </c>
    </row>
    <row r="185" spans="1:19">
      <c r="A185" s="3389"/>
      <c r="B185" s="3386"/>
      <c r="C185" s="3387">
        <f t="shared" si="37"/>
        <v>1</v>
      </c>
      <c r="D185" s="3388"/>
      <c r="E185" s="3387">
        <f t="shared" si="38"/>
        <v>0</v>
      </c>
      <c r="F185" s="3388"/>
      <c r="G185" s="3387">
        <f t="shared" si="39"/>
        <v>1</v>
      </c>
      <c r="H185" s="3388"/>
      <c r="I185" s="3387">
        <f t="shared" si="40"/>
        <v>1</v>
      </c>
      <c r="J185" s="3388"/>
      <c r="K185" s="3387">
        <f t="shared" si="41"/>
        <v>1</v>
      </c>
      <c r="L185" s="3388"/>
      <c r="M185" s="3387">
        <f t="shared" si="42"/>
        <v>1</v>
      </c>
      <c r="N185" s="3388"/>
      <c r="O185" s="3387">
        <f t="shared" si="43"/>
        <v>1</v>
      </c>
      <c r="P185" s="3388"/>
      <c r="Q185" s="3387">
        <f t="shared" si="44"/>
        <v>0</v>
      </c>
      <c r="R185" s="2973">
        <f t="shared" si="45"/>
        <v>0</v>
      </c>
      <c r="S185" s="2850">
        <f t="shared" si="36"/>
        <v>0</v>
      </c>
    </row>
    <row r="186" spans="1:19">
      <c r="A186" s="3389"/>
      <c r="B186" s="3386"/>
      <c r="C186" s="3387">
        <f t="shared" si="37"/>
        <v>1</v>
      </c>
      <c r="D186" s="3388"/>
      <c r="E186" s="3387">
        <f t="shared" si="38"/>
        <v>0</v>
      </c>
      <c r="F186" s="3388"/>
      <c r="G186" s="3387">
        <f t="shared" si="39"/>
        <v>1</v>
      </c>
      <c r="H186" s="3388"/>
      <c r="I186" s="3387">
        <f t="shared" si="40"/>
        <v>1</v>
      </c>
      <c r="J186" s="3388"/>
      <c r="K186" s="3387">
        <f t="shared" si="41"/>
        <v>1</v>
      </c>
      <c r="L186" s="3388"/>
      <c r="M186" s="3387">
        <f t="shared" si="42"/>
        <v>1</v>
      </c>
      <c r="N186" s="3388"/>
      <c r="O186" s="3387">
        <f t="shared" si="43"/>
        <v>1</v>
      </c>
      <c r="P186" s="3388"/>
      <c r="Q186" s="3387">
        <f t="shared" si="44"/>
        <v>0</v>
      </c>
      <c r="R186" s="2973">
        <f t="shared" si="45"/>
        <v>0</v>
      </c>
      <c r="S186" s="2850">
        <f t="shared" si="36"/>
        <v>0</v>
      </c>
    </row>
    <row r="187" spans="1:19">
      <c r="A187" s="3389"/>
      <c r="B187" s="3386"/>
      <c r="C187" s="3387">
        <f t="shared" si="37"/>
        <v>1</v>
      </c>
      <c r="D187" s="3388"/>
      <c r="E187" s="3387">
        <f t="shared" si="38"/>
        <v>0</v>
      </c>
      <c r="F187" s="3388"/>
      <c r="G187" s="3387">
        <f t="shared" si="39"/>
        <v>1</v>
      </c>
      <c r="H187" s="3388"/>
      <c r="I187" s="3387">
        <f t="shared" si="40"/>
        <v>1</v>
      </c>
      <c r="J187" s="3388"/>
      <c r="K187" s="3387">
        <f t="shared" si="41"/>
        <v>1</v>
      </c>
      <c r="L187" s="3388"/>
      <c r="M187" s="3387">
        <f t="shared" si="42"/>
        <v>1</v>
      </c>
      <c r="N187" s="3388"/>
      <c r="O187" s="3387">
        <f t="shared" si="43"/>
        <v>1</v>
      </c>
      <c r="P187" s="3388"/>
      <c r="Q187" s="3387">
        <f t="shared" si="44"/>
        <v>0</v>
      </c>
      <c r="R187" s="2973">
        <f t="shared" si="45"/>
        <v>0</v>
      </c>
      <c r="S187" s="2850">
        <f t="shared" ref="S187:S222" si="46">ROUND(R187*B187/10000,0)</f>
        <v>0</v>
      </c>
    </row>
    <row r="188" spans="1:19">
      <c r="A188" s="3389"/>
      <c r="B188" s="3386"/>
      <c r="C188" s="3387">
        <f t="shared" si="37"/>
        <v>1</v>
      </c>
      <c r="D188" s="3388"/>
      <c r="E188" s="3387">
        <f t="shared" si="38"/>
        <v>0</v>
      </c>
      <c r="F188" s="3388"/>
      <c r="G188" s="3387">
        <f t="shared" si="39"/>
        <v>1</v>
      </c>
      <c r="H188" s="3388"/>
      <c r="I188" s="3387">
        <f t="shared" si="40"/>
        <v>1</v>
      </c>
      <c r="J188" s="3388"/>
      <c r="K188" s="3387">
        <f t="shared" si="41"/>
        <v>1</v>
      </c>
      <c r="L188" s="3388"/>
      <c r="M188" s="3387">
        <f t="shared" si="42"/>
        <v>1</v>
      </c>
      <c r="N188" s="3388"/>
      <c r="O188" s="3387">
        <f t="shared" si="43"/>
        <v>1</v>
      </c>
      <c r="P188" s="3388"/>
      <c r="Q188" s="3387">
        <f t="shared" si="44"/>
        <v>0</v>
      </c>
      <c r="R188" s="2973">
        <f t="shared" si="45"/>
        <v>0</v>
      </c>
      <c r="S188" s="2850">
        <f t="shared" si="46"/>
        <v>0</v>
      </c>
    </row>
    <row r="189" spans="1:19">
      <c r="A189" s="3389"/>
      <c r="B189" s="3386"/>
      <c r="C189" s="3387">
        <f t="shared" si="37"/>
        <v>1</v>
      </c>
      <c r="D189" s="3388"/>
      <c r="E189" s="3387">
        <f t="shared" si="38"/>
        <v>0</v>
      </c>
      <c r="F189" s="3388"/>
      <c r="G189" s="3387">
        <f t="shared" si="39"/>
        <v>1</v>
      </c>
      <c r="H189" s="3388"/>
      <c r="I189" s="3387">
        <f t="shared" si="40"/>
        <v>1</v>
      </c>
      <c r="J189" s="3388"/>
      <c r="K189" s="3387">
        <f t="shared" si="41"/>
        <v>1</v>
      </c>
      <c r="L189" s="3388"/>
      <c r="M189" s="3387">
        <f t="shared" si="42"/>
        <v>1</v>
      </c>
      <c r="N189" s="3388"/>
      <c r="O189" s="3387">
        <f t="shared" si="43"/>
        <v>1</v>
      </c>
      <c r="P189" s="3388"/>
      <c r="Q189" s="3387">
        <f t="shared" si="44"/>
        <v>0</v>
      </c>
      <c r="R189" s="2973">
        <f t="shared" si="45"/>
        <v>0</v>
      </c>
      <c r="S189" s="2850">
        <f t="shared" si="46"/>
        <v>0</v>
      </c>
    </row>
    <row r="190" spans="1:19">
      <c r="A190" s="3389"/>
      <c r="B190" s="3386"/>
      <c r="C190" s="3387">
        <f t="shared" si="37"/>
        <v>1</v>
      </c>
      <c r="D190" s="3388"/>
      <c r="E190" s="3387">
        <f t="shared" si="38"/>
        <v>0</v>
      </c>
      <c r="F190" s="3388"/>
      <c r="G190" s="3387">
        <f t="shared" si="39"/>
        <v>1</v>
      </c>
      <c r="H190" s="3388"/>
      <c r="I190" s="3387">
        <f t="shared" si="40"/>
        <v>1</v>
      </c>
      <c r="J190" s="3388"/>
      <c r="K190" s="3387">
        <f t="shared" si="41"/>
        <v>1</v>
      </c>
      <c r="L190" s="3388"/>
      <c r="M190" s="3387">
        <f t="shared" si="42"/>
        <v>1</v>
      </c>
      <c r="N190" s="3388"/>
      <c r="O190" s="3387">
        <f t="shared" si="43"/>
        <v>1</v>
      </c>
      <c r="P190" s="3388"/>
      <c r="Q190" s="3387">
        <f t="shared" si="44"/>
        <v>0</v>
      </c>
      <c r="R190" s="2973">
        <f t="shared" si="45"/>
        <v>0</v>
      </c>
      <c r="S190" s="2850">
        <f t="shared" si="46"/>
        <v>0</v>
      </c>
    </row>
    <row r="191" spans="1:19">
      <c r="A191" s="3389"/>
      <c r="B191" s="3386"/>
      <c r="C191" s="3387">
        <f t="shared" si="37"/>
        <v>1</v>
      </c>
      <c r="D191" s="3388"/>
      <c r="E191" s="3387">
        <f t="shared" si="38"/>
        <v>0</v>
      </c>
      <c r="F191" s="3388"/>
      <c r="G191" s="3387">
        <f t="shared" si="39"/>
        <v>1</v>
      </c>
      <c r="H191" s="3388"/>
      <c r="I191" s="3387">
        <f t="shared" si="40"/>
        <v>1</v>
      </c>
      <c r="J191" s="3388"/>
      <c r="K191" s="3387">
        <f t="shared" si="41"/>
        <v>1</v>
      </c>
      <c r="L191" s="3388"/>
      <c r="M191" s="3387">
        <f t="shared" si="42"/>
        <v>1</v>
      </c>
      <c r="N191" s="3388"/>
      <c r="O191" s="3387">
        <f t="shared" si="43"/>
        <v>1</v>
      </c>
      <c r="P191" s="3388"/>
      <c r="Q191" s="3387">
        <f t="shared" si="44"/>
        <v>0</v>
      </c>
      <c r="R191" s="2973">
        <f t="shared" si="45"/>
        <v>0</v>
      </c>
      <c r="S191" s="2850">
        <f t="shared" si="46"/>
        <v>0</v>
      </c>
    </row>
    <row r="192" spans="1:19">
      <c r="A192" s="3389"/>
      <c r="B192" s="3386"/>
      <c r="C192" s="3387">
        <f t="shared" si="37"/>
        <v>1</v>
      </c>
      <c r="D192" s="3388"/>
      <c r="E192" s="3387">
        <f t="shared" si="38"/>
        <v>0</v>
      </c>
      <c r="F192" s="3388"/>
      <c r="G192" s="3387">
        <f t="shared" si="39"/>
        <v>1</v>
      </c>
      <c r="H192" s="3388"/>
      <c r="I192" s="3387">
        <f t="shared" si="40"/>
        <v>1</v>
      </c>
      <c r="J192" s="3388"/>
      <c r="K192" s="3387">
        <f t="shared" si="41"/>
        <v>1</v>
      </c>
      <c r="L192" s="3388"/>
      <c r="M192" s="3387">
        <f t="shared" si="42"/>
        <v>1</v>
      </c>
      <c r="N192" s="3388"/>
      <c r="O192" s="3387">
        <f t="shared" si="43"/>
        <v>1</v>
      </c>
      <c r="P192" s="3388"/>
      <c r="Q192" s="3387">
        <f t="shared" si="44"/>
        <v>0</v>
      </c>
      <c r="R192" s="2973">
        <f t="shared" si="45"/>
        <v>0</v>
      </c>
      <c r="S192" s="2850">
        <f t="shared" si="46"/>
        <v>0</v>
      </c>
    </row>
    <row r="193" spans="1:19">
      <c r="A193" s="3389"/>
      <c r="B193" s="3386"/>
      <c r="C193" s="3387">
        <f t="shared" si="37"/>
        <v>1</v>
      </c>
      <c r="D193" s="3388"/>
      <c r="E193" s="3387">
        <f t="shared" si="38"/>
        <v>0</v>
      </c>
      <c r="F193" s="3388"/>
      <c r="G193" s="3387">
        <f t="shared" si="39"/>
        <v>1</v>
      </c>
      <c r="H193" s="3388"/>
      <c r="I193" s="3387">
        <f t="shared" si="40"/>
        <v>1</v>
      </c>
      <c r="J193" s="3388"/>
      <c r="K193" s="3387">
        <f t="shared" si="41"/>
        <v>1</v>
      </c>
      <c r="L193" s="3388"/>
      <c r="M193" s="3387">
        <f t="shared" si="42"/>
        <v>1</v>
      </c>
      <c r="N193" s="3388"/>
      <c r="O193" s="3387">
        <f t="shared" si="43"/>
        <v>1</v>
      </c>
      <c r="P193" s="3388"/>
      <c r="Q193" s="3387">
        <f t="shared" si="44"/>
        <v>0</v>
      </c>
      <c r="R193" s="2973">
        <f t="shared" si="45"/>
        <v>0</v>
      </c>
      <c r="S193" s="2850">
        <f t="shared" si="46"/>
        <v>0</v>
      </c>
    </row>
    <row r="194" spans="1:19">
      <c r="A194" s="3389"/>
      <c r="B194" s="3386"/>
      <c r="C194" s="3387">
        <f t="shared" si="37"/>
        <v>1</v>
      </c>
      <c r="D194" s="3388"/>
      <c r="E194" s="3387">
        <f t="shared" si="38"/>
        <v>0</v>
      </c>
      <c r="F194" s="3388"/>
      <c r="G194" s="3387">
        <f t="shared" si="39"/>
        <v>1</v>
      </c>
      <c r="H194" s="3388"/>
      <c r="I194" s="3387">
        <f t="shared" si="40"/>
        <v>1</v>
      </c>
      <c r="J194" s="3388"/>
      <c r="K194" s="3387">
        <f t="shared" si="41"/>
        <v>1</v>
      </c>
      <c r="L194" s="3388"/>
      <c r="M194" s="3387">
        <f t="shared" si="42"/>
        <v>1</v>
      </c>
      <c r="N194" s="3388"/>
      <c r="O194" s="3387">
        <f t="shared" si="43"/>
        <v>1</v>
      </c>
      <c r="P194" s="3388"/>
      <c r="Q194" s="3387">
        <f t="shared" si="44"/>
        <v>0</v>
      </c>
      <c r="R194" s="2973">
        <f t="shared" si="45"/>
        <v>0</v>
      </c>
      <c r="S194" s="2850">
        <f t="shared" si="46"/>
        <v>0</v>
      </c>
    </row>
    <row r="195" spans="1:19">
      <c r="A195" s="3389"/>
      <c r="B195" s="3386"/>
      <c r="C195" s="3387">
        <f t="shared" si="37"/>
        <v>1</v>
      </c>
      <c r="D195" s="3388"/>
      <c r="E195" s="3387">
        <f t="shared" si="38"/>
        <v>0</v>
      </c>
      <c r="F195" s="3388"/>
      <c r="G195" s="3387">
        <f t="shared" si="39"/>
        <v>1</v>
      </c>
      <c r="H195" s="3388"/>
      <c r="I195" s="3387">
        <f t="shared" si="40"/>
        <v>1</v>
      </c>
      <c r="J195" s="3388"/>
      <c r="K195" s="3387">
        <f t="shared" si="41"/>
        <v>1</v>
      </c>
      <c r="L195" s="3388"/>
      <c r="M195" s="3387">
        <f t="shared" si="42"/>
        <v>1</v>
      </c>
      <c r="N195" s="3388"/>
      <c r="O195" s="3387">
        <f t="shared" si="43"/>
        <v>1</v>
      </c>
      <c r="P195" s="3388"/>
      <c r="Q195" s="3387">
        <f t="shared" si="44"/>
        <v>0</v>
      </c>
      <c r="R195" s="2973">
        <f t="shared" si="45"/>
        <v>0</v>
      </c>
      <c r="S195" s="2850">
        <f t="shared" si="46"/>
        <v>0</v>
      </c>
    </row>
    <row r="196" spans="1:19">
      <c r="A196" s="3389"/>
      <c r="B196" s="3386"/>
      <c r="C196" s="3387">
        <f t="shared" si="37"/>
        <v>1</v>
      </c>
      <c r="D196" s="3388"/>
      <c r="E196" s="3387">
        <f t="shared" si="38"/>
        <v>0</v>
      </c>
      <c r="F196" s="3388"/>
      <c r="G196" s="3387">
        <f t="shared" si="39"/>
        <v>1</v>
      </c>
      <c r="H196" s="3388"/>
      <c r="I196" s="3387">
        <f t="shared" si="40"/>
        <v>1</v>
      </c>
      <c r="J196" s="3388"/>
      <c r="K196" s="3387">
        <f t="shared" si="41"/>
        <v>1</v>
      </c>
      <c r="L196" s="3388"/>
      <c r="M196" s="3387">
        <f t="shared" si="42"/>
        <v>1</v>
      </c>
      <c r="N196" s="3388"/>
      <c r="O196" s="3387">
        <f t="shared" si="43"/>
        <v>1</v>
      </c>
      <c r="P196" s="3388"/>
      <c r="Q196" s="3387">
        <f t="shared" si="44"/>
        <v>0</v>
      </c>
      <c r="R196" s="2973">
        <f t="shared" si="45"/>
        <v>0</v>
      </c>
      <c r="S196" s="2850">
        <f t="shared" si="46"/>
        <v>0</v>
      </c>
    </row>
    <row r="197" spans="1:19">
      <c r="A197" s="3389"/>
      <c r="B197" s="3386"/>
      <c r="C197" s="3387">
        <f t="shared" si="37"/>
        <v>1</v>
      </c>
      <c r="D197" s="3388"/>
      <c r="E197" s="3387">
        <f t="shared" si="38"/>
        <v>0</v>
      </c>
      <c r="F197" s="3388"/>
      <c r="G197" s="3387">
        <f t="shared" si="39"/>
        <v>1</v>
      </c>
      <c r="H197" s="3388"/>
      <c r="I197" s="3387">
        <f t="shared" si="40"/>
        <v>1</v>
      </c>
      <c r="J197" s="3388"/>
      <c r="K197" s="3387">
        <f t="shared" si="41"/>
        <v>1</v>
      </c>
      <c r="L197" s="3388"/>
      <c r="M197" s="3387">
        <f t="shared" si="42"/>
        <v>1</v>
      </c>
      <c r="N197" s="3388"/>
      <c r="O197" s="3387">
        <f t="shared" si="43"/>
        <v>1</v>
      </c>
      <c r="P197" s="3388"/>
      <c r="Q197" s="3387">
        <f t="shared" si="44"/>
        <v>0</v>
      </c>
      <c r="R197" s="2973">
        <f t="shared" si="45"/>
        <v>0</v>
      </c>
      <c r="S197" s="2850">
        <f t="shared" si="46"/>
        <v>0</v>
      </c>
    </row>
    <row r="198" spans="1:19">
      <c r="A198" s="3389"/>
      <c r="B198" s="3386"/>
      <c r="C198" s="3387">
        <f t="shared" si="37"/>
        <v>1</v>
      </c>
      <c r="D198" s="3388"/>
      <c r="E198" s="3387">
        <f t="shared" si="38"/>
        <v>0</v>
      </c>
      <c r="F198" s="3388"/>
      <c r="G198" s="3387">
        <f t="shared" si="39"/>
        <v>1</v>
      </c>
      <c r="H198" s="3388"/>
      <c r="I198" s="3387">
        <f t="shared" si="40"/>
        <v>1</v>
      </c>
      <c r="J198" s="3388"/>
      <c r="K198" s="3387">
        <f t="shared" si="41"/>
        <v>1</v>
      </c>
      <c r="L198" s="3388"/>
      <c r="M198" s="3387">
        <f t="shared" si="42"/>
        <v>1</v>
      </c>
      <c r="N198" s="3388"/>
      <c r="O198" s="3387">
        <f t="shared" si="43"/>
        <v>1</v>
      </c>
      <c r="P198" s="3388"/>
      <c r="Q198" s="3387">
        <f t="shared" si="44"/>
        <v>0</v>
      </c>
      <c r="R198" s="2973">
        <f t="shared" si="45"/>
        <v>0</v>
      </c>
      <c r="S198" s="2850">
        <f t="shared" si="46"/>
        <v>0</v>
      </c>
    </row>
    <row r="199" spans="1:19">
      <c r="A199" s="3389"/>
      <c r="B199" s="3386"/>
      <c r="C199" s="3387">
        <f t="shared" si="37"/>
        <v>1</v>
      </c>
      <c r="D199" s="3388"/>
      <c r="E199" s="3387">
        <f t="shared" si="38"/>
        <v>0</v>
      </c>
      <c r="F199" s="3388"/>
      <c r="G199" s="3387">
        <f t="shared" si="39"/>
        <v>1</v>
      </c>
      <c r="H199" s="3388"/>
      <c r="I199" s="3387">
        <f t="shared" si="40"/>
        <v>1</v>
      </c>
      <c r="J199" s="3388"/>
      <c r="K199" s="3387">
        <f t="shared" si="41"/>
        <v>1</v>
      </c>
      <c r="L199" s="3388"/>
      <c r="M199" s="3387">
        <f t="shared" si="42"/>
        <v>1</v>
      </c>
      <c r="N199" s="3388"/>
      <c r="O199" s="3387">
        <f t="shared" si="43"/>
        <v>1</v>
      </c>
      <c r="P199" s="3388"/>
      <c r="Q199" s="3387">
        <f t="shared" si="44"/>
        <v>0</v>
      </c>
      <c r="R199" s="2973">
        <f t="shared" si="45"/>
        <v>0</v>
      </c>
      <c r="S199" s="2850">
        <f t="shared" si="46"/>
        <v>0</v>
      </c>
    </row>
    <row r="200" spans="1:19">
      <c r="A200" s="3389"/>
      <c r="B200" s="3386"/>
      <c r="C200" s="3387">
        <f t="shared" si="37"/>
        <v>1</v>
      </c>
      <c r="D200" s="3388"/>
      <c r="E200" s="3387">
        <f t="shared" si="38"/>
        <v>0</v>
      </c>
      <c r="F200" s="3388"/>
      <c r="G200" s="3387">
        <f t="shared" si="39"/>
        <v>1</v>
      </c>
      <c r="H200" s="3388"/>
      <c r="I200" s="3387">
        <f t="shared" si="40"/>
        <v>1</v>
      </c>
      <c r="J200" s="3388"/>
      <c r="K200" s="3387">
        <f t="shared" si="41"/>
        <v>1</v>
      </c>
      <c r="L200" s="3388"/>
      <c r="M200" s="3387">
        <f t="shared" si="42"/>
        <v>1</v>
      </c>
      <c r="N200" s="3388"/>
      <c r="O200" s="3387">
        <f t="shared" si="43"/>
        <v>1</v>
      </c>
      <c r="P200" s="3388"/>
      <c r="Q200" s="3387">
        <f t="shared" si="44"/>
        <v>0</v>
      </c>
      <c r="R200" s="2973">
        <f t="shared" si="45"/>
        <v>0</v>
      </c>
      <c r="S200" s="2850">
        <f t="shared" si="46"/>
        <v>0</v>
      </c>
    </row>
    <row r="201" spans="1:19">
      <c r="A201" s="3389"/>
      <c r="B201" s="3386"/>
      <c r="C201" s="3387">
        <f t="shared" si="37"/>
        <v>1</v>
      </c>
      <c r="D201" s="3388"/>
      <c r="E201" s="3387">
        <f t="shared" si="38"/>
        <v>0</v>
      </c>
      <c r="F201" s="3388"/>
      <c r="G201" s="3387">
        <f t="shared" si="39"/>
        <v>1</v>
      </c>
      <c r="H201" s="3388"/>
      <c r="I201" s="3387">
        <f t="shared" si="40"/>
        <v>1</v>
      </c>
      <c r="J201" s="3388"/>
      <c r="K201" s="3387">
        <f t="shared" si="41"/>
        <v>1</v>
      </c>
      <c r="L201" s="3388"/>
      <c r="M201" s="3387">
        <f t="shared" si="42"/>
        <v>1</v>
      </c>
      <c r="N201" s="3388"/>
      <c r="O201" s="3387">
        <f t="shared" si="43"/>
        <v>1</v>
      </c>
      <c r="P201" s="3388"/>
      <c r="Q201" s="3387">
        <f t="shared" si="44"/>
        <v>0</v>
      </c>
      <c r="R201" s="2973">
        <f t="shared" si="45"/>
        <v>0</v>
      </c>
      <c r="S201" s="2850">
        <f t="shared" si="46"/>
        <v>0</v>
      </c>
    </row>
    <row r="202" spans="1:19">
      <c r="A202" s="3389"/>
      <c r="B202" s="3386"/>
      <c r="C202" s="3387">
        <f t="shared" si="37"/>
        <v>1</v>
      </c>
      <c r="D202" s="3388"/>
      <c r="E202" s="3387">
        <f t="shared" si="38"/>
        <v>0</v>
      </c>
      <c r="F202" s="3388"/>
      <c r="G202" s="3387">
        <f t="shared" si="39"/>
        <v>1</v>
      </c>
      <c r="H202" s="3388"/>
      <c r="I202" s="3387">
        <f t="shared" si="40"/>
        <v>1</v>
      </c>
      <c r="J202" s="3388"/>
      <c r="K202" s="3387">
        <f t="shared" si="41"/>
        <v>1</v>
      </c>
      <c r="L202" s="3388"/>
      <c r="M202" s="3387">
        <f t="shared" si="42"/>
        <v>1</v>
      </c>
      <c r="N202" s="3388"/>
      <c r="O202" s="3387">
        <f t="shared" si="43"/>
        <v>1</v>
      </c>
      <c r="P202" s="3388"/>
      <c r="Q202" s="3387">
        <f t="shared" si="44"/>
        <v>0</v>
      </c>
      <c r="R202" s="2973">
        <f t="shared" si="45"/>
        <v>0</v>
      </c>
      <c r="S202" s="2850">
        <f t="shared" si="46"/>
        <v>0</v>
      </c>
    </row>
    <row r="203" spans="1:19">
      <c r="A203" s="3389"/>
      <c r="B203" s="3386"/>
      <c r="C203" s="3387">
        <f t="shared" si="37"/>
        <v>1</v>
      </c>
      <c r="D203" s="3388"/>
      <c r="E203" s="3387">
        <f t="shared" si="38"/>
        <v>0</v>
      </c>
      <c r="F203" s="3388"/>
      <c r="G203" s="3387">
        <f t="shared" si="39"/>
        <v>1</v>
      </c>
      <c r="H203" s="3388"/>
      <c r="I203" s="3387">
        <f t="shared" si="40"/>
        <v>1</v>
      </c>
      <c r="J203" s="3388"/>
      <c r="K203" s="3387">
        <f t="shared" si="41"/>
        <v>1</v>
      </c>
      <c r="L203" s="3388"/>
      <c r="M203" s="3387">
        <f t="shared" si="42"/>
        <v>1</v>
      </c>
      <c r="N203" s="3388"/>
      <c r="O203" s="3387">
        <f t="shared" si="43"/>
        <v>1</v>
      </c>
      <c r="P203" s="3388"/>
      <c r="Q203" s="3387">
        <f t="shared" si="44"/>
        <v>0</v>
      </c>
      <c r="R203" s="2973">
        <f t="shared" si="45"/>
        <v>0</v>
      </c>
      <c r="S203" s="2850">
        <f t="shared" si="46"/>
        <v>0</v>
      </c>
    </row>
    <row r="204" spans="1:19">
      <c r="A204" s="3389"/>
      <c r="B204" s="3386"/>
      <c r="C204" s="3387">
        <f t="shared" si="37"/>
        <v>1</v>
      </c>
      <c r="D204" s="3388"/>
      <c r="E204" s="3387">
        <f t="shared" si="38"/>
        <v>0</v>
      </c>
      <c r="F204" s="3388"/>
      <c r="G204" s="3387">
        <f t="shared" si="39"/>
        <v>1</v>
      </c>
      <c r="H204" s="3388"/>
      <c r="I204" s="3387">
        <f t="shared" si="40"/>
        <v>1</v>
      </c>
      <c r="J204" s="3388"/>
      <c r="K204" s="3387">
        <f t="shared" si="41"/>
        <v>1</v>
      </c>
      <c r="L204" s="3388"/>
      <c r="M204" s="3387">
        <f t="shared" si="42"/>
        <v>1</v>
      </c>
      <c r="N204" s="3388"/>
      <c r="O204" s="3387">
        <f t="shared" si="43"/>
        <v>1</v>
      </c>
      <c r="P204" s="3388"/>
      <c r="Q204" s="3387">
        <f t="shared" si="44"/>
        <v>0</v>
      </c>
      <c r="R204" s="2973">
        <f t="shared" si="45"/>
        <v>0</v>
      </c>
      <c r="S204" s="2850">
        <f t="shared" si="46"/>
        <v>0</v>
      </c>
    </row>
    <row r="205" spans="1:19">
      <c r="A205" s="3389"/>
      <c r="B205" s="3386"/>
      <c r="C205" s="3387">
        <f t="shared" si="37"/>
        <v>1</v>
      </c>
      <c r="D205" s="3388"/>
      <c r="E205" s="3387">
        <f t="shared" si="38"/>
        <v>0</v>
      </c>
      <c r="F205" s="3388"/>
      <c r="G205" s="3387">
        <f t="shared" si="39"/>
        <v>1</v>
      </c>
      <c r="H205" s="3388"/>
      <c r="I205" s="3387">
        <f t="shared" si="40"/>
        <v>1</v>
      </c>
      <c r="J205" s="3388"/>
      <c r="K205" s="3387">
        <f t="shared" si="41"/>
        <v>1</v>
      </c>
      <c r="L205" s="3388"/>
      <c r="M205" s="3387">
        <f t="shared" si="42"/>
        <v>1</v>
      </c>
      <c r="N205" s="3388"/>
      <c r="O205" s="3387">
        <f t="shared" si="43"/>
        <v>1</v>
      </c>
      <c r="P205" s="3388"/>
      <c r="Q205" s="3387">
        <f t="shared" si="44"/>
        <v>0</v>
      </c>
      <c r="R205" s="2973">
        <f t="shared" si="45"/>
        <v>0</v>
      </c>
      <c r="S205" s="2850">
        <f t="shared" si="46"/>
        <v>0</v>
      </c>
    </row>
    <row r="206" spans="1:19">
      <c r="A206" s="3389"/>
      <c r="B206" s="3386"/>
      <c r="C206" s="3387">
        <f t="shared" si="37"/>
        <v>1</v>
      </c>
      <c r="D206" s="3388"/>
      <c r="E206" s="3387">
        <f t="shared" si="38"/>
        <v>0</v>
      </c>
      <c r="F206" s="3388"/>
      <c r="G206" s="3387">
        <f t="shared" si="39"/>
        <v>1</v>
      </c>
      <c r="H206" s="3388"/>
      <c r="I206" s="3387">
        <f t="shared" si="40"/>
        <v>1</v>
      </c>
      <c r="J206" s="3388"/>
      <c r="K206" s="3387">
        <f t="shared" si="41"/>
        <v>1</v>
      </c>
      <c r="L206" s="3388"/>
      <c r="M206" s="3387">
        <f t="shared" si="42"/>
        <v>1</v>
      </c>
      <c r="N206" s="3388"/>
      <c r="O206" s="3387">
        <f t="shared" si="43"/>
        <v>1</v>
      </c>
      <c r="P206" s="3388"/>
      <c r="Q206" s="3387">
        <f t="shared" si="44"/>
        <v>0</v>
      </c>
      <c r="R206" s="2973">
        <f t="shared" si="45"/>
        <v>0</v>
      </c>
      <c r="S206" s="2850">
        <f t="shared" si="46"/>
        <v>0</v>
      </c>
    </row>
    <row r="207" spans="1:19">
      <c r="A207" s="3389"/>
      <c r="B207" s="3386"/>
      <c r="C207" s="3387">
        <f t="shared" si="37"/>
        <v>1</v>
      </c>
      <c r="D207" s="3388"/>
      <c r="E207" s="3387">
        <f t="shared" si="38"/>
        <v>0</v>
      </c>
      <c r="F207" s="3388"/>
      <c r="G207" s="3387">
        <f t="shared" si="39"/>
        <v>1</v>
      </c>
      <c r="H207" s="3388"/>
      <c r="I207" s="3387">
        <f t="shared" si="40"/>
        <v>1</v>
      </c>
      <c r="J207" s="3388"/>
      <c r="K207" s="3387">
        <f t="shared" si="41"/>
        <v>1</v>
      </c>
      <c r="L207" s="3388"/>
      <c r="M207" s="3387">
        <f t="shared" si="42"/>
        <v>1</v>
      </c>
      <c r="N207" s="3388"/>
      <c r="O207" s="3387">
        <f t="shared" si="43"/>
        <v>1</v>
      </c>
      <c r="P207" s="3388"/>
      <c r="Q207" s="3387">
        <f t="shared" si="44"/>
        <v>0</v>
      </c>
      <c r="R207" s="2973">
        <f t="shared" si="45"/>
        <v>0</v>
      </c>
      <c r="S207" s="2850">
        <f t="shared" si="46"/>
        <v>0</v>
      </c>
    </row>
    <row r="208" spans="1:19">
      <c r="A208" s="3389"/>
      <c r="B208" s="3386"/>
      <c r="C208" s="3387">
        <f t="shared" si="37"/>
        <v>1</v>
      </c>
      <c r="D208" s="3388"/>
      <c r="E208" s="3387">
        <f t="shared" si="38"/>
        <v>0</v>
      </c>
      <c r="F208" s="3388"/>
      <c r="G208" s="3387">
        <f t="shared" si="39"/>
        <v>1</v>
      </c>
      <c r="H208" s="3388"/>
      <c r="I208" s="3387">
        <f t="shared" si="40"/>
        <v>1</v>
      </c>
      <c r="J208" s="3388"/>
      <c r="K208" s="3387">
        <f t="shared" si="41"/>
        <v>1</v>
      </c>
      <c r="L208" s="3388"/>
      <c r="M208" s="3387">
        <f t="shared" si="42"/>
        <v>1</v>
      </c>
      <c r="N208" s="3388"/>
      <c r="O208" s="3387">
        <f t="shared" si="43"/>
        <v>1</v>
      </c>
      <c r="P208" s="3388"/>
      <c r="Q208" s="3387">
        <f t="shared" si="44"/>
        <v>0</v>
      </c>
      <c r="R208" s="2973">
        <f t="shared" si="45"/>
        <v>0</v>
      </c>
      <c r="S208" s="2850">
        <f t="shared" si="46"/>
        <v>0</v>
      </c>
    </row>
    <row r="209" spans="1:19">
      <c r="A209" s="3389"/>
      <c r="B209" s="3386"/>
      <c r="C209" s="3387">
        <f t="shared" si="37"/>
        <v>1</v>
      </c>
      <c r="D209" s="3388"/>
      <c r="E209" s="3387">
        <f t="shared" si="38"/>
        <v>0</v>
      </c>
      <c r="F209" s="3388"/>
      <c r="G209" s="3387">
        <f t="shared" si="39"/>
        <v>1</v>
      </c>
      <c r="H209" s="3388"/>
      <c r="I209" s="3387">
        <f t="shared" si="40"/>
        <v>1</v>
      </c>
      <c r="J209" s="3388"/>
      <c r="K209" s="3387">
        <f t="shared" si="41"/>
        <v>1</v>
      </c>
      <c r="L209" s="3388"/>
      <c r="M209" s="3387">
        <f t="shared" si="42"/>
        <v>1</v>
      </c>
      <c r="N209" s="3388"/>
      <c r="O209" s="3387">
        <f t="shared" si="43"/>
        <v>1</v>
      </c>
      <c r="P209" s="3388"/>
      <c r="Q209" s="3387">
        <f t="shared" si="44"/>
        <v>0</v>
      </c>
      <c r="R209" s="2973">
        <f t="shared" si="45"/>
        <v>0</v>
      </c>
      <c r="S209" s="2850">
        <f t="shared" si="46"/>
        <v>0</v>
      </c>
    </row>
    <row r="210" spans="1:19">
      <c r="A210" s="3389"/>
      <c r="B210" s="3386"/>
      <c r="C210" s="3387">
        <f t="shared" si="37"/>
        <v>1</v>
      </c>
      <c r="D210" s="3388"/>
      <c r="E210" s="3387">
        <f t="shared" si="38"/>
        <v>0</v>
      </c>
      <c r="F210" s="3388"/>
      <c r="G210" s="3387">
        <f t="shared" si="39"/>
        <v>1</v>
      </c>
      <c r="H210" s="3388"/>
      <c r="I210" s="3387">
        <f t="shared" si="40"/>
        <v>1</v>
      </c>
      <c r="J210" s="3388"/>
      <c r="K210" s="3387">
        <f t="shared" si="41"/>
        <v>1</v>
      </c>
      <c r="L210" s="3388"/>
      <c r="M210" s="3387">
        <f t="shared" si="42"/>
        <v>1</v>
      </c>
      <c r="N210" s="3388"/>
      <c r="O210" s="3387">
        <f t="shared" si="43"/>
        <v>1</v>
      </c>
      <c r="P210" s="3388"/>
      <c r="Q210" s="3387">
        <f t="shared" si="44"/>
        <v>0</v>
      </c>
      <c r="R210" s="2973">
        <f t="shared" si="45"/>
        <v>0</v>
      </c>
      <c r="S210" s="2850">
        <f t="shared" si="46"/>
        <v>0</v>
      </c>
    </row>
    <row r="211" spans="1:19">
      <c r="A211" s="3389"/>
      <c r="B211" s="3386"/>
      <c r="C211" s="3387">
        <f t="shared" si="37"/>
        <v>1</v>
      </c>
      <c r="D211" s="3388"/>
      <c r="E211" s="3387">
        <f t="shared" si="38"/>
        <v>0</v>
      </c>
      <c r="F211" s="3388"/>
      <c r="G211" s="3387">
        <f t="shared" si="39"/>
        <v>1</v>
      </c>
      <c r="H211" s="3388"/>
      <c r="I211" s="3387">
        <f t="shared" si="40"/>
        <v>1</v>
      </c>
      <c r="J211" s="3388"/>
      <c r="K211" s="3387">
        <f t="shared" si="41"/>
        <v>1</v>
      </c>
      <c r="L211" s="3388"/>
      <c r="M211" s="3387">
        <f t="shared" si="42"/>
        <v>1</v>
      </c>
      <c r="N211" s="3388"/>
      <c r="O211" s="3387">
        <f t="shared" si="43"/>
        <v>1</v>
      </c>
      <c r="P211" s="3388"/>
      <c r="Q211" s="3387">
        <f t="shared" si="44"/>
        <v>0</v>
      </c>
      <c r="R211" s="2973">
        <f t="shared" si="45"/>
        <v>0</v>
      </c>
      <c r="S211" s="2850">
        <f t="shared" si="46"/>
        <v>0</v>
      </c>
    </row>
    <row r="212" spans="1:19">
      <c r="A212" s="3389"/>
      <c r="B212" s="3386"/>
      <c r="C212" s="3387">
        <f t="shared" si="37"/>
        <v>1</v>
      </c>
      <c r="D212" s="3388"/>
      <c r="E212" s="3387">
        <f t="shared" si="38"/>
        <v>0</v>
      </c>
      <c r="F212" s="3388"/>
      <c r="G212" s="3387">
        <f t="shared" si="39"/>
        <v>1</v>
      </c>
      <c r="H212" s="3388"/>
      <c r="I212" s="3387">
        <f t="shared" si="40"/>
        <v>1</v>
      </c>
      <c r="J212" s="3388"/>
      <c r="K212" s="3387">
        <f t="shared" si="41"/>
        <v>1</v>
      </c>
      <c r="L212" s="3388"/>
      <c r="M212" s="3387">
        <f t="shared" si="42"/>
        <v>1</v>
      </c>
      <c r="N212" s="3388"/>
      <c r="O212" s="3387">
        <f t="shared" si="43"/>
        <v>1</v>
      </c>
      <c r="P212" s="3388"/>
      <c r="Q212" s="3387">
        <f t="shared" si="44"/>
        <v>0</v>
      </c>
      <c r="R212" s="2973">
        <f t="shared" si="45"/>
        <v>0</v>
      </c>
      <c r="S212" s="2850">
        <f t="shared" si="46"/>
        <v>0</v>
      </c>
    </row>
    <row r="213" spans="1:19">
      <c r="A213" s="3389"/>
      <c r="B213" s="3386"/>
      <c r="C213" s="3387">
        <f t="shared" si="37"/>
        <v>1</v>
      </c>
      <c r="D213" s="3388"/>
      <c r="E213" s="3387">
        <f t="shared" si="38"/>
        <v>0</v>
      </c>
      <c r="F213" s="3388"/>
      <c r="G213" s="3387">
        <f t="shared" si="39"/>
        <v>1</v>
      </c>
      <c r="H213" s="3388"/>
      <c r="I213" s="3387">
        <f t="shared" si="40"/>
        <v>1</v>
      </c>
      <c r="J213" s="3388"/>
      <c r="K213" s="3387">
        <f t="shared" si="41"/>
        <v>1</v>
      </c>
      <c r="L213" s="3388"/>
      <c r="M213" s="3387">
        <f t="shared" si="42"/>
        <v>1</v>
      </c>
      <c r="N213" s="3388"/>
      <c r="O213" s="3387">
        <f t="shared" si="43"/>
        <v>1</v>
      </c>
      <c r="P213" s="3388"/>
      <c r="Q213" s="3387">
        <f t="shared" si="44"/>
        <v>0</v>
      </c>
      <c r="R213" s="2973">
        <f t="shared" si="45"/>
        <v>0</v>
      </c>
      <c r="S213" s="2850">
        <f t="shared" si="46"/>
        <v>0</v>
      </c>
    </row>
    <row r="214" spans="1:19">
      <c r="A214" s="3389"/>
      <c r="B214" s="3386"/>
      <c r="C214" s="3387">
        <f t="shared" si="37"/>
        <v>1</v>
      </c>
      <c r="D214" s="3388"/>
      <c r="E214" s="3387">
        <f t="shared" si="38"/>
        <v>0</v>
      </c>
      <c r="F214" s="3388"/>
      <c r="G214" s="3387">
        <f t="shared" si="39"/>
        <v>1</v>
      </c>
      <c r="H214" s="3388"/>
      <c r="I214" s="3387">
        <f t="shared" si="40"/>
        <v>1</v>
      </c>
      <c r="J214" s="3388"/>
      <c r="K214" s="3387">
        <f t="shared" si="41"/>
        <v>1</v>
      </c>
      <c r="L214" s="3388"/>
      <c r="M214" s="3387">
        <f t="shared" si="42"/>
        <v>1</v>
      </c>
      <c r="N214" s="3388"/>
      <c r="O214" s="3387">
        <f t="shared" si="43"/>
        <v>1</v>
      </c>
      <c r="P214" s="3388"/>
      <c r="Q214" s="3387">
        <f t="shared" si="44"/>
        <v>0</v>
      </c>
      <c r="R214" s="2973">
        <f t="shared" si="45"/>
        <v>0</v>
      </c>
      <c r="S214" s="2850">
        <f t="shared" si="46"/>
        <v>0</v>
      </c>
    </row>
    <row r="215" spans="1:19">
      <c r="A215" s="3389"/>
      <c r="B215" s="3386"/>
      <c r="C215" s="3387">
        <f t="shared" si="37"/>
        <v>1</v>
      </c>
      <c r="D215" s="3388"/>
      <c r="E215" s="3387">
        <f t="shared" si="38"/>
        <v>0</v>
      </c>
      <c r="F215" s="3388"/>
      <c r="G215" s="3387">
        <f t="shared" si="39"/>
        <v>1</v>
      </c>
      <c r="H215" s="3388"/>
      <c r="I215" s="3387">
        <f t="shared" si="40"/>
        <v>1</v>
      </c>
      <c r="J215" s="3388"/>
      <c r="K215" s="3387">
        <f t="shared" si="41"/>
        <v>1</v>
      </c>
      <c r="L215" s="3388"/>
      <c r="M215" s="3387">
        <f t="shared" si="42"/>
        <v>1</v>
      </c>
      <c r="N215" s="3388"/>
      <c r="O215" s="3387">
        <f t="shared" si="43"/>
        <v>1</v>
      </c>
      <c r="P215" s="3388"/>
      <c r="Q215" s="3387">
        <f t="shared" si="44"/>
        <v>0</v>
      </c>
      <c r="R215" s="2973">
        <f t="shared" si="45"/>
        <v>0</v>
      </c>
      <c r="S215" s="2850">
        <f t="shared" si="46"/>
        <v>0</v>
      </c>
    </row>
    <row r="216" spans="1:19">
      <c r="A216" s="3389"/>
      <c r="B216" s="3386"/>
      <c r="C216" s="3387">
        <f t="shared" si="37"/>
        <v>1</v>
      </c>
      <c r="D216" s="3388"/>
      <c r="E216" s="3387">
        <f t="shared" si="38"/>
        <v>0</v>
      </c>
      <c r="F216" s="3388"/>
      <c r="G216" s="3387">
        <f t="shared" si="39"/>
        <v>1</v>
      </c>
      <c r="H216" s="3388"/>
      <c r="I216" s="3387">
        <f t="shared" si="40"/>
        <v>1</v>
      </c>
      <c r="J216" s="3388"/>
      <c r="K216" s="3387">
        <f t="shared" si="41"/>
        <v>1</v>
      </c>
      <c r="L216" s="3388"/>
      <c r="M216" s="3387">
        <f t="shared" si="42"/>
        <v>1</v>
      </c>
      <c r="N216" s="3388"/>
      <c r="O216" s="3387">
        <f t="shared" si="43"/>
        <v>1</v>
      </c>
      <c r="P216" s="3388"/>
      <c r="Q216" s="3387">
        <f t="shared" si="44"/>
        <v>0</v>
      </c>
      <c r="R216" s="2973">
        <f t="shared" si="45"/>
        <v>0</v>
      </c>
      <c r="S216" s="2850">
        <f t="shared" si="46"/>
        <v>0</v>
      </c>
    </row>
    <row r="217" spans="1:19">
      <c r="A217" s="3389"/>
      <c r="B217" s="3386"/>
      <c r="C217" s="3387">
        <f t="shared" si="37"/>
        <v>1</v>
      </c>
      <c r="D217" s="3388"/>
      <c r="E217" s="3387">
        <f t="shared" si="38"/>
        <v>0</v>
      </c>
      <c r="F217" s="3388"/>
      <c r="G217" s="3387">
        <f t="shared" si="39"/>
        <v>1</v>
      </c>
      <c r="H217" s="3388"/>
      <c r="I217" s="3387">
        <f t="shared" si="40"/>
        <v>1</v>
      </c>
      <c r="J217" s="3388"/>
      <c r="K217" s="3387">
        <f t="shared" si="41"/>
        <v>1</v>
      </c>
      <c r="L217" s="3388"/>
      <c r="M217" s="3387">
        <f t="shared" si="42"/>
        <v>1</v>
      </c>
      <c r="N217" s="3388"/>
      <c r="O217" s="3387">
        <f t="shared" si="43"/>
        <v>1</v>
      </c>
      <c r="P217" s="3388"/>
      <c r="Q217" s="3387">
        <f t="shared" si="44"/>
        <v>0</v>
      </c>
      <c r="R217" s="2973">
        <f t="shared" si="45"/>
        <v>0</v>
      </c>
      <c r="S217" s="2850">
        <f t="shared" si="46"/>
        <v>0</v>
      </c>
    </row>
    <row r="218" spans="1:19">
      <c r="A218" s="3389"/>
      <c r="B218" s="3386"/>
      <c r="C218" s="3387">
        <f t="shared" ref="C218:C281" si="47">IF(B218="",1,(LOOKUP(B218,$3:$3,$4:$4)-LOOKUP($B$24,$3:$3,$4:$4)+100)/100)</f>
        <v>1</v>
      </c>
      <c r="D218" s="3388"/>
      <c r="E218" s="3387">
        <f t="shared" ref="E218:E281" si="48">(SUMIF($5:$5,D218,$6:$6)-SUMIF($5:$5,$D$24,$6:$6)+100)/100</f>
        <v>0</v>
      </c>
      <c r="F218" s="3388"/>
      <c r="G218" s="3387">
        <f t="shared" ref="G218:G281" si="49">(SUMIF($7:$7,F218,$8:$8)-SUMIF($7:$7,$F$24,$8:$8)+100)/100</f>
        <v>1</v>
      </c>
      <c r="H218" s="3388"/>
      <c r="I218" s="3387">
        <f t="shared" ref="I218:I281" si="50">(SUMIF($9:$9,H218,$10:$10)-SUMIF($9:$9,$H$24,$10:$10)+100)/100</f>
        <v>1</v>
      </c>
      <c r="J218" s="3388"/>
      <c r="K218" s="3387">
        <f t="shared" ref="K218:K281" si="51">(SUMIF($11:$11,J218,$12:$12)-SUMIF($11:$11,$J$24,$12:$12)+100)/100</f>
        <v>1</v>
      </c>
      <c r="L218" s="3388"/>
      <c r="M218" s="3387">
        <f t="shared" ref="M218:M281" si="52">(SUMIF($13:$13,L218,$14:$14)-SUMIF($13:$13,$L$24,$14:$14)+100)/100</f>
        <v>1</v>
      </c>
      <c r="N218" s="3388"/>
      <c r="O218" s="3387">
        <f t="shared" ref="O218:O281" si="53">(SUMIF($15:$15,N218,$16:$16)-SUMIF($15:$15,$N$24,$16:$16)+100)/100</f>
        <v>1</v>
      </c>
      <c r="P218" s="3388"/>
      <c r="Q218" s="3387">
        <f t="shared" ref="Q218:Q281" si="54">(SUMIF($17:$17,P218,$18:$18)-SUMIF($17:$17,$P$24,$18:$18)+100)/100</f>
        <v>0</v>
      </c>
      <c r="R218" s="2973">
        <f t="shared" ref="R218:R281" si="55">IF(B218="",0,ROUND($R$24*C218*E218*G218*I218*K218*M218*O218*Q218,0))</f>
        <v>0</v>
      </c>
      <c r="S218" s="2850">
        <f t="shared" si="46"/>
        <v>0</v>
      </c>
    </row>
    <row r="219" spans="1:19">
      <c r="A219" s="3389"/>
      <c r="B219" s="3386"/>
      <c r="C219" s="3387">
        <f t="shared" si="47"/>
        <v>1</v>
      </c>
      <c r="D219" s="3388"/>
      <c r="E219" s="3387">
        <f t="shared" si="48"/>
        <v>0</v>
      </c>
      <c r="F219" s="3388"/>
      <c r="G219" s="3387">
        <f t="shared" si="49"/>
        <v>1</v>
      </c>
      <c r="H219" s="3388"/>
      <c r="I219" s="3387">
        <f t="shared" si="50"/>
        <v>1</v>
      </c>
      <c r="J219" s="3388"/>
      <c r="K219" s="3387">
        <f t="shared" si="51"/>
        <v>1</v>
      </c>
      <c r="L219" s="3388"/>
      <c r="M219" s="3387">
        <f t="shared" si="52"/>
        <v>1</v>
      </c>
      <c r="N219" s="3388"/>
      <c r="O219" s="3387">
        <f t="shared" si="53"/>
        <v>1</v>
      </c>
      <c r="P219" s="3388"/>
      <c r="Q219" s="3387">
        <f t="shared" si="54"/>
        <v>0</v>
      </c>
      <c r="R219" s="2973">
        <f t="shared" si="55"/>
        <v>0</v>
      </c>
      <c r="S219" s="2850">
        <f t="shared" si="46"/>
        <v>0</v>
      </c>
    </row>
    <row r="220" spans="1:19">
      <c r="A220" s="3389"/>
      <c r="B220" s="3386"/>
      <c r="C220" s="3387">
        <f t="shared" si="47"/>
        <v>1</v>
      </c>
      <c r="D220" s="3388"/>
      <c r="E220" s="3387">
        <f t="shared" si="48"/>
        <v>0</v>
      </c>
      <c r="F220" s="3388"/>
      <c r="G220" s="3387">
        <f t="shared" si="49"/>
        <v>1</v>
      </c>
      <c r="H220" s="3388"/>
      <c r="I220" s="3387">
        <f t="shared" si="50"/>
        <v>1</v>
      </c>
      <c r="J220" s="3388"/>
      <c r="K220" s="3387">
        <f t="shared" si="51"/>
        <v>1</v>
      </c>
      <c r="L220" s="3388"/>
      <c r="M220" s="3387">
        <f t="shared" si="52"/>
        <v>1</v>
      </c>
      <c r="N220" s="3388"/>
      <c r="O220" s="3387">
        <f t="shared" si="53"/>
        <v>1</v>
      </c>
      <c r="P220" s="3388"/>
      <c r="Q220" s="3387">
        <f t="shared" si="54"/>
        <v>0</v>
      </c>
      <c r="R220" s="2973">
        <f t="shared" si="55"/>
        <v>0</v>
      </c>
      <c r="S220" s="2850">
        <f t="shared" si="46"/>
        <v>0</v>
      </c>
    </row>
    <row r="221" spans="1:19">
      <c r="A221" s="3389"/>
      <c r="B221" s="3386"/>
      <c r="C221" s="3387">
        <f t="shared" si="47"/>
        <v>1</v>
      </c>
      <c r="D221" s="3388"/>
      <c r="E221" s="3387">
        <f t="shared" si="48"/>
        <v>0</v>
      </c>
      <c r="F221" s="3388"/>
      <c r="G221" s="3387">
        <f t="shared" si="49"/>
        <v>1</v>
      </c>
      <c r="H221" s="3388"/>
      <c r="I221" s="3387">
        <f t="shared" si="50"/>
        <v>1</v>
      </c>
      <c r="J221" s="3388"/>
      <c r="K221" s="3387">
        <f t="shared" si="51"/>
        <v>1</v>
      </c>
      <c r="L221" s="3388"/>
      <c r="M221" s="3387">
        <f t="shared" si="52"/>
        <v>1</v>
      </c>
      <c r="N221" s="3388"/>
      <c r="O221" s="3387">
        <f t="shared" si="53"/>
        <v>1</v>
      </c>
      <c r="P221" s="3388"/>
      <c r="Q221" s="3387">
        <f t="shared" si="54"/>
        <v>0</v>
      </c>
      <c r="R221" s="2973">
        <f t="shared" si="55"/>
        <v>0</v>
      </c>
      <c r="S221" s="2850">
        <f t="shared" si="46"/>
        <v>0</v>
      </c>
    </row>
    <row r="222" spans="1:19">
      <c r="A222" s="3389"/>
      <c r="B222" s="3386"/>
      <c r="C222" s="3387">
        <f t="shared" si="47"/>
        <v>1</v>
      </c>
      <c r="D222" s="3388"/>
      <c r="E222" s="3387">
        <f t="shared" si="48"/>
        <v>0</v>
      </c>
      <c r="F222" s="3388"/>
      <c r="G222" s="3387">
        <f t="shared" si="49"/>
        <v>1</v>
      </c>
      <c r="H222" s="3388"/>
      <c r="I222" s="3387">
        <f t="shared" si="50"/>
        <v>1</v>
      </c>
      <c r="J222" s="3388"/>
      <c r="K222" s="3387">
        <f t="shared" si="51"/>
        <v>1</v>
      </c>
      <c r="L222" s="3388"/>
      <c r="M222" s="3387">
        <f t="shared" si="52"/>
        <v>1</v>
      </c>
      <c r="N222" s="3388"/>
      <c r="O222" s="3387">
        <f t="shared" si="53"/>
        <v>1</v>
      </c>
      <c r="P222" s="3388"/>
      <c r="Q222" s="3387">
        <f t="shared" si="54"/>
        <v>0</v>
      </c>
      <c r="R222" s="2973">
        <f t="shared" si="55"/>
        <v>0</v>
      </c>
      <c r="S222" s="2850">
        <f t="shared" si="46"/>
        <v>0</v>
      </c>
    </row>
    <row r="223" spans="1:19">
      <c r="A223" s="3389"/>
      <c r="B223" s="3386"/>
      <c r="C223" s="3387">
        <f t="shared" si="47"/>
        <v>1</v>
      </c>
      <c r="D223" s="3388"/>
      <c r="E223" s="3387">
        <f t="shared" si="48"/>
        <v>0</v>
      </c>
      <c r="F223" s="3388"/>
      <c r="G223" s="3387">
        <f t="shared" si="49"/>
        <v>1</v>
      </c>
      <c r="H223" s="3388"/>
      <c r="I223" s="3387">
        <f t="shared" si="50"/>
        <v>1</v>
      </c>
      <c r="J223" s="3388"/>
      <c r="K223" s="3387">
        <f t="shared" si="51"/>
        <v>1</v>
      </c>
      <c r="L223" s="3388"/>
      <c r="M223" s="3387">
        <f t="shared" si="52"/>
        <v>1</v>
      </c>
      <c r="N223" s="3388"/>
      <c r="O223" s="3387">
        <f t="shared" si="53"/>
        <v>1</v>
      </c>
      <c r="P223" s="3388"/>
      <c r="Q223" s="3387">
        <f t="shared" si="54"/>
        <v>0</v>
      </c>
      <c r="R223" s="2973">
        <f t="shared" si="55"/>
        <v>0</v>
      </c>
      <c r="S223" s="2850">
        <f t="shared" ref="S223:S286" si="56">ROUND(R223*B223/10000,0)</f>
        <v>0</v>
      </c>
    </row>
    <row r="224" spans="1:19">
      <c r="A224" s="3389"/>
      <c r="B224" s="3386"/>
      <c r="C224" s="3387">
        <f t="shared" si="47"/>
        <v>1</v>
      </c>
      <c r="D224" s="3388"/>
      <c r="E224" s="3387">
        <f t="shared" si="48"/>
        <v>0</v>
      </c>
      <c r="F224" s="3388"/>
      <c r="G224" s="3387">
        <f t="shared" si="49"/>
        <v>1</v>
      </c>
      <c r="H224" s="3388"/>
      <c r="I224" s="3387">
        <f t="shared" si="50"/>
        <v>1</v>
      </c>
      <c r="J224" s="3388"/>
      <c r="K224" s="3387">
        <f t="shared" si="51"/>
        <v>1</v>
      </c>
      <c r="L224" s="3388"/>
      <c r="M224" s="3387">
        <f t="shared" si="52"/>
        <v>1</v>
      </c>
      <c r="N224" s="3388"/>
      <c r="O224" s="3387">
        <f t="shared" si="53"/>
        <v>1</v>
      </c>
      <c r="P224" s="3388"/>
      <c r="Q224" s="3387">
        <f t="shared" si="54"/>
        <v>0</v>
      </c>
      <c r="R224" s="2973">
        <f t="shared" si="55"/>
        <v>0</v>
      </c>
      <c r="S224" s="2850">
        <f t="shared" si="56"/>
        <v>0</v>
      </c>
    </row>
    <row r="225" spans="1:19">
      <c r="A225" s="3389"/>
      <c r="B225" s="3386"/>
      <c r="C225" s="3387">
        <f t="shared" si="47"/>
        <v>1</v>
      </c>
      <c r="D225" s="3388"/>
      <c r="E225" s="3387">
        <f t="shared" si="48"/>
        <v>0</v>
      </c>
      <c r="F225" s="3388"/>
      <c r="G225" s="3387">
        <f t="shared" si="49"/>
        <v>1</v>
      </c>
      <c r="H225" s="3388"/>
      <c r="I225" s="3387">
        <f t="shared" si="50"/>
        <v>1</v>
      </c>
      <c r="J225" s="3388"/>
      <c r="K225" s="3387">
        <f t="shared" si="51"/>
        <v>1</v>
      </c>
      <c r="L225" s="3388"/>
      <c r="M225" s="3387">
        <f t="shared" si="52"/>
        <v>1</v>
      </c>
      <c r="N225" s="3388"/>
      <c r="O225" s="3387">
        <f t="shared" si="53"/>
        <v>1</v>
      </c>
      <c r="P225" s="3388"/>
      <c r="Q225" s="3387">
        <f t="shared" si="54"/>
        <v>0</v>
      </c>
      <c r="R225" s="2973">
        <f t="shared" si="55"/>
        <v>0</v>
      </c>
      <c r="S225" s="2850">
        <f t="shared" si="56"/>
        <v>0</v>
      </c>
    </row>
    <row r="226" spans="1:19">
      <c r="A226" s="3389"/>
      <c r="B226" s="3386"/>
      <c r="C226" s="3387">
        <f t="shared" si="47"/>
        <v>1</v>
      </c>
      <c r="D226" s="3388"/>
      <c r="E226" s="3387">
        <f t="shared" si="48"/>
        <v>0</v>
      </c>
      <c r="F226" s="3388"/>
      <c r="G226" s="3387">
        <f t="shared" si="49"/>
        <v>1</v>
      </c>
      <c r="H226" s="3388"/>
      <c r="I226" s="3387">
        <f t="shared" si="50"/>
        <v>1</v>
      </c>
      <c r="J226" s="3388"/>
      <c r="K226" s="3387">
        <f t="shared" si="51"/>
        <v>1</v>
      </c>
      <c r="L226" s="3388"/>
      <c r="M226" s="3387">
        <f t="shared" si="52"/>
        <v>1</v>
      </c>
      <c r="N226" s="3388"/>
      <c r="O226" s="3387">
        <f t="shared" si="53"/>
        <v>1</v>
      </c>
      <c r="P226" s="3388"/>
      <c r="Q226" s="3387">
        <f t="shared" si="54"/>
        <v>0</v>
      </c>
      <c r="R226" s="2973">
        <f t="shared" si="55"/>
        <v>0</v>
      </c>
      <c r="S226" s="2850">
        <f t="shared" si="56"/>
        <v>0</v>
      </c>
    </row>
    <row r="227" spans="1:19">
      <c r="A227" s="3389"/>
      <c r="B227" s="3386"/>
      <c r="C227" s="3387">
        <f t="shared" si="47"/>
        <v>1</v>
      </c>
      <c r="D227" s="3388"/>
      <c r="E227" s="3387">
        <f t="shared" si="48"/>
        <v>0</v>
      </c>
      <c r="F227" s="3388"/>
      <c r="G227" s="3387">
        <f t="shared" si="49"/>
        <v>1</v>
      </c>
      <c r="H227" s="3388"/>
      <c r="I227" s="3387">
        <f t="shared" si="50"/>
        <v>1</v>
      </c>
      <c r="J227" s="3388"/>
      <c r="K227" s="3387">
        <f t="shared" si="51"/>
        <v>1</v>
      </c>
      <c r="L227" s="3388"/>
      <c r="M227" s="3387">
        <f t="shared" si="52"/>
        <v>1</v>
      </c>
      <c r="N227" s="3388"/>
      <c r="O227" s="3387">
        <f t="shared" si="53"/>
        <v>1</v>
      </c>
      <c r="P227" s="3388"/>
      <c r="Q227" s="3387">
        <f t="shared" si="54"/>
        <v>0</v>
      </c>
      <c r="R227" s="2973">
        <f t="shared" si="55"/>
        <v>0</v>
      </c>
      <c r="S227" s="2850">
        <f t="shared" si="56"/>
        <v>0</v>
      </c>
    </row>
    <row r="228" spans="1:19">
      <c r="A228" s="3389"/>
      <c r="B228" s="3386"/>
      <c r="C228" s="3387">
        <f t="shared" si="47"/>
        <v>1</v>
      </c>
      <c r="D228" s="3388"/>
      <c r="E228" s="3387">
        <f t="shared" si="48"/>
        <v>0</v>
      </c>
      <c r="F228" s="3388"/>
      <c r="G228" s="3387">
        <f t="shared" si="49"/>
        <v>1</v>
      </c>
      <c r="H228" s="3388"/>
      <c r="I228" s="3387">
        <f t="shared" si="50"/>
        <v>1</v>
      </c>
      <c r="J228" s="3388"/>
      <c r="K228" s="3387">
        <f t="shared" si="51"/>
        <v>1</v>
      </c>
      <c r="L228" s="3388"/>
      <c r="M228" s="3387">
        <f t="shared" si="52"/>
        <v>1</v>
      </c>
      <c r="N228" s="3388"/>
      <c r="O228" s="3387">
        <f t="shared" si="53"/>
        <v>1</v>
      </c>
      <c r="P228" s="3388"/>
      <c r="Q228" s="3387">
        <f t="shared" si="54"/>
        <v>0</v>
      </c>
      <c r="R228" s="2973">
        <f t="shared" si="55"/>
        <v>0</v>
      </c>
      <c r="S228" s="2850">
        <f t="shared" si="56"/>
        <v>0</v>
      </c>
    </row>
    <row r="229" spans="1:19">
      <c r="A229" s="3389"/>
      <c r="B229" s="3386"/>
      <c r="C229" s="3387">
        <f t="shared" si="47"/>
        <v>1</v>
      </c>
      <c r="D229" s="3388"/>
      <c r="E229" s="3387">
        <f t="shared" si="48"/>
        <v>0</v>
      </c>
      <c r="F229" s="3388"/>
      <c r="G229" s="3387">
        <f t="shared" si="49"/>
        <v>1</v>
      </c>
      <c r="H229" s="3388"/>
      <c r="I229" s="3387">
        <f t="shared" si="50"/>
        <v>1</v>
      </c>
      <c r="J229" s="3388"/>
      <c r="K229" s="3387">
        <f t="shared" si="51"/>
        <v>1</v>
      </c>
      <c r="L229" s="3388"/>
      <c r="M229" s="3387">
        <f t="shared" si="52"/>
        <v>1</v>
      </c>
      <c r="N229" s="3388"/>
      <c r="O229" s="3387">
        <f t="shared" si="53"/>
        <v>1</v>
      </c>
      <c r="P229" s="3388"/>
      <c r="Q229" s="3387">
        <f t="shared" si="54"/>
        <v>0</v>
      </c>
      <c r="R229" s="2973">
        <f t="shared" si="55"/>
        <v>0</v>
      </c>
      <c r="S229" s="2850">
        <f t="shared" si="56"/>
        <v>0</v>
      </c>
    </row>
    <row r="230" spans="1:19">
      <c r="A230" s="3389"/>
      <c r="B230" s="3386"/>
      <c r="C230" s="3387">
        <f t="shared" si="47"/>
        <v>1</v>
      </c>
      <c r="D230" s="3388"/>
      <c r="E230" s="3387">
        <f t="shared" si="48"/>
        <v>0</v>
      </c>
      <c r="F230" s="3388"/>
      <c r="G230" s="3387">
        <f t="shared" si="49"/>
        <v>1</v>
      </c>
      <c r="H230" s="3388"/>
      <c r="I230" s="3387">
        <f t="shared" si="50"/>
        <v>1</v>
      </c>
      <c r="J230" s="3388"/>
      <c r="K230" s="3387">
        <f t="shared" si="51"/>
        <v>1</v>
      </c>
      <c r="L230" s="3388"/>
      <c r="M230" s="3387">
        <f t="shared" si="52"/>
        <v>1</v>
      </c>
      <c r="N230" s="3388"/>
      <c r="O230" s="3387">
        <f t="shared" si="53"/>
        <v>1</v>
      </c>
      <c r="P230" s="3388"/>
      <c r="Q230" s="3387">
        <f t="shared" si="54"/>
        <v>0</v>
      </c>
      <c r="R230" s="2973">
        <f t="shared" si="55"/>
        <v>0</v>
      </c>
      <c r="S230" s="2850">
        <f t="shared" si="56"/>
        <v>0</v>
      </c>
    </row>
    <row r="231" spans="1:19">
      <c r="A231" s="3389"/>
      <c r="B231" s="3386"/>
      <c r="C231" s="3387">
        <f t="shared" si="47"/>
        <v>1</v>
      </c>
      <c r="D231" s="3388"/>
      <c r="E231" s="3387">
        <f t="shared" si="48"/>
        <v>0</v>
      </c>
      <c r="F231" s="3388"/>
      <c r="G231" s="3387">
        <f t="shared" si="49"/>
        <v>1</v>
      </c>
      <c r="H231" s="3388"/>
      <c r="I231" s="3387">
        <f t="shared" si="50"/>
        <v>1</v>
      </c>
      <c r="J231" s="3388"/>
      <c r="K231" s="3387">
        <f t="shared" si="51"/>
        <v>1</v>
      </c>
      <c r="L231" s="3388"/>
      <c r="M231" s="3387">
        <f t="shared" si="52"/>
        <v>1</v>
      </c>
      <c r="N231" s="3388"/>
      <c r="O231" s="3387">
        <f t="shared" si="53"/>
        <v>1</v>
      </c>
      <c r="P231" s="3388"/>
      <c r="Q231" s="3387">
        <f t="shared" si="54"/>
        <v>0</v>
      </c>
      <c r="R231" s="2973">
        <f t="shared" si="55"/>
        <v>0</v>
      </c>
      <c r="S231" s="2850">
        <f t="shared" si="56"/>
        <v>0</v>
      </c>
    </row>
    <row r="232" spans="1:19">
      <c r="A232" s="3389"/>
      <c r="B232" s="3386"/>
      <c r="C232" s="3387">
        <f t="shared" si="47"/>
        <v>1</v>
      </c>
      <c r="D232" s="3388"/>
      <c r="E232" s="3387">
        <f t="shared" si="48"/>
        <v>0</v>
      </c>
      <c r="F232" s="3388"/>
      <c r="G232" s="3387">
        <f t="shared" si="49"/>
        <v>1</v>
      </c>
      <c r="H232" s="3388"/>
      <c r="I232" s="3387">
        <f t="shared" si="50"/>
        <v>1</v>
      </c>
      <c r="J232" s="3388"/>
      <c r="K232" s="3387">
        <f t="shared" si="51"/>
        <v>1</v>
      </c>
      <c r="L232" s="3388"/>
      <c r="M232" s="3387">
        <f t="shared" si="52"/>
        <v>1</v>
      </c>
      <c r="N232" s="3388"/>
      <c r="O232" s="3387">
        <f t="shared" si="53"/>
        <v>1</v>
      </c>
      <c r="P232" s="3388"/>
      <c r="Q232" s="3387">
        <f t="shared" si="54"/>
        <v>0</v>
      </c>
      <c r="R232" s="2973">
        <f t="shared" si="55"/>
        <v>0</v>
      </c>
      <c r="S232" s="2850">
        <f t="shared" si="56"/>
        <v>0</v>
      </c>
    </row>
    <row r="233" spans="1:19">
      <c r="A233" s="3389"/>
      <c r="B233" s="3386"/>
      <c r="C233" s="3387">
        <f t="shared" si="47"/>
        <v>1</v>
      </c>
      <c r="D233" s="3388"/>
      <c r="E233" s="3387">
        <f t="shared" si="48"/>
        <v>0</v>
      </c>
      <c r="F233" s="3388"/>
      <c r="G233" s="3387">
        <f t="shared" si="49"/>
        <v>1</v>
      </c>
      <c r="H233" s="3388"/>
      <c r="I233" s="3387">
        <f t="shared" si="50"/>
        <v>1</v>
      </c>
      <c r="J233" s="3388"/>
      <c r="K233" s="3387">
        <f t="shared" si="51"/>
        <v>1</v>
      </c>
      <c r="L233" s="3388"/>
      <c r="M233" s="3387">
        <f t="shared" si="52"/>
        <v>1</v>
      </c>
      <c r="N233" s="3388"/>
      <c r="O233" s="3387">
        <f t="shared" si="53"/>
        <v>1</v>
      </c>
      <c r="P233" s="3388"/>
      <c r="Q233" s="3387">
        <f t="shared" si="54"/>
        <v>0</v>
      </c>
      <c r="R233" s="2973">
        <f t="shared" si="55"/>
        <v>0</v>
      </c>
      <c r="S233" s="2850">
        <f t="shared" si="56"/>
        <v>0</v>
      </c>
    </row>
    <row r="234" spans="1:19">
      <c r="A234" s="3389"/>
      <c r="B234" s="3386"/>
      <c r="C234" s="3387">
        <f t="shared" si="47"/>
        <v>1</v>
      </c>
      <c r="D234" s="3388"/>
      <c r="E234" s="3387">
        <f t="shared" si="48"/>
        <v>0</v>
      </c>
      <c r="F234" s="3388"/>
      <c r="G234" s="3387">
        <f t="shared" si="49"/>
        <v>1</v>
      </c>
      <c r="H234" s="3388"/>
      <c r="I234" s="3387">
        <f t="shared" si="50"/>
        <v>1</v>
      </c>
      <c r="J234" s="3388"/>
      <c r="K234" s="3387">
        <f t="shared" si="51"/>
        <v>1</v>
      </c>
      <c r="L234" s="3388"/>
      <c r="M234" s="3387">
        <f t="shared" si="52"/>
        <v>1</v>
      </c>
      <c r="N234" s="3388"/>
      <c r="O234" s="3387">
        <f t="shared" si="53"/>
        <v>1</v>
      </c>
      <c r="P234" s="3388"/>
      <c r="Q234" s="3387">
        <f t="shared" si="54"/>
        <v>0</v>
      </c>
      <c r="R234" s="2973">
        <f t="shared" si="55"/>
        <v>0</v>
      </c>
      <c r="S234" s="2850">
        <f t="shared" si="56"/>
        <v>0</v>
      </c>
    </row>
    <row r="235" spans="1:19">
      <c r="A235" s="3389"/>
      <c r="B235" s="3386"/>
      <c r="C235" s="3387">
        <f t="shared" si="47"/>
        <v>1</v>
      </c>
      <c r="D235" s="3388"/>
      <c r="E235" s="3387">
        <f t="shared" si="48"/>
        <v>0</v>
      </c>
      <c r="F235" s="3388"/>
      <c r="G235" s="3387">
        <f t="shared" si="49"/>
        <v>1</v>
      </c>
      <c r="H235" s="3388"/>
      <c r="I235" s="3387">
        <f t="shared" si="50"/>
        <v>1</v>
      </c>
      <c r="J235" s="3388"/>
      <c r="K235" s="3387">
        <f t="shared" si="51"/>
        <v>1</v>
      </c>
      <c r="L235" s="3388"/>
      <c r="M235" s="3387">
        <f t="shared" si="52"/>
        <v>1</v>
      </c>
      <c r="N235" s="3388"/>
      <c r="O235" s="3387">
        <f t="shared" si="53"/>
        <v>1</v>
      </c>
      <c r="P235" s="3388"/>
      <c r="Q235" s="3387">
        <f t="shared" si="54"/>
        <v>0</v>
      </c>
      <c r="R235" s="2973">
        <f t="shared" si="55"/>
        <v>0</v>
      </c>
      <c r="S235" s="2850">
        <f t="shared" si="56"/>
        <v>0</v>
      </c>
    </row>
    <row r="236" spans="1:19">
      <c r="A236" s="3389"/>
      <c r="B236" s="3386"/>
      <c r="C236" s="3387">
        <f t="shared" si="47"/>
        <v>1</v>
      </c>
      <c r="D236" s="3388"/>
      <c r="E236" s="3387">
        <f t="shared" si="48"/>
        <v>0</v>
      </c>
      <c r="F236" s="3388"/>
      <c r="G236" s="3387">
        <f t="shared" si="49"/>
        <v>1</v>
      </c>
      <c r="H236" s="3388"/>
      <c r="I236" s="3387">
        <f t="shared" si="50"/>
        <v>1</v>
      </c>
      <c r="J236" s="3388"/>
      <c r="K236" s="3387">
        <f t="shared" si="51"/>
        <v>1</v>
      </c>
      <c r="L236" s="3388"/>
      <c r="M236" s="3387">
        <f t="shared" si="52"/>
        <v>1</v>
      </c>
      <c r="N236" s="3388"/>
      <c r="O236" s="3387">
        <f t="shared" si="53"/>
        <v>1</v>
      </c>
      <c r="P236" s="3388"/>
      <c r="Q236" s="3387">
        <f t="shared" si="54"/>
        <v>0</v>
      </c>
      <c r="R236" s="2973">
        <f t="shared" si="55"/>
        <v>0</v>
      </c>
      <c r="S236" s="2850">
        <f t="shared" si="56"/>
        <v>0</v>
      </c>
    </row>
    <row r="237" spans="1:19">
      <c r="A237" s="3389"/>
      <c r="B237" s="3386"/>
      <c r="C237" s="3387">
        <f t="shared" si="47"/>
        <v>1</v>
      </c>
      <c r="D237" s="3388"/>
      <c r="E237" s="3387">
        <f t="shared" si="48"/>
        <v>0</v>
      </c>
      <c r="F237" s="3388"/>
      <c r="G237" s="3387">
        <f t="shared" si="49"/>
        <v>1</v>
      </c>
      <c r="H237" s="3388"/>
      <c r="I237" s="3387">
        <f t="shared" si="50"/>
        <v>1</v>
      </c>
      <c r="J237" s="3388"/>
      <c r="K237" s="3387">
        <f t="shared" si="51"/>
        <v>1</v>
      </c>
      <c r="L237" s="3388"/>
      <c r="M237" s="3387">
        <f t="shared" si="52"/>
        <v>1</v>
      </c>
      <c r="N237" s="3388"/>
      <c r="O237" s="3387">
        <f t="shared" si="53"/>
        <v>1</v>
      </c>
      <c r="P237" s="3388"/>
      <c r="Q237" s="3387">
        <f t="shared" si="54"/>
        <v>0</v>
      </c>
      <c r="R237" s="2973">
        <f t="shared" si="55"/>
        <v>0</v>
      </c>
      <c r="S237" s="2850">
        <f t="shared" si="56"/>
        <v>0</v>
      </c>
    </row>
    <row r="238" spans="1:19">
      <c r="A238" s="3389"/>
      <c r="B238" s="3386"/>
      <c r="C238" s="3387">
        <f t="shared" si="47"/>
        <v>1</v>
      </c>
      <c r="D238" s="3388"/>
      <c r="E238" s="3387">
        <f t="shared" si="48"/>
        <v>0</v>
      </c>
      <c r="F238" s="3388"/>
      <c r="G238" s="3387">
        <f t="shared" si="49"/>
        <v>1</v>
      </c>
      <c r="H238" s="3388"/>
      <c r="I238" s="3387">
        <f t="shared" si="50"/>
        <v>1</v>
      </c>
      <c r="J238" s="3388"/>
      <c r="K238" s="3387">
        <f t="shared" si="51"/>
        <v>1</v>
      </c>
      <c r="L238" s="3388"/>
      <c r="M238" s="3387">
        <f t="shared" si="52"/>
        <v>1</v>
      </c>
      <c r="N238" s="3388"/>
      <c r="O238" s="3387">
        <f t="shared" si="53"/>
        <v>1</v>
      </c>
      <c r="P238" s="3388"/>
      <c r="Q238" s="3387">
        <f t="shared" si="54"/>
        <v>0</v>
      </c>
      <c r="R238" s="2973">
        <f t="shared" si="55"/>
        <v>0</v>
      </c>
      <c r="S238" s="2850">
        <f t="shared" si="56"/>
        <v>0</v>
      </c>
    </row>
    <row r="239" spans="1:19">
      <c r="A239" s="3389"/>
      <c r="B239" s="3386"/>
      <c r="C239" s="3387">
        <f t="shared" si="47"/>
        <v>1</v>
      </c>
      <c r="D239" s="3388"/>
      <c r="E239" s="3387">
        <f t="shared" si="48"/>
        <v>0</v>
      </c>
      <c r="F239" s="3388"/>
      <c r="G239" s="3387">
        <f t="shared" si="49"/>
        <v>1</v>
      </c>
      <c r="H239" s="3388"/>
      <c r="I239" s="3387">
        <f t="shared" si="50"/>
        <v>1</v>
      </c>
      <c r="J239" s="3388"/>
      <c r="K239" s="3387">
        <f t="shared" si="51"/>
        <v>1</v>
      </c>
      <c r="L239" s="3388"/>
      <c r="M239" s="3387">
        <f t="shared" si="52"/>
        <v>1</v>
      </c>
      <c r="N239" s="3388"/>
      <c r="O239" s="3387">
        <f t="shared" si="53"/>
        <v>1</v>
      </c>
      <c r="P239" s="3388"/>
      <c r="Q239" s="3387">
        <f t="shared" si="54"/>
        <v>0</v>
      </c>
      <c r="R239" s="2973">
        <f t="shared" si="55"/>
        <v>0</v>
      </c>
      <c r="S239" s="2850">
        <f t="shared" si="56"/>
        <v>0</v>
      </c>
    </row>
    <row r="240" spans="1:19">
      <c r="A240" s="3389"/>
      <c r="B240" s="3386"/>
      <c r="C240" s="3387">
        <f t="shared" si="47"/>
        <v>1</v>
      </c>
      <c r="D240" s="3388"/>
      <c r="E240" s="3387">
        <f t="shared" si="48"/>
        <v>0</v>
      </c>
      <c r="F240" s="3388"/>
      <c r="G240" s="3387">
        <f t="shared" si="49"/>
        <v>1</v>
      </c>
      <c r="H240" s="3388"/>
      <c r="I240" s="3387">
        <f t="shared" si="50"/>
        <v>1</v>
      </c>
      <c r="J240" s="3388"/>
      <c r="K240" s="3387">
        <f t="shared" si="51"/>
        <v>1</v>
      </c>
      <c r="L240" s="3388"/>
      <c r="M240" s="3387">
        <f t="shared" si="52"/>
        <v>1</v>
      </c>
      <c r="N240" s="3388"/>
      <c r="O240" s="3387">
        <f t="shared" si="53"/>
        <v>1</v>
      </c>
      <c r="P240" s="3388"/>
      <c r="Q240" s="3387">
        <f t="shared" si="54"/>
        <v>0</v>
      </c>
      <c r="R240" s="2973">
        <f t="shared" si="55"/>
        <v>0</v>
      </c>
      <c r="S240" s="2850">
        <f t="shared" si="56"/>
        <v>0</v>
      </c>
    </row>
    <row r="241" spans="1:19">
      <c r="A241" s="3389"/>
      <c r="B241" s="3386"/>
      <c r="C241" s="3387">
        <f t="shared" si="47"/>
        <v>1</v>
      </c>
      <c r="D241" s="3388"/>
      <c r="E241" s="3387">
        <f t="shared" si="48"/>
        <v>0</v>
      </c>
      <c r="F241" s="3388"/>
      <c r="G241" s="3387">
        <f t="shared" si="49"/>
        <v>1</v>
      </c>
      <c r="H241" s="3388"/>
      <c r="I241" s="3387">
        <f t="shared" si="50"/>
        <v>1</v>
      </c>
      <c r="J241" s="3388"/>
      <c r="K241" s="3387">
        <f t="shared" si="51"/>
        <v>1</v>
      </c>
      <c r="L241" s="3388"/>
      <c r="M241" s="3387">
        <f t="shared" si="52"/>
        <v>1</v>
      </c>
      <c r="N241" s="3388"/>
      <c r="O241" s="3387">
        <f t="shared" si="53"/>
        <v>1</v>
      </c>
      <c r="P241" s="3388"/>
      <c r="Q241" s="3387">
        <f t="shared" si="54"/>
        <v>0</v>
      </c>
      <c r="R241" s="2973">
        <f t="shared" si="55"/>
        <v>0</v>
      </c>
      <c r="S241" s="2850">
        <f t="shared" si="56"/>
        <v>0</v>
      </c>
    </row>
    <row r="242" spans="1:19">
      <c r="A242" s="3389"/>
      <c r="B242" s="3386"/>
      <c r="C242" s="3387">
        <f t="shared" si="47"/>
        <v>1</v>
      </c>
      <c r="D242" s="3388"/>
      <c r="E242" s="3387">
        <f t="shared" si="48"/>
        <v>0</v>
      </c>
      <c r="F242" s="3388"/>
      <c r="G242" s="3387">
        <f t="shared" si="49"/>
        <v>1</v>
      </c>
      <c r="H242" s="3388"/>
      <c r="I242" s="3387">
        <f t="shared" si="50"/>
        <v>1</v>
      </c>
      <c r="J242" s="3388"/>
      <c r="K242" s="3387">
        <f t="shared" si="51"/>
        <v>1</v>
      </c>
      <c r="L242" s="3388"/>
      <c r="M242" s="3387">
        <f t="shared" si="52"/>
        <v>1</v>
      </c>
      <c r="N242" s="3388"/>
      <c r="O242" s="3387">
        <f t="shared" si="53"/>
        <v>1</v>
      </c>
      <c r="P242" s="3388"/>
      <c r="Q242" s="3387">
        <f t="shared" si="54"/>
        <v>0</v>
      </c>
      <c r="R242" s="2973">
        <f t="shared" si="55"/>
        <v>0</v>
      </c>
      <c r="S242" s="2850">
        <f t="shared" si="56"/>
        <v>0</v>
      </c>
    </row>
    <row r="243" spans="1:19">
      <c r="A243" s="3389"/>
      <c r="B243" s="3386"/>
      <c r="C243" s="3387">
        <f t="shared" si="47"/>
        <v>1</v>
      </c>
      <c r="D243" s="3388"/>
      <c r="E243" s="3387">
        <f t="shared" si="48"/>
        <v>0</v>
      </c>
      <c r="F243" s="3388"/>
      <c r="G243" s="3387">
        <f t="shared" si="49"/>
        <v>1</v>
      </c>
      <c r="H243" s="3388"/>
      <c r="I243" s="3387">
        <f t="shared" si="50"/>
        <v>1</v>
      </c>
      <c r="J243" s="3388"/>
      <c r="K243" s="3387">
        <f t="shared" si="51"/>
        <v>1</v>
      </c>
      <c r="L243" s="3388"/>
      <c r="M243" s="3387">
        <f t="shared" si="52"/>
        <v>1</v>
      </c>
      <c r="N243" s="3388"/>
      <c r="O243" s="3387">
        <f t="shared" si="53"/>
        <v>1</v>
      </c>
      <c r="P243" s="3388"/>
      <c r="Q243" s="3387">
        <f t="shared" si="54"/>
        <v>0</v>
      </c>
      <c r="R243" s="2973">
        <f t="shared" si="55"/>
        <v>0</v>
      </c>
      <c r="S243" s="2850">
        <f t="shared" si="56"/>
        <v>0</v>
      </c>
    </row>
    <row r="244" spans="1:19">
      <c r="A244" s="3389"/>
      <c r="B244" s="3386"/>
      <c r="C244" s="3387">
        <f t="shared" si="47"/>
        <v>1</v>
      </c>
      <c r="D244" s="3388"/>
      <c r="E244" s="3387">
        <f t="shared" si="48"/>
        <v>0</v>
      </c>
      <c r="F244" s="3388"/>
      <c r="G244" s="3387">
        <f t="shared" si="49"/>
        <v>1</v>
      </c>
      <c r="H244" s="3388"/>
      <c r="I244" s="3387">
        <f t="shared" si="50"/>
        <v>1</v>
      </c>
      <c r="J244" s="3388"/>
      <c r="K244" s="3387">
        <f t="shared" si="51"/>
        <v>1</v>
      </c>
      <c r="L244" s="3388"/>
      <c r="M244" s="3387">
        <f t="shared" si="52"/>
        <v>1</v>
      </c>
      <c r="N244" s="3388"/>
      <c r="O244" s="3387">
        <f t="shared" si="53"/>
        <v>1</v>
      </c>
      <c r="P244" s="3388"/>
      <c r="Q244" s="3387">
        <f t="shared" si="54"/>
        <v>0</v>
      </c>
      <c r="R244" s="2973">
        <f t="shared" si="55"/>
        <v>0</v>
      </c>
      <c r="S244" s="2850">
        <f t="shared" si="56"/>
        <v>0</v>
      </c>
    </row>
    <row r="245" spans="1:19">
      <c r="A245" s="3389"/>
      <c r="B245" s="3386"/>
      <c r="C245" s="3387">
        <f t="shared" si="47"/>
        <v>1</v>
      </c>
      <c r="D245" s="3388"/>
      <c r="E245" s="3387">
        <f t="shared" si="48"/>
        <v>0</v>
      </c>
      <c r="F245" s="3388"/>
      <c r="G245" s="3387">
        <f t="shared" si="49"/>
        <v>1</v>
      </c>
      <c r="H245" s="3388"/>
      <c r="I245" s="3387">
        <f t="shared" si="50"/>
        <v>1</v>
      </c>
      <c r="J245" s="3388"/>
      <c r="K245" s="3387">
        <f t="shared" si="51"/>
        <v>1</v>
      </c>
      <c r="L245" s="3388"/>
      <c r="M245" s="3387">
        <f t="shared" si="52"/>
        <v>1</v>
      </c>
      <c r="N245" s="3388"/>
      <c r="O245" s="3387">
        <f t="shared" si="53"/>
        <v>1</v>
      </c>
      <c r="P245" s="3388"/>
      <c r="Q245" s="3387">
        <f t="shared" si="54"/>
        <v>0</v>
      </c>
      <c r="R245" s="2973">
        <f t="shared" si="55"/>
        <v>0</v>
      </c>
      <c r="S245" s="2850">
        <f t="shared" si="56"/>
        <v>0</v>
      </c>
    </row>
    <row r="246" spans="1:19">
      <c r="A246" s="3389"/>
      <c r="B246" s="3386"/>
      <c r="C246" s="3387">
        <f t="shared" si="47"/>
        <v>1</v>
      </c>
      <c r="D246" s="3388"/>
      <c r="E246" s="3387">
        <f t="shared" si="48"/>
        <v>0</v>
      </c>
      <c r="F246" s="3388"/>
      <c r="G246" s="3387">
        <f t="shared" si="49"/>
        <v>1</v>
      </c>
      <c r="H246" s="3388"/>
      <c r="I246" s="3387">
        <f t="shared" si="50"/>
        <v>1</v>
      </c>
      <c r="J246" s="3388"/>
      <c r="K246" s="3387">
        <f t="shared" si="51"/>
        <v>1</v>
      </c>
      <c r="L246" s="3388"/>
      <c r="M246" s="3387">
        <f t="shared" si="52"/>
        <v>1</v>
      </c>
      <c r="N246" s="3388"/>
      <c r="O246" s="3387">
        <f t="shared" si="53"/>
        <v>1</v>
      </c>
      <c r="P246" s="3388"/>
      <c r="Q246" s="3387">
        <f t="shared" si="54"/>
        <v>0</v>
      </c>
      <c r="R246" s="2973">
        <f t="shared" si="55"/>
        <v>0</v>
      </c>
      <c r="S246" s="2850">
        <f t="shared" si="56"/>
        <v>0</v>
      </c>
    </row>
    <row r="247" spans="1:19">
      <c r="A247" s="3389"/>
      <c r="B247" s="3386"/>
      <c r="C247" s="3387">
        <f t="shared" si="47"/>
        <v>1</v>
      </c>
      <c r="D247" s="3388"/>
      <c r="E247" s="3387">
        <f t="shared" si="48"/>
        <v>0</v>
      </c>
      <c r="F247" s="3388"/>
      <c r="G247" s="3387">
        <f t="shared" si="49"/>
        <v>1</v>
      </c>
      <c r="H247" s="3388"/>
      <c r="I247" s="3387">
        <f t="shared" si="50"/>
        <v>1</v>
      </c>
      <c r="J247" s="3388"/>
      <c r="K247" s="3387">
        <f t="shared" si="51"/>
        <v>1</v>
      </c>
      <c r="L247" s="3388"/>
      <c r="M247" s="3387">
        <f t="shared" si="52"/>
        <v>1</v>
      </c>
      <c r="N247" s="3388"/>
      <c r="O247" s="3387">
        <f t="shared" si="53"/>
        <v>1</v>
      </c>
      <c r="P247" s="3388"/>
      <c r="Q247" s="3387">
        <f t="shared" si="54"/>
        <v>0</v>
      </c>
      <c r="R247" s="2973">
        <f t="shared" si="55"/>
        <v>0</v>
      </c>
      <c r="S247" s="2850">
        <f t="shared" si="56"/>
        <v>0</v>
      </c>
    </row>
    <row r="248" spans="1:19">
      <c r="A248" s="3389"/>
      <c r="B248" s="3386"/>
      <c r="C248" s="3387">
        <f t="shared" si="47"/>
        <v>1</v>
      </c>
      <c r="D248" s="3388"/>
      <c r="E248" s="3387">
        <f t="shared" si="48"/>
        <v>0</v>
      </c>
      <c r="F248" s="3388"/>
      <c r="G248" s="3387">
        <f t="shared" si="49"/>
        <v>1</v>
      </c>
      <c r="H248" s="3388"/>
      <c r="I248" s="3387">
        <f t="shared" si="50"/>
        <v>1</v>
      </c>
      <c r="J248" s="3388"/>
      <c r="K248" s="3387">
        <f t="shared" si="51"/>
        <v>1</v>
      </c>
      <c r="L248" s="3388"/>
      <c r="M248" s="3387">
        <f t="shared" si="52"/>
        <v>1</v>
      </c>
      <c r="N248" s="3388"/>
      <c r="O248" s="3387">
        <f t="shared" si="53"/>
        <v>1</v>
      </c>
      <c r="P248" s="3388"/>
      <c r="Q248" s="3387">
        <f t="shared" si="54"/>
        <v>0</v>
      </c>
      <c r="R248" s="2973">
        <f t="shared" si="55"/>
        <v>0</v>
      </c>
      <c r="S248" s="2850">
        <f t="shared" si="56"/>
        <v>0</v>
      </c>
    </row>
    <row r="249" spans="1:19">
      <c r="A249" s="3389"/>
      <c r="B249" s="3386"/>
      <c r="C249" s="3387">
        <f t="shared" si="47"/>
        <v>1</v>
      </c>
      <c r="D249" s="3388"/>
      <c r="E249" s="3387">
        <f t="shared" si="48"/>
        <v>0</v>
      </c>
      <c r="F249" s="3388"/>
      <c r="G249" s="3387">
        <f t="shared" si="49"/>
        <v>1</v>
      </c>
      <c r="H249" s="3388"/>
      <c r="I249" s="3387">
        <f t="shared" si="50"/>
        <v>1</v>
      </c>
      <c r="J249" s="3388"/>
      <c r="K249" s="3387">
        <f t="shared" si="51"/>
        <v>1</v>
      </c>
      <c r="L249" s="3388"/>
      <c r="M249" s="3387">
        <f t="shared" si="52"/>
        <v>1</v>
      </c>
      <c r="N249" s="3388"/>
      <c r="O249" s="3387">
        <f t="shared" si="53"/>
        <v>1</v>
      </c>
      <c r="P249" s="3388"/>
      <c r="Q249" s="3387">
        <f t="shared" si="54"/>
        <v>0</v>
      </c>
      <c r="R249" s="2973">
        <f t="shared" si="55"/>
        <v>0</v>
      </c>
      <c r="S249" s="2850">
        <f t="shared" si="56"/>
        <v>0</v>
      </c>
    </row>
    <row r="250" spans="1:19">
      <c r="A250" s="3389"/>
      <c r="B250" s="3386"/>
      <c r="C250" s="3387">
        <f t="shared" si="47"/>
        <v>1</v>
      </c>
      <c r="D250" s="3388"/>
      <c r="E250" s="3387">
        <f t="shared" si="48"/>
        <v>0</v>
      </c>
      <c r="F250" s="3388"/>
      <c r="G250" s="3387">
        <f t="shared" si="49"/>
        <v>1</v>
      </c>
      <c r="H250" s="3388"/>
      <c r="I250" s="3387">
        <f t="shared" si="50"/>
        <v>1</v>
      </c>
      <c r="J250" s="3388"/>
      <c r="K250" s="3387">
        <f t="shared" si="51"/>
        <v>1</v>
      </c>
      <c r="L250" s="3388"/>
      <c r="M250" s="3387">
        <f t="shared" si="52"/>
        <v>1</v>
      </c>
      <c r="N250" s="3388"/>
      <c r="O250" s="3387">
        <f t="shared" si="53"/>
        <v>1</v>
      </c>
      <c r="P250" s="3388"/>
      <c r="Q250" s="3387">
        <f t="shared" si="54"/>
        <v>0</v>
      </c>
      <c r="R250" s="2973">
        <f t="shared" si="55"/>
        <v>0</v>
      </c>
      <c r="S250" s="2850">
        <f t="shared" si="56"/>
        <v>0</v>
      </c>
    </row>
    <row r="251" spans="1:19">
      <c r="A251" s="3389"/>
      <c r="B251" s="3386"/>
      <c r="C251" s="3387">
        <f t="shared" si="47"/>
        <v>1</v>
      </c>
      <c r="D251" s="3388"/>
      <c r="E251" s="3387">
        <f t="shared" si="48"/>
        <v>0</v>
      </c>
      <c r="F251" s="3388"/>
      <c r="G251" s="3387">
        <f t="shared" si="49"/>
        <v>1</v>
      </c>
      <c r="H251" s="3388"/>
      <c r="I251" s="3387">
        <f t="shared" si="50"/>
        <v>1</v>
      </c>
      <c r="J251" s="3388"/>
      <c r="K251" s="3387">
        <f t="shared" si="51"/>
        <v>1</v>
      </c>
      <c r="L251" s="3388"/>
      <c r="M251" s="3387">
        <f t="shared" si="52"/>
        <v>1</v>
      </c>
      <c r="N251" s="3388"/>
      <c r="O251" s="3387">
        <f t="shared" si="53"/>
        <v>1</v>
      </c>
      <c r="P251" s="3388"/>
      <c r="Q251" s="3387">
        <f t="shared" si="54"/>
        <v>0</v>
      </c>
      <c r="R251" s="2973">
        <f t="shared" si="55"/>
        <v>0</v>
      </c>
      <c r="S251" s="2850">
        <f t="shared" si="56"/>
        <v>0</v>
      </c>
    </row>
    <row r="252" spans="1:19">
      <c r="A252" s="3389"/>
      <c r="B252" s="3386"/>
      <c r="C252" s="3387">
        <f t="shared" si="47"/>
        <v>1</v>
      </c>
      <c r="D252" s="3388"/>
      <c r="E252" s="3387">
        <f t="shared" si="48"/>
        <v>0</v>
      </c>
      <c r="F252" s="3388"/>
      <c r="G252" s="3387">
        <f t="shared" si="49"/>
        <v>1</v>
      </c>
      <c r="H252" s="3388"/>
      <c r="I252" s="3387">
        <f t="shared" si="50"/>
        <v>1</v>
      </c>
      <c r="J252" s="3388"/>
      <c r="K252" s="3387">
        <f t="shared" si="51"/>
        <v>1</v>
      </c>
      <c r="L252" s="3388"/>
      <c r="M252" s="3387">
        <f t="shared" si="52"/>
        <v>1</v>
      </c>
      <c r="N252" s="3388"/>
      <c r="O252" s="3387">
        <f t="shared" si="53"/>
        <v>1</v>
      </c>
      <c r="P252" s="3388"/>
      <c r="Q252" s="3387">
        <f t="shared" si="54"/>
        <v>0</v>
      </c>
      <c r="R252" s="2973">
        <f t="shared" si="55"/>
        <v>0</v>
      </c>
      <c r="S252" s="2850">
        <f t="shared" si="56"/>
        <v>0</v>
      </c>
    </row>
    <row r="253" spans="1:19">
      <c r="A253" s="3389"/>
      <c r="B253" s="3386"/>
      <c r="C253" s="3387">
        <f t="shared" si="47"/>
        <v>1</v>
      </c>
      <c r="D253" s="3388"/>
      <c r="E253" s="3387">
        <f t="shared" si="48"/>
        <v>0</v>
      </c>
      <c r="F253" s="3388"/>
      <c r="G253" s="3387">
        <f t="shared" si="49"/>
        <v>1</v>
      </c>
      <c r="H253" s="3388"/>
      <c r="I253" s="3387">
        <f t="shared" si="50"/>
        <v>1</v>
      </c>
      <c r="J253" s="3388"/>
      <c r="K253" s="3387">
        <f t="shared" si="51"/>
        <v>1</v>
      </c>
      <c r="L253" s="3388"/>
      <c r="M253" s="3387">
        <f t="shared" si="52"/>
        <v>1</v>
      </c>
      <c r="N253" s="3388"/>
      <c r="O253" s="3387">
        <f t="shared" si="53"/>
        <v>1</v>
      </c>
      <c r="P253" s="3388"/>
      <c r="Q253" s="3387">
        <f t="shared" si="54"/>
        <v>0</v>
      </c>
      <c r="R253" s="2973">
        <f t="shared" si="55"/>
        <v>0</v>
      </c>
      <c r="S253" s="2850">
        <f t="shared" si="56"/>
        <v>0</v>
      </c>
    </row>
    <row r="254" spans="1:19">
      <c r="A254" s="3389"/>
      <c r="B254" s="3386"/>
      <c r="C254" s="3387">
        <f t="shared" si="47"/>
        <v>1</v>
      </c>
      <c r="D254" s="3388"/>
      <c r="E254" s="3387">
        <f t="shared" si="48"/>
        <v>0</v>
      </c>
      <c r="F254" s="3388"/>
      <c r="G254" s="3387">
        <f t="shared" si="49"/>
        <v>1</v>
      </c>
      <c r="H254" s="3388"/>
      <c r="I254" s="3387">
        <f t="shared" si="50"/>
        <v>1</v>
      </c>
      <c r="J254" s="3388"/>
      <c r="K254" s="3387">
        <f t="shared" si="51"/>
        <v>1</v>
      </c>
      <c r="L254" s="3388"/>
      <c r="M254" s="3387">
        <f t="shared" si="52"/>
        <v>1</v>
      </c>
      <c r="N254" s="3388"/>
      <c r="O254" s="3387">
        <f t="shared" si="53"/>
        <v>1</v>
      </c>
      <c r="P254" s="3388"/>
      <c r="Q254" s="3387">
        <f t="shared" si="54"/>
        <v>0</v>
      </c>
      <c r="R254" s="2973">
        <f t="shared" si="55"/>
        <v>0</v>
      </c>
      <c r="S254" s="2850">
        <f t="shared" si="56"/>
        <v>0</v>
      </c>
    </row>
    <row r="255" spans="1:19">
      <c r="A255" s="3389"/>
      <c r="B255" s="3386"/>
      <c r="C255" s="3387">
        <f t="shared" si="47"/>
        <v>1</v>
      </c>
      <c r="D255" s="3388"/>
      <c r="E255" s="3387">
        <f t="shared" si="48"/>
        <v>0</v>
      </c>
      <c r="F255" s="3388"/>
      <c r="G255" s="3387">
        <f t="shared" si="49"/>
        <v>1</v>
      </c>
      <c r="H255" s="3388"/>
      <c r="I255" s="3387">
        <f t="shared" si="50"/>
        <v>1</v>
      </c>
      <c r="J255" s="3388"/>
      <c r="K255" s="3387">
        <f t="shared" si="51"/>
        <v>1</v>
      </c>
      <c r="L255" s="3388"/>
      <c r="M255" s="3387">
        <f t="shared" si="52"/>
        <v>1</v>
      </c>
      <c r="N255" s="3388"/>
      <c r="O255" s="3387">
        <f t="shared" si="53"/>
        <v>1</v>
      </c>
      <c r="P255" s="3388"/>
      <c r="Q255" s="3387">
        <f t="shared" si="54"/>
        <v>0</v>
      </c>
      <c r="R255" s="2973">
        <f t="shared" si="55"/>
        <v>0</v>
      </c>
      <c r="S255" s="2850">
        <f t="shared" si="56"/>
        <v>0</v>
      </c>
    </row>
    <row r="256" spans="1:19">
      <c r="A256" s="3389"/>
      <c r="B256" s="3386"/>
      <c r="C256" s="3387">
        <f t="shared" si="47"/>
        <v>1</v>
      </c>
      <c r="D256" s="3388"/>
      <c r="E256" s="3387">
        <f t="shared" si="48"/>
        <v>0</v>
      </c>
      <c r="F256" s="3388"/>
      <c r="G256" s="3387">
        <f t="shared" si="49"/>
        <v>1</v>
      </c>
      <c r="H256" s="3388"/>
      <c r="I256" s="3387">
        <f t="shared" si="50"/>
        <v>1</v>
      </c>
      <c r="J256" s="3388"/>
      <c r="K256" s="3387">
        <f t="shared" si="51"/>
        <v>1</v>
      </c>
      <c r="L256" s="3388"/>
      <c r="M256" s="3387">
        <f t="shared" si="52"/>
        <v>1</v>
      </c>
      <c r="N256" s="3388"/>
      <c r="O256" s="3387">
        <f t="shared" si="53"/>
        <v>1</v>
      </c>
      <c r="P256" s="3388"/>
      <c r="Q256" s="3387">
        <f t="shared" si="54"/>
        <v>0</v>
      </c>
      <c r="R256" s="2973">
        <f t="shared" si="55"/>
        <v>0</v>
      </c>
      <c r="S256" s="2850">
        <f t="shared" si="56"/>
        <v>0</v>
      </c>
    </row>
    <row r="257" spans="1:19">
      <c r="A257" s="3389"/>
      <c r="B257" s="3386"/>
      <c r="C257" s="3387">
        <f t="shared" si="47"/>
        <v>1</v>
      </c>
      <c r="D257" s="3388"/>
      <c r="E257" s="3387">
        <f t="shared" si="48"/>
        <v>0</v>
      </c>
      <c r="F257" s="3388"/>
      <c r="G257" s="3387">
        <f t="shared" si="49"/>
        <v>1</v>
      </c>
      <c r="H257" s="3388"/>
      <c r="I257" s="3387">
        <f t="shared" si="50"/>
        <v>1</v>
      </c>
      <c r="J257" s="3388"/>
      <c r="K257" s="3387">
        <f t="shared" si="51"/>
        <v>1</v>
      </c>
      <c r="L257" s="3388"/>
      <c r="M257" s="3387">
        <f t="shared" si="52"/>
        <v>1</v>
      </c>
      <c r="N257" s="3388"/>
      <c r="O257" s="3387">
        <f t="shared" si="53"/>
        <v>1</v>
      </c>
      <c r="P257" s="3388"/>
      <c r="Q257" s="3387">
        <f t="shared" si="54"/>
        <v>0</v>
      </c>
      <c r="R257" s="2973">
        <f t="shared" si="55"/>
        <v>0</v>
      </c>
      <c r="S257" s="2850">
        <f t="shared" si="56"/>
        <v>0</v>
      </c>
    </row>
    <row r="258" spans="1:19">
      <c r="A258" s="3389"/>
      <c r="B258" s="3386"/>
      <c r="C258" s="3387">
        <f t="shared" si="47"/>
        <v>1</v>
      </c>
      <c r="D258" s="3388"/>
      <c r="E258" s="3387">
        <f t="shared" si="48"/>
        <v>0</v>
      </c>
      <c r="F258" s="3388"/>
      <c r="G258" s="3387">
        <f t="shared" si="49"/>
        <v>1</v>
      </c>
      <c r="H258" s="3388"/>
      <c r="I258" s="3387">
        <f t="shared" si="50"/>
        <v>1</v>
      </c>
      <c r="J258" s="3388"/>
      <c r="K258" s="3387">
        <f t="shared" si="51"/>
        <v>1</v>
      </c>
      <c r="L258" s="3388"/>
      <c r="M258" s="3387">
        <f t="shared" si="52"/>
        <v>1</v>
      </c>
      <c r="N258" s="3388"/>
      <c r="O258" s="3387">
        <f t="shared" si="53"/>
        <v>1</v>
      </c>
      <c r="P258" s="3388"/>
      <c r="Q258" s="3387">
        <f t="shared" si="54"/>
        <v>0</v>
      </c>
      <c r="R258" s="2973">
        <f t="shared" si="55"/>
        <v>0</v>
      </c>
      <c r="S258" s="2850">
        <f t="shared" si="56"/>
        <v>0</v>
      </c>
    </row>
    <row r="259" spans="1:19">
      <c r="A259" s="3389"/>
      <c r="B259" s="3386"/>
      <c r="C259" s="3387">
        <f t="shared" si="47"/>
        <v>1</v>
      </c>
      <c r="D259" s="3388"/>
      <c r="E259" s="3387">
        <f t="shared" si="48"/>
        <v>0</v>
      </c>
      <c r="F259" s="3388"/>
      <c r="G259" s="3387">
        <f t="shared" si="49"/>
        <v>1</v>
      </c>
      <c r="H259" s="3388"/>
      <c r="I259" s="3387">
        <f t="shared" si="50"/>
        <v>1</v>
      </c>
      <c r="J259" s="3388"/>
      <c r="K259" s="3387">
        <f t="shared" si="51"/>
        <v>1</v>
      </c>
      <c r="L259" s="3388"/>
      <c r="M259" s="3387">
        <f t="shared" si="52"/>
        <v>1</v>
      </c>
      <c r="N259" s="3388"/>
      <c r="O259" s="3387">
        <f t="shared" si="53"/>
        <v>1</v>
      </c>
      <c r="P259" s="3388"/>
      <c r="Q259" s="3387">
        <f t="shared" si="54"/>
        <v>0</v>
      </c>
      <c r="R259" s="2973">
        <f t="shared" si="55"/>
        <v>0</v>
      </c>
      <c r="S259" s="2850">
        <f t="shared" si="56"/>
        <v>0</v>
      </c>
    </row>
    <row r="260" spans="1:19">
      <c r="A260" s="3389"/>
      <c r="B260" s="3386"/>
      <c r="C260" s="3387">
        <f t="shared" si="47"/>
        <v>1</v>
      </c>
      <c r="D260" s="3388"/>
      <c r="E260" s="3387">
        <f t="shared" si="48"/>
        <v>0</v>
      </c>
      <c r="F260" s="3388"/>
      <c r="G260" s="3387">
        <f t="shared" si="49"/>
        <v>1</v>
      </c>
      <c r="H260" s="3388"/>
      <c r="I260" s="3387">
        <f t="shared" si="50"/>
        <v>1</v>
      </c>
      <c r="J260" s="3388"/>
      <c r="K260" s="3387">
        <f t="shared" si="51"/>
        <v>1</v>
      </c>
      <c r="L260" s="3388"/>
      <c r="M260" s="3387">
        <f t="shared" si="52"/>
        <v>1</v>
      </c>
      <c r="N260" s="3388"/>
      <c r="O260" s="3387">
        <f t="shared" si="53"/>
        <v>1</v>
      </c>
      <c r="P260" s="3388"/>
      <c r="Q260" s="3387">
        <f t="shared" si="54"/>
        <v>0</v>
      </c>
      <c r="R260" s="2973">
        <f t="shared" si="55"/>
        <v>0</v>
      </c>
      <c r="S260" s="2850">
        <f t="shared" si="56"/>
        <v>0</v>
      </c>
    </row>
    <row r="261" spans="1:19">
      <c r="A261" s="3389"/>
      <c r="B261" s="3386"/>
      <c r="C261" s="3387">
        <f t="shared" si="47"/>
        <v>1</v>
      </c>
      <c r="D261" s="3388"/>
      <c r="E261" s="3387">
        <f t="shared" si="48"/>
        <v>0</v>
      </c>
      <c r="F261" s="3388"/>
      <c r="G261" s="3387">
        <f t="shared" si="49"/>
        <v>1</v>
      </c>
      <c r="H261" s="3388"/>
      <c r="I261" s="3387">
        <f t="shared" si="50"/>
        <v>1</v>
      </c>
      <c r="J261" s="3388"/>
      <c r="K261" s="3387">
        <f t="shared" si="51"/>
        <v>1</v>
      </c>
      <c r="L261" s="3388"/>
      <c r="M261" s="3387">
        <f t="shared" si="52"/>
        <v>1</v>
      </c>
      <c r="N261" s="3388"/>
      <c r="O261" s="3387">
        <f t="shared" si="53"/>
        <v>1</v>
      </c>
      <c r="P261" s="3388"/>
      <c r="Q261" s="3387">
        <f t="shared" si="54"/>
        <v>0</v>
      </c>
      <c r="R261" s="2973">
        <f t="shared" si="55"/>
        <v>0</v>
      </c>
      <c r="S261" s="2850">
        <f t="shared" si="56"/>
        <v>0</v>
      </c>
    </row>
    <row r="262" spans="1:19">
      <c r="A262" s="3389"/>
      <c r="B262" s="3386"/>
      <c r="C262" s="3387">
        <f t="shared" si="47"/>
        <v>1</v>
      </c>
      <c r="D262" s="3388"/>
      <c r="E262" s="3387">
        <f t="shared" si="48"/>
        <v>0</v>
      </c>
      <c r="F262" s="3388"/>
      <c r="G262" s="3387">
        <f t="shared" si="49"/>
        <v>1</v>
      </c>
      <c r="H262" s="3388"/>
      <c r="I262" s="3387">
        <f t="shared" si="50"/>
        <v>1</v>
      </c>
      <c r="J262" s="3388"/>
      <c r="K262" s="3387">
        <f t="shared" si="51"/>
        <v>1</v>
      </c>
      <c r="L262" s="3388"/>
      <c r="M262" s="3387">
        <f t="shared" si="52"/>
        <v>1</v>
      </c>
      <c r="N262" s="3388"/>
      <c r="O262" s="3387">
        <f t="shared" si="53"/>
        <v>1</v>
      </c>
      <c r="P262" s="3388"/>
      <c r="Q262" s="3387">
        <f t="shared" si="54"/>
        <v>0</v>
      </c>
      <c r="R262" s="2973">
        <f t="shared" si="55"/>
        <v>0</v>
      </c>
      <c r="S262" s="2850">
        <f t="shared" si="56"/>
        <v>0</v>
      </c>
    </row>
    <row r="263" spans="1:19">
      <c r="A263" s="3389"/>
      <c r="B263" s="3386"/>
      <c r="C263" s="3387">
        <f t="shared" si="47"/>
        <v>1</v>
      </c>
      <c r="D263" s="3388"/>
      <c r="E263" s="3387">
        <f t="shared" si="48"/>
        <v>0</v>
      </c>
      <c r="F263" s="3388"/>
      <c r="G263" s="3387">
        <f t="shared" si="49"/>
        <v>1</v>
      </c>
      <c r="H263" s="3388"/>
      <c r="I263" s="3387">
        <f t="shared" si="50"/>
        <v>1</v>
      </c>
      <c r="J263" s="3388"/>
      <c r="K263" s="3387">
        <f t="shared" si="51"/>
        <v>1</v>
      </c>
      <c r="L263" s="3388"/>
      <c r="M263" s="3387">
        <f t="shared" si="52"/>
        <v>1</v>
      </c>
      <c r="N263" s="3388"/>
      <c r="O263" s="3387">
        <f t="shared" si="53"/>
        <v>1</v>
      </c>
      <c r="P263" s="3388"/>
      <c r="Q263" s="3387">
        <f t="shared" si="54"/>
        <v>0</v>
      </c>
      <c r="R263" s="2973">
        <f t="shared" si="55"/>
        <v>0</v>
      </c>
      <c r="S263" s="2850">
        <f t="shared" si="56"/>
        <v>0</v>
      </c>
    </row>
    <row r="264" spans="1:19">
      <c r="A264" s="3389"/>
      <c r="B264" s="3386"/>
      <c r="C264" s="3387">
        <f t="shared" si="47"/>
        <v>1</v>
      </c>
      <c r="D264" s="3388"/>
      <c r="E264" s="3387">
        <f t="shared" si="48"/>
        <v>0</v>
      </c>
      <c r="F264" s="3388"/>
      <c r="G264" s="3387">
        <f t="shared" si="49"/>
        <v>1</v>
      </c>
      <c r="H264" s="3388"/>
      <c r="I264" s="3387">
        <f t="shared" si="50"/>
        <v>1</v>
      </c>
      <c r="J264" s="3388"/>
      <c r="K264" s="3387">
        <f t="shared" si="51"/>
        <v>1</v>
      </c>
      <c r="L264" s="3388"/>
      <c r="M264" s="3387">
        <f t="shared" si="52"/>
        <v>1</v>
      </c>
      <c r="N264" s="3388"/>
      <c r="O264" s="3387">
        <f t="shared" si="53"/>
        <v>1</v>
      </c>
      <c r="P264" s="3388"/>
      <c r="Q264" s="3387">
        <f t="shared" si="54"/>
        <v>0</v>
      </c>
      <c r="R264" s="2973">
        <f t="shared" si="55"/>
        <v>0</v>
      </c>
      <c r="S264" s="2850">
        <f t="shared" si="56"/>
        <v>0</v>
      </c>
    </row>
    <row r="265" spans="1:19">
      <c r="A265" s="3389"/>
      <c r="B265" s="3386"/>
      <c r="C265" s="3387">
        <f t="shared" si="47"/>
        <v>1</v>
      </c>
      <c r="D265" s="3388"/>
      <c r="E265" s="3387">
        <f t="shared" si="48"/>
        <v>0</v>
      </c>
      <c r="F265" s="3388"/>
      <c r="G265" s="3387">
        <f t="shared" si="49"/>
        <v>1</v>
      </c>
      <c r="H265" s="3388"/>
      <c r="I265" s="3387">
        <f t="shared" si="50"/>
        <v>1</v>
      </c>
      <c r="J265" s="3388"/>
      <c r="K265" s="3387">
        <f t="shared" si="51"/>
        <v>1</v>
      </c>
      <c r="L265" s="3388"/>
      <c r="M265" s="3387">
        <f t="shared" si="52"/>
        <v>1</v>
      </c>
      <c r="N265" s="3388"/>
      <c r="O265" s="3387">
        <f t="shared" si="53"/>
        <v>1</v>
      </c>
      <c r="P265" s="3388"/>
      <c r="Q265" s="3387">
        <f t="shared" si="54"/>
        <v>0</v>
      </c>
      <c r="R265" s="2973">
        <f t="shared" si="55"/>
        <v>0</v>
      </c>
      <c r="S265" s="2850">
        <f t="shared" si="56"/>
        <v>0</v>
      </c>
    </row>
    <row r="266" spans="1:19">
      <c r="A266" s="3389"/>
      <c r="B266" s="3386"/>
      <c r="C266" s="3387">
        <f t="shared" si="47"/>
        <v>1</v>
      </c>
      <c r="D266" s="3388"/>
      <c r="E266" s="3387">
        <f t="shared" si="48"/>
        <v>0</v>
      </c>
      <c r="F266" s="3388"/>
      <c r="G266" s="3387">
        <f t="shared" si="49"/>
        <v>1</v>
      </c>
      <c r="H266" s="3388"/>
      <c r="I266" s="3387">
        <f t="shared" si="50"/>
        <v>1</v>
      </c>
      <c r="J266" s="3388"/>
      <c r="K266" s="3387">
        <f t="shared" si="51"/>
        <v>1</v>
      </c>
      <c r="L266" s="3388"/>
      <c r="M266" s="3387">
        <f t="shared" si="52"/>
        <v>1</v>
      </c>
      <c r="N266" s="3388"/>
      <c r="O266" s="3387">
        <f t="shared" si="53"/>
        <v>1</v>
      </c>
      <c r="P266" s="3388"/>
      <c r="Q266" s="3387">
        <f t="shared" si="54"/>
        <v>0</v>
      </c>
      <c r="R266" s="2973">
        <f t="shared" si="55"/>
        <v>0</v>
      </c>
      <c r="S266" s="2850">
        <f t="shared" si="56"/>
        <v>0</v>
      </c>
    </row>
    <row r="267" spans="1:19">
      <c r="A267" s="3389"/>
      <c r="B267" s="3386"/>
      <c r="C267" s="3387">
        <f t="shared" si="47"/>
        <v>1</v>
      </c>
      <c r="D267" s="3388"/>
      <c r="E267" s="3387">
        <f t="shared" si="48"/>
        <v>0</v>
      </c>
      <c r="F267" s="3388"/>
      <c r="G267" s="3387">
        <f t="shared" si="49"/>
        <v>1</v>
      </c>
      <c r="H267" s="3388"/>
      <c r="I267" s="3387">
        <f t="shared" si="50"/>
        <v>1</v>
      </c>
      <c r="J267" s="3388"/>
      <c r="K267" s="3387">
        <f t="shared" si="51"/>
        <v>1</v>
      </c>
      <c r="L267" s="3388"/>
      <c r="M267" s="3387">
        <f t="shared" si="52"/>
        <v>1</v>
      </c>
      <c r="N267" s="3388"/>
      <c r="O267" s="3387">
        <f t="shared" si="53"/>
        <v>1</v>
      </c>
      <c r="P267" s="3388"/>
      <c r="Q267" s="3387">
        <f t="shared" si="54"/>
        <v>0</v>
      </c>
      <c r="R267" s="2973">
        <f t="shared" si="55"/>
        <v>0</v>
      </c>
      <c r="S267" s="2850">
        <f t="shared" si="56"/>
        <v>0</v>
      </c>
    </row>
    <row r="268" spans="1:19">
      <c r="A268" s="3389"/>
      <c r="B268" s="3386"/>
      <c r="C268" s="3387">
        <f t="shared" si="47"/>
        <v>1</v>
      </c>
      <c r="D268" s="3388"/>
      <c r="E268" s="3387">
        <f t="shared" si="48"/>
        <v>0</v>
      </c>
      <c r="F268" s="3388"/>
      <c r="G268" s="3387">
        <f t="shared" si="49"/>
        <v>1</v>
      </c>
      <c r="H268" s="3388"/>
      <c r="I268" s="3387">
        <f t="shared" si="50"/>
        <v>1</v>
      </c>
      <c r="J268" s="3388"/>
      <c r="K268" s="3387">
        <f t="shared" si="51"/>
        <v>1</v>
      </c>
      <c r="L268" s="3388"/>
      <c r="M268" s="3387">
        <f t="shared" si="52"/>
        <v>1</v>
      </c>
      <c r="N268" s="3388"/>
      <c r="O268" s="3387">
        <f t="shared" si="53"/>
        <v>1</v>
      </c>
      <c r="P268" s="3388"/>
      <c r="Q268" s="3387">
        <f t="shared" si="54"/>
        <v>0</v>
      </c>
      <c r="R268" s="2973">
        <f t="shared" si="55"/>
        <v>0</v>
      </c>
      <c r="S268" s="2850">
        <f t="shared" si="56"/>
        <v>0</v>
      </c>
    </row>
    <row r="269" spans="1:19">
      <c r="A269" s="3389"/>
      <c r="B269" s="3386"/>
      <c r="C269" s="3387">
        <f t="shared" si="47"/>
        <v>1</v>
      </c>
      <c r="D269" s="3388"/>
      <c r="E269" s="3387">
        <f t="shared" si="48"/>
        <v>0</v>
      </c>
      <c r="F269" s="3388"/>
      <c r="G269" s="3387">
        <f t="shared" si="49"/>
        <v>1</v>
      </c>
      <c r="H269" s="3388"/>
      <c r="I269" s="3387">
        <f t="shared" si="50"/>
        <v>1</v>
      </c>
      <c r="J269" s="3388"/>
      <c r="K269" s="3387">
        <f t="shared" si="51"/>
        <v>1</v>
      </c>
      <c r="L269" s="3388"/>
      <c r="M269" s="3387">
        <f t="shared" si="52"/>
        <v>1</v>
      </c>
      <c r="N269" s="3388"/>
      <c r="O269" s="3387">
        <f t="shared" si="53"/>
        <v>1</v>
      </c>
      <c r="P269" s="3388"/>
      <c r="Q269" s="3387">
        <f t="shared" si="54"/>
        <v>0</v>
      </c>
      <c r="R269" s="2973">
        <f t="shared" si="55"/>
        <v>0</v>
      </c>
      <c r="S269" s="2850">
        <f t="shared" si="56"/>
        <v>0</v>
      </c>
    </row>
    <row r="270" spans="1:19">
      <c r="A270" s="3389"/>
      <c r="B270" s="3386"/>
      <c r="C270" s="3387">
        <f t="shared" si="47"/>
        <v>1</v>
      </c>
      <c r="D270" s="3388"/>
      <c r="E270" s="3387">
        <f t="shared" si="48"/>
        <v>0</v>
      </c>
      <c r="F270" s="3388"/>
      <c r="G270" s="3387">
        <f t="shared" si="49"/>
        <v>1</v>
      </c>
      <c r="H270" s="3388"/>
      <c r="I270" s="3387">
        <f t="shared" si="50"/>
        <v>1</v>
      </c>
      <c r="J270" s="3388"/>
      <c r="K270" s="3387">
        <f t="shared" si="51"/>
        <v>1</v>
      </c>
      <c r="L270" s="3388"/>
      <c r="M270" s="3387">
        <f t="shared" si="52"/>
        <v>1</v>
      </c>
      <c r="N270" s="3388"/>
      <c r="O270" s="3387">
        <f t="shared" si="53"/>
        <v>1</v>
      </c>
      <c r="P270" s="3388"/>
      <c r="Q270" s="3387">
        <f t="shared" si="54"/>
        <v>0</v>
      </c>
      <c r="R270" s="2973">
        <f t="shared" si="55"/>
        <v>0</v>
      </c>
      <c r="S270" s="2850">
        <f t="shared" si="56"/>
        <v>0</v>
      </c>
    </row>
    <row r="271" spans="1:19">
      <c r="A271" s="3389"/>
      <c r="B271" s="3386"/>
      <c r="C271" s="3387">
        <f t="shared" si="47"/>
        <v>1</v>
      </c>
      <c r="D271" s="3388"/>
      <c r="E271" s="3387">
        <f t="shared" si="48"/>
        <v>0</v>
      </c>
      <c r="F271" s="3388"/>
      <c r="G271" s="3387">
        <f t="shared" si="49"/>
        <v>1</v>
      </c>
      <c r="H271" s="3388"/>
      <c r="I271" s="3387">
        <f t="shared" si="50"/>
        <v>1</v>
      </c>
      <c r="J271" s="3388"/>
      <c r="K271" s="3387">
        <f t="shared" si="51"/>
        <v>1</v>
      </c>
      <c r="L271" s="3388"/>
      <c r="M271" s="3387">
        <f t="shared" si="52"/>
        <v>1</v>
      </c>
      <c r="N271" s="3388"/>
      <c r="O271" s="3387">
        <f t="shared" si="53"/>
        <v>1</v>
      </c>
      <c r="P271" s="3388"/>
      <c r="Q271" s="3387">
        <f t="shared" si="54"/>
        <v>0</v>
      </c>
      <c r="R271" s="2973">
        <f t="shared" si="55"/>
        <v>0</v>
      </c>
      <c r="S271" s="2850">
        <f t="shared" si="56"/>
        <v>0</v>
      </c>
    </row>
    <row r="272" spans="1:19">
      <c r="A272" s="3389"/>
      <c r="B272" s="3386"/>
      <c r="C272" s="3387">
        <f t="shared" si="47"/>
        <v>1</v>
      </c>
      <c r="D272" s="3388"/>
      <c r="E272" s="3387">
        <f t="shared" si="48"/>
        <v>0</v>
      </c>
      <c r="F272" s="3388"/>
      <c r="G272" s="3387">
        <f t="shared" si="49"/>
        <v>1</v>
      </c>
      <c r="H272" s="3388"/>
      <c r="I272" s="3387">
        <f t="shared" si="50"/>
        <v>1</v>
      </c>
      <c r="J272" s="3388"/>
      <c r="K272" s="3387">
        <f t="shared" si="51"/>
        <v>1</v>
      </c>
      <c r="L272" s="3388"/>
      <c r="M272" s="3387">
        <f t="shared" si="52"/>
        <v>1</v>
      </c>
      <c r="N272" s="3388"/>
      <c r="O272" s="3387">
        <f t="shared" si="53"/>
        <v>1</v>
      </c>
      <c r="P272" s="3388"/>
      <c r="Q272" s="3387">
        <f t="shared" si="54"/>
        <v>0</v>
      </c>
      <c r="R272" s="2973">
        <f t="shared" si="55"/>
        <v>0</v>
      </c>
      <c r="S272" s="2850">
        <f t="shared" si="56"/>
        <v>0</v>
      </c>
    </row>
    <row r="273" spans="1:19">
      <c r="A273" s="3389"/>
      <c r="B273" s="3386"/>
      <c r="C273" s="3387">
        <f t="shared" si="47"/>
        <v>1</v>
      </c>
      <c r="D273" s="3388"/>
      <c r="E273" s="3387">
        <f t="shared" si="48"/>
        <v>0</v>
      </c>
      <c r="F273" s="3388"/>
      <c r="G273" s="3387">
        <f t="shared" si="49"/>
        <v>1</v>
      </c>
      <c r="H273" s="3388"/>
      <c r="I273" s="3387">
        <f t="shared" si="50"/>
        <v>1</v>
      </c>
      <c r="J273" s="3388"/>
      <c r="K273" s="3387">
        <f t="shared" si="51"/>
        <v>1</v>
      </c>
      <c r="L273" s="3388"/>
      <c r="M273" s="3387">
        <f t="shared" si="52"/>
        <v>1</v>
      </c>
      <c r="N273" s="3388"/>
      <c r="O273" s="3387">
        <f t="shared" si="53"/>
        <v>1</v>
      </c>
      <c r="P273" s="3388"/>
      <c r="Q273" s="3387">
        <f t="shared" si="54"/>
        <v>0</v>
      </c>
      <c r="R273" s="2973">
        <f t="shared" si="55"/>
        <v>0</v>
      </c>
      <c r="S273" s="2850">
        <f t="shared" si="56"/>
        <v>0</v>
      </c>
    </row>
    <row r="274" spans="1:19">
      <c r="A274" s="3389"/>
      <c r="B274" s="3386"/>
      <c r="C274" s="3387">
        <f t="shared" si="47"/>
        <v>1</v>
      </c>
      <c r="D274" s="3388"/>
      <c r="E274" s="3387">
        <f t="shared" si="48"/>
        <v>0</v>
      </c>
      <c r="F274" s="3388"/>
      <c r="G274" s="3387">
        <f t="shared" si="49"/>
        <v>1</v>
      </c>
      <c r="H274" s="3388"/>
      <c r="I274" s="3387">
        <f t="shared" si="50"/>
        <v>1</v>
      </c>
      <c r="J274" s="3388"/>
      <c r="K274" s="3387">
        <f t="shared" si="51"/>
        <v>1</v>
      </c>
      <c r="L274" s="3388"/>
      <c r="M274" s="3387">
        <f t="shared" si="52"/>
        <v>1</v>
      </c>
      <c r="N274" s="3388"/>
      <c r="O274" s="3387">
        <f t="shared" si="53"/>
        <v>1</v>
      </c>
      <c r="P274" s="3388"/>
      <c r="Q274" s="3387">
        <f t="shared" si="54"/>
        <v>0</v>
      </c>
      <c r="R274" s="2973">
        <f t="shared" si="55"/>
        <v>0</v>
      </c>
      <c r="S274" s="2850">
        <f t="shared" si="56"/>
        <v>0</v>
      </c>
    </row>
    <row r="275" spans="1:19">
      <c r="A275" s="3389"/>
      <c r="B275" s="3386"/>
      <c r="C275" s="3387">
        <f t="shared" si="47"/>
        <v>1</v>
      </c>
      <c r="D275" s="3388"/>
      <c r="E275" s="3387">
        <f t="shared" si="48"/>
        <v>0</v>
      </c>
      <c r="F275" s="3388"/>
      <c r="G275" s="3387">
        <f t="shared" si="49"/>
        <v>1</v>
      </c>
      <c r="H275" s="3388"/>
      <c r="I275" s="3387">
        <f t="shared" si="50"/>
        <v>1</v>
      </c>
      <c r="J275" s="3388"/>
      <c r="K275" s="3387">
        <f t="shared" si="51"/>
        <v>1</v>
      </c>
      <c r="L275" s="3388"/>
      <c r="M275" s="3387">
        <f t="shared" si="52"/>
        <v>1</v>
      </c>
      <c r="N275" s="3388"/>
      <c r="O275" s="3387">
        <f t="shared" si="53"/>
        <v>1</v>
      </c>
      <c r="P275" s="3388"/>
      <c r="Q275" s="3387">
        <f t="shared" si="54"/>
        <v>0</v>
      </c>
      <c r="R275" s="2973">
        <f t="shared" si="55"/>
        <v>0</v>
      </c>
      <c r="S275" s="2850">
        <f t="shared" si="56"/>
        <v>0</v>
      </c>
    </row>
    <row r="276" spans="1:19">
      <c r="A276" s="3389"/>
      <c r="B276" s="3386"/>
      <c r="C276" s="3387">
        <f t="shared" si="47"/>
        <v>1</v>
      </c>
      <c r="D276" s="3388"/>
      <c r="E276" s="3387">
        <f t="shared" si="48"/>
        <v>0</v>
      </c>
      <c r="F276" s="3388"/>
      <c r="G276" s="3387">
        <f t="shared" si="49"/>
        <v>1</v>
      </c>
      <c r="H276" s="3388"/>
      <c r="I276" s="3387">
        <f t="shared" si="50"/>
        <v>1</v>
      </c>
      <c r="J276" s="3388"/>
      <c r="K276" s="3387">
        <f t="shared" si="51"/>
        <v>1</v>
      </c>
      <c r="L276" s="3388"/>
      <c r="M276" s="3387">
        <f t="shared" si="52"/>
        <v>1</v>
      </c>
      <c r="N276" s="3388"/>
      <c r="O276" s="3387">
        <f t="shared" si="53"/>
        <v>1</v>
      </c>
      <c r="P276" s="3388"/>
      <c r="Q276" s="3387">
        <f t="shared" si="54"/>
        <v>0</v>
      </c>
      <c r="R276" s="2973">
        <f t="shared" si="55"/>
        <v>0</v>
      </c>
      <c r="S276" s="2850">
        <f t="shared" si="56"/>
        <v>0</v>
      </c>
    </row>
    <row r="277" spans="1:19">
      <c r="A277" s="3389"/>
      <c r="B277" s="3386"/>
      <c r="C277" s="3387">
        <f t="shared" si="47"/>
        <v>1</v>
      </c>
      <c r="D277" s="3388"/>
      <c r="E277" s="3387">
        <f t="shared" si="48"/>
        <v>0</v>
      </c>
      <c r="F277" s="3388"/>
      <c r="G277" s="3387">
        <f t="shared" si="49"/>
        <v>1</v>
      </c>
      <c r="H277" s="3388"/>
      <c r="I277" s="3387">
        <f t="shared" si="50"/>
        <v>1</v>
      </c>
      <c r="J277" s="3388"/>
      <c r="K277" s="3387">
        <f t="shared" si="51"/>
        <v>1</v>
      </c>
      <c r="L277" s="3388"/>
      <c r="M277" s="3387">
        <f t="shared" si="52"/>
        <v>1</v>
      </c>
      <c r="N277" s="3388"/>
      <c r="O277" s="3387">
        <f t="shared" si="53"/>
        <v>1</v>
      </c>
      <c r="P277" s="3388"/>
      <c r="Q277" s="3387">
        <f t="shared" si="54"/>
        <v>0</v>
      </c>
      <c r="R277" s="2973">
        <f t="shared" si="55"/>
        <v>0</v>
      </c>
      <c r="S277" s="2850">
        <f t="shared" si="56"/>
        <v>0</v>
      </c>
    </row>
    <row r="278" spans="1:19">
      <c r="A278" s="3389"/>
      <c r="B278" s="3386"/>
      <c r="C278" s="3387">
        <f t="shared" si="47"/>
        <v>1</v>
      </c>
      <c r="D278" s="3388"/>
      <c r="E278" s="3387">
        <f t="shared" si="48"/>
        <v>0</v>
      </c>
      <c r="F278" s="3388"/>
      <c r="G278" s="3387">
        <f t="shared" si="49"/>
        <v>1</v>
      </c>
      <c r="H278" s="3388"/>
      <c r="I278" s="3387">
        <f t="shared" si="50"/>
        <v>1</v>
      </c>
      <c r="J278" s="3388"/>
      <c r="K278" s="3387">
        <f t="shared" si="51"/>
        <v>1</v>
      </c>
      <c r="L278" s="3388"/>
      <c r="M278" s="3387">
        <f t="shared" si="52"/>
        <v>1</v>
      </c>
      <c r="N278" s="3388"/>
      <c r="O278" s="3387">
        <f t="shared" si="53"/>
        <v>1</v>
      </c>
      <c r="P278" s="3388"/>
      <c r="Q278" s="3387">
        <f t="shared" si="54"/>
        <v>0</v>
      </c>
      <c r="R278" s="2973">
        <f t="shared" si="55"/>
        <v>0</v>
      </c>
      <c r="S278" s="2850">
        <f t="shared" si="56"/>
        <v>0</v>
      </c>
    </row>
    <row r="279" spans="1:19">
      <c r="A279" s="3389"/>
      <c r="B279" s="3386"/>
      <c r="C279" s="3387">
        <f t="shared" si="47"/>
        <v>1</v>
      </c>
      <c r="D279" s="3388"/>
      <c r="E279" s="3387">
        <f t="shared" si="48"/>
        <v>0</v>
      </c>
      <c r="F279" s="3388"/>
      <c r="G279" s="3387">
        <f t="shared" si="49"/>
        <v>1</v>
      </c>
      <c r="H279" s="3388"/>
      <c r="I279" s="3387">
        <f t="shared" si="50"/>
        <v>1</v>
      </c>
      <c r="J279" s="3388"/>
      <c r="K279" s="3387">
        <f t="shared" si="51"/>
        <v>1</v>
      </c>
      <c r="L279" s="3388"/>
      <c r="M279" s="3387">
        <f t="shared" si="52"/>
        <v>1</v>
      </c>
      <c r="N279" s="3388"/>
      <c r="O279" s="3387">
        <f t="shared" si="53"/>
        <v>1</v>
      </c>
      <c r="P279" s="3388"/>
      <c r="Q279" s="3387">
        <f t="shared" si="54"/>
        <v>0</v>
      </c>
      <c r="R279" s="2973">
        <f t="shared" si="55"/>
        <v>0</v>
      </c>
      <c r="S279" s="2850">
        <f t="shared" si="56"/>
        <v>0</v>
      </c>
    </row>
    <row r="280" spans="1:19">
      <c r="A280" s="3389"/>
      <c r="B280" s="3386"/>
      <c r="C280" s="3387">
        <f t="shared" si="47"/>
        <v>1</v>
      </c>
      <c r="D280" s="3388"/>
      <c r="E280" s="3387">
        <f t="shared" si="48"/>
        <v>0</v>
      </c>
      <c r="F280" s="3388"/>
      <c r="G280" s="3387">
        <f t="shared" si="49"/>
        <v>1</v>
      </c>
      <c r="H280" s="3388"/>
      <c r="I280" s="3387">
        <f t="shared" si="50"/>
        <v>1</v>
      </c>
      <c r="J280" s="3388"/>
      <c r="K280" s="3387">
        <f t="shared" si="51"/>
        <v>1</v>
      </c>
      <c r="L280" s="3388"/>
      <c r="M280" s="3387">
        <f t="shared" si="52"/>
        <v>1</v>
      </c>
      <c r="N280" s="3388"/>
      <c r="O280" s="3387">
        <f t="shared" si="53"/>
        <v>1</v>
      </c>
      <c r="P280" s="3388"/>
      <c r="Q280" s="3387">
        <f t="shared" si="54"/>
        <v>0</v>
      </c>
      <c r="R280" s="2973">
        <f t="shared" si="55"/>
        <v>0</v>
      </c>
      <c r="S280" s="2850">
        <f t="shared" si="56"/>
        <v>0</v>
      </c>
    </row>
    <row r="281" spans="1:19">
      <c r="A281" s="3389"/>
      <c r="B281" s="3386"/>
      <c r="C281" s="3387">
        <f t="shared" si="47"/>
        <v>1</v>
      </c>
      <c r="D281" s="3388"/>
      <c r="E281" s="3387">
        <f t="shared" si="48"/>
        <v>0</v>
      </c>
      <c r="F281" s="3388"/>
      <c r="G281" s="3387">
        <f t="shared" si="49"/>
        <v>1</v>
      </c>
      <c r="H281" s="3388"/>
      <c r="I281" s="3387">
        <f t="shared" si="50"/>
        <v>1</v>
      </c>
      <c r="J281" s="3388"/>
      <c r="K281" s="3387">
        <f t="shared" si="51"/>
        <v>1</v>
      </c>
      <c r="L281" s="3388"/>
      <c r="M281" s="3387">
        <f t="shared" si="52"/>
        <v>1</v>
      </c>
      <c r="N281" s="3388"/>
      <c r="O281" s="3387">
        <f t="shared" si="53"/>
        <v>1</v>
      </c>
      <c r="P281" s="3388"/>
      <c r="Q281" s="3387">
        <f t="shared" si="54"/>
        <v>0</v>
      </c>
      <c r="R281" s="2973">
        <f t="shared" si="55"/>
        <v>0</v>
      </c>
      <c r="S281" s="2850">
        <f t="shared" si="56"/>
        <v>0</v>
      </c>
    </row>
    <row r="282" spans="1:19">
      <c r="A282" s="3389"/>
      <c r="B282" s="3386"/>
      <c r="C282" s="3387">
        <f t="shared" ref="C282:C345" si="57">IF(B282="",1,(LOOKUP(B282,$3:$3,$4:$4)-LOOKUP($B$24,$3:$3,$4:$4)+100)/100)</f>
        <v>1</v>
      </c>
      <c r="D282" s="3388"/>
      <c r="E282" s="3387">
        <f t="shared" ref="E282:E345" si="58">(SUMIF($5:$5,D282,$6:$6)-SUMIF($5:$5,$D$24,$6:$6)+100)/100</f>
        <v>0</v>
      </c>
      <c r="F282" s="3388"/>
      <c r="G282" s="3387">
        <f t="shared" ref="G282:G345" si="59">(SUMIF($7:$7,F282,$8:$8)-SUMIF($7:$7,$F$24,$8:$8)+100)/100</f>
        <v>1</v>
      </c>
      <c r="H282" s="3388"/>
      <c r="I282" s="3387">
        <f t="shared" ref="I282:I345" si="60">(SUMIF($9:$9,H282,$10:$10)-SUMIF($9:$9,$H$24,$10:$10)+100)/100</f>
        <v>1</v>
      </c>
      <c r="J282" s="3388"/>
      <c r="K282" s="3387">
        <f t="shared" ref="K282:K345" si="61">(SUMIF($11:$11,J282,$12:$12)-SUMIF($11:$11,$J$24,$12:$12)+100)/100</f>
        <v>1</v>
      </c>
      <c r="L282" s="3388"/>
      <c r="M282" s="3387">
        <f t="shared" ref="M282:M345" si="62">(SUMIF($13:$13,L282,$14:$14)-SUMIF($13:$13,$L$24,$14:$14)+100)/100</f>
        <v>1</v>
      </c>
      <c r="N282" s="3388"/>
      <c r="O282" s="3387">
        <f t="shared" ref="O282:O345" si="63">(SUMIF($15:$15,N282,$16:$16)-SUMIF($15:$15,$N$24,$16:$16)+100)/100</f>
        <v>1</v>
      </c>
      <c r="P282" s="3388"/>
      <c r="Q282" s="3387">
        <f t="shared" ref="Q282:Q345" si="64">(SUMIF($17:$17,P282,$18:$18)-SUMIF($17:$17,$P$24,$18:$18)+100)/100</f>
        <v>0</v>
      </c>
      <c r="R282" s="2973">
        <f t="shared" ref="R282:R345" si="65">IF(B282="",0,ROUND($R$24*C282*E282*G282*I282*K282*M282*O282*Q282,0))</f>
        <v>0</v>
      </c>
      <c r="S282" s="2850">
        <f t="shared" si="56"/>
        <v>0</v>
      </c>
    </row>
    <row r="283" spans="1:19">
      <c r="A283" s="3389"/>
      <c r="B283" s="3386"/>
      <c r="C283" s="3387">
        <f t="shared" si="57"/>
        <v>1</v>
      </c>
      <c r="D283" s="3388"/>
      <c r="E283" s="3387">
        <f t="shared" si="58"/>
        <v>0</v>
      </c>
      <c r="F283" s="3388"/>
      <c r="G283" s="3387">
        <f t="shared" si="59"/>
        <v>1</v>
      </c>
      <c r="H283" s="3388"/>
      <c r="I283" s="3387">
        <f t="shared" si="60"/>
        <v>1</v>
      </c>
      <c r="J283" s="3388"/>
      <c r="K283" s="3387">
        <f t="shared" si="61"/>
        <v>1</v>
      </c>
      <c r="L283" s="3388"/>
      <c r="M283" s="3387">
        <f t="shared" si="62"/>
        <v>1</v>
      </c>
      <c r="N283" s="3388"/>
      <c r="O283" s="3387">
        <f t="shared" si="63"/>
        <v>1</v>
      </c>
      <c r="P283" s="3388"/>
      <c r="Q283" s="3387">
        <f t="shared" si="64"/>
        <v>0</v>
      </c>
      <c r="R283" s="2973">
        <f t="shared" si="65"/>
        <v>0</v>
      </c>
      <c r="S283" s="2850">
        <f t="shared" si="56"/>
        <v>0</v>
      </c>
    </row>
    <row r="284" spans="1:19">
      <c r="A284" s="3389"/>
      <c r="B284" s="3386"/>
      <c r="C284" s="3387">
        <f t="shared" si="57"/>
        <v>1</v>
      </c>
      <c r="D284" s="3388"/>
      <c r="E284" s="3387">
        <f t="shared" si="58"/>
        <v>0</v>
      </c>
      <c r="F284" s="3388"/>
      <c r="G284" s="3387">
        <f t="shared" si="59"/>
        <v>1</v>
      </c>
      <c r="H284" s="3388"/>
      <c r="I284" s="3387">
        <f t="shared" si="60"/>
        <v>1</v>
      </c>
      <c r="J284" s="3388"/>
      <c r="K284" s="3387">
        <f t="shared" si="61"/>
        <v>1</v>
      </c>
      <c r="L284" s="3388"/>
      <c r="M284" s="3387">
        <f t="shared" si="62"/>
        <v>1</v>
      </c>
      <c r="N284" s="3388"/>
      <c r="O284" s="3387">
        <f t="shared" si="63"/>
        <v>1</v>
      </c>
      <c r="P284" s="3388"/>
      <c r="Q284" s="3387">
        <f t="shared" si="64"/>
        <v>0</v>
      </c>
      <c r="R284" s="2973">
        <f t="shared" si="65"/>
        <v>0</v>
      </c>
      <c r="S284" s="2850">
        <f t="shared" si="56"/>
        <v>0</v>
      </c>
    </row>
    <row r="285" spans="1:19">
      <c r="A285" s="3389"/>
      <c r="B285" s="3386"/>
      <c r="C285" s="3387">
        <f t="shared" si="57"/>
        <v>1</v>
      </c>
      <c r="D285" s="3388"/>
      <c r="E285" s="3387">
        <f t="shared" si="58"/>
        <v>0</v>
      </c>
      <c r="F285" s="3388"/>
      <c r="G285" s="3387">
        <f t="shared" si="59"/>
        <v>1</v>
      </c>
      <c r="H285" s="3388"/>
      <c r="I285" s="3387">
        <f t="shared" si="60"/>
        <v>1</v>
      </c>
      <c r="J285" s="3388"/>
      <c r="K285" s="3387">
        <f t="shared" si="61"/>
        <v>1</v>
      </c>
      <c r="L285" s="3388"/>
      <c r="M285" s="3387">
        <f t="shared" si="62"/>
        <v>1</v>
      </c>
      <c r="N285" s="3388"/>
      <c r="O285" s="3387">
        <f t="shared" si="63"/>
        <v>1</v>
      </c>
      <c r="P285" s="3388"/>
      <c r="Q285" s="3387">
        <f t="shared" si="64"/>
        <v>0</v>
      </c>
      <c r="R285" s="2973">
        <f t="shared" si="65"/>
        <v>0</v>
      </c>
      <c r="S285" s="2850">
        <f t="shared" si="56"/>
        <v>0</v>
      </c>
    </row>
    <row r="286" spans="1:19">
      <c r="A286" s="3389"/>
      <c r="B286" s="3386"/>
      <c r="C286" s="3387">
        <f t="shared" si="57"/>
        <v>1</v>
      </c>
      <c r="D286" s="3388"/>
      <c r="E286" s="3387">
        <f t="shared" si="58"/>
        <v>0</v>
      </c>
      <c r="F286" s="3388"/>
      <c r="G286" s="3387">
        <f t="shared" si="59"/>
        <v>1</v>
      </c>
      <c r="H286" s="3388"/>
      <c r="I286" s="3387">
        <f t="shared" si="60"/>
        <v>1</v>
      </c>
      <c r="J286" s="3388"/>
      <c r="K286" s="3387">
        <f t="shared" si="61"/>
        <v>1</v>
      </c>
      <c r="L286" s="3388"/>
      <c r="M286" s="3387">
        <f t="shared" si="62"/>
        <v>1</v>
      </c>
      <c r="N286" s="3388"/>
      <c r="O286" s="3387">
        <f t="shared" si="63"/>
        <v>1</v>
      </c>
      <c r="P286" s="3388"/>
      <c r="Q286" s="3387">
        <f t="shared" si="64"/>
        <v>0</v>
      </c>
      <c r="R286" s="2973">
        <f t="shared" si="65"/>
        <v>0</v>
      </c>
      <c r="S286" s="2850">
        <f t="shared" si="56"/>
        <v>0</v>
      </c>
    </row>
    <row r="287" spans="1:19">
      <c r="A287" s="3389"/>
      <c r="B287" s="3386"/>
      <c r="C287" s="3387">
        <f t="shared" si="57"/>
        <v>1</v>
      </c>
      <c r="D287" s="3388"/>
      <c r="E287" s="3387">
        <f t="shared" si="58"/>
        <v>0</v>
      </c>
      <c r="F287" s="3388"/>
      <c r="G287" s="3387">
        <f t="shared" si="59"/>
        <v>1</v>
      </c>
      <c r="H287" s="3388"/>
      <c r="I287" s="3387">
        <f t="shared" si="60"/>
        <v>1</v>
      </c>
      <c r="J287" s="3388"/>
      <c r="K287" s="3387">
        <f t="shared" si="61"/>
        <v>1</v>
      </c>
      <c r="L287" s="3388"/>
      <c r="M287" s="3387">
        <f t="shared" si="62"/>
        <v>1</v>
      </c>
      <c r="N287" s="3388"/>
      <c r="O287" s="3387">
        <f t="shared" si="63"/>
        <v>1</v>
      </c>
      <c r="P287" s="3388"/>
      <c r="Q287" s="3387">
        <f t="shared" si="64"/>
        <v>0</v>
      </c>
      <c r="R287" s="2973">
        <f t="shared" si="65"/>
        <v>0</v>
      </c>
      <c r="S287" s="2850">
        <f t="shared" ref="S287:S320" si="66">ROUND(R287*B287/10000,0)</f>
        <v>0</v>
      </c>
    </row>
    <row r="288" spans="1:19">
      <c r="A288" s="3389"/>
      <c r="B288" s="3386"/>
      <c r="C288" s="3387">
        <f t="shared" si="57"/>
        <v>1</v>
      </c>
      <c r="D288" s="3388"/>
      <c r="E288" s="3387">
        <f t="shared" si="58"/>
        <v>0</v>
      </c>
      <c r="F288" s="3388"/>
      <c r="G288" s="3387">
        <f t="shared" si="59"/>
        <v>1</v>
      </c>
      <c r="H288" s="3388"/>
      <c r="I288" s="3387">
        <f t="shared" si="60"/>
        <v>1</v>
      </c>
      <c r="J288" s="3388"/>
      <c r="K288" s="3387">
        <f t="shared" si="61"/>
        <v>1</v>
      </c>
      <c r="L288" s="3388"/>
      <c r="M288" s="3387">
        <f t="shared" si="62"/>
        <v>1</v>
      </c>
      <c r="N288" s="3388"/>
      <c r="O288" s="3387">
        <f t="shared" si="63"/>
        <v>1</v>
      </c>
      <c r="P288" s="3388"/>
      <c r="Q288" s="3387">
        <f t="shared" si="64"/>
        <v>0</v>
      </c>
      <c r="R288" s="2973">
        <f t="shared" si="65"/>
        <v>0</v>
      </c>
      <c r="S288" s="2850">
        <f t="shared" si="66"/>
        <v>0</v>
      </c>
    </row>
    <row r="289" spans="1:19">
      <c r="A289" s="3389"/>
      <c r="B289" s="3386"/>
      <c r="C289" s="3387">
        <f t="shared" si="57"/>
        <v>1</v>
      </c>
      <c r="D289" s="3388"/>
      <c r="E289" s="3387">
        <f t="shared" si="58"/>
        <v>0</v>
      </c>
      <c r="F289" s="3388"/>
      <c r="G289" s="3387">
        <f t="shared" si="59"/>
        <v>1</v>
      </c>
      <c r="H289" s="3388"/>
      <c r="I289" s="3387">
        <f t="shared" si="60"/>
        <v>1</v>
      </c>
      <c r="J289" s="3388"/>
      <c r="K289" s="3387">
        <f t="shared" si="61"/>
        <v>1</v>
      </c>
      <c r="L289" s="3388"/>
      <c r="M289" s="3387">
        <f t="shared" si="62"/>
        <v>1</v>
      </c>
      <c r="N289" s="3388"/>
      <c r="O289" s="3387">
        <f t="shared" si="63"/>
        <v>1</v>
      </c>
      <c r="P289" s="3388"/>
      <c r="Q289" s="3387">
        <f t="shared" si="64"/>
        <v>0</v>
      </c>
      <c r="R289" s="2973">
        <f t="shared" si="65"/>
        <v>0</v>
      </c>
      <c r="S289" s="2850">
        <f t="shared" si="66"/>
        <v>0</v>
      </c>
    </row>
    <row r="290" spans="1:19">
      <c r="A290" s="3389"/>
      <c r="B290" s="3386"/>
      <c r="C290" s="3387">
        <f t="shared" si="57"/>
        <v>1</v>
      </c>
      <c r="D290" s="3388"/>
      <c r="E290" s="3387">
        <f t="shared" si="58"/>
        <v>0</v>
      </c>
      <c r="F290" s="3388"/>
      <c r="G290" s="3387">
        <f t="shared" si="59"/>
        <v>1</v>
      </c>
      <c r="H290" s="3388"/>
      <c r="I290" s="3387">
        <f t="shared" si="60"/>
        <v>1</v>
      </c>
      <c r="J290" s="3388"/>
      <c r="K290" s="3387">
        <f t="shared" si="61"/>
        <v>1</v>
      </c>
      <c r="L290" s="3388"/>
      <c r="M290" s="3387">
        <f t="shared" si="62"/>
        <v>1</v>
      </c>
      <c r="N290" s="3388"/>
      <c r="O290" s="3387">
        <f t="shared" si="63"/>
        <v>1</v>
      </c>
      <c r="P290" s="3388"/>
      <c r="Q290" s="3387">
        <f t="shared" si="64"/>
        <v>0</v>
      </c>
      <c r="R290" s="2973">
        <f t="shared" si="65"/>
        <v>0</v>
      </c>
      <c r="S290" s="2850">
        <f t="shared" si="66"/>
        <v>0</v>
      </c>
    </row>
    <row r="291" spans="1:19">
      <c r="A291" s="3389"/>
      <c r="B291" s="3386"/>
      <c r="C291" s="3387">
        <f t="shared" si="57"/>
        <v>1</v>
      </c>
      <c r="D291" s="3388"/>
      <c r="E291" s="3387">
        <f t="shared" si="58"/>
        <v>0</v>
      </c>
      <c r="F291" s="3388"/>
      <c r="G291" s="3387">
        <f t="shared" si="59"/>
        <v>1</v>
      </c>
      <c r="H291" s="3388"/>
      <c r="I291" s="3387">
        <f t="shared" si="60"/>
        <v>1</v>
      </c>
      <c r="J291" s="3388"/>
      <c r="K291" s="3387">
        <f t="shared" si="61"/>
        <v>1</v>
      </c>
      <c r="L291" s="3388"/>
      <c r="M291" s="3387">
        <f t="shared" si="62"/>
        <v>1</v>
      </c>
      <c r="N291" s="3388"/>
      <c r="O291" s="3387">
        <f t="shared" si="63"/>
        <v>1</v>
      </c>
      <c r="P291" s="3388"/>
      <c r="Q291" s="3387">
        <f t="shared" si="64"/>
        <v>0</v>
      </c>
      <c r="R291" s="2973">
        <f t="shared" si="65"/>
        <v>0</v>
      </c>
      <c r="S291" s="2850">
        <f t="shared" si="66"/>
        <v>0</v>
      </c>
    </row>
    <row r="292" spans="1:19">
      <c r="A292" s="3389"/>
      <c r="B292" s="3386"/>
      <c r="C292" s="3387">
        <f t="shared" si="57"/>
        <v>1</v>
      </c>
      <c r="D292" s="3388"/>
      <c r="E292" s="3387">
        <f t="shared" si="58"/>
        <v>0</v>
      </c>
      <c r="F292" s="3388"/>
      <c r="G292" s="3387">
        <f t="shared" si="59"/>
        <v>1</v>
      </c>
      <c r="H292" s="3388"/>
      <c r="I292" s="3387">
        <f t="shared" si="60"/>
        <v>1</v>
      </c>
      <c r="J292" s="3388"/>
      <c r="K292" s="3387">
        <f t="shared" si="61"/>
        <v>1</v>
      </c>
      <c r="L292" s="3388"/>
      <c r="M292" s="3387">
        <f t="shared" si="62"/>
        <v>1</v>
      </c>
      <c r="N292" s="3388"/>
      <c r="O292" s="3387">
        <f t="shared" si="63"/>
        <v>1</v>
      </c>
      <c r="P292" s="3388"/>
      <c r="Q292" s="3387">
        <f t="shared" si="64"/>
        <v>0</v>
      </c>
      <c r="R292" s="2973">
        <f t="shared" si="65"/>
        <v>0</v>
      </c>
      <c r="S292" s="2850">
        <f t="shared" si="66"/>
        <v>0</v>
      </c>
    </row>
    <row r="293" spans="1:19">
      <c r="A293" s="3389"/>
      <c r="B293" s="3386"/>
      <c r="C293" s="3387">
        <f t="shared" si="57"/>
        <v>1</v>
      </c>
      <c r="D293" s="3388"/>
      <c r="E293" s="3387">
        <f t="shared" si="58"/>
        <v>0</v>
      </c>
      <c r="F293" s="3388"/>
      <c r="G293" s="3387">
        <f t="shared" si="59"/>
        <v>1</v>
      </c>
      <c r="H293" s="3388"/>
      <c r="I293" s="3387">
        <f t="shared" si="60"/>
        <v>1</v>
      </c>
      <c r="J293" s="3388"/>
      <c r="K293" s="3387">
        <f t="shared" si="61"/>
        <v>1</v>
      </c>
      <c r="L293" s="3388"/>
      <c r="M293" s="3387">
        <f t="shared" si="62"/>
        <v>1</v>
      </c>
      <c r="N293" s="3388"/>
      <c r="O293" s="3387">
        <f t="shared" si="63"/>
        <v>1</v>
      </c>
      <c r="P293" s="3388"/>
      <c r="Q293" s="3387">
        <f t="shared" si="64"/>
        <v>0</v>
      </c>
      <c r="R293" s="2973">
        <f t="shared" si="65"/>
        <v>0</v>
      </c>
      <c r="S293" s="2850">
        <f t="shared" si="66"/>
        <v>0</v>
      </c>
    </row>
    <row r="294" spans="1:19">
      <c r="A294" s="3389"/>
      <c r="B294" s="3386"/>
      <c r="C294" s="3387">
        <f t="shared" si="57"/>
        <v>1</v>
      </c>
      <c r="D294" s="3388"/>
      <c r="E294" s="3387">
        <f t="shared" si="58"/>
        <v>0</v>
      </c>
      <c r="F294" s="3388"/>
      <c r="G294" s="3387">
        <f t="shared" si="59"/>
        <v>1</v>
      </c>
      <c r="H294" s="3388"/>
      <c r="I294" s="3387">
        <f t="shared" si="60"/>
        <v>1</v>
      </c>
      <c r="J294" s="3388"/>
      <c r="K294" s="3387">
        <f t="shared" si="61"/>
        <v>1</v>
      </c>
      <c r="L294" s="3388"/>
      <c r="M294" s="3387">
        <f t="shared" si="62"/>
        <v>1</v>
      </c>
      <c r="N294" s="3388"/>
      <c r="O294" s="3387">
        <f t="shared" si="63"/>
        <v>1</v>
      </c>
      <c r="P294" s="3388"/>
      <c r="Q294" s="3387">
        <f t="shared" si="64"/>
        <v>0</v>
      </c>
      <c r="R294" s="2973">
        <f t="shared" si="65"/>
        <v>0</v>
      </c>
      <c r="S294" s="2850">
        <f t="shared" si="66"/>
        <v>0</v>
      </c>
    </row>
    <row r="295" spans="1:19">
      <c r="A295" s="3389"/>
      <c r="B295" s="3386"/>
      <c r="C295" s="3387">
        <f t="shared" si="57"/>
        <v>1</v>
      </c>
      <c r="D295" s="3388"/>
      <c r="E295" s="3387">
        <f t="shared" si="58"/>
        <v>0</v>
      </c>
      <c r="F295" s="3388"/>
      <c r="G295" s="3387">
        <f t="shared" si="59"/>
        <v>1</v>
      </c>
      <c r="H295" s="3388"/>
      <c r="I295" s="3387">
        <f t="shared" si="60"/>
        <v>1</v>
      </c>
      <c r="J295" s="3388"/>
      <c r="K295" s="3387">
        <f t="shared" si="61"/>
        <v>1</v>
      </c>
      <c r="L295" s="3388"/>
      <c r="M295" s="3387">
        <f t="shared" si="62"/>
        <v>1</v>
      </c>
      <c r="N295" s="3388"/>
      <c r="O295" s="3387">
        <f t="shared" si="63"/>
        <v>1</v>
      </c>
      <c r="P295" s="3388"/>
      <c r="Q295" s="3387">
        <f t="shared" si="64"/>
        <v>0</v>
      </c>
      <c r="R295" s="2973">
        <f t="shared" si="65"/>
        <v>0</v>
      </c>
      <c r="S295" s="2850">
        <f t="shared" si="66"/>
        <v>0</v>
      </c>
    </row>
    <row r="296" spans="1:19">
      <c r="A296" s="3389"/>
      <c r="B296" s="3386"/>
      <c r="C296" s="3387">
        <f t="shared" si="57"/>
        <v>1</v>
      </c>
      <c r="D296" s="3388"/>
      <c r="E296" s="3387">
        <f t="shared" si="58"/>
        <v>0</v>
      </c>
      <c r="F296" s="3388"/>
      <c r="G296" s="3387">
        <f t="shared" si="59"/>
        <v>1</v>
      </c>
      <c r="H296" s="3388"/>
      <c r="I296" s="3387">
        <f t="shared" si="60"/>
        <v>1</v>
      </c>
      <c r="J296" s="3388"/>
      <c r="K296" s="3387">
        <f t="shared" si="61"/>
        <v>1</v>
      </c>
      <c r="L296" s="3388"/>
      <c r="M296" s="3387">
        <f t="shared" si="62"/>
        <v>1</v>
      </c>
      <c r="N296" s="3388"/>
      <c r="O296" s="3387">
        <f t="shared" si="63"/>
        <v>1</v>
      </c>
      <c r="P296" s="3388"/>
      <c r="Q296" s="3387">
        <f t="shared" si="64"/>
        <v>0</v>
      </c>
      <c r="R296" s="2973">
        <f t="shared" si="65"/>
        <v>0</v>
      </c>
      <c r="S296" s="2850">
        <f t="shared" si="66"/>
        <v>0</v>
      </c>
    </row>
    <row r="297" spans="1:19">
      <c r="A297" s="3389"/>
      <c r="B297" s="3386"/>
      <c r="C297" s="3387">
        <f t="shared" si="57"/>
        <v>1</v>
      </c>
      <c r="D297" s="3388"/>
      <c r="E297" s="3387">
        <f t="shared" si="58"/>
        <v>0</v>
      </c>
      <c r="F297" s="3388"/>
      <c r="G297" s="3387">
        <f t="shared" si="59"/>
        <v>1</v>
      </c>
      <c r="H297" s="3388"/>
      <c r="I297" s="3387">
        <f t="shared" si="60"/>
        <v>1</v>
      </c>
      <c r="J297" s="3388"/>
      <c r="K297" s="3387">
        <f t="shared" si="61"/>
        <v>1</v>
      </c>
      <c r="L297" s="3388"/>
      <c r="M297" s="3387">
        <f t="shared" si="62"/>
        <v>1</v>
      </c>
      <c r="N297" s="3388"/>
      <c r="O297" s="3387">
        <f t="shared" si="63"/>
        <v>1</v>
      </c>
      <c r="P297" s="3388"/>
      <c r="Q297" s="3387">
        <f t="shared" si="64"/>
        <v>0</v>
      </c>
      <c r="R297" s="2973">
        <f t="shared" si="65"/>
        <v>0</v>
      </c>
      <c r="S297" s="2850">
        <f t="shared" si="66"/>
        <v>0</v>
      </c>
    </row>
    <row r="298" spans="1:19">
      <c r="A298" s="3389"/>
      <c r="B298" s="3386"/>
      <c r="C298" s="3387">
        <f t="shared" si="57"/>
        <v>1</v>
      </c>
      <c r="D298" s="3388"/>
      <c r="E298" s="3387">
        <f t="shared" si="58"/>
        <v>0</v>
      </c>
      <c r="F298" s="3388"/>
      <c r="G298" s="3387">
        <f t="shared" si="59"/>
        <v>1</v>
      </c>
      <c r="H298" s="3388"/>
      <c r="I298" s="3387">
        <f t="shared" si="60"/>
        <v>1</v>
      </c>
      <c r="J298" s="3388"/>
      <c r="K298" s="3387">
        <f t="shared" si="61"/>
        <v>1</v>
      </c>
      <c r="L298" s="3388"/>
      <c r="M298" s="3387">
        <f t="shared" si="62"/>
        <v>1</v>
      </c>
      <c r="N298" s="3388"/>
      <c r="O298" s="3387">
        <f t="shared" si="63"/>
        <v>1</v>
      </c>
      <c r="P298" s="3388"/>
      <c r="Q298" s="3387">
        <f t="shared" si="64"/>
        <v>0</v>
      </c>
      <c r="R298" s="2973">
        <f t="shared" si="65"/>
        <v>0</v>
      </c>
      <c r="S298" s="2850">
        <f t="shared" si="66"/>
        <v>0</v>
      </c>
    </row>
    <row r="299" spans="1:19">
      <c r="A299" s="3389"/>
      <c r="B299" s="3386"/>
      <c r="C299" s="3387">
        <f t="shared" si="57"/>
        <v>1</v>
      </c>
      <c r="D299" s="3388"/>
      <c r="E299" s="3387">
        <f t="shared" si="58"/>
        <v>0</v>
      </c>
      <c r="F299" s="3388"/>
      <c r="G299" s="3387">
        <f t="shared" si="59"/>
        <v>1</v>
      </c>
      <c r="H299" s="3388"/>
      <c r="I299" s="3387">
        <f t="shared" si="60"/>
        <v>1</v>
      </c>
      <c r="J299" s="3388"/>
      <c r="K299" s="3387">
        <f t="shared" si="61"/>
        <v>1</v>
      </c>
      <c r="L299" s="3388"/>
      <c r="M299" s="3387">
        <f t="shared" si="62"/>
        <v>1</v>
      </c>
      <c r="N299" s="3388"/>
      <c r="O299" s="3387">
        <f t="shared" si="63"/>
        <v>1</v>
      </c>
      <c r="P299" s="3388"/>
      <c r="Q299" s="3387">
        <f t="shared" si="64"/>
        <v>0</v>
      </c>
      <c r="R299" s="2973">
        <f t="shared" si="65"/>
        <v>0</v>
      </c>
      <c r="S299" s="2850">
        <f t="shared" si="66"/>
        <v>0</v>
      </c>
    </row>
    <row r="300" spans="1:19">
      <c r="A300" s="3389"/>
      <c r="B300" s="3386"/>
      <c r="C300" s="3387">
        <f t="shared" si="57"/>
        <v>1</v>
      </c>
      <c r="D300" s="3388"/>
      <c r="E300" s="3387">
        <f t="shared" si="58"/>
        <v>0</v>
      </c>
      <c r="F300" s="3388"/>
      <c r="G300" s="3387">
        <f t="shared" si="59"/>
        <v>1</v>
      </c>
      <c r="H300" s="3388"/>
      <c r="I300" s="3387">
        <f t="shared" si="60"/>
        <v>1</v>
      </c>
      <c r="J300" s="3388"/>
      <c r="K300" s="3387">
        <f t="shared" si="61"/>
        <v>1</v>
      </c>
      <c r="L300" s="3388"/>
      <c r="M300" s="3387">
        <f t="shared" si="62"/>
        <v>1</v>
      </c>
      <c r="N300" s="3388"/>
      <c r="O300" s="3387">
        <f t="shared" si="63"/>
        <v>1</v>
      </c>
      <c r="P300" s="3388"/>
      <c r="Q300" s="3387">
        <f t="shared" si="64"/>
        <v>0</v>
      </c>
      <c r="R300" s="2973">
        <f t="shared" si="65"/>
        <v>0</v>
      </c>
      <c r="S300" s="2850">
        <f t="shared" si="66"/>
        <v>0</v>
      </c>
    </row>
    <row r="301" spans="1:19">
      <c r="A301" s="3389"/>
      <c r="B301" s="3386"/>
      <c r="C301" s="3387">
        <f t="shared" si="57"/>
        <v>1</v>
      </c>
      <c r="D301" s="3388"/>
      <c r="E301" s="3387">
        <f t="shared" si="58"/>
        <v>0</v>
      </c>
      <c r="F301" s="3388"/>
      <c r="G301" s="3387">
        <f t="shared" si="59"/>
        <v>1</v>
      </c>
      <c r="H301" s="3388"/>
      <c r="I301" s="3387">
        <f t="shared" si="60"/>
        <v>1</v>
      </c>
      <c r="J301" s="3388"/>
      <c r="K301" s="3387">
        <f t="shared" si="61"/>
        <v>1</v>
      </c>
      <c r="L301" s="3388"/>
      <c r="M301" s="3387">
        <f t="shared" si="62"/>
        <v>1</v>
      </c>
      <c r="N301" s="3388"/>
      <c r="O301" s="3387">
        <f t="shared" si="63"/>
        <v>1</v>
      </c>
      <c r="P301" s="3388"/>
      <c r="Q301" s="3387">
        <f t="shared" si="64"/>
        <v>0</v>
      </c>
      <c r="R301" s="2973">
        <f t="shared" si="65"/>
        <v>0</v>
      </c>
      <c r="S301" s="2850">
        <f t="shared" si="66"/>
        <v>0</v>
      </c>
    </row>
    <row r="302" spans="1:19">
      <c r="A302" s="3389"/>
      <c r="B302" s="3386"/>
      <c r="C302" s="3387">
        <f t="shared" si="57"/>
        <v>1</v>
      </c>
      <c r="D302" s="3388"/>
      <c r="E302" s="3387">
        <f t="shared" si="58"/>
        <v>0</v>
      </c>
      <c r="F302" s="3388"/>
      <c r="G302" s="3387">
        <f t="shared" si="59"/>
        <v>1</v>
      </c>
      <c r="H302" s="3388"/>
      <c r="I302" s="3387">
        <f t="shared" si="60"/>
        <v>1</v>
      </c>
      <c r="J302" s="3388"/>
      <c r="K302" s="3387">
        <f t="shared" si="61"/>
        <v>1</v>
      </c>
      <c r="L302" s="3388"/>
      <c r="M302" s="3387">
        <f t="shared" si="62"/>
        <v>1</v>
      </c>
      <c r="N302" s="3388"/>
      <c r="O302" s="3387">
        <f t="shared" si="63"/>
        <v>1</v>
      </c>
      <c r="P302" s="3388"/>
      <c r="Q302" s="3387">
        <f t="shared" si="64"/>
        <v>0</v>
      </c>
      <c r="R302" s="2973">
        <f t="shared" si="65"/>
        <v>0</v>
      </c>
      <c r="S302" s="2850">
        <f t="shared" si="66"/>
        <v>0</v>
      </c>
    </row>
    <row r="303" spans="1:19">
      <c r="A303" s="3389"/>
      <c r="B303" s="3386"/>
      <c r="C303" s="3387">
        <f t="shared" si="57"/>
        <v>1</v>
      </c>
      <c r="D303" s="3388"/>
      <c r="E303" s="3387">
        <f t="shared" si="58"/>
        <v>0</v>
      </c>
      <c r="F303" s="3388"/>
      <c r="G303" s="3387">
        <f t="shared" si="59"/>
        <v>1</v>
      </c>
      <c r="H303" s="3388"/>
      <c r="I303" s="3387">
        <f t="shared" si="60"/>
        <v>1</v>
      </c>
      <c r="J303" s="3388"/>
      <c r="K303" s="3387">
        <f t="shared" si="61"/>
        <v>1</v>
      </c>
      <c r="L303" s="3388"/>
      <c r="M303" s="3387">
        <f t="shared" si="62"/>
        <v>1</v>
      </c>
      <c r="N303" s="3388"/>
      <c r="O303" s="3387">
        <f t="shared" si="63"/>
        <v>1</v>
      </c>
      <c r="P303" s="3388"/>
      <c r="Q303" s="3387">
        <f t="shared" si="64"/>
        <v>0</v>
      </c>
      <c r="R303" s="2973">
        <f t="shared" si="65"/>
        <v>0</v>
      </c>
      <c r="S303" s="2850">
        <f t="shared" si="66"/>
        <v>0</v>
      </c>
    </row>
    <row r="304" spans="1:19">
      <c r="A304" s="3389"/>
      <c r="B304" s="3386"/>
      <c r="C304" s="3387">
        <f t="shared" si="57"/>
        <v>1</v>
      </c>
      <c r="D304" s="3388"/>
      <c r="E304" s="3387">
        <f t="shared" si="58"/>
        <v>0</v>
      </c>
      <c r="F304" s="3388"/>
      <c r="G304" s="3387">
        <f t="shared" si="59"/>
        <v>1</v>
      </c>
      <c r="H304" s="3388"/>
      <c r="I304" s="3387">
        <f t="shared" si="60"/>
        <v>1</v>
      </c>
      <c r="J304" s="3388"/>
      <c r="K304" s="3387">
        <f t="shared" si="61"/>
        <v>1</v>
      </c>
      <c r="L304" s="3388"/>
      <c r="M304" s="3387">
        <f t="shared" si="62"/>
        <v>1</v>
      </c>
      <c r="N304" s="3388"/>
      <c r="O304" s="3387">
        <f t="shared" si="63"/>
        <v>1</v>
      </c>
      <c r="P304" s="3388"/>
      <c r="Q304" s="3387">
        <f t="shared" si="64"/>
        <v>0</v>
      </c>
      <c r="R304" s="2973">
        <f t="shared" si="65"/>
        <v>0</v>
      </c>
      <c r="S304" s="2850">
        <f t="shared" si="66"/>
        <v>0</v>
      </c>
    </row>
    <row r="305" spans="1:19">
      <c r="A305" s="3389"/>
      <c r="B305" s="3386"/>
      <c r="C305" s="3387">
        <f t="shared" si="57"/>
        <v>1</v>
      </c>
      <c r="D305" s="3388"/>
      <c r="E305" s="3387">
        <f t="shared" si="58"/>
        <v>0</v>
      </c>
      <c r="F305" s="3388"/>
      <c r="G305" s="3387">
        <f t="shared" si="59"/>
        <v>1</v>
      </c>
      <c r="H305" s="3388"/>
      <c r="I305" s="3387">
        <f t="shared" si="60"/>
        <v>1</v>
      </c>
      <c r="J305" s="3388"/>
      <c r="K305" s="3387">
        <f t="shared" si="61"/>
        <v>1</v>
      </c>
      <c r="L305" s="3388"/>
      <c r="M305" s="3387">
        <f t="shared" si="62"/>
        <v>1</v>
      </c>
      <c r="N305" s="3388"/>
      <c r="O305" s="3387">
        <f t="shared" si="63"/>
        <v>1</v>
      </c>
      <c r="P305" s="3388"/>
      <c r="Q305" s="3387">
        <f t="shared" si="64"/>
        <v>0</v>
      </c>
      <c r="R305" s="2973">
        <f t="shared" si="65"/>
        <v>0</v>
      </c>
      <c r="S305" s="2850">
        <f t="shared" si="66"/>
        <v>0</v>
      </c>
    </row>
    <row r="306" spans="1:19">
      <c r="A306" s="3389"/>
      <c r="B306" s="3386"/>
      <c r="C306" s="3387">
        <f t="shared" si="57"/>
        <v>1</v>
      </c>
      <c r="D306" s="3388"/>
      <c r="E306" s="3387">
        <f t="shared" si="58"/>
        <v>0</v>
      </c>
      <c r="F306" s="3388"/>
      <c r="G306" s="3387">
        <f t="shared" si="59"/>
        <v>1</v>
      </c>
      <c r="H306" s="3388"/>
      <c r="I306" s="3387">
        <f t="shared" si="60"/>
        <v>1</v>
      </c>
      <c r="J306" s="3388"/>
      <c r="K306" s="3387">
        <f t="shared" si="61"/>
        <v>1</v>
      </c>
      <c r="L306" s="3388"/>
      <c r="M306" s="3387">
        <f t="shared" si="62"/>
        <v>1</v>
      </c>
      <c r="N306" s="3388"/>
      <c r="O306" s="3387">
        <f t="shared" si="63"/>
        <v>1</v>
      </c>
      <c r="P306" s="3388"/>
      <c r="Q306" s="3387">
        <f t="shared" si="64"/>
        <v>0</v>
      </c>
      <c r="R306" s="2973">
        <f t="shared" si="65"/>
        <v>0</v>
      </c>
      <c r="S306" s="2850">
        <f t="shared" si="66"/>
        <v>0</v>
      </c>
    </row>
    <row r="307" spans="1:19">
      <c r="A307" s="3389"/>
      <c r="B307" s="3386"/>
      <c r="C307" s="3387">
        <f t="shared" si="57"/>
        <v>1</v>
      </c>
      <c r="D307" s="3388"/>
      <c r="E307" s="3387">
        <f t="shared" si="58"/>
        <v>0</v>
      </c>
      <c r="F307" s="3388"/>
      <c r="G307" s="3387">
        <f t="shared" si="59"/>
        <v>1</v>
      </c>
      <c r="H307" s="3388"/>
      <c r="I307" s="3387">
        <f t="shared" si="60"/>
        <v>1</v>
      </c>
      <c r="J307" s="3388"/>
      <c r="K307" s="3387">
        <f t="shared" si="61"/>
        <v>1</v>
      </c>
      <c r="L307" s="3388"/>
      <c r="M307" s="3387">
        <f t="shared" si="62"/>
        <v>1</v>
      </c>
      <c r="N307" s="3388"/>
      <c r="O307" s="3387">
        <f t="shared" si="63"/>
        <v>1</v>
      </c>
      <c r="P307" s="3388"/>
      <c r="Q307" s="3387">
        <f t="shared" si="64"/>
        <v>0</v>
      </c>
      <c r="R307" s="2973">
        <f t="shared" si="65"/>
        <v>0</v>
      </c>
      <c r="S307" s="2850">
        <f t="shared" si="66"/>
        <v>0</v>
      </c>
    </row>
    <row r="308" spans="1:19">
      <c r="A308" s="3389"/>
      <c r="B308" s="3386"/>
      <c r="C308" s="3387">
        <f t="shared" si="57"/>
        <v>1</v>
      </c>
      <c r="D308" s="3388"/>
      <c r="E308" s="3387">
        <f t="shared" si="58"/>
        <v>0</v>
      </c>
      <c r="F308" s="3388"/>
      <c r="G308" s="3387">
        <f t="shared" si="59"/>
        <v>1</v>
      </c>
      <c r="H308" s="3388"/>
      <c r="I308" s="3387">
        <f t="shared" si="60"/>
        <v>1</v>
      </c>
      <c r="J308" s="3388"/>
      <c r="K308" s="3387">
        <f t="shared" si="61"/>
        <v>1</v>
      </c>
      <c r="L308" s="3388"/>
      <c r="M308" s="3387">
        <f t="shared" si="62"/>
        <v>1</v>
      </c>
      <c r="N308" s="3388"/>
      <c r="O308" s="3387">
        <f t="shared" si="63"/>
        <v>1</v>
      </c>
      <c r="P308" s="3388"/>
      <c r="Q308" s="3387">
        <f t="shared" si="64"/>
        <v>0</v>
      </c>
      <c r="R308" s="2973">
        <f t="shared" si="65"/>
        <v>0</v>
      </c>
      <c r="S308" s="2850">
        <f t="shared" si="66"/>
        <v>0</v>
      </c>
    </row>
    <row r="309" spans="1:19">
      <c r="A309" s="3389"/>
      <c r="B309" s="3386"/>
      <c r="C309" s="3387">
        <f t="shared" si="57"/>
        <v>1</v>
      </c>
      <c r="D309" s="3388"/>
      <c r="E309" s="3387">
        <f t="shared" si="58"/>
        <v>0</v>
      </c>
      <c r="F309" s="3388"/>
      <c r="G309" s="3387">
        <f t="shared" si="59"/>
        <v>1</v>
      </c>
      <c r="H309" s="3388"/>
      <c r="I309" s="3387">
        <f t="shared" si="60"/>
        <v>1</v>
      </c>
      <c r="J309" s="3388"/>
      <c r="K309" s="3387">
        <f t="shared" si="61"/>
        <v>1</v>
      </c>
      <c r="L309" s="3388"/>
      <c r="M309" s="3387">
        <f t="shared" si="62"/>
        <v>1</v>
      </c>
      <c r="N309" s="3388"/>
      <c r="O309" s="3387">
        <f t="shared" si="63"/>
        <v>1</v>
      </c>
      <c r="P309" s="3388"/>
      <c r="Q309" s="3387">
        <f t="shared" si="64"/>
        <v>0</v>
      </c>
      <c r="R309" s="2973">
        <f t="shared" si="65"/>
        <v>0</v>
      </c>
      <c r="S309" s="2850">
        <f t="shared" si="66"/>
        <v>0</v>
      </c>
    </row>
    <row r="310" spans="1:19">
      <c r="A310" s="3389"/>
      <c r="B310" s="3386"/>
      <c r="C310" s="3387">
        <f t="shared" si="57"/>
        <v>1</v>
      </c>
      <c r="D310" s="3388"/>
      <c r="E310" s="3387">
        <f t="shared" si="58"/>
        <v>0</v>
      </c>
      <c r="F310" s="3388"/>
      <c r="G310" s="3387">
        <f t="shared" si="59"/>
        <v>1</v>
      </c>
      <c r="H310" s="3388"/>
      <c r="I310" s="3387">
        <f t="shared" si="60"/>
        <v>1</v>
      </c>
      <c r="J310" s="3388"/>
      <c r="K310" s="3387">
        <f t="shared" si="61"/>
        <v>1</v>
      </c>
      <c r="L310" s="3388"/>
      <c r="M310" s="3387">
        <f t="shared" si="62"/>
        <v>1</v>
      </c>
      <c r="N310" s="3388"/>
      <c r="O310" s="3387">
        <f t="shared" si="63"/>
        <v>1</v>
      </c>
      <c r="P310" s="3388"/>
      <c r="Q310" s="3387">
        <f t="shared" si="64"/>
        <v>0</v>
      </c>
      <c r="R310" s="2973">
        <f t="shared" si="65"/>
        <v>0</v>
      </c>
      <c r="S310" s="2850">
        <f t="shared" si="66"/>
        <v>0</v>
      </c>
    </row>
    <row r="311" spans="1:19">
      <c r="A311" s="3389"/>
      <c r="B311" s="3386"/>
      <c r="C311" s="3387">
        <f t="shared" si="57"/>
        <v>1</v>
      </c>
      <c r="D311" s="3388"/>
      <c r="E311" s="3387">
        <f t="shared" si="58"/>
        <v>0</v>
      </c>
      <c r="F311" s="3388"/>
      <c r="G311" s="3387">
        <f t="shared" si="59"/>
        <v>1</v>
      </c>
      <c r="H311" s="3388"/>
      <c r="I311" s="3387">
        <f t="shared" si="60"/>
        <v>1</v>
      </c>
      <c r="J311" s="3388"/>
      <c r="K311" s="3387">
        <f t="shared" si="61"/>
        <v>1</v>
      </c>
      <c r="L311" s="3388"/>
      <c r="M311" s="3387">
        <f t="shared" si="62"/>
        <v>1</v>
      </c>
      <c r="N311" s="3388"/>
      <c r="O311" s="3387">
        <f t="shared" si="63"/>
        <v>1</v>
      </c>
      <c r="P311" s="3388"/>
      <c r="Q311" s="3387">
        <f t="shared" si="64"/>
        <v>0</v>
      </c>
      <c r="R311" s="2973">
        <f t="shared" si="65"/>
        <v>0</v>
      </c>
      <c r="S311" s="2850">
        <f t="shared" si="66"/>
        <v>0</v>
      </c>
    </row>
    <row r="312" spans="1:19">
      <c r="A312" s="3389"/>
      <c r="B312" s="3386"/>
      <c r="C312" s="3387">
        <f t="shared" si="57"/>
        <v>1</v>
      </c>
      <c r="D312" s="3388"/>
      <c r="E312" s="3387">
        <f t="shared" si="58"/>
        <v>0</v>
      </c>
      <c r="F312" s="3388"/>
      <c r="G312" s="3387">
        <f t="shared" si="59"/>
        <v>1</v>
      </c>
      <c r="H312" s="3388"/>
      <c r="I312" s="3387">
        <f t="shared" si="60"/>
        <v>1</v>
      </c>
      <c r="J312" s="3388"/>
      <c r="K312" s="3387">
        <f t="shared" si="61"/>
        <v>1</v>
      </c>
      <c r="L312" s="3388"/>
      <c r="M312" s="3387">
        <f t="shared" si="62"/>
        <v>1</v>
      </c>
      <c r="N312" s="3388"/>
      <c r="O312" s="3387">
        <f t="shared" si="63"/>
        <v>1</v>
      </c>
      <c r="P312" s="3388"/>
      <c r="Q312" s="3387">
        <f t="shared" si="64"/>
        <v>0</v>
      </c>
      <c r="R312" s="2973">
        <f t="shared" si="65"/>
        <v>0</v>
      </c>
      <c r="S312" s="2850">
        <f t="shared" si="66"/>
        <v>0</v>
      </c>
    </row>
    <row r="313" spans="1:19">
      <c r="A313" s="3389"/>
      <c r="B313" s="3386"/>
      <c r="C313" s="3387">
        <f t="shared" si="57"/>
        <v>1</v>
      </c>
      <c r="D313" s="3388"/>
      <c r="E313" s="3387">
        <f t="shared" si="58"/>
        <v>0</v>
      </c>
      <c r="F313" s="3388"/>
      <c r="G313" s="3387">
        <f t="shared" si="59"/>
        <v>1</v>
      </c>
      <c r="H313" s="3388"/>
      <c r="I313" s="3387">
        <f t="shared" si="60"/>
        <v>1</v>
      </c>
      <c r="J313" s="3388"/>
      <c r="K313" s="3387">
        <f t="shared" si="61"/>
        <v>1</v>
      </c>
      <c r="L313" s="3388"/>
      <c r="M313" s="3387">
        <f t="shared" si="62"/>
        <v>1</v>
      </c>
      <c r="N313" s="3388"/>
      <c r="O313" s="3387">
        <f t="shared" si="63"/>
        <v>1</v>
      </c>
      <c r="P313" s="3388"/>
      <c r="Q313" s="3387">
        <f t="shared" si="64"/>
        <v>0</v>
      </c>
      <c r="R313" s="2973">
        <f t="shared" si="65"/>
        <v>0</v>
      </c>
      <c r="S313" s="2850">
        <f t="shared" si="66"/>
        <v>0</v>
      </c>
    </row>
    <row r="314" spans="1:19">
      <c r="A314" s="3389"/>
      <c r="B314" s="3386"/>
      <c r="C314" s="3387">
        <f t="shared" si="57"/>
        <v>1</v>
      </c>
      <c r="D314" s="3388"/>
      <c r="E314" s="3387">
        <f t="shared" si="58"/>
        <v>0</v>
      </c>
      <c r="F314" s="3388"/>
      <c r="G314" s="3387">
        <f t="shared" si="59"/>
        <v>1</v>
      </c>
      <c r="H314" s="3388"/>
      <c r="I314" s="3387">
        <f t="shared" si="60"/>
        <v>1</v>
      </c>
      <c r="J314" s="3388"/>
      <c r="K314" s="3387">
        <f t="shared" si="61"/>
        <v>1</v>
      </c>
      <c r="L314" s="3388"/>
      <c r="M314" s="3387">
        <f t="shared" si="62"/>
        <v>1</v>
      </c>
      <c r="N314" s="3388"/>
      <c r="O314" s="3387">
        <f t="shared" si="63"/>
        <v>1</v>
      </c>
      <c r="P314" s="3388"/>
      <c r="Q314" s="3387">
        <f t="shared" si="64"/>
        <v>0</v>
      </c>
      <c r="R314" s="2973">
        <f t="shared" si="65"/>
        <v>0</v>
      </c>
      <c r="S314" s="2850">
        <f t="shared" si="66"/>
        <v>0</v>
      </c>
    </row>
    <row r="315" spans="1:19">
      <c r="A315" s="3389"/>
      <c r="B315" s="3386"/>
      <c r="C315" s="3387">
        <f t="shared" si="57"/>
        <v>1</v>
      </c>
      <c r="D315" s="3388"/>
      <c r="E315" s="3387">
        <f t="shared" si="58"/>
        <v>0</v>
      </c>
      <c r="F315" s="3388"/>
      <c r="G315" s="3387">
        <f t="shared" si="59"/>
        <v>1</v>
      </c>
      <c r="H315" s="3388"/>
      <c r="I315" s="3387">
        <f t="shared" si="60"/>
        <v>1</v>
      </c>
      <c r="J315" s="3388"/>
      <c r="K315" s="3387">
        <f t="shared" si="61"/>
        <v>1</v>
      </c>
      <c r="L315" s="3388"/>
      <c r="M315" s="3387">
        <f t="shared" si="62"/>
        <v>1</v>
      </c>
      <c r="N315" s="3388"/>
      <c r="O315" s="3387">
        <f t="shared" si="63"/>
        <v>1</v>
      </c>
      <c r="P315" s="3388"/>
      <c r="Q315" s="3387">
        <f t="shared" si="64"/>
        <v>0</v>
      </c>
      <c r="R315" s="2973">
        <f t="shared" si="65"/>
        <v>0</v>
      </c>
      <c r="S315" s="2850">
        <f t="shared" si="66"/>
        <v>0</v>
      </c>
    </row>
    <row r="316" spans="1:19">
      <c r="A316" s="3389"/>
      <c r="B316" s="3386"/>
      <c r="C316" s="3387">
        <f t="shared" si="57"/>
        <v>1</v>
      </c>
      <c r="D316" s="3388"/>
      <c r="E316" s="3387">
        <f t="shared" si="58"/>
        <v>0</v>
      </c>
      <c r="F316" s="3388"/>
      <c r="G316" s="3387">
        <f t="shared" si="59"/>
        <v>1</v>
      </c>
      <c r="H316" s="3388"/>
      <c r="I316" s="3387">
        <f t="shared" si="60"/>
        <v>1</v>
      </c>
      <c r="J316" s="3388"/>
      <c r="K316" s="3387">
        <f t="shared" si="61"/>
        <v>1</v>
      </c>
      <c r="L316" s="3388"/>
      <c r="M316" s="3387">
        <f t="shared" si="62"/>
        <v>1</v>
      </c>
      <c r="N316" s="3388"/>
      <c r="O316" s="3387">
        <f t="shared" si="63"/>
        <v>1</v>
      </c>
      <c r="P316" s="3388"/>
      <c r="Q316" s="3387">
        <f t="shared" si="64"/>
        <v>0</v>
      </c>
      <c r="R316" s="2973">
        <f t="shared" si="65"/>
        <v>0</v>
      </c>
      <c r="S316" s="2850">
        <f t="shared" si="66"/>
        <v>0</v>
      </c>
    </row>
    <row r="317" spans="1:19">
      <c r="A317" s="3389"/>
      <c r="B317" s="3386"/>
      <c r="C317" s="3387">
        <f t="shared" si="57"/>
        <v>1</v>
      </c>
      <c r="D317" s="3388"/>
      <c r="E317" s="3387">
        <f t="shared" si="58"/>
        <v>0</v>
      </c>
      <c r="F317" s="3388"/>
      <c r="G317" s="3387">
        <f t="shared" si="59"/>
        <v>1</v>
      </c>
      <c r="H317" s="3388"/>
      <c r="I317" s="3387">
        <f t="shared" si="60"/>
        <v>1</v>
      </c>
      <c r="J317" s="3388"/>
      <c r="K317" s="3387">
        <f t="shared" si="61"/>
        <v>1</v>
      </c>
      <c r="L317" s="3388"/>
      <c r="M317" s="3387">
        <f t="shared" si="62"/>
        <v>1</v>
      </c>
      <c r="N317" s="3388"/>
      <c r="O317" s="3387">
        <f t="shared" si="63"/>
        <v>1</v>
      </c>
      <c r="P317" s="3388"/>
      <c r="Q317" s="3387">
        <f t="shared" si="64"/>
        <v>0</v>
      </c>
      <c r="R317" s="2973">
        <f t="shared" si="65"/>
        <v>0</v>
      </c>
      <c r="S317" s="2850">
        <f t="shared" si="66"/>
        <v>0</v>
      </c>
    </row>
    <row r="318" spans="1:19">
      <c r="A318" s="3389"/>
      <c r="B318" s="3386"/>
      <c r="C318" s="3387">
        <f t="shared" si="57"/>
        <v>1</v>
      </c>
      <c r="D318" s="3388"/>
      <c r="E318" s="3387">
        <f t="shared" si="58"/>
        <v>0</v>
      </c>
      <c r="F318" s="3388"/>
      <c r="G318" s="3387">
        <f t="shared" si="59"/>
        <v>1</v>
      </c>
      <c r="H318" s="3388"/>
      <c r="I318" s="3387">
        <f t="shared" si="60"/>
        <v>1</v>
      </c>
      <c r="J318" s="3388"/>
      <c r="K318" s="3387">
        <f t="shared" si="61"/>
        <v>1</v>
      </c>
      <c r="L318" s="3388"/>
      <c r="M318" s="3387">
        <f t="shared" si="62"/>
        <v>1</v>
      </c>
      <c r="N318" s="3388"/>
      <c r="O318" s="3387">
        <f t="shared" si="63"/>
        <v>1</v>
      </c>
      <c r="P318" s="3388"/>
      <c r="Q318" s="3387">
        <f t="shared" si="64"/>
        <v>0</v>
      </c>
      <c r="R318" s="2973">
        <f t="shared" si="65"/>
        <v>0</v>
      </c>
      <c r="S318" s="2850">
        <f t="shared" si="66"/>
        <v>0</v>
      </c>
    </row>
    <row r="319" spans="1:19">
      <c r="A319" s="3389"/>
      <c r="B319" s="3386"/>
      <c r="C319" s="3387">
        <f t="shared" si="57"/>
        <v>1</v>
      </c>
      <c r="D319" s="3388"/>
      <c r="E319" s="3387">
        <f t="shared" si="58"/>
        <v>0</v>
      </c>
      <c r="F319" s="3388"/>
      <c r="G319" s="3387">
        <f t="shared" si="59"/>
        <v>1</v>
      </c>
      <c r="H319" s="3388"/>
      <c r="I319" s="3387">
        <f t="shared" si="60"/>
        <v>1</v>
      </c>
      <c r="J319" s="3388"/>
      <c r="K319" s="3387">
        <f t="shared" si="61"/>
        <v>1</v>
      </c>
      <c r="L319" s="3388"/>
      <c r="M319" s="3387">
        <f t="shared" si="62"/>
        <v>1</v>
      </c>
      <c r="N319" s="3388"/>
      <c r="O319" s="3387">
        <f t="shared" si="63"/>
        <v>1</v>
      </c>
      <c r="P319" s="3388"/>
      <c r="Q319" s="3387">
        <f t="shared" si="64"/>
        <v>0</v>
      </c>
      <c r="R319" s="2973">
        <f t="shared" si="65"/>
        <v>0</v>
      </c>
      <c r="S319" s="2850">
        <f t="shared" si="66"/>
        <v>0</v>
      </c>
    </row>
    <row r="320" spans="1:19">
      <c r="A320" s="3389"/>
      <c r="B320" s="3386"/>
      <c r="C320" s="3387">
        <f t="shared" si="57"/>
        <v>1</v>
      </c>
      <c r="D320" s="3388"/>
      <c r="E320" s="3387">
        <f t="shared" si="58"/>
        <v>0</v>
      </c>
      <c r="F320" s="3388"/>
      <c r="G320" s="3387">
        <f t="shared" si="59"/>
        <v>1</v>
      </c>
      <c r="H320" s="3388"/>
      <c r="I320" s="3387">
        <f t="shared" si="60"/>
        <v>1</v>
      </c>
      <c r="J320" s="3388"/>
      <c r="K320" s="3387">
        <f t="shared" si="61"/>
        <v>1</v>
      </c>
      <c r="L320" s="3388"/>
      <c r="M320" s="3387">
        <f t="shared" si="62"/>
        <v>1</v>
      </c>
      <c r="N320" s="3388"/>
      <c r="O320" s="3387">
        <f t="shared" si="63"/>
        <v>1</v>
      </c>
      <c r="P320" s="3388"/>
      <c r="Q320" s="3387">
        <f t="shared" si="64"/>
        <v>0</v>
      </c>
      <c r="R320" s="2973">
        <f t="shared" si="65"/>
        <v>0</v>
      </c>
      <c r="S320" s="2850">
        <f t="shared" si="66"/>
        <v>0</v>
      </c>
    </row>
    <row r="321" spans="1:19">
      <c r="A321" s="3389"/>
      <c r="B321" s="3386"/>
      <c r="C321" s="3387">
        <f t="shared" si="57"/>
        <v>1</v>
      </c>
      <c r="D321" s="3388"/>
      <c r="E321" s="3387">
        <f t="shared" si="58"/>
        <v>0</v>
      </c>
      <c r="F321" s="3388"/>
      <c r="G321" s="3387">
        <f t="shared" si="59"/>
        <v>1</v>
      </c>
      <c r="H321" s="3388"/>
      <c r="I321" s="3387">
        <f t="shared" si="60"/>
        <v>1</v>
      </c>
      <c r="J321" s="3388"/>
      <c r="K321" s="3387">
        <f t="shared" si="61"/>
        <v>1</v>
      </c>
      <c r="L321" s="3388"/>
      <c r="M321" s="3387">
        <f t="shared" si="62"/>
        <v>1</v>
      </c>
      <c r="N321" s="3388"/>
      <c r="O321" s="3387">
        <f t="shared" si="63"/>
        <v>1</v>
      </c>
      <c r="P321" s="3388"/>
      <c r="Q321" s="3387">
        <f t="shared" si="64"/>
        <v>0</v>
      </c>
      <c r="R321" s="2973">
        <f t="shared" si="65"/>
        <v>0</v>
      </c>
      <c r="S321" s="2850">
        <f t="shared" ref="S321:S384" si="67">ROUND(R321*B321/10000,0)</f>
        <v>0</v>
      </c>
    </row>
    <row r="322" spans="1:19">
      <c r="A322" s="3389"/>
      <c r="B322" s="3386"/>
      <c r="C322" s="3387">
        <f t="shared" si="57"/>
        <v>1</v>
      </c>
      <c r="D322" s="3388"/>
      <c r="E322" s="3387">
        <f t="shared" si="58"/>
        <v>0</v>
      </c>
      <c r="F322" s="3388"/>
      <c r="G322" s="3387">
        <f t="shared" si="59"/>
        <v>1</v>
      </c>
      <c r="H322" s="3388"/>
      <c r="I322" s="3387">
        <f t="shared" si="60"/>
        <v>1</v>
      </c>
      <c r="J322" s="3388"/>
      <c r="K322" s="3387">
        <f t="shared" si="61"/>
        <v>1</v>
      </c>
      <c r="L322" s="3388"/>
      <c r="M322" s="3387">
        <f t="shared" si="62"/>
        <v>1</v>
      </c>
      <c r="N322" s="3388"/>
      <c r="O322" s="3387">
        <f t="shared" si="63"/>
        <v>1</v>
      </c>
      <c r="P322" s="3388"/>
      <c r="Q322" s="3387">
        <f t="shared" si="64"/>
        <v>0</v>
      </c>
      <c r="R322" s="2973">
        <f t="shared" si="65"/>
        <v>0</v>
      </c>
      <c r="S322" s="2850">
        <f t="shared" si="67"/>
        <v>0</v>
      </c>
    </row>
    <row r="323" spans="1:19">
      <c r="A323" s="3389"/>
      <c r="B323" s="3386"/>
      <c r="C323" s="3387">
        <f t="shared" si="57"/>
        <v>1</v>
      </c>
      <c r="D323" s="3388"/>
      <c r="E323" s="3387">
        <f t="shared" si="58"/>
        <v>0</v>
      </c>
      <c r="F323" s="3388"/>
      <c r="G323" s="3387">
        <f t="shared" si="59"/>
        <v>1</v>
      </c>
      <c r="H323" s="3388"/>
      <c r="I323" s="3387">
        <f t="shared" si="60"/>
        <v>1</v>
      </c>
      <c r="J323" s="3388"/>
      <c r="K323" s="3387">
        <f t="shared" si="61"/>
        <v>1</v>
      </c>
      <c r="L323" s="3388"/>
      <c r="M323" s="3387">
        <f t="shared" si="62"/>
        <v>1</v>
      </c>
      <c r="N323" s="3388"/>
      <c r="O323" s="3387">
        <f t="shared" si="63"/>
        <v>1</v>
      </c>
      <c r="P323" s="3388"/>
      <c r="Q323" s="3387">
        <f t="shared" si="64"/>
        <v>0</v>
      </c>
      <c r="R323" s="2973">
        <f t="shared" si="65"/>
        <v>0</v>
      </c>
      <c r="S323" s="2850">
        <f t="shared" si="67"/>
        <v>0</v>
      </c>
    </row>
    <row r="324" spans="1:19">
      <c r="A324" s="3389"/>
      <c r="B324" s="3386"/>
      <c r="C324" s="3387">
        <f t="shared" si="57"/>
        <v>1</v>
      </c>
      <c r="D324" s="3388"/>
      <c r="E324" s="3387">
        <f t="shared" si="58"/>
        <v>0</v>
      </c>
      <c r="F324" s="3388"/>
      <c r="G324" s="3387">
        <f t="shared" si="59"/>
        <v>1</v>
      </c>
      <c r="H324" s="3388"/>
      <c r="I324" s="3387">
        <f t="shared" si="60"/>
        <v>1</v>
      </c>
      <c r="J324" s="3388"/>
      <c r="K324" s="3387">
        <f t="shared" si="61"/>
        <v>1</v>
      </c>
      <c r="L324" s="3388"/>
      <c r="M324" s="3387">
        <f t="shared" si="62"/>
        <v>1</v>
      </c>
      <c r="N324" s="3388"/>
      <c r="O324" s="3387">
        <f t="shared" si="63"/>
        <v>1</v>
      </c>
      <c r="P324" s="3388"/>
      <c r="Q324" s="3387">
        <f t="shared" si="64"/>
        <v>0</v>
      </c>
      <c r="R324" s="2973">
        <f t="shared" si="65"/>
        <v>0</v>
      </c>
      <c r="S324" s="2850">
        <f t="shared" si="67"/>
        <v>0</v>
      </c>
    </row>
    <row r="325" spans="1:19">
      <c r="A325" s="3389"/>
      <c r="B325" s="3386"/>
      <c r="C325" s="3387">
        <f t="shared" si="57"/>
        <v>1</v>
      </c>
      <c r="D325" s="3388"/>
      <c r="E325" s="3387">
        <f t="shared" si="58"/>
        <v>0</v>
      </c>
      <c r="F325" s="3388"/>
      <c r="G325" s="3387">
        <f t="shared" si="59"/>
        <v>1</v>
      </c>
      <c r="H325" s="3388"/>
      <c r="I325" s="3387">
        <f t="shared" si="60"/>
        <v>1</v>
      </c>
      <c r="J325" s="3388"/>
      <c r="K325" s="3387">
        <f t="shared" si="61"/>
        <v>1</v>
      </c>
      <c r="L325" s="3388"/>
      <c r="M325" s="3387">
        <f t="shared" si="62"/>
        <v>1</v>
      </c>
      <c r="N325" s="3388"/>
      <c r="O325" s="3387">
        <f t="shared" si="63"/>
        <v>1</v>
      </c>
      <c r="P325" s="3388"/>
      <c r="Q325" s="3387">
        <f t="shared" si="64"/>
        <v>0</v>
      </c>
      <c r="R325" s="2973">
        <f t="shared" si="65"/>
        <v>0</v>
      </c>
      <c r="S325" s="2850">
        <f t="shared" si="67"/>
        <v>0</v>
      </c>
    </row>
    <row r="326" spans="1:19">
      <c r="A326" s="3389"/>
      <c r="B326" s="3386"/>
      <c r="C326" s="3387">
        <f t="shared" si="57"/>
        <v>1</v>
      </c>
      <c r="D326" s="3388"/>
      <c r="E326" s="3387">
        <f t="shared" si="58"/>
        <v>0</v>
      </c>
      <c r="F326" s="3388"/>
      <c r="G326" s="3387">
        <f t="shared" si="59"/>
        <v>1</v>
      </c>
      <c r="H326" s="3388"/>
      <c r="I326" s="3387">
        <f t="shared" si="60"/>
        <v>1</v>
      </c>
      <c r="J326" s="3388"/>
      <c r="K326" s="3387">
        <f t="shared" si="61"/>
        <v>1</v>
      </c>
      <c r="L326" s="3388"/>
      <c r="M326" s="3387">
        <f t="shared" si="62"/>
        <v>1</v>
      </c>
      <c r="N326" s="3388"/>
      <c r="O326" s="3387">
        <f t="shared" si="63"/>
        <v>1</v>
      </c>
      <c r="P326" s="3388"/>
      <c r="Q326" s="3387">
        <f t="shared" si="64"/>
        <v>0</v>
      </c>
      <c r="R326" s="2973">
        <f t="shared" si="65"/>
        <v>0</v>
      </c>
      <c r="S326" s="2850">
        <f t="shared" si="67"/>
        <v>0</v>
      </c>
    </row>
    <row r="327" spans="1:19">
      <c r="A327" s="3389"/>
      <c r="B327" s="3386"/>
      <c r="C327" s="3387">
        <f t="shared" si="57"/>
        <v>1</v>
      </c>
      <c r="D327" s="3388"/>
      <c r="E327" s="3387">
        <f t="shared" si="58"/>
        <v>0</v>
      </c>
      <c r="F327" s="3388"/>
      <c r="G327" s="3387">
        <f t="shared" si="59"/>
        <v>1</v>
      </c>
      <c r="H327" s="3388"/>
      <c r="I327" s="3387">
        <f t="shared" si="60"/>
        <v>1</v>
      </c>
      <c r="J327" s="3388"/>
      <c r="K327" s="3387">
        <f t="shared" si="61"/>
        <v>1</v>
      </c>
      <c r="L327" s="3388"/>
      <c r="M327" s="3387">
        <f t="shared" si="62"/>
        <v>1</v>
      </c>
      <c r="N327" s="3388"/>
      <c r="O327" s="3387">
        <f t="shared" si="63"/>
        <v>1</v>
      </c>
      <c r="P327" s="3388"/>
      <c r="Q327" s="3387">
        <f t="shared" si="64"/>
        <v>0</v>
      </c>
      <c r="R327" s="2973">
        <f t="shared" si="65"/>
        <v>0</v>
      </c>
      <c r="S327" s="2850">
        <f t="shared" si="67"/>
        <v>0</v>
      </c>
    </row>
    <row r="328" spans="1:19">
      <c r="A328" s="3389"/>
      <c r="B328" s="3386"/>
      <c r="C328" s="3387">
        <f t="shared" si="57"/>
        <v>1</v>
      </c>
      <c r="D328" s="3388"/>
      <c r="E328" s="3387">
        <f t="shared" si="58"/>
        <v>0</v>
      </c>
      <c r="F328" s="3388"/>
      <c r="G328" s="3387">
        <f t="shared" si="59"/>
        <v>1</v>
      </c>
      <c r="H328" s="3388"/>
      <c r="I328" s="3387">
        <f t="shared" si="60"/>
        <v>1</v>
      </c>
      <c r="J328" s="3388"/>
      <c r="K328" s="3387">
        <f t="shared" si="61"/>
        <v>1</v>
      </c>
      <c r="L328" s="3388"/>
      <c r="M328" s="3387">
        <f t="shared" si="62"/>
        <v>1</v>
      </c>
      <c r="N328" s="3388"/>
      <c r="O328" s="3387">
        <f t="shared" si="63"/>
        <v>1</v>
      </c>
      <c r="P328" s="3388"/>
      <c r="Q328" s="3387">
        <f t="shared" si="64"/>
        <v>0</v>
      </c>
      <c r="R328" s="2973">
        <f t="shared" si="65"/>
        <v>0</v>
      </c>
      <c r="S328" s="2850">
        <f t="shared" si="67"/>
        <v>0</v>
      </c>
    </row>
    <row r="329" spans="1:19">
      <c r="A329" s="3389"/>
      <c r="B329" s="3386"/>
      <c r="C329" s="3387">
        <f t="shared" si="57"/>
        <v>1</v>
      </c>
      <c r="D329" s="3388"/>
      <c r="E329" s="3387">
        <f t="shared" si="58"/>
        <v>0</v>
      </c>
      <c r="F329" s="3388"/>
      <c r="G329" s="3387">
        <f t="shared" si="59"/>
        <v>1</v>
      </c>
      <c r="H329" s="3388"/>
      <c r="I329" s="3387">
        <f t="shared" si="60"/>
        <v>1</v>
      </c>
      <c r="J329" s="3388"/>
      <c r="K329" s="3387">
        <f t="shared" si="61"/>
        <v>1</v>
      </c>
      <c r="L329" s="3388"/>
      <c r="M329" s="3387">
        <f t="shared" si="62"/>
        <v>1</v>
      </c>
      <c r="N329" s="3388"/>
      <c r="O329" s="3387">
        <f t="shared" si="63"/>
        <v>1</v>
      </c>
      <c r="P329" s="3388"/>
      <c r="Q329" s="3387">
        <f t="shared" si="64"/>
        <v>0</v>
      </c>
      <c r="R329" s="2973">
        <f t="shared" si="65"/>
        <v>0</v>
      </c>
      <c r="S329" s="2850">
        <f t="shared" si="67"/>
        <v>0</v>
      </c>
    </row>
    <row r="330" spans="1:19">
      <c r="A330" s="3389"/>
      <c r="B330" s="3386"/>
      <c r="C330" s="3387">
        <f t="shared" si="57"/>
        <v>1</v>
      </c>
      <c r="D330" s="3388"/>
      <c r="E330" s="3387">
        <f t="shared" si="58"/>
        <v>0</v>
      </c>
      <c r="F330" s="3388"/>
      <c r="G330" s="3387">
        <f t="shared" si="59"/>
        <v>1</v>
      </c>
      <c r="H330" s="3388"/>
      <c r="I330" s="3387">
        <f t="shared" si="60"/>
        <v>1</v>
      </c>
      <c r="J330" s="3388"/>
      <c r="K330" s="3387">
        <f t="shared" si="61"/>
        <v>1</v>
      </c>
      <c r="L330" s="3388"/>
      <c r="M330" s="3387">
        <f t="shared" si="62"/>
        <v>1</v>
      </c>
      <c r="N330" s="3388"/>
      <c r="O330" s="3387">
        <f t="shared" si="63"/>
        <v>1</v>
      </c>
      <c r="P330" s="3388"/>
      <c r="Q330" s="3387">
        <f t="shared" si="64"/>
        <v>0</v>
      </c>
      <c r="R330" s="2973">
        <f t="shared" si="65"/>
        <v>0</v>
      </c>
      <c r="S330" s="2850">
        <f t="shared" si="67"/>
        <v>0</v>
      </c>
    </row>
    <row r="331" spans="1:19">
      <c r="A331" s="3389"/>
      <c r="B331" s="3386"/>
      <c r="C331" s="3387">
        <f t="shared" si="57"/>
        <v>1</v>
      </c>
      <c r="D331" s="3388"/>
      <c r="E331" s="3387">
        <f t="shared" si="58"/>
        <v>0</v>
      </c>
      <c r="F331" s="3388"/>
      <c r="G331" s="3387">
        <f t="shared" si="59"/>
        <v>1</v>
      </c>
      <c r="H331" s="3388"/>
      <c r="I331" s="3387">
        <f t="shared" si="60"/>
        <v>1</v>
      </c>
      <c r="J331" s="3388"/>
      <c r="K331" s="3387">
        <f t="shared" si="61"/>
        <v>1</v>
      </c>
      <c r="L331" s="3388"/>
      <c r="M331" s="3387">
        <f t="shared" si="62"/>
        <v>1</v>
      </c>
      <c r="N331" s="3388"/>
      <c r="O331" s="3387">
        <f t="shared" si="63"/>
        <v>1</v>
      </c>
      <c r="P331" s="3388"/>
      <c r="Q331" s="3387">
        <f t="shared" si="64"/>
        <v>0</v>
      </c>
      <c r="R331" s="2973">
        <f t="shared" si="65"/>
        <v>0</v>
      </c>
      <c r="S331" s="2850">
        <f t="shared" si="67"/>
        <v>0</v>
      </c>
    </row>
    <row r="332" spans="1:19">
      <c r="A332" s="3389"/>
      <c r="B332" s="3386"/>
      <c r="C332" s="3387">
        <f t="shared" si="57"/>
        <v>1</v>
      </c>
      <c r="D332" s="3388"/>
      <c r="E332" s="3387">
        <f t="shared" si="58"/>
        <v>0</v>
      </c>
      <c r="F332" s="3388"/>
      <c r="G332" s="3387">
        <f t="shared" si="59"/>
        <v>1</v>
      </c>
      <c r="H332" s="3388"/>
      <c r="I332" s="3387">
        <f t="shared" si="60"/>
        <v>1</v>
      </c>
      <c r="J332" s="3388"/>
      <c r="K332" s="3387">
        <f t="shared" si="61"/>
        <v>1</v>
      </c>
      <c r="L332" s="3388"/>
      <c r="M332" s="3387">
        <f t="shared" si="62"/>
        <v>1</v>
      </c>
      <c r="N332" s="3388"/>
      <c r="O332" s="3387">
        <f t="shared" si="63"/>
        <v>1</v>
      </c>
      <c r="P332" s="3388"/>
      <c r="Q332" s="3387">
        <f t="shared" si="64"/>
        <v>0</v>
      </c>
      <c r="R332" s="2973">
        <f t="shared" si="65"/>
        <v>0</v>
      </c>
      <c r="S332" s="2850">
        <f t="shared" si="67"/>
        <v>0</v>
      </c>
    </row>
    <row r="333" spans="1:19">
      <c r="A333" s="3389"/>
      <c r="B333" s="3386"/>
      <c r="C333" s="3387">
        <f t="shared" si="57"/>
        <v>1</v>
      </c>
      <c r="D333" s="3388"/>
      <c r="E333" s="3387">
        <f t="shared" si="58"/>
        <v>0</v>
      </c>
      <c r="F333" s="3388"/>
      <c r="G333" s="3387">
        <f t="shared" si="59"/>
        <v>1</v>
      </c>
      <c r="H333" s="3388"/>
      <c r="I333" s="3387">
        <f t="shared" si="60"/>
        <v>1</v>
      </c>
      <c r="J333" s="3388"/>
      <c r="K333" s="3387">
        <f t="shared" si="61"/>
        <v>1</v>
      </c>
      <c r="L333" s="3388"/>
      <c r="M333" s="3387">
        <f t="shared" si="62"/>
        <v>1</v>
      </c>
      <c r="N333" s="3388"/>
      <c r="O333" s="3387">
        <f t="shared" si="63"/>
        <v>1</v>
      </c>
      <c r="P333" s="3388"/>
      <c r="Q333" s="3387">
        <f t="shared" si="64"/>
        <v>0</v>
      </c>
      <c r="R333" s="2973">
        <f t="shared" si="65"/>
        <v>0</v>
      </c>
      <c r="S333" s="2850">
        <f t="shared" si="67"/>
        <v>0</v>
      </c>
    </row>
    <row r="334" spans="1:19">
      <c r="A334" s="3389"/>
      <c r="B334" s="3386"/>
      <c r="C334" s="3387">
        <f t="shared" si="57"/>
        <v>1</v>
      </c>
      <c r="D334" s="3388"/>
      <c r="E334" s="3387">
        <f t="shared" si="58"/>
        <v>0</v>
      </c>
      <c r="F334" s="3388"/>
      <c r="G334" s="3387">
        <f t="shared" si="59"/>
        <v>1</v>
      </c>
      <c r="H334" s="3388"/>
      <c r="I334" s="3387">
        <f t="shared" si="60"/>
        <v>1</v>
      </c>
      <c r="J334" s="3388"/>
      <c r="K334" s="3387">
        <f t="shared" si="61"/>
        <v>1</v>
      </c>
      <c r="L334" s="3388"/>
      <c r="M334" s="3387">
        <f t="shared" si="62"/>
        <v>1</v>
      </c>
      <c r="N334" s="3388"/>
      <c r="O334" s="3387">
        <f t="shared" si="63"/>
        <v>1</v>
      </c>
      <c r="P334" s="3388"/>
      <c r="Q334" s="3387">
        <f t="shared" si="64"/>
        <v>0</v>
      </c>
      <c r="R334" s="2973">
        <f t="shared" si="65"/>
        <v>0</v>
      </c>
      <c r="S334" s="2850">
        <f t="shared" si="67"/>
        <v>0</v>
      </c>
    </row>
    <row r="335" spans="1:19">
      <c r="A335" s="3389"/>
      <c r="B335" s="3386"/>
      <c r="C335" s="3387">
        <f t="shared" si="57"/>
        <v>1</v>
      </c>
      <c r="D335" s="3388"/>
      <c r="E335" s="3387">
        <f t="shared" si="58"/>
        <v>0</v>
      </c>
      <c r="F335" s="3388"/>
      <c r="G335" s="3387">
        <f t="shared" si="59"/>
        <v>1</v>
      </c>
      <c r="H335" s="3388"/>
      <c r="I335" s="3387">
        <f t="shared" si="60"/>
        <v>1</v>
      </c>
      <c r="J335" s="3388"/>
      <c r="K335" s="3387">
        <f t="shared" si="61"/>
        <v>1</v>
      </c>
      <c r="L335" s="3388"/>
      <c r="M335" s="3387">
        <f t="shared" si="62"/>
        <v>1</v>
      </c>
      <c r="N335" s="3388"/>
      <c r="O335" s="3387">
        <f t="shared" si="63"/>
        <v>1</v>
      </c>
      <c r="P335" s="3388"/>
      <c r="Q335" s="3387">
        <f t="shared" si="64"/>
        <v>0</v>
      </c>
      <c r="R335" s="2973">
        <f t="shared" si="65"/>
        <v>0</v>
      </c>
      <c r="S335" s="2850">
        <f t="shared" si="67"/>
        <v>0</v>
      </c>
    </row>
    <row r="336" spans="1:19">
      <c r="A336" s="3389"/>
      <c r="B336" s="3386"/>
      <c r="C336" s="3387">
        <f t="shared" si="57"/>
        <v>1</v>
      </c>
      <c r="D336" s="3388"/>
      <c r="E336" s="3387">
        <f t="shared" si="58"/>
        <v>0</v>
      </c>
      <c r="F336" s="3388"/>
      <c r="G336" s="3387">
        <f t="shared" si="59"/>
        <v>1</v>
      </c>
      <c r="H336" s="3388"/>
      <c r="I336" s="3387">
        <f t="shared" si="60"/>
        <v>1</v>
      </c>
      <c r="J336" s="3388"/>
      <c r="K336" s="3387">
        <f t="shared" si="61"/>
        <v>1</v>
      </c>
      <c r="L336" s="3388"/>
      <c r="M336" s="3387">
        <f t="shared" si="62"/>
        <v>1</v>
      </c>
      <c r="N336" s="3388"/>
      <c r="O336" s="3387">
        <f t="shared" si="63"/>
        <v>1</v>
      </c>
      <c r="P336" s="3388"/>
      <c r="Q336" s="3387">
        <f t="shared" si="64"/>
        <v>0</v>
      </c>
      <c r="R336" s="2973">
        <f t="shared" si="65"/>
        <v>0</v>
      </c>
      <c r="S336" s="2850">
        <f t="shared" si="67"/>
        <v>0</v>
      </c>
    </row>
    <row r="337" spans="1:19">
      <c r="A337" s="3389"/>
      <c r="B337" s="3386"/>
      <c r="C337" s="3387">
        <f t="shared" si="57"/>
        <v>1</v>
      </c>
      <c r="D337" s="3388"/>
      <c r="E337" s="3387">
        <f t="shared" si="58"/>
        <v>0</v>
      </c>
      <c r="F337" s="3388"/>
      <c r="G337" s="3387">
        <f t="shared" si="59"/>
        <v>1</v>
      </c>
      <c r="H337" s="3388"/>
      <c r="I337" s="3387">
        <f t="shared" si="60"/>
        <v>1</v>
      </c>
      <c r="J337" s="3388"/>
      <c r="K337" s="3387">
        <f t="shared" si="61"/>
        <v>1</v>
      </c>
      <c r="L337" s="3388"/>
      <c r="M337" s="3387">
        <f t="shared" si="62"/>
        <v>1</v>
      </c>
      <c r="N337" s="3388"/>
      <c r="O337" s="3387">
        <f t="shared" si="63"/>
        <v>1</v>
      </c>
      <c r="P337" s="3388"/>
      <c r="Q337" s="3387">
        <f t="shared" si="64"/>
        <v>0</v>
      </c>
      <c r="R337" s="2973">
        <f t="shared" si="65"/>
        <v>0</v>
      </c>
      <c r="S337" s="2850">
        <f t="shared" si="67"/>
        <v>0</v>
      </c>
    </row>
    <row r="338" spans="1:19">
      <c r="A338" s="3389"/>
      <c r="B338" s="3386"/>
      <c r="C338" s="3387">
        <f t="shared" si="57"/>
        <v>1</v>
      </c>
      <c r="D338" s="3388"/>
      <c r="E338" s="3387">
        <f t="shared" si="58"/>
        <v>0</v>
      </c>
      <c r="F338" s="3388"/>
      <c r="G338" s="3387">
        <f t="shared" si="59"/>
        <v>1</v>
      </c>
      <c r="H338" s="3388"/>
      <c r="I338" s="3387">
        <f t="shared" si="60"/>
        <v>1</v>
      </c>
      <c r="J338" s="3388"/>
      <c r="K338" s="3387">
        <f t="shared" si="61"/>
        <v>1</v>
      </c>
      <c r="L338" s="3388"/>
      <c r="M338" s="3387">
        <f t="shared" si="62"/>
        <v>1</v>
      </c>
      <c r="N338" s="3388"/>
      <c r="O338" s="3387">
        <f t="shared" si="63"/>
        <v>1</v>
      </c>
      <c r="P338" s="3388"/>
      <c r="Q338" s="3387">
        <f t="shared" si="64"/>
        <v>0</v>
      </c>
      <c r="R338" s="2973">
        <f t="shared" si="65"/>
        <v>0</v>
      </c>
      <c r="S338" s="2850">
        <f t="shared" si="67"/>
        <v>0</v>
      </c>
    </row>
    <row r="339" spans="1:19">
      <c r="A339" s="3389"/>
      <c r="B339" s="3386"/>
      <c r="C339" s="3387">
        <f t="shared" si="57"/>
        <v>1</v>
      </c>
      <c r="D339" s="3388"/>
      <c r="E339" s="3387">
        <f t="shared" si="58"/>
        <v>0</v>
      </c>
      <c r="F339" s="3388"/>
      <c r="G339" s="3387">
        <f t="shared" si="59"/>
        <v>1</v>
      </c>
      <c r="H339" s="3388"/>
      <c r="I339" s="3387">
        <f t="shared" si="60"/>
        <v>1</v>
      </c>
      <c r="J339" s="3388"/>
      <c r="K339" s="3387">
        <f t="shared" si="61"/>
        <v>1</v>
      </c>
      <c r="L339" s="3388"/>
      <c r="M339" s="3387">
        <f t="shared" si="62"/>
        <v>1</v>
      </c>
      <c r="N339" s="3388"/>
      <c r="O339" s="3387">
        <f t="shared" si="63"/>
        <v>1</v>
      </c>
      <c r="P339" s="3388"/>
      <c r="Q339" s="3387">
        <f t="shared" si="64"/>
        <v>0</v>
      </c>
      <c r="R339" s="2973">
        <f t="shared" si="65"/>
        <v>0</v>
      </c>
      <c r="S339" s="2850">
        <f t="shared" si="67"/>
        <v>0</v>
      </c>
    </row>
    <row r="340" spans="1:19">
      <c r="A340" s="3389"/>
      <c r="B340" s="3386"/>
      <c r="C340" s="3387">
        <f t="shared" si="57"/>
        <v>1</v>
      </c>
      <c r="D340" s="3388"/>
      <c r="E340" s="3387">
        <f t="shared" si="58"/>
        <v>0</v>
      </c>
      <c r="F340" s="3388"/>
      <c r="G340" s="3387">
        <f t="shared" si="59"/>
        <v>1</v>
      </c>
      <c r="H340" s="3388"/>
      <c r="I340" s="3387">
        <f t="shared" si="60"/>
        <v>1</v>
      </c>
      <c r="J340" s="3388"/>
      <c r="K340" s="3387">
        <f t="shared" si="61"/>
        <v>1</v>
      </c>
      <c r="L340" s="3388"/>
      <c r="M340" s="3387">
        <f t="shared" si="62"/>
        <v>1</v>
      </c>
      <c r="N340" s="3388"/>
      <c r="O340" s="3387">
        <f t="shared" si="63"/>
        <v>1</v>
      </c>
      <c r="P340" s="3388"/>
      <c r="Q340" s="3387">
        <f t="shared" si="64"/>
        <v>0</v>
      </c>
      <c r="R340" s="2973">
        <f t="shared" si="65"/>
        <v>0</v>
      </c>
      <c r="S340" s="2850">
        <f t="shared" si="67"/>
        <v>0</v>
      </c>
    </row>
    <row r="341" spans="1:19">
      <c r="A341" s="3389"/>
      <c r="B341" s="3386"/>
      <c r="C341" s="3387">
        <f t="shared" si="57"/>
        <v>1</v>
      </c>
      <c r="D341" s="3388"/>
      <c r="E341" s="3387">
        <f t="shared" si="58"/>
        <v>0</v>
      </c>
      <c r="F341" s="3388"/>
      <c r="G341" s="3387">
        <f t="shared" si="59"/>
        <v>1</v>
      </c>
      <c r="H341" s="3388"/>
      <c r="I341" s="3387">
        <f t="shared" si="60"/>
        <v>1</v>
      </c>
      <c r="J341" s="3388"/>
      <c r="K341" s="3387">
        <f t="shared" si="61"/>
        <v>1</v>
      </c>
      <c r="L341" s="3388"/>
      <c r="M341" s="3387">
        <f t="shared" si="62"/>
        <v>1</v>
      </c>
      <c r="N341" s="3388"/>
      <c r="O341" s="3387">
        <f t="shared" si="63"/>
        <v>1</v>
      </c>
      <c r="P341" s="3388"/>
      <c r="Q341" s="3387">
        <f t="shared" si="64"/>
        <v>0</v>
      </c>
      <c r="R341" s="2973">
        <f t="shared" si="65"/>
        <v>0</v>
      </c>
      <c r="S341" s="2850">
        <f t="shared" si="67"/>
        <v>0</v>
      </c>
    </row>
    <row r="342" spans="1:19">
      <c r="A342" s="3389"/>
      <c r="B342" s="3386"/>
      <c r="C342" s="3387">
        <f t="shared" si="57"/>
        <v>1</v>
      </c>
      <c r="D342" s="3388"/>
      <c r="E342" s="3387">
        <f t="shared" si="58"/>
        <v>0</v>
      </c>
      <c r="F342" s="3388"/>
      <c r="G342" s="3387">
        <f t="shared" si="59"/>
        <v>1</v>
      </c>
      <c r="H342" s="3388"/>
      <c r="I342" s="3387">
        <f t="shared" si="60"/>
        <v>1</v>
      </c>
      <c r="J342" s="3388"/>
      <c r="K342" s="3387">
        <f t="shared" si="61"/>
        <v>1</v>
      </c>
      <c r="L342" s="3388"/>
      <c r="M342" s="3387">
        <f t="shared" si="62"/>
        <v>1</v>
      </c>
      <c r="N342" s="3388"/>
      <c r="O342" s="3387">
        <f t="shared" si="63"/>
        <v>1</v>
      </c>
      <c r="P342" s="3388"/>
      <c r="Q342" s="3387">
        <f t="shared" si="64"/>
        <v>0</v>
      </c>
      <c r="R342" s="2973">
        <f t="shared" si="65"/>
        <v>0</v>
      </c>
      <c r="S342" s="2850">
        <f t="shared" si="67"/>
        <v>0</v>
      </c>
    </row>
    <row r="343" spans="1:19">
      <c r="A343" s="3389"/>
      <c r="B343" s="3386"/>
      <c r="C343" s="3387">
        <f t="shared" si="57"/>
        <v>1</v>
      </c>
      <c r="D343" s="3388"/>
      <c r="E343" s="3387">
        <f t="shared" si="58"/>
        <v>0</v>
      </c>
      <c r="F343" s="3388"/>
      <c r="G343" s="3387">
        <f t="shared" si="59"/>
        <v>1</v>
      </c>
      <c r="H343" s="3388"/>
      <c r="I343" s="3387">
        <f t="shared" si="60"/>
        <v>1</v>
      </c>
      <c r="J343" s="3388"/>
      <c r="K343" s="3387">
        <f t="shared" si="61"/>
        <v>1</v>
      </c>
      <c r="L343" s="3388"/>
      <c r="M343" s="3387">
        <f t="shared" si="62"/>
        <v>1</v>
      </c>
      <c r="N343" s="3388"/>
      <c r="O343" s="3387">
        <f t="shared" si="63"/>
        <v>1</v>
      </c>
      <c r="P343" s="3388"/>
      <c r="Q343" s="3387">
        <f t="shared" si="64"/>
        <v>0</v>
      </c>
      <c r="R343" s="2973">
        <f t="shared" si="65"/>
        <v>0</v>
      </c>
      <c r="S343" s="2850">
        <f t="shared" si="67"/>
        <v>0</v>
      </c>
    </row>
    <row r="344" spans="1:19">
      <c r="A344" s="3389"/>
      <c r="B344" s="3386"/>
      <c r="C344" s="3387">
        <f t="shared" si="57"/>
        <v>1</v>
      </c>
      <c r="D344" s="3388"/>
      <c r="E344" s="3387">
        <f t="shared" si="58"/>
        <v>0</v>
      </c>
      <c r="F344" s="3388"/>
      <c r="G344" s="3387">
        <f t="shared" si="59"/>
        <v>1</v>
      </c>
      <c r="H344" s="3388"/>
      <c r="I344" s="3387">
        <f t="shared" si="60"/>
        <v>1</v>
      </c>
      <c r="J344" s="3388"/>
      <c r="K344" s="3387">
        <f t="shared" si="61"/>
        <v>1</v>
      </c>
      <c r="L344" s="3388"/>
      <c r="M344" s="3387">
        <f t="shared" si="62"/>
        <v>1</v>
      </c>
      <c r="N344" s="3388"/>
      <c r="O344" s="3387">
        <f t="shared" si="63"/>
        <v>1</v>
      </c>
      <c r="P344" s="3388"/>
      <c r="Q344" s="3387">
        <f t="shared" si="64"/>
        <v>0</v>
      </c>
      <c r="R344" s="2973">
        <f t="shared" si="65"/>
        <v>0</v>
      </c>
      <c r="S344" s="2850">
        <f t="shared" si="67"/>
        <v>0</v>
      </c>
    </row>
    <row r="345" spans="1:19">
      <c r="A345" s="3389"/>
      <c r="B345" s="3386"/>
      <c r="C345" s="3387">
        <f t="shared" si="57"/>
        <v>1</v>
      </c>
      <c r="D345" s="3388"/>
      <c r="E345" s="3387">
        <f t="shared" si="58"/>
        <v>0</v>
      </c>
      <c r="F345" s="3388"/>
      <c r="G345" s="3387">
        <f t="shared" si="59"/>
        <v>1</v>
      </c>
      <c r="H345" s="3388"/>
      <c r="I345" s="3387">
        <f t="shared" si="60"/>
        <v>1</v>
      </c>
      <c r="J345" s="3388"/>
      <c r="K345" s="3387">
        <f t="shared" si="61"/>
        <v>1</v>
      </c>
      <c r="L345" s="3388"/>
      <c r="M345" s="3387">
        <f t="shared" si="62"/>
        <v>1</v>
      </c>
      <c r="N345" s="3388"/>
      <c r="O345" s="3387">
        <f t="shared" si="63"/>
        <v>1</v>
      </c>
      <c r="P345" s="3388"/>
      <c r="Q345" s="3387">
        <f t="shared" si="64"/>
        <v>0</v>
      </c>
      <c r="R345" s="2973">
        <f t="shared" si="65"/>
        <v>0</v>
      </c>
      <c r="S345" s="2850">
        <f t="shared" si="67"/>
        <v>0</v>
      </c>
    </row>
    <row r="346" spans="1:19">
      <c r="A346" s="3389"/>
      <c r="B346" s="3386"/>
      <c r="C346" s="3387">
        <f t="shared" ref="C346:C409" si="68">IF(B346="",1,(LOOKUP(B346,$3:$3,$4:$4)-LOOKUP($B$24,$3:$3,$4:$4)+100)/100)</f>
        <v>1</v>
      </c>
      <c r="D346" s="3388"/>
      <c r="E346" s="3387">
        <f t="shared" ref="E346:E409" si="69">(SUMIF($5:$5,D346,$6:$6)-SUMIF($5:$5,$D$24,$6:$6)+100)/100</f>
        <v>0</v>
      </c>
      <c r="F346" s="3388"/>
      <c r="G346" s="3387">
        <f t="shared" ref="G346:G409" si="70">(SUMIF($7:$7,F346,$8:$8)-SUMIF($7:$7,$F$24,$8:$8)+100)/100</f>
        <v>1</v>
      </c>
      <c r="H346" s="3388"/>
      <c r="I346" s="3387">
        <f t="shared" ref="I346:I409" si="71">(SUMIF($9:$9,H346,$10:$10)-SUMIF($9:$9,$H$24,$10:$10)+100)/100</f>
        <v>1</v>
      </c>
      <c r="J346" s="3388"/>
      <c r="K346" s="3387">
        <f t="shared" ref="K346:K409" si="72">(SUMIF($11:$11,J346,$12:$12)-SUMIF($11:$11,$J$24,$12:$12)+100)/100</f>
        <v>1</v>
      </c>
      <c r="L346" s="3388"/>
      <c r="M346" s="3387">
        <f t="shared" ref="M346:M409" si="73">(SUMIF($13:$13,L346,$14:$14)-SUMIF($13:$13,$L$24,$14:$14)+100)/100</f>
        <v>1</v>
      </c>
      <c r="N346" s="3388"/>
      <c r="O346" s="3387">
        <f t="shared" ref="O346:O409" si="74">(SUMIF($15:$15,N346,$16:$16)-SUMIF($15:$15,$N$24,$16:$16)+100)/100</f>
        <v>1</v>
      </c>
      <c r="P346" s="3388"/>
      <c r="Q346" s="3387">
        <f t="shared" ref="Q346:Q409" si="75">(SUMIF($17:$17,P346,$18:$18)-SUMIF($17:$17,$P$24,$18:$18)+100)/100</f>
        <v>0</v>
      </c>
      <c r="R346" s="2973">
        <f t="shared" ref="R346:R409" si="76">IF(B346="",0,ROUND($R$24*C346*E346*G346*I346*K346*M346*O346*Q346,0))</f>
        <v>0</v>
      </c>
      <c r="S346" s="2850">
        <f t="shared" si="67"/>
        <v>0</v>
      </c>
    </row>
    <row r="347" spans="1:19">
      <c r="A347" s="3389"/>
      <c r="B347" s="3386"/>
      <c r="C347" s="3387">
        <f t="shared" si="68"/>
        <v>1</v>
      </c>
      <c r="D347" s="3388"/>
      <c r="E347" s="3387">
        <f t="shared" si="69"/>
        <v>0</v>
      </c>
      <c r="F347" s="3388"/>
      <c r="G347" s="3387">
        <f t="shared" si="70"/>
        <v>1</v>
      </c>
      <c r="H347" s="3388"/>
      <c r="I347" s="3387">
        <f t="shared" si="71"/>
        <v>1</v>
      </c>
      <c r="J347" s="3388"/>
      <c r="K347" s="3387">
        <f t="shared" si="72"/>
        <v>1</v>
      </c>
      <c r="L347" s="3388"/>
      <c r="M347" s="3387">
        <f t="shared" si="73"/>
        <v>1</v>
      </c>
      <c r="N347" s="3388"/>
      <c r="O347" s="3387">
        <f t="shared" si="74"/>
        <v>1</v>
      </c>
      <c r="P347" s="3388"/>
      <c r="Q347" s="3387">
        <f t="shared" si="75"/>
        <v>0</v>
      </c>
      <c r="R347" s="2973">
        <f t="shared" si="76"/>
        <v>0</v>
      </c>
      <c r="S347" s="2850">
        <f t="shared" si="67"/>
        <v>0</v>
      </c>
    </row>
    <row r="348" spans="1:19">
      <c r="A348" s="3389"/>
      <c r="B348" s="3386"/>
      <c r="C348" s="3387">
        <f t="shared" si="68"/>
        <v>1</v>
      </c>
      <c r="D348" s="3388"/>
      <c r="E348" s="3387">
        <f t="shared" si="69"/>
        <v>0</v>
      </c>
      <c r="F348" s="3388"/>
      <c r="G348" s="3387">
        <f t="shared" si="70"/>
        <v>1</v>
      </c>
      <c r="H348" s="3388"/>
      <c r="I348" s="3387">
        <f t="shared" si="71"/>
        <v>1</v>
      </c>
      <c r="J348" s="3388"/>
      <c r="K348" s="3387">
        <f t="shared" si="72"/>
        <v>1</v>
      </c>
      <c r="L348" s="3388"/>
      <c r="M348" s="3387">
        <f t="shared" si="73"/>
        <v>1</v>
      </c>
      <c r="N348" s="3388"/>
      <c r="O348" s="3387">
        <f t="shared" si="74"/>
        <v>1</v>
      </c>
      <c r="P348" s="3388"/>
      <c r="Q348" s="3387">
        <f t="shared" si="75"/>
        <v>0</v>
      </c>
      <c r="R348" s="2973">
        <f t="shared" si="76"/>
        <v>0</v>
      </c>
      <c r="S348" s="2850">
        <f t="shared" si="67"/>
        <v>0</v>
      </c>
    </row>
    <row r="349" spans="1:19">
      <c r="A349" s="3389"/>
      <c r="B349" s="3386"/>
      <c r="C349" s="3387">
        <f t="shared" si="68"/>
        <v>1</v>
      </c>
      <c r="D349" s="3388"/>
      <c r="E349" s="3387">
        <f t="shared" si="69"/>
        <v>0</v>
      </c>
      <c r="F349" s="3388"/>
      <c r="G349" s="3387">
        <f t="shared" si="70"/>
        <v>1</v>
      </c>
      <c r="H349" s="3388"/>
      <c r="I349" s="3387">
        <f t="shared" si="71"/>
        <v>1</v>
      </c>
      <c r="J349" s="3388"/>
      <c r="K349" s="3387">
        <f t="shared" si="72"/>
        <v>1</v>
      </c>
      <c r="L349" s="3388"/>
      <c r="M349" s="3387">
        <f t="shared" si="73"/>
        <v>1</v>
      </c>
      <c r="N349" s="3388"/>
      <c r="O349" s="3387">
        <f t="shared" si="74"/>
        <v>1</v>
      </c>
      <c r="P349" s="3388"/>
      <c r="Q349" s="3387">
        <f t="shared" si="75"/>
        <v>0</v>
      </c>
      <c r="R349" s="2973">
        <f t="shared" si="76"/>
        <v>0</v>
      </c>
      <c r="S349" s="2850">
        <f t="shared" si="67"/>
        <v>0</v>
      </c>
    </row>
    <row r="350" spans="1:19">
      <c r="A350" s="3389"/>
      <c r="B350" s="3386"/>
      <c r="C350" s="3387">
        <f t="shared" si="68"/>
        <v>1</v>
      </c>
      <c r="D350" s="3388"/>
      <c r="E350" s="3387">
        <f t="shared" si="69"/>
        <v>0</v>
      </c>
      <c r="F350" s="3388"/>
      <c r="G350" s="3387">
        <f t="shared" si="70"/>
        <v>1</v>
      </c>
      <c r="H350" s="3388"/>
      <c r="I350" s="3387">
        <f t="shared" si="71"/>
        <v>1</v>
      </c>
      <c r="J350" s="3388"/>
      <c r="K350" s="3387">
        <f t="shared" si="72"/>
        <v>1</v>
      </c>
      <c r="L350" s="3388"/>
      <c r="M350" s="3387">
        <f t="shared" si="73"/>
        <v>1</v>
      </c>
      <c r="N350" s="3388"/>
      <c r="O350" s="3387">
        <f t="shared" si="74"/>
        <v>1</v>
      </c>
      <c r="P350" s="3388"/>
      <c r="Q350" s="3387">
        <f t="shared" si="75"/>
        <v>0</v>
      </c>
      <c r="R350" s="2973">
        <f t="shared" si="76"/>
        <v>0</v>
      </c>
      <c r="S350" s="2850">
        <f t="shared" si="67"/>
        <v>0</v>
      </c>
    </row>
    <row r="351" spans="1:19">
      <c r="A351" s="3389"/>
      <c r="B351" s="3386"/>
      <c r="C351" s="3387">
        <f t="shared" si="68"/>
        <v>1</v>
      </c>
      <c r="D351" s="3388"/>
      <c r="E351" s="3387">
        <f t="shared" si="69"/>
        <v>0</v>
      </c>
      <c r="F351" s="3388"/>
      <c r="G351" s="3387">
        <f t="shared" si="70"/>
        <v>1</v>
      </c>
      <c r="H351" s="3388"/>
      <c r="I351" s="3387">
        <f t="shared" si="71"/>
        <v>1</v>
      </c>
      <c r="J351" s="3388"/>
      <c r="K351" s="3387">
        <f t="shared" si="72"/>
        <v>1</v>
      </c>
      <c r="L351" s="3388"/>
      <c r="M351" s="3387">
        <f t="shared" si="73"/>
        <v>1</v>
      </c>
      <c r="N351" s="3388"/>
      <c r="O351" s="3387">
        <f t="shared" si="74"/>
        <v>1</v>
      </c>
      <c r="P351" s="3388"/>
      <c r="Q351" s="3387">
        <f t="shared" si="75"/>
        <v>0</v>
      </c>
      <c r="R351" s="2973">
        <f t="shared" si="76"/>
        <v>0</v>
      </c>
      <c r="S351" s="2850">
        <f t="shared" si="67"/>
        <v>0</v>
      </c>
    </row>
    <row r="352" spans="1:19">
      <c r="A352" s="3389"/>
      <c r="B352" s="3386"/>
      <c r="C352" s="3387">
        <f t="shared" si="68"/>
        <v>1</v>
      </c>
      <c r="D352" s="3388"/>
      <c r="E352" s="3387">
        <f t="shared" si="69"/>
        <v>0</v>
      </c>
      <c r="F352" s="3388"/>
      <c r="G352" s="3387">
        <f t="shared" si="70"/>
        <v>1</v>
      </c>
      <c r="H352" s="3388"/>
      <c r="I352" s="3387">
        <f t="shared" si="71"/>
        <v>1</v>
      </c>
      <c r="J352" s="3388"/>
      <c r="K352" s="3387">
        <f t="shared" si="72"/>
        <v>1</v>
      </c>
      <c r="L352" s="3388"/>
      <c r="M352" s="3387">
        <f t="shared" si="73"/>
        <v>1</v>
      </c>
      <c r="N352" s="3388"/>
      <c r="O352" s="3387">
        <f t="shared" si="74"/>
        <v>1</v>
      </c>
      <c r="P352" s="3388"/>
      <c r="Q352" s="3387">
        <f t="shared" si="75"/>
        <v>0</v>
      </c>
      <c r="R352" s="2973">
        <f t="shared" si="76"/>
        <v>0</v>
      </c>
      <c r="S352" s="2850">
        <f t="shared" si="67"/>
        <v>0</v>
      </c>
    </row>
    <row r="353" spans="1:19">
      <c r="A353" s="3389"/>
      <c r="B353" s="3386"/>
      <c r="C353" s="3387">
        <f t="shared" si="68"/>
        <v>1</v>
      </c>
      <c r="D353" s="3388"/>
      <c r="E353" s="3387">
        <f t="shared" si="69"/>
        <v>0</v>
      </c>
      <c r="F353" s="3388"/>
      <c r="G353" s="3387">
        <f t="shared" si="70"/>
        <v>1</v>
      </c>
      <c r="H353" s="3388"/>
      <c r="I353" s="3387">
        <f t="shared" si="71"/>
        <v>1</v>
      </c>
      <c r="J353" s="3388"/>
      <c r="K353" s="3387">
        <f t="shared" si="72"/>
        <v>1</v>
      </c>
      <c r="L353" s="3388"/>
      <c r="M353" s="3387">
        <f t="shared" si="73"/>
        <v>1</v>
      </c>
      <c r="N353" s="3388"/>
      <c r="O353" s="3387">
        <f t="shared" si="74"/>
        <v>1</v>
      </c>
      <c r="P353" s="3388"/>
      <c r="Q353" s="3387">
        <f t="shared" si="75"/>
        <v>0</v>
      </c>
      <c r="R353" s="2973">
        <f t="shared" si="76"/>
        <v>0</v>
      </c>
      <c r="S353" s="2850">
        <f t="shared" si="67"/>
        <v>0</v>
      </c>
    </row>
    <row r="354" spans="1:19">
      <c r="A354" s="3389"/>
      <c r="B354" s="3386"/>
      <c r="C354" s="3387">
        <f t="shared" si="68"/>
        <v>1</v>
      </c>
      <c r="D354" s="3388"/>
      <c r="E354" s="3387">
        <f t="shared" si="69"/>
        <v>0</v>
      </c>
      <c r="F354" s="3388"/>
      <c r="G354" s="3387">
        <f t="shared" si="70"/>
        <v>1</v>
      </c>
      <c r="H354" s="3388"/>
      <c r="I354" s="3387">
        <f t="shared" si="71"/>
        <v>1</v>
      </c>
      <c r="J354" s="3388"/>
      <c r="K354" s="3387">
        <f t="shared" si="72"/>
        <v>1</v>
      </c>
      <c r="L354" s="3388"/>
      <c r="M354" s="3387">
        <f t="shared" si="73"/>
        <v>1</v>
      </c>
      <c r="N354" s="3388"/>
      <c r="O354" s="3387">
        <f t="shared" si="74"/>
        <v>1</v>
      </c>
      <c r="P354" s="3388"/>
      <c r="Q354" s="3387">
        <f t="shared" si="75"/>
        <v>0</v>
      </c>
      <c r="R354" s="2973">
        <f t="shared" si="76"/>
        <v>0</v>
      </c>
      <c r="S354" s="2850">
        <f t="shared" si="67"/>
        <v>0</v>
      </c>
    </row>
    <row r="355" spans="1:19">
      <c r="A355" s="3389"/>
      <c r="B355" s="3386"/>
      <c r="C355" s="3387">
        <f t="shared" si="68"/>
        <v>1</v>
      </c>
      <c r="D355" s="3388"/>
      <c r="E355" s="3387">
        <f t="shared" si="69"/>
        <v>0</v>
      </c>
      <c r="F355" s="3388"/>
      <c r="G355" s="3387">
        <f t="shared" si="70"/>
        <v>1</v>
      </c>
      <c r="H355" s="3388"/>
      <c r="I355" s="3387">
        <f t="shared" si="71"/>
        <v>1</v>
      </c>
      <c r="J355" s="3388"/>
      <c r="K355" s="3387">
        <f t="shared" si="72"/>
        <v>1</v>
      </c>
      <c r="L355" s="3388"/>
      <c r="M355" s="3387">
        <f t="shared" si="73"/>
        <v>1</v>
      </c>
      <c r="N355" s="3388"/>
      <c r="O355" s="3387">
        <f t="shared" si="74"/>
        <v>1</v>
      </c>
      <c r="P355" s="3388"/>
      <c r="Q355" s="3387">
        <f t="shared" si="75"/>
        <v>0</v>
      </c>
      <c r="R355" s="2973">
        <f t="shared" si="76"/>
        <v>0</v>
      </c>
      <c r="S355" s="2850">
        <f t="shared" si="67"/>
        <v>0</v>
      </c>
    </row>
    <row r="356" spans="1:19">
      <c r="A356" s="3389"/>
      <c r="B356" s="3386"/>
      <c r="C356" s="3387">
        <f t="shared" si="68"/>
        <v>1</v>
      </c>
      <c r="D356" s="3388"/>
      <c r="E356" s="3387">
        <f t="shared" si="69"/>
        <v>0</v>
      </c>
      <c r="F356" s="3388"/>
      <c r="G356" s="3387">
        <f t="shared" si="70"/>
        <v>1</v>
      </c>
      <c r="H356" s="3388"/>
      <c r="I356" s="3387">
        <f t="shared" si="71"/>
        <v>1</v>
      </c>
      <c r="J356" s="3388"/>
      <c r="K356" s="3387">
        <f t="shared" si="72"/>
        <v>1</v>
      </c>
      <c r="L356" s="3388"/>
      <c r="M356" s="3387">
        <f t="shared" si="73"/>
        <v>1</v>
      </c>
      <c r="N356" s="3388"/>
      <c r="O356" s="3387">
        <f t="shared" si="74"/>
        <v>1</v>
      </c>
      <c r="P356" s="3388"/>
      <c r="Q356" s="3387">
        <f t="shared" si="75"/>
        <v>0</v>
      </c>
      <c r="R356" s="2973">
        <f t="shared" si="76"/>
        <v>0</v>
      </c>
      <c r="S356" s="2850">
        <f t="shared" si="67"/>
        <v>0</v>
      </c>
    </row>
    <row r="357" spans="1:19">
      <c r="A357" s="3389"/>
      <c r="B357" s="3386"/>
      <c r="C357" s="3387">
        <f t="shared" si="68"/>
        <v>1</v>
      </c>
      <c r="D357" s="3388"/>
      <c r="E357" s="3387">
        <f t="shared" si="69"/>
        <v>0</v>
      </c>
      <c r="F357" s="3388"/>
      <c r="G357" s="3387">
        <f t="shared" si="70"/>
        <v>1</v>
      </c>
      <c r="H357" s="3388"/>
      <c r="I357" s="3387">
        <f t="shared" si="71"/>
        <v>1</v>
      </c>
      <c r="J357" s="3388"/>
      <c r="K357" s="3387">
        <f t="shared" si="72"/>
        <v>1</v>
      </c>
      <c r="L357" s="3388"/>
      <c r="M357" s="3387">
        <f t="shared" si="73"/>
        <v>1</v>
      </c>
      <c r="N357" s="3388"/>
      <c r="O357" s="3387">
        <f t="shared" si="74"/>
        <v>1</v>
      </c>
      <c r="P357" s="3388"/>
      <c r="Q357" s="3387">
        <f t="shared" si="75"/>
        <v>0</v>
      </c>
      <c r="R357" s="2973">
        <f t="shared" si="76"/>
        <v>0</v>
      </c>
      <c r="S357" s="2850">
        <f t="shared" si="67"/>
        <v>0</v>
      </c>
    </row>
    <row r="358" spans="1:19">
      <c r="A358" s="3389"/>
      <c r="B358" s="3386"/>
      <c r="C358" s="3387">
        <f t="shared" si="68"/>
        <v>1</v>
      </c>
      <c r="D358" s="3388"/>
      <c r="E358" s="3387">
        <f t="shared" si="69"/>
        <v>0</v>
      </c>
      <c r="F358" s="3388"/>
      <c r="G358" s="3387">
        <f t="shared" si="70"/>
        <v>1</v>
      </c>
      <c r="H358" s="3388"/>
      <c r="I358" s="3387">
        <f t="shared" si="71"/>
        <v>1</v>
      </c>
      <c r="J358" s="3388"/>
      <c r="K358" s="3387">
        <f t="shared" si="72"/>
        <v>1</v>
      </c>
      <c r="L358" s="3388"/>
      <c r="M358" s="3387">
        <f t="shared" si="73"/>
        <v>1</v>
      </c>
      <c r="N358" s="3388"/>
      <c r="O358" s="3387">
        <f t="shared" si="74"/>
        <v>1</v>
      </c>
      <c r="P358" s="3388"/>
      <c r="Q358" s="3387">
        <f t="shared" si="75"/>
        <v>0</v>
      </c>
      <c r="R358" s="2973">
        <f t="shared" si="76"/>
        <v>0</v>
      </c>
      <c r="S358" s="2850">
        <f t="shared" si="67"/>
        <v>0</v>
      </c>
    </row>
    <row r="359" spans="1:19">
      <c r="A359" s="3389"/>
      <c r="B359" s="3386"/>
      <c r="C359" s="3387">
        <f t="shared" si="68"/>
        <v>1</v>
      </c>
      <c r="D359" s="3388"/>
      <c r="E359" s="3387">
        <f t="shared" si="69"/>
        <v>0</v>
      </c>
      <c r="F359" s="3388"/>
      <c r="G359" s="3387">
        <f t="shared" si="70"/>
        <v>1</v>
      </c>
      <c r="H359" s="3388"/>
      <c r="I359" s="3387">
        <f t="shared" si="71"/>
        <v>1</v>
      </c>
      <c r="J359" s="3388"/>
      <c r="K359" s="3387">
        <f t="shared" si="72"/>
        <v>1</v>
      </c>
      <c r="L359" s="3388"/>
      <c r="M359" s="3387">
        <f t="shared" si="73"/>
        <v>1</v>
      </c>
      <c r="N359" s="3388"/>
      <c r="O359" s="3387">
        <f t="shared" si="74"/>
        <v>1</v>
      </c>
      <c r="P359" s="3388"/>
      <c r="Q359" s="3387">
        <f t="shared" si="75"/>
        <v>0</v>
      </c>
      <c r="R359" s="2973">
        <f t="shared" si="76"/>
        <v>0</v>
      </c>
      <c r="S359" s="2850">
        <f t="shared" si="67"/>
        <v>0</v>
      </c>
    </row>
    <row r="360" spans="1:19">
      <c r="A360" s="3389"/>
      <c r="B360" s="3386"/>
      <c r="C360" s="3387">
        <f t="shared" si="68"/>
        <v>1</v>
      </c>
      <c r="D360" s="3388"/>
      <c r="E360" s="3387">
        <f t="shared" si="69"/>
        <v>0</v>
      </c>
      <c r="F360" s="3388"/>
      <c r="G360" s="3387">
        <f t="shared" si="70"/>
        <v>1</v>
      </c>
      <c r="H360" s="3388"/>
      <c r="I360" s="3387">
        <f t="shared" si="71"/>
        <v>1</v>
      </c>
      <c r="J360" s="3388"/>
      <c r="K360" s="3387">
        <f t="shared" si="72"/>
        <v>1</v>
      </c>
      <c r="L360" s="3388"/>
      <c r="M360" s="3387">
        <f t="shared" si="73"/>
        <v>1</v>
      </c>
      <c r="N360" s="3388"/>
      <c r="O360" s="3387">
        <f t="shared" si="74"/>
        <v>1</v>
      </c>
      <c r="P360" s="3388"/>
      <c r="Q360" s="3387">
        <f t="shared" si="75"/>
        <v>0</v>
      </c>
      <c r="R360" s="2973">
        <f t="shared" si="76"/>
        <v>0</v>
      </c>
      <c r="S360" s="2850">
        <f t="shared" si="67"/>
        <v>0</v>
      </c>
    </row>
    <row r="361" spans="1:19">
      <c r="A361" s="3389"/>
      <c r="B361" s="3386"/>
      <c r="C361" s="3387">
        <f t="shared" si="68"/>
        <v>1</v>
      </c>
      <c r="D361" s="3388"/>
      <c r="E361" s="3387">
        <f t="shared" si="69"/>
        <v>0</v>
      </c>
      <c r="F361" s="3388"/>
      <c r="G361" s="3387">
        <f t="shared" si="70"/>
        <v>1</v>
      </c>
      <c r="H361" s="3388"/>
      <c r="I361" s="3387">
        <f t="shared" si="71"/>
        <v>1</v>
      </c>
      <c r="J361" s="3388"/>
      <c r="K361" s="3387">
        <f t="shared" si="72"/>
        <v>1</v>
      </c>
      <c r="L361" s="3388"/>
      <c r="M361" s="3387">
        <f t="shared" si="73"/>
        <v>1</v>
      </c>
      <c r="N361" s="3388"/>
      <c r="O361" s="3387">
        <f t="shared" si="74"/>
        <v>1</v>
      </c>
      <c r="P361" s="3388"/>
      <c r="Q361" s="3387">
        <f t="shared" si="75"/>
        <v>0</v>
      </c>
      <c r="R361" s="2973">
        <f t="shared" si="76"/>
        <v>0</v>
      </c>
      <c r="S361" s="2850">
        <f t="shared" si="67"/>
        <v>0</v>
      </c>
    </row>
    <row r="362" spans="1:19">
      <c r="A362" s="3389"/>
      <c r="B362" s="3386"/>
      <c r="C362" s="3387">
        <f t="shared" si="68"/>
        <v>1</v>
      </c>
      <c r="D362" s="3388"/>
      <c r="E362" s="3387">
        <f t="shared" si="69"/>
        <v>0</v>
      </c>
      <c r="F362" s="3388"/>
      <c r="G362" s="3387">
        <f t="shared" si="70"/>
        <v>1</v>
      </c>
      <c r="H362" s="3388"/>
      <c r="I362" s="3387">
        <f t="shared" si="71"/>
        <v>1</v>
      </c>
      <c r="J362" s="3388"/>
      <c r="K362" s="3387">
        <f t="shared" si="72"/>
        <v>1</v>
      </c>
      <c r="L362" s="3388"/>
      <c r="M362" s="3387">
        <f t="shared" si="73"/>
        <v>1</v>
      </c>
      <c r="N362" s="3388"/>
      <c r="O362" s="3387">
        <f t="shared" si="74"/>
        <v>1</v>
      </c>
      <c r="P362" s="3388"/>
      <c r="Q362" s="3387">
        <f t="shared" si="75"/>
        <v>0</v>
      </c>
      <c r="R362" s="2973">
        <f t="shared" si="76"/>
        <v>0</v>
      </c>
      <c r="S362" s="2850">
        <f t="shared" si="67"/>
        <v>0</v>
      </c>
    </row>
    <row r="363" spans="1:19">
      <c r="A363" s="3389"/>
      <c r="B363" s="3386"/>
      <c r="C363" s="3387">
        <f t="shared" si="68"/>
        <v>1</v>
      </c>
      <c r="D363" s="3388"/>
      <c r="E363" s="3387">
        <f t="shared" si="69"/>
        <v>0</v>
      </c>
      <c r="F363" s="3388"/>
      <c r="G363" s="3387">
        <f t="shared" si="70"/>
        <v>1</v>
      </c>
      <c r="H363" s="3388"/>
      <c r="I363" s="3387">
        <f t="shared" si="71"/>
        <v>1</v>
      </c>
      <c r="J363" s="3388"/>
      <c r="K363" s="3387">
        <f t="shared" si="72"/>
        <v>1</v>
      </c>
      <c r="L363" s="3388"/>
      <c r="M363" s="3387">
        <f t="shared" si="73"/>
        <v>1</v>
      </c>
      <c r="N363" s="3388"/>
      <c r="O363" s="3387">
        <f t="shared" si="74"/>
        <v>1</v>
      </c>
      <c r="P363" s="3388"/>
      <c r="Q363" s="3387">
        <f t="shared" si="75"/>
        <v>0</v>
      </c>
      <c r="R363" s="2973">
        <f t="shared" si="76"/>
        <v>0</v>
      </c>
      <c r="S363" s="2850">
        <f t="shared" si="67"/>
        <v>0</v>
      </c>
    </row>
    <row r="364" spans="1:19">
      <c r="A364" s="3389"/>
      <c r="B364" s="3386"/>
      <c r="C364" s="3387">
        <f t="shared" si="68"/>
        <v>1</v>
      </c>
      <c r="D364" s="3388"/>
      <c r="E364" s="3387">
        <f t="shared" si="69"/>
        <v>0</v>
      </c>
      <c r="F364" s="3388"/>
      <c r="G364" s="3387">
        <f t="shared" si="70"/>
        <v>1</v>
      </c>
      <c r="H364" s="3388"/>
      <c r="I364" s="3387">
        <f t="shared" si="71"/>
        <v>1</v>
      </c>
      <c r="J364" s="3388"/>
      <c r="K364" s="3387">
        <f t="shared" si="72"/>
        <v>1</v>
      </c>
      <c r="L364" s="3388"/>
      <c r="M364" s="3387">
        <f t="shared" si="73"/>
        <v>1</v>
      </c>
      <c r="N364" s="3388"/>
      <c r="O364" s="3387">
        <f t="shared" si="74"/>
        <v>1</v>
      </c>
      <c r="P364" s="3388"/>
      <c r="Q364" s="3387">
        <f t="shared" si="75"/>
        <v>0</v>
      </c>
      <c r="R364" s="2973">
        <f t="shared" si="76"/>
        <v>0</v>
      </c>
      <c r="S364" s="2850">
        <f t="shared" si="67"/>
        <v>0</v>
      </c>
    </row>
    <row r="365" spans="1:19">
      <c r="A365" s="3389"/>
      <c r="B365" s="3386"/>
      <c r="C365" s="3387">
        <f t="shared" si="68"/>
        <v>1</v>
      </c>
      <c r="D365" s="3388"/>
      <c r="E365" s="3387">
        <f t="shared" si="69"/>
        <v>0</v>
      </c>
      <c r="F365" s="3388"/>
      <c r="G365" s="3387">
        <f t="shared" si="70"/>
        <v>1</v>
      </c>
      <c r="H365" s="3388"/>
      <c r="I365" s="3387">
        <f t="shared" si="71"/>
        <v>1</v>
      </c>
      <c r="J365" s="3388"/>
      <c r="K365" s="3387">
        <f t="shared" si="72"/>
        <v>1</v>
      </c>
      <c r="L365" s="3388"/>
      <c r="M365" s="3387">
        <f t="shared" si="73"/>
        <v>1</v>
      </c>
      <c r="N365" s="3388"/>
      <c r="O365" s="3387">
        <f t="shared" si="74"/>
        <v>1</v>
      </c>
      <c r="P365" s="3388"/>
      <c r="Q365" s="3387">
        <f t="shared" si="75"/>
        <v>0</v>
      </c>
      <c r="R365" s="2973">
        <f t="shared" si="76"/>
        <v>0</v>
      </c>
      <c r="S365" s="2850">
        <f t="shared" si="67"/>
        <v>0</v>
      </c>
    </row>
    <row r="366" spans="1:19">
      <c r="A366" s="3389"/>
      <c r="B366" s="3386"/>
      <c r="C366" s="3387">
        <f t="shared" si="68"/>
        <v>1</v>
      </c>
      <c r="D366" s="3388"/>
      <c r="E366" s="3387">
        <f t="shared" si="69"/>
        <v>0</v>
      </c>
      <c r="F366" s="3388"/>
      <c r="G366" s="3387">
        <f t="shared" si="70"/>
        <v>1</v>
      </c>
      <c r="H366" s="3388"/>
      <c r="I366" s="3387">
        <f t="shared" si="71"/>
        <v>1</v>
      </c>
      <c r="J366" s="3388"/>
      <c r="K366" s="3387">
        <f t="shared" si="72"/>
        <v>1</v>
      </c>
      <c r="L366" s="3388"/>
      <c r="M366" s="3387">
        <f t="shared" si="73"/>
        <v>1</v>
      </c>
      <c r="N366" s="3388"/>
      <c r="O366" s="3387">
        <f t="shared" si="74"/>
        <v>1</v>
      </c>
      <c r="P366" s="3388"/>
      <c r="Q366" s="3387">
        <f t="shared" si="75"/>
        <v>0</v>
      </c>
      <c r="R366" s="2973">
        <f t="shared" si="76"/>
        <v>0</v>
      </c>
      <c r="S366" s="2850">
        <f t="shared" si="67"/>
        <v>0</v>
      </c>
    </row>
    <row r="367" spans="1:19">
      <c r="A367" s="3389"/>
      <c r="B367" s="3386"/>
      <c r="C367" s="3387">
        <f t="shared" si="68"/>
        <v>1</v>
      </c>
      <c r="D367" s="3388"/>
      <c r="E367" s="3387">
        <f t="shared" si="69"/>
        <v>0</v>
      </c>
      <c r="F367" s="3388"/>
      <c r="G367" s="3387">
        <f t="shared" si="70"/>
        <v>1</v>
      </c>
      <c r="H367" s="3388"/>
      <c r="I367" s="3387">
        <f t="shared" si="71"/>
        <v>1</v>
      </c>
      <c r="J367" s="3388"/>
      <c r="K367" s="3387">
        <f t="shared" si="72"/>
        <v>1</v>
      </c>
      <c r="L367" s="3388"/>
      <c r="M367" s="3387">
        <f t="shared" si="73"/>
        <v>1</v>
      </c>
      <c r="N367" s="3388"/>
      <c r="O367" s="3387">
        <f t="shared" si="74"/>
        <v>1</v>
      </c>
      <c r="P367" s="3388"/>
      <c r="Q367" s="3387">
        <f t="shared" si="75"/>
        <v>0</v>
      </c>
      <c r="R367" s="2973">
        <f t="shared" si="76"/>
        <v>0</v>
      </c>
      <c r="S367" s="2850">
        <f t="shared" si="67"/>
        <v>0</v>
      </c>
    </row>
    <row r="368" spans="1:19">
      <c r="A368" s="3389"/>
      <c r="B368" s="3386"/>
      <c r="C368" s="3387">
        <f t="shared" si="68"/>
        <v>1</v>
      </c>
      <c r="D368" s="3388"/>
      <c r="E368" s="3387">
        <f t="shared" si="69"/>
        <v>0</v>
      </c>
      <c r="F368" s="3388"/>
      <c r="G368" s="3387">
        <f t="shared" si="70"/>
        <v>1</v>
      </c>
      <c r="H368" s="3388"/>
      <c r="I368" s="3387">
        <f t="shared" si="71"/>
        <v>1</v>
      </c>
      <c r="J368" s="3388"/>
      <c r="K368" s="3387">
        <f t="shared" si="72"/>
        <v>1</v>
      </c>
      <c r="L368" s="3388"/>
      <c r="M368" s="3387">
        <f t="shared" si="73"/>
        <v>1</v>
      </c>
      <c r="N368" s="3388"/>
      <c r="O368" s="3387">
        <f t="shared" si="74"/>
        <v>1</v>
      </c>
      <c r="P368" s="3388"/>
      <c r="Q368" s="3387">
        <f t="shared" si="75"/>
        <v>0</v>
      </c>
      <c r="R368" s="2973">
        <f t="shared" si="76"/>
        <v>0</v>
      </c>
      <c r="S368" s="2850">
        <f t="shared" si="67"/>
        <v>0</v>
      </c>
    </row>
    <row r="369" spans="1:19">
      <c r="A369" s="3389"/>
      <c r="B369" s="3386"/>
      <c r="C369" s="3387">
        <f t="shared" si="68"/>
        <v>1</v>
      </c>
      <c r="D369" s="3388"/>
      <c r="E369" s="3387">
        <f t="shared" si="69"/>
        <v>0</v>
      </c>
      <c r="F369" s="3388"/>
      <c r="G369" s="3387">
        <f t="shared" si="70"/>
        <v>1</v>
      </c>
      <c r="H369" s="3388"/>
      <c r="I369" s="3387">
        <f t="shared" si="71"/>
        <v>1</v>
      </c>
      <c r="J369" s="3388"/>
      <c r="K369" s="3387">
        <f t="shared" si="72"/>
        <v>1</v>
      </c>
      <c r="L369" s="3388"/>
      <c r="M369" s="3387">
        <f t="shared" si="73"/>
        <v>1</v>
      </c>
      <c r="N369" s="3388"/>
      <c r="O369" s="3387">
        <f t="shared" si="74"/>
        <v>1</v>
      </c>
      <c r="P369" s="3388"/>
      <c r="Q369" s="3387">
        <f t="shared" si="75"/>
        <v>0</v>
      </c>
      <c r="R369" s="2973">
        <f t="shared" si="76"/>
        <v>0</v>
      </c>
      <c r="S369" s="2850">
        <f t="shared" si="67"/>
        <v>0</v>
      </c>
    </row>
    <row r="370" spans="1:19">
      <c r="A370" s="3389"/>
      <c r="B370" s="3386"/>
      <c r="C370" s="3387">
        <f t="shared" si="68"/>
        <v>1</v>
      </c>
      <c r="D370" s="3388"/>
      <c r="E370" s="3387">
        <f t="shared" si="69"/>
        <v>0</v>
      </c>
      <c r="F370" s="3388"/>
      <c r="G370" s="3387">
        <f t="shared" si="70"/>
        <v>1</v>
      </c>
      <c r="H370" s="3388"/>
      <c r="I370" s="3387">
        <f t="shared" si="71"/>
        <v>1</v>
      </c>
      <c r="J370" s="3388"/>
      <c r="K370" s="3387">
        <f t="shared" si="72"/>
        <v>1</v>
      </c>
      <c r="L370" s="3388"/>
      <c r="M370" s="3387">
        <f t="shared" si="73"/>
        <v>1</v>
      </c>
      <c r="N370" s="3388"/>
      <c r="O370" s="3387">
        <f t="shared" si="74"/>
        <v>1</v>
      </c>
      <c r="P370" s="3388"/>
      <c r="Q370" s="3387">
        <f t="shared" si="75"/>
        <v>0</v>
      </c>
      <c r="R370" s="2973">
        <f t="shared" si="76"/>
        <v>0</v>
      </c>
      <c r="S370" s="2850">
        <f t="shared" si="67"/>
        <v>0</v>
      </c>
    </row>
    <row r="371" spans="1:19">
      <c r="A371" s="3389"/>
      <c r="B371" s="3386"/>
      <c r="C371" s="3387">
        <f t="shared" si="68"/>
        <v>1</v>
      </c>
      <c r="D371" s="3388"/>
      <c r="E371" s="3387">
        <f t="shared" si="69"/>
        <v>0</v>
      </c>
      <c r="F371" s="3388"/>
      <c r="G371" s="3387">
        <f t="shared" si="70"/>
        <v>1</v>
      </c>
      <c r="H371" s="3388"/>
      <c r="I371" s="3387">
        <f t="shared" si="71"/>
        <v>1</v>
      </c>
      <c r="J371" s="3388"/>
      <c r="K371" s="3387">
        <f t="shared" si="72"/>
        <v>1</v>
      </c>
      <c r="L371" s="3388"/>
      <c r="M371" s="3387">
        <f t="shared" si="73"/>
        <v>1</v>
      </c>
      <c r="N371" s="3388"/>
      <c r="O371" s="3387">
        <f t="shared" si="74"/>
        <v>1</v>
      </c>
      <c r="P371" s="3388"/>
      <c r="Q371" s="3387">
        <f t="shared" si="75"/>
        <v>0</v>
      </c>
      <c r="R371" s="2973">
        <f t="shared" si="76"/>
        <v>0</v>
      </c>
      <c r="S371" s="2850">
        <f t="shared" si="67"/>
        <v>0</v>
      </c>
    </row>
    <row r="372" spans="1:19">
      <c r="A372" s="3389"/>
      <c r="B372" s="3386"/>
      <c r="C372" s="3387">
        <f t="shared" si="68"/>
        <v>1</v>
      </c>
      <c r="D372" s="3388"/>
      <c r="E372" s="3387">
        <f t="shared" si="69"/>
        <v>0</v>
      </c>
      <c r="F372" s="3388"/>
      <c r="G372" s="3387">
        <f t="shared" si="70"/>
        <v>1</v>
      </c>
      <c r="H372" s="3388"/>
      <c r="I372" s="3387">
        <f t="shared" si="71"/>
        <v>1</v>
      </c>
      <c r="J372" s="3388"/>
      <c r="K372" s="3387">
        <f t="shared" si="72"/>
        <v>1</v>
      </c>
      <c r="L372" s="3388"/>
      <c r="M372" s="3387">
        <f t="shared" si="73"/>
        <v>1</v>
      </c>
      <c r="N372" s="3388"/>
      <c r="O372" s="3387">
        <f t="shared" si="74"/>
        <v>1</v>
      </c>
      <c r="P372" s="3388"/>
      <c r="Q372" s="3387">
        <f t="shared" si="75"/>
        <v>0</v>
      </c>
      <c r="R372" s="2973">
        <f t="shared" si="76"/>
        <v>0</v>
      </c>
      <c r="S372" s="2850">
        <f t="shared" si="67"/>
        <v>0</v>
      </c>
    </row>
    <row r="373" spans="1:19">
      <c r="A373" s="3389"/>
      <c r="B373" s="3386"/>
      <c r="C373" s="3387">
        <f t="shared" si="68"/>
        <v>1</v>
      </c>
      <c r="D373" s="3388"/>
      <c r="E373" s="3387">
        <f t="shared" si="69"/>
        <v>0</v>
      </c>
      <c r="F373" s="3388"/>
      <c r="G373" s="3387">
        <f t="shared" si="70"/>
        <v>1</v>
      </c>
      <c r="H373" s="3388"/>
      <c r="I373" s="3387">
        <f t="shared" si="71"/>
        <v>1</v>
      </c>
      <c r="J373" s="3388"/>
      <c r="K373" s="3387">
        <f t="shared" si="72"/>
        <v>1</v>
      </c>
      <c r="L373" s="3388"/>
      <c r="M373" s="3387">
        <f t="shared" si="73"/>
        <v>1</v>
      </c>
      <c r="N373" s="3388"/>
      <c r="O373" s="3387">
        <f t="shared" si="74"/>
        <v>1</v>
      </c>
      <c r="P373" s="3388"/>
      <c r="Q373" s="3387">
        <f t="shared" si="75"/>
        <v>0</v>
      </c>
      <c r="R373" s="2973">
        <f t="shared" si="76"/>
        <v>0</v>
      </c>
      <c r="S373" s="2850">
        <f t="shared" si="67"/>
        <v>0</v>
      </c>
    </row>
    <row r="374" spans="1:19">
      <c r="A374" s="3389"/>
      <c r="B374" s="3386"/>
      <c r="C374" s="3387">
        <f t="shared" si="68"/>
        <v>1</v>
      </c>
      <c r="D374" s="3388"/>
      <c r="E374" s="3387">
        <f t="shared" si="69"/>
        <v>0</v>
      </c>
      <c r="F374" s="3388"/>
      <c r="G374" s="3387">
        <f t="shared" si="70"/>
        <v>1</v>
      </c>
      <c r="H374" s="3388"/>
      <c r="I374" s="3387">
        <f t="shared" si="71"/>
        <v>1</v>
      </c>
      <c r="J374" s="3388"/>
      <c r="K374" s="3387">
        <f t="shared" si="72"/>
        <v>1</v>
      </c>
      <c r="L374" s="3388"/>
      <c r="M374" s="3387">
        <f t="shared" si="73"/>
        <v>1</v>
      </c>
      <c r="N374" s="3388"/>
      <c r="O374" s="3387">
        <f t="shared" si="74"/>
        <v>1</v>
      </c>
      <c r="P374" s="3388"/>
      <c r="Q374" s="3387">
        <f t="shared" si="75"/>
        <v>0</v>
      </c>
      <c r="R374" s="2973">
        <f t="shared" si="76"/>
        <v>0</v>
      </c>
      <c r="S374" s="2850">
        <f t="shared" si="67"/>
        <v>0</v>
      </c>
    </row>
    <row r="375" spans="1:19">
      <c r="A375" s="3389"/>
      <c r="B375" s="3386"/>
      <c r="C375" s="3387">
        <f t="shared" si="68"/>
        <v>1</v>
      </c>
      <c r="D375" s="3388"/>
      <c r="E375" s="3387">
        <f t="shared" si="69"/>
        <v>0</v>
      </c>
      <c r="F375" s="3388"/>
      <c r="G375" s="3387">
        <f t="shared" si="70"/>
        <v>1</v>
      </c>
      <c r="H375" s="3388"/>
      <c r="I375" s="3387">
        <f t="shared" si="71"/>
        <v>1</v>
      </c>
      <c r="J375" s="3388"/>
      <c r="K375" s="3387">
        <f t="shared" si="72"/>
        <v>1</v>
      </c>
      <c r="L375" s="3388"/>
      <c r="M375" s="3387">
        <f t="shared" si="73"/>
        <v>1</v>
      </c>
      <c r="N375" s="3388"/>
      <c r="O375" s="3387">
        <f t="shared" si="74"/>
        <v>1</v>
      </c>
      <c r="P375" s="3388"/>
      <c r="Q375" s="3387">
        <f t="shared" si="75"/>
        <v>0</v>
      </c>
      <c r="R375" s="2973">
        <f t="shared" si="76"/>
        <v>0</v>
      </c>
      <c r="S375" s="2850">
        <f t="shared" si="67"/>
        <v>0</v>
      </c>
    </row>
    <row r="376" spans="1:19">
      <c r="A376" s="3389"/>
      <c r="B376" s="3386"/>
      <c r="C376" s="3387">
        <f t="shared" si="68"/>
        <v>1</v>
      </c>
      <c r="D376" s="3388"/>
      <c r="E376" s="3387">
        <f t="shared" si="69"/>
        <v>0</v>
      </c>
      <c r="F376" s="3388"/>
      <c r="G376" s="3387">
        <f t="shared" si="70"/>
        <v>1</v>
      </c>
      <c r="H376" s="3388"/>
      <c r="I376" s="3387">
        <f t="shared" si="71"/>
        <v>1</v>
      </c>
      <c r="J376" s="3388"/>
      <c r="K376" s="3387">
        <f t="shared" si="72"/>
        <v>1</v>
      </c>
      <c r="L376" s="3388"/>
      <c r="M376" s="3387">
        <f t="shared" si="73"/>
        <v>1</v>
      </c>
      <c r="N376" s="3388"/>
      <c r="O376" s="3387">
        <f t="shared" si="74"/>
        <v>1</v>
      </c>
      <c r="P376" s="3388"/>
      <c r="Q376" s="3387">
        <f t="shared" si="75"/>
        <v>0</v>
      </c>
      <c r="R376" s="2973">
        <f t="shared" si="76"/>
        <v>0</v>
      </c>
      <c r="S376" s="2850">
        <f t="shared" si="67"/>
        <v>0</v>
      </c>
    </row>
    <row r="377" spans="1:19">
      <c r="A377" s="3389"/>
      <c r="B377" s="3386"/>
      <c r="C377" s="3387">
        <f t="shared" si="68"/>
        <v>1</v>
      </c>
      <c r="D377" s="3388"/>
      <c r="E377" s="3387">
        <f t="shared" si="69"/>
        <v>0</v>
      </c>
      <c r="F377" s="3388"/>
      <c r="G377" s="3387">
        <f t="shared" si="70"/>
        <v>1</v>
      </c>
      <c r="H377" s="3388"/>
      <c r="I377" s="3387">
        <f t="shared" si="71"/>
        <v>1</v>
      </c>
      <c r="J377" s="3388"/>
      <c r="K377" s="3387">
        <f t="shared" si="72"/>
        <v>1</v>
      </c>
      <c r="L377" s="3388"/>
      <c r="M377" s="3387">
        <f t="shared" si="73"/>
        <v>1</v>
      </c>
      <c r="N377" s="3388"/>
      <c r="O377" s="3387">
        <f t="shared" si="74"/>
        <v>1</v>
      </c>
      <c r="P377" s="3388"/>
      <c r="Q377" s="3387">
        <f t="shared" si="75"/>
        <v>0</v>
      </c>
      <c r="R377" s="2973">
        <f t="shared" si="76"/>
        <v>0</v>
      </c>
      <c r="S377" s="2850">
        <f t="shared" si="67"/>
        <v>0</v>
      </c>
    </row>
    <row r="378" spans="1:19">
      <c r="A378" s="3389"/>
      <c r="B378" s="3386"/>
      <c r="C378" s="3387">
        <f t="shared" si="68"/>
        <v>1</v>
      </c>
      <c r="D378" s="3388"/>
      <c r="E378" s="3387">
        <f t="shared" si="69"/>
        <v>0</v>
      </c>
      <c r="F378" s="3388"/>
      <c r="G378" s="3387">
        <f t="shared" si="70"/>
        <v>1</v>
      </c>
      <c r="H378" s="3388"/>
      <c r="I378" s="3387">
        <f t="shared" si="71"/>
        <v>1</v>
      </c>
      <c r="J378" s="3388"/>
      <c r="K378" s="3387">
        <f t="shared" si="72"/>
        <v>1</v>
      </c>
      <c r="L378" s="3388"/>
      <c r="M378" s="3387">
        <f t="shared" si="73"/>
        <v>1</v>
      </c>
      <c r="N378" s="3388"/>
      <c r="O378" s="3387">
        <f t="shared" si="74"/>
        <v>1</v>
      </c>
      <c r="P378" s="3388"/>
      <c r="Q378" s="3387">
        <f t="shared" si="75"/>
        <v>0</v>
      </c>
      <c r="R378" s="2973">
        <f t="shared" si="76"/>
        <v>0</v>
      </c>
      <c r="S378" s="2850">
        <f t="shared" si="67"/>
        <v>0</v>
      </c>
    </row>
    <row r="379" spans="1:19">
      <c r="A379" s="3389"/>
      <c r="B379" s="3386"/>
      <c r="C379" s="3387">
        <f t="shared" si="68"/>
        <v>1</v>
      </c>
      <c r="D379" s="3388"/>
      <c r="E379" s="3387">
        <f t="shared" si="69"/>
        <v>0</v>
      </c>
      <c r="F379" s="3388"/>
      <c r="G379" s="3387">
        <f t="shared" si="70"/>
        <v>1</v>
      </c>
      <c r="H379" s="3388"/>
      <c r="I379" s="3387">
        <f t="shared" si="71"/>
        <v>1</v>
      </c>
      <c r="J379" s="3388"/>
      <c r="K379" s="3387">
        <f t="shared" si="72"/>
        <v>1</v>
      </c>
      <c r="L379" s="3388"/>
      <c r="M379" s="3387">
        <f t="shared" si="73"/>
        <v>1</v>
      </c>
      <c r="N379" s="3388"/>
      <c r="O379" s="3387">
        <f t="shared" si="74"/>
        <v>1</v>
      </c>
      <c r="P379" s="3388"/>
      <c r="Q379" s="3387">
        <f t="shared" si="75"/>
        <v>0</v>
      </c>
      <c r="R379" s="2973">
        <f t="shared" si="76"/>
        <v>0</v>
      </c>
      <c r="S379" s="2850">
        <f t="shared" si="67"/>
        <v>0</v>
      </c>
    </row>
    <row r="380" spans="1:19">
      <c r="A380" s="3389"/>
      <c r="B380" s="3386"/>
      <c r="C380" s="3387">
        <f t="shared" si="68"/>
        <v>1</v>
      </c>
      <c r="D380" s="3388"/>
      <c r="E380" s="3387">
        <f t="shared" si="69"/>
        <v>0</v>
      </c>
      <c r="F380" s="3388"/>
      <c r="G380" s="3387">
        <f t="shared" si="70"/>
        <v>1</v>
      </c>
      <c r="H380" s="3388"/>
      <c r="I380" s="3387">
        <f t="shared" si="71"/>
        <v>1</v>
      </c>
      <c r="J380" s="3388"/>
      <c r="K380" s="3387">
        <f t="shared" si="72"/>
        <v>1</v>
      </c>
      <c r="L380" s="3388"/>
      <c r="M380" s="3387">
        <f t="shared" si="73"/>
        <v>1</v>
      </c>
      <c r="N380" s="3388"/>
      <c r="O380" s="3387">
        <f t="shared" si="74"/>
        <v>1</v>
      </c>
      <c r="P380" s="3388"/>
      <c r="Q380" s="3387">
        <f t="shared" si="75"/>
        <v>0</v>
      </c>
      <c r="R380" s="2973">
        <f t="shared" si="76"/>
        <v>0</v>
      </c>
      <c r="S380" s="2850">
        <f t="shared" si="67"/>
        <v>0</v>
      </c>
    </row>
    <row r="381" spans="1:19">
      <c r="A381" s="3389"/>
      <c r="B381" s="3386"/>
      <c r="C381" s="3387">
        <f t="shared" si="68"/>
        <v>1</v>
      </c>
      <c r="D381" s="3388"/>
      <c r="E381" s="3387">
        <f t="shared" si="69"/>
        <v>0</v>
      </c>
      <c r="F381" s="3388"/>
      <c r="G381" s="3387">
        <f t="shared" si="70"/>
        <v>1</v>
      </c>
      <c r="H381" s="3388"/>
      <c r="I381" s="3387">
        <f t="shared" si="71"/>
        <v>1</v>
      </c>
      <c r="J381" s="3388"/>
      <c r="K381" s="3387">
        <f t="shared" si="72"/>
        <v>1</v>
      </c>
      <c r="L381" s="3388"/>
      <c r="M381" s="3387">
        <f t="shared" si="73"/>
        <v>1</v>
      </c>
      <c r="N381" s="3388"/>
      <c r="O381" s="3387">
        <f t="shared" si="74"/>
        <v>1</v>
      </c>
      <c r="P381" s="3388"/>
      <c r="Q381" s="3387">
        <f t="shared" si="75"/>
        <v>0</v>
      </c>
      <c r="R381" s="2973">
        <f t="shared" si="76"/>
        <v>0</v>
      </c>
      <c r="S381" s="2850">
        <f t="shared" si="67"/>
        <v>0</v>
      </c>
    </row>
    <row r="382" spans="1:19">
      <c r="A382" s="3389"/>
      <c r="B382" s="3386"/>
      <c r="C382" s="3387">
        <f t="shared" si="68"/>
        <v>1</v>
      </c>
      <c r="D382" s="3388"/>
      <c r="E382" s="3387">
        <f t="shared" si="69"/>
        <v>0</v>
      </c>
      <c r="F382" s="3388"/>
      <c r="G382" s="3387">
        <f t="shared" si="70"/>
        <v>1</v>
      </c>
      <c r="H382" s="3388"/>
      <c r="I382" s="3387">
        <f t="shared" si="71"/>
        <v>1</v>
      </c>
      <c r="J382" s="3388"/>
      <c r="K382" s="3387">
        <f t="shared" si="72"/>
        <v>1</v>
      </c>
      <c r="L382" s="3388"/>
      <c r="M382" s="3387">
        <f t="shared" si="73"/>
        <v>1</v>
      </c>
      <c r="N382" s="3388"/>
      <c r="O382" s="3387">
        <f t="shared" si="74"/>
        <v>1</v>
      </c>
      <c r="P382" s="3388"/>
      <c r="Q382" s="3387">
        <f t="shared" si="75"/>
        <v>0</v>
      </c>
      <c r="R382" s="2973">
        <f t="shared" si="76"/>
        <v>0</v>
      </c>
      <c r="S382" s="2850">
        <f t="shared" si="67"/>
        <v>0</v>
      </c>
    </row>
    <row r="383" spans="1:19">
      <c r="A383" s="3389"/>
      <c r="B383" s="3386"/>
      <c r="C383" s="3387">
        <f t="shared" si="68"/>
        <v>1</v>
      </c>
      <c r="D383" s="3388"/>
      <c r="E383" s="3387">
        <f t="shared" si="69"/>
        <v>0</v>
      </c>
      <c r="F383" s="3388"/>
      <c r="G383" s="3387">
        <f t="shared" si="70"/>
        <v>1</v>
      </c>
      <c r="H383" s="3388"/>
      <c r="I383" s="3387">
        <f t="shared" si="71"/>
        <v>1</v>
      </c>
      <c r="J383" s="3388"/>
      <c r="K383" s="3387">
        <f t="shared" si="72"/>
        <v>1</v>
      </c>
      <c r="L383" s="3388"/>
      <c r="M383" s="3387">
        <f t="shared" si="73"/>
        <v>1</v>
      </c>
      <c r="N383" s="3388"/>
      <c r="O383" s="3387">
        <f t="shared" si="74"/>
        <v>1</v>
      </c>
      <c r="P383" s="3388"/>
      <c r="Q383" s="3387">
        <f t="shared" si="75"/>
        <v>0</v>
      </c>
      <c r="R383" s="2973">
        <f t="shared" si="76"/>
        <v>0</v>
      </c>
      <c r="S383" s="2850">
        <f t="shared" si="67"/>
        <v>0</v>
      </c>
    </row>
    <row r="384" spans="1:19">
      <c r="A384" s="3389"/>
      <c r="B384" s="3386"/>
      <c r="C384" s="3387">
        <f t="shared" si="68"/>
        <v>1</v>
      </c>
      <c r="D384" s="3388"/>
      <c r="E384" s="3387">
        <f t="shared" si="69"/>
        <v>0</v>
      </c>
      <c r="F384" s="3388"/>
      <c r="G384" s="3387">
        <f t="shared" si="70"/>
        <v>1</v>
      </c>
      <c r="H384" s="3388"/>
      <c r="I384" s="3387">
        <f t="shared" si="71"/>
        <v>1</v>
      </c>
      <c r="J384" s="3388"/>
      <c r="K384" s="3387">
        <f t="shared" si="72"/>
        <v>1</v>
      </c>
      <c r="L384" s="3388"/>
      <c r="M384" s="3387">
        <f t="shared" si="73"/>
        <v>1</v>
      </c>
      <c r="N384" s="3388"/>
      <c r="O384" s="3387">
        <f t="shared" si="74"/>
        <v>1</v>
      </c>
      <c r="P384" s="3388"/>
      <c r="Q384" s="3387">
        <f t="shared" si="75"/>
        <v>0</v>
      </c>
      <c r="R384" s="2973">
        <f t="shared" si="76"/>
        <v>0</v>
      </c>
      <c r="S384" s="2850">
        <f t="shared" si="67"/>
        <v>0</v>
      </c>
    </row>
    <row r="385" spans="1:19">
      <c r="A385" s="3389"/>
      <c r="B385" s="3386"/>
      <c r="C385" s="3387">
        <f t="shared" si="68"/>
        <v>1</v>
      </c>
      <c r="D385" s="3388"/>
      <c r="E385" s="3387">
        <f t="shared" si="69"/>
        <v>0</v>
      </c>
      <c r="F385" s="3388"/>
      <c r="G385" s="3387">
        <f t="shared" si="70"/>
        <v>1</v>
      </c>
      <c r="H385" s="3388"/>
      <c r="I385" s="3387">
        <f t="shared" si="71"/>
        <v>1</v>
      </c>
      <c r="J385" s="3388"/>
      <c r="K385" s="3387">
        <f t="shared" si="72"/>
        <v>1</v>
      </c>
      <c r="L385" s="3388"/>
      <c r="M385" s="3387">
        <f t="shared" si="73"/>
        <v>1</v>
      </c>
      <c r="N385" s="3388"/>
      <c r="O385" s="3387">
        <f t="shared" si="74"/>
        <v>1</v>
      </c>
      <c r="P385" s="3388"/>
      <c r="Q385" s="3387">
        <f t="shared" si="75"/>
        <v>0</v>
      </c>
      <c r="R385" s="2973">
        <f t="shared" si="76"/>
        <v>0</v>
      </c>
      <c r="S385" s="2850">
        <f t="shared" ref="S385:S422" si="77">ROUND(R385*B385/10000,0)</f>
        <v>0</v>
      </c>
    </row>
    <row r="386" spans="1:19">
      <c r="A386" s="3389"/>
      <c r="B386" s="3386"/>
      <c r="C386" s="3387">
        <f t="shared" si="68"/>
        <v>1</v>
      </c>
      <c r="D386" s="3388"/>
      <c r="E386" s="3387">
        <f t="shared" si="69"/>
        <v>0</v>
      </c>
      <c r="F386" s="3388"/>
      <c r="G386" s="3387">
        <f t="shared" si="70"/>
        <v>1</v>
      </c>
      <c r="H386" s="3388"/>
      <c r="I386" s="3387">
        <f t="shared" si="71"/>
        <v>1</v>
      </c>
      <c r="J386" s="3388"/>
      <c r="K386" s="3387">
        <f t="shared" si="72"/>
        <v>1</v>
      </c>
      <c r="L386" s="3388"/>
      <c r="M386" s="3387">
        <f t="shared" si="73"/>
        <v>1</v>
      </c>
      <c r="N386" s="3388"/>
      <c r="O386" s="3387">
        <f t="shared" si="74"/>
        <v>1</v>
      </c>
      <c r="P386" s="3388"/>
      <c r="Q386" s="3387">
        <f t="shared" si="75"/>
        <v>0</v>
      </c>
      <c r="R386" s="2973">
        <f t="shared" si="76"/>
        <v>0</v>
      </c>
      <c r="S386" s="2850">
        <f t="shared" si="77"/>
        <v>0</v>
      </c>
    </row>
    <row r="387" spans="1:19">
      <c r="A387" s="3389"/>
      <c r="B387" s="3386"/>
      <c r="C387" s="3387">
        <f t="shared" si="68"/>
        <v>1</v>
      </c>
      <c r="D387" s="3388"/>
      <c r="E387" s="3387">
        <f t="shared" si="69"/>
        <v>0</v>
      </c>
      <c r="F387" s="3388"/>
      <c r="G387" s="3387">
        <f t="shared" si="70"/>
        <v>1</v>
      </c>
      <c r="H387" s="3388"/>
      <c r="I387" s="3387">
        <f t="shared" si="71"/>
        <v>1</v>
      </c>
      <c r="J387" s="3388"/>
      <c r="K387" s="3387">
        <f t="shared" si="72"/>
        <v>1</v>
      </c>
      <c r="L387" s="3388"/>
      <c r="M387" s="3387">
        <f t="shared" si="73"/>
        <v>1</v>
      </c>
      <c r="N387" s="3388"/>
      <c r="O387" s="3387">
        <f t="shared" si="74"/>
        <v>1</v>
      </c>
      <c r="P387" s="3388"/>
      <c r="Q387" s="3387">
        <f t="shared" si="75"/>
        <v>0</v>
      </c>
      <c r="R387" s="2973">
        <f t="shared" si="76"/>
        <v>0</v>
      </c>
      <c r="S387" s="2850">
        <f t="shared" si="77"/>
        <v>0</v>
      </c>
    </row>
    <row r="388" spans="1:19">
      <c r="A388" s="3389"/>
      <c r="B388" s="3386"/>
      <c r="C388" s="3387">
        <f t="shared" si="68"/>
        <v>1</v>
      </c>
      <c r="D388" s="3388"/>
      <c r="E388" s="3387">
        <f t="shared" si="69"/>
        <v>0</v>
      </c>
      <c r="F388" s="3388"/>
      <c r="G388" s="3387">
        <f t="shared" si="70"/>
        <v>1</v>
      </c>
      <c r="H388" s="3388"/>
      <c r="I388" s="3387">
        <f t="shared" si="71"/>
        <v>1</v>
      </c>
      <c r="J388" s="3388"/>
      <c r="K388" s="3387">
        <f t="shared" si="72"/>
        <v>1</v>
      </c>
      <c r="L388" s="3388"/>
      <c r="M388" s="3387">
        <f t="shared" si="73"/>
        <v>1</v>
      </c>
      <c r="N388" s="3388"/>
      <c r="O388" s="3387">
        <f t="shared" si="74"/>
        <v>1</v>
      </c>
      <c r="P388" s="3388"/>
      <c r="Q388" s="3387">
        <f t="shared" si="75"/>
        <v>0</v>
      </c>
      <c r="R388" s="2973">
        <f t="shared" si="76"/>
        <v>0</v>
      </c>
      <c r="S388" s="2850">
        <f t="shared" si="77"/>
        <v>0</v>
      </c>
    </row>
    <row r="389" spans="1:19">
      <c r="A389" s="3389"/>
      <c r="B389" s="3386"/>
      <c r="C389" s="3387">
        <f t="shared" si="68"/>
        <v>1</v>
      </c>
      <c r="D389" s="3388"/>
      <c r="E389" s="3387">
        <f t="shared" si="69"/>
        <v>0</v>
      </c>
      <c r="F389" s="3388"/>
      <c r="G389" s="3387">
        <f t="shared" si="70"/>
        <v>1</v>
      </c>
      <c r="H389" s="3388"/>
      <c r="I389" s="3387">
        <f t="shared" si="71"/>
        <v>1</v>
      </c>
      <c r="J389" s="3388"/>
      <c r="K389" s="3387">
        <f t="shared" si="72"/>
        <v>1</v>
      </c>
      <c r="L389" s="3388"/>
      <c r="M389" s="3387">
        <f t="shared" si="73"/>
        <v>1</v>
      </c>
      <c r="N389" s="3388"/>
      <c r="O389" s="3387">
        <f t="shared" si="74"/>
        <v>1</v>
      </c>
      <c r="P389" s="3388"/>
      <c r="Q389" s="3387">
        <f t="shared" si="75"/>
        <v>0</v>
      </c>
      <c r="R389" s="2973">
        <f t="shared" si="76"/>
        <v>0</v>
      </c>
      <c r="S389" s="2850">
        <f t="shared" si="77"/>
        <v>0</v>
      </c>
    </row>
    <row r="390" spans="1:19">
      <c r="A390" s="3389"/>
      <c r="B390" s="3386"/>
      <c r="C390" s="3387">
        <f t="shared" si="68"/>
        <v>1</v>
      </c>
      <c r="D390" s="3388"/>
      <c r="E390" s="3387">
        <f t="shared" si="69"/>
        <v>0</v>
      </c>
      <c r="F390" s="3388"/>
      <c r="G390" s="3387">
        <f t="shared" si="70"/>
        <v>1</v>
      </c>
      <c r="H390" s="3388"/>
      <c r="I390" s="3387">
        <f t="shared" si="71"/>
        <v>1</v>
      </c>
      <c r="J390" s="3388"/>
      <c r="K390" s="3387">
        <f t="shared" si="72"/>
        <v>1</v>
      </c>
      <c r="L390" s="3388"/>
      <c r="M390" s="3387">
        <f t="shared" si="73"/>
        <v>1</v>
      </c>
      <c r="N390" s="3388"/>
      <c r="O390" s="3387">
        <f t="shared" si="74"/>
        <v>1</v>
      </c>
      <c r="P390" s="3388"/>
      <c r="Q390" s="3387">
        <f t="shared" si="75"/>
        <v>0</v>
      </c>
      <c r="R390" s="2973">
        <f t="shared" si="76"/>
        <v>0</v>
      </c>
      <c r="S390" s="2850">
        <f t="shared" si="77"/>
        <v>0</v>
      </c>
    </row>
    <row r="391" spans="1:19">
      <c r="A391" s="3389"/>
      <c r="B391" s="3386"/>
      <c r="C391" s="3387">
        <f t="shared" si="68"/>
        <v>1</v>
      </c>
      <c r="D391" s="3388"/>
      <c r="E391" s="3387">
        <f t="shared" si="69"/>
        <v>0</v>
      </c>
      <c r="F391" s="3388"/>
      <c r="G391" s="3387">
        <f t="shared" si="70"/>
        <v>1</v>
      </c>
      <c r="H391" s="3388"/>
      <c r="I391" s="3387">
        <f t="shared" si="71"/>
        <v>1</v>
      </c>
      <c r="J391" s="3388"/>
      <c r="K391" s="3387">
        <f t="shared" si="72"/>
        <v>1</v>
      </c>
      <c r="L391" s="3388"/>
      <c r="M391" s="3387">
        <f t="shared" si="73"/>
        <v>1</v>
      </c>
      <c r="N391" s="3388"/>
      <c r="O391" s="3387">
        <f t="shared" si="74"/>
        <v>1</v>
      </c>
      <c r="P391" s="3388"/>
      <c r="Q391" s="3387">
        <f t="shared" si="75"/>
        <v>0</v>
      </c>
      <c r="R391" s="2973">
        <f t="shared" si="76"/>
        <v>0</v>
      </c>
      <c r="S391" s="2850">
        <f t="shared" si="77"/>
        <v>0</v>
      </c>
    </row>
    <row r="392" spans="1:19">
      <c r="A392" s="3389"/>
      <c r="B392" s="3386"/>
      <c r="C392" s="3387">
        <f t="shared" si="68"/>
        <v>1</v>
      </c>
      <c r="D392" s="3388"/>
      <c r="E392" s="3387">
        <f t="shared" si="69"/>
        <v>0</v>
      </c>
      <c r="F392" s="3388"/>
      <c r="G392" s="3387">
        <f t="shared" si="70"/>
        <v>1</v>
      </c>
      <c r="H392" s="3388"/>
      <c r="I392" s="3387">
        <f t="shared" si="71"/>
        <v>1</v>
      </c>
      <c r="J392" s="3388"/>
      <c r="K392" s="3387">
        <f t="shared" si="72"/>
        <v>1</v>
      </c>
      <c r="L392" s="3388"/>
      <c r="M392" s="3387">
        <f t="shared" si="73"/>
        <v>1</v>
      </c>
      <c r="N392" s="3388"/>
      <c r="O392" s="3387">
        <f t="shared" si="74"/>
        <v>1</v>
      </c>
      <c r="P392" s="3388"/>
      <c r="Q392" s="3387">
        <f t="shared" si="75"/>
        <v>0</v>
      </c>
      <c r="R392" s="2973">
        <f t="shared" si="76"/>
        <v>0</v>
      </c>
      <c r="S392" s="2850">
        <f t="shared" si="77"/>
        <v>0</v>
      </c>
    </row>
    <row r="393" spans="1:19">
      <c r="A393" s="3389"/>
      <c r="B393" s="3386"/>
      <c r="C393" s="3387">
        <f t="shared" si="68"/>
        <v>1</v>
      </c>
      <c r="D393" s="3388"/>
      <c r="E393" s="3387">
        <f t="shared" si="69"/>
        <v>0</v>
      </c>
      <c r="F393" s="3388"/>
      <c r="G393" s="3387">
        <f t="shared" si="70"/>
        <v>1</v>
      </c>
      <c r="H393" s="3388"/>
      <c r="I393" s="3387">
        <f t="shared" si="71"/>
        <v>1</v>
      </c>
      <c r="J393" s="3388"/>
      <c r="K393" s="3387">
        <f t="shared" si="72"/>
        <v>1</v>
      </c>
      <c r="L393" s="3388"/>
      <c r="M393" s="3387">
        <f t="shared" si="73"/>
        <v>1</v>
      </c>
      <c r="N393" s="3388"/>
      <c r="O393" s="3387">
        <f t="shared" si="74"/>
        <v>1</v>
      </c>
      <c r="P393" s="3388"/>
      <c r="Q393" s="3387">
        <f t="shared" si="75"/>
        <v>0</v>
      </c>
      <c r="R393" s="2973">
        <f t="shared" si="76"/>
        <v>0</v>
      </c>
      <c r="S393" s="2850">
        <f t="shared" si="77"/>
        <v>0</v>
      </c>
    </row>
    <row r="394" spans="1:19">
      <c r="A394" s="3389"/>
      <c r="B394" s="3386"/>
      <c r="C394" s="3387">
        <f t="shared" si="68"/>
        <v>1</v>
      </c>
      <c r="D394" s="3388"/>
      <c r="E394" s="3387">
        <f t="shared" si="69"/>
        <v>0</v>
      </c>
      <c r="F394" s="3388"/>
      <c r="G394" s="3387">
        <f t="shared" si="70"/>
        <v>1</v>
      </c>
      <c r="H394" s="3388"/>
      <c r="I394" s="3387">
        <f t="shared" si="71"/>
        <v>1</v>
      </c>
      <c r="J394" s="3388"/>
      <c r="K394" s="3387">
        <f t="shared" si="72"/>
        <v>1</v>
      </c>
      <c r="L394" s="3388"/>
      <c r="M394" s="3387">
        <f t="shared" si="73"/>
        <v>1</v>
      </c>
      <c r="N394" s="3388"/>
      <c r="O394" s="3387">
        <f t="shared" si="74"/>
        <v>1</v>
      </c>
      <c r="P394" s="3388"/>
      <c r="Q394" s="3387">
        <f t="shared" si="75"/>
        <v>0</v>
      </c>
      <c r="R394" s="2973">
        <f t="shared" si="76"/>
        <v>0</v>
      </c>
      <c r="S394" s="2850">
        <f t="shared" si="77"/>
        <v>0</v>
      </c>
    </row>
    <row r="395" spans="1:19">
      <c r="A395" s="3389"/>
      <c r="B395" s="3386"/>
      <c r="C395" s="3387">
        <f t="shared" si="68"/>
        <v>1</v>
      </c>
      <c r="D395" s="3388"/>
      <c r="E395" s="3387">
        <f t="shared" si="69"/>
        <v>0</v>
      </c>
      <c r="F395" s="3388"/>
      <c r="G395" s="3387">
        <f t="shared" si="70"/>
        <v>1</v>
      </c>
      <c r="H395" s="3388"/>
      <c r="I395" s="3387">
        <f t="shared" si="71"/>
        <v>1</v>
      </c>
      <c r="J395" s="3388"/>
      <c r="K395" s="3387">
        <f t="shared" si="72"/>
        <v>1</v>
      </c>
      <c r="L395" s="3388"/>
      <c r="M395" s="3387">
        <f t="shared" si="73"/>
        <v>1</v>
      </c>
      <c r="N395" s="3388"/>
      <c r="O395" s="3387">
        <f t="shared" si="74"/>
        <v>1</v>
      </c>
      <c r="P395" s="3388"/>
      <c r="Q395" s="3387">
        <f t="shared" si="75"/>
        <v>0</v>
      </c>
      <c r="R395" s="2973">
        <f t="shared" si="76"/>
        <v>0</v>
      </c>
      <c r="S395" s="2850">
        <f t="shared" si="77"/>
        <v>0</v>
      </c>
    </row>
    <row r="396" spans="1:19">
      <c r="A396" s="3389"/>
      <c r="B396" s="3386"/>
      <c r="C396" s="3387">
        <f t="shared" si="68"/>
        <v>1</v>
      </c>
      <c r="D396" s="3388"/>
      <c r="E396" s="3387">
        <f t="shared" si="69"/>
        <v>0</v>
      </c>
      <c r="F396" s="3388"/>
      <c r="G396" s="3387">
        <f t="shared" si="70"/>
        <v>1</v>
      </c>
      <c r="H396" s="3388"/>
      <c r="I396" s="3387">
        <f t="shared" si="71"/>
        <v>1</v>
      </c>
      <c r="J396" s="3388"/>
      <c r="K396" s="3387">
        <f t="shared" si="72"/>
        <v>1</v>
      </c>
      <c r="L396" s="3388"/>
      <c r="M396" s="3387">
        <f t="shared" si="73"/>
        <v>1</v>
      </c>
      <c r="N396" s="3388"/>
      <c r="O396" s="3387">
        <f t="shared" si="74"/>
        <v>1</v>
      </c>
      <c r="P396" s="3388"/>
      <c r="Q396" s="3387">
        <f t="shared" si="75"/>
        <v>0</v>
      </c>
      <c r="R396" s="2973">
        <f t="shared" si="76"/>
        <v>0</v>
      </c>
      <c r="S396" s="2850">
        <f t="shared" si="77"/>
        <v>0</v>
      </c>
    </row>
    <row r="397" spans="1:19">
      <c r="A397" s="3389"/>
      <c r="B397" s="3386"/>
      <c r="C397" s="3387">
        <f t="shared" si="68"/>
        <v>1</v>
      </c>
      <c r="D397" s="3388"/>
      <c r="E397" s="3387">
        <f t="shared" si="69"/>
        <v>0</v>
      </c>
      <c r="F397" s="3388"/>
      <c r="G397" s="3387">
        <f t="shared" si="70"/>
        <v>1</v>
      </c>
      <c r="H397" s="3388"/>
      <c r="I397" s="3387">
        <f t="shared" si="71"/>
        <v>1</v>
      </c>
      <c r="J397" s="3388"/>
      <c r="K397" s="3387">
        <f t="shared" si="72"/>
        <v>1</v>
      </c>
      <c r="L397" s="3388"/>
      <c r="M397" s="3387">
        <f t="shared" si="73"/>
        <v>1</v>
      </c>
      <c r="N397" s="3388"/>
      <c r="O397" s="3387">
        <f t="shared" si="74"/>
        <v>1</v>
      </c>
      <c r="P397" s="3388"/>
      <c r="Q397" s="3387">
        <f t="shared" si="75"/>
        <v>0</v>
      </c>
      <c r="R397" s="2973">
        <f t="shared" si="76"/>
        <v>0</v>
      </c>
      <c r="S397" s="2850">
        <f t="shared" si="77"/>
        <v>0</v>
      </c>
    </row>
    <row r="398" spans="1:19">
      <c r="A398" s="3389"/>
      <c r="B398" s="3386"/>
      <c r="C398" s="3387">
        <f t="shared" si="68"/>
        <v>1</v>
      </c>
      <c r="D398" s="3388"/>
      <c r="E398" s="3387">
        <f t="shared" si="69"/>
        <v>0</v>
      </c>
      <c r="F398" s="3388"/>
      <c r="G398" s="3387">
        <f t="shared" si="70"/>
        <v>1</v>
      </c>
      <c r="H398" s="3388"/>
      <c r="I398" s="3387">
        <f t="shared" si="71"/>
        <v>1</v>
      </c>
      <c r="J398" s="3388"/>
      <c r="K398" s="3387">
        <f t="shared" si="72"/>
        <v>1</v>
      </c>
      <c r="L398" s="3388"/>
      <c r="M398" s="3387">
        <f t="shared" si="73"/>
        <v>1</v>
      </c>
      <c r="N398" s="3388"/>
      <c r="O398" s="3387">
        <f t="shared" si="74"/>
        <v>1</v>
      </c>
      <c r="P398" s="3388"/>
      <c r="Q398" s="3387">
        <f t="shared" si="75"/>
        <v>0</v>
      </c>
      <c r="R398" s="2973">
        <f t="shared" si="76"/>
        <v>0</v>
      </c>
      <c r="S398" s="2850">
        <f t="shared" si="77"/>
        <v>0</v>
      </c>
    </row>
    <row r="399" spans="1:19">
      <c r="A399" s="3389"/>
      <c r="B399" s="3386"/>
      <c r="C399" s="3387">
        <f t="shared" si="68"/>
        <v>1</v>
      </c>
      <c r="D399" s="3388"/>
      <c r="E399" s="3387">
        <f t="shared" si="69"/>
        <v>0</v>
      </c>
      <c r="F399" s="3388"/>
      <c r="G399" s="3387">
        <f t="shared" si="70"/>
        <v>1</v>
      </c>
      <c r="H399" s="3388"/>
      <c r="I399" s="3387">
        <f t="shared" si="71"/>
        <v>1</v>
      </c>
      <c r="J399" s="3388"/>
      <c r="K399" s="3387">
        <f t="shared" si="72"/>
        <v>1</v>
      </c>
      <c r="L399" s="3388"/>
      <c r="M399" s="3387">
        <f t="shared" si="73"/>
        <v>1</v>
      </c>
      <c r="N399" s="3388"/>
      <c r="O399" s="3387">
        <f t="shared" si="74"/>
        <v>1</v>
      </c>
      <c r="P399" s="3388"/>
      <c r="Q399" s="3387">
        <f t="shared" si="75"/>
        <v>0</v>
      </c>
      <c r="R399" s="2973">
        <f t="shared" si="76"/>
        <v>0</v>
      </c>
      <c r="S399" s="2850">
        <f t="shared" si="77"/>
        <v>0</v>
      </c>
    </row>
    <row r="400" spans="1:19">
      <c r="A400" s="3389"/>
      <c r="B400" s="3386"/>
      <c r="C400" s="3387">
        <f t="shared" si="68"/>
        <v>1</v>
      </c>
      <c r="D400" s="3388"/>
      <c r="E400" s="3387">
        <f t="shared" si="69"/>
        <v>0</v>
      </c>
      <c r="F400" s="3388"/>
      <c r="G400" s="3387">
        <f t="shared" si="70"/>
        <v>1</v>
      </c>
      <c r="H400" s="3388"/>
      <c r="I400" s="3387">
        <f t="shared" si="71"/>
        <v>1</v>
      </c>
      <c r="J400" s="3388"/>
      <c r="K400" s="3387">
        <f t="shared" si="72"/>
        <v>1</v>
      </c>
      <c r="L400" s="3388"/>
      <c r="M400" s="3387">
        <f t="shared" si="73"/>
        <v>1</v>
      </c>
      <c r="N400" s="3388"/>
      <c r="O400" s="3387">
        <f t="shared" si="74"/>
        <v>1</v>
      </c>
      <c r="P400" s="3388"/>
      <c r="Q400" s="3387">
        <f t="shared" si="75"/>
        <v>0</v>
      </c>
      <c r="R400" s="2973">
        <f t="shared" si="76"/>
        <v>0</v>
      </c>
      <c r="S400" s="2850">
        <f t="shared" si="77"/>
        <v>0</v>
      </c>
    </row>
    <row r="401" spans="1:19">
      <c r="A401" s="3389"/>
      <c r="B401" s="3386"/>
      <c r="C401" s="3387">
        <f t="shared" si="68"/>
        <v>1</v>
      </c>
      <c r="D401" s="3388"/>
      <c r="E401" s="3387">
        <f t="shared" si="69"/>
        <v>0</v>
      </c>
      <c r="F401" s="3388"/>
      <c r="G401" s="3387">
        <f t="shared" si="70"/>
        <v>1</v>
      </c>
      <c r="H401" s="3388"/>
      <c r="I401" s="3387">
        <f t="shared" si="71"/>
        <v>1</v>
      </c>
      <c r="J401" s="3388"/>
      <c r="K401" s="3387">
        <f t="shared" si="72"/>
        <v>1</v>
      </c>
      <c r="L401" s="3388"/>
      <c r="M401" s="3387">
        <f t="shared" si="73"/>
        <v>1</v>
      </c>
      <c r="N401" s="3388"/>
      <c r="O401" s="3387">
        <f t="shared" si="74"/>
        <v>1</v>
      </c>
      <c r="P401" s="3388"/>
      <c r="Q401" s="3387">
        <f t="shared" si="75"/>
        <v>0</v>
      </c>
      <c r="R401" s="2973">
        <f t="shared" si="76"/>
        <v>0</v>
      </c>
      <c r="S401" s="2850">
        <f t="shared" si="77"/>
        <v>0</v>
      </c>
    </row>
    <row r="402" spans="1:19">
      <c r="A402" s="3389"/>
      <c r="B402" s="3386"/>
      <c r="C402" s="3387">
        <f t="shared" si="68"/>
        <v>1</v>
      </c>
      <c r="D402" s="3388"/>
      <c r="E402" s="3387">
        <f t="shared" si="69"/>
        <v>0</v>
      </c>
      <c r="F402" s="3388"/>
      <c r="G402" s="3387">
        <f t="shared" si="70"/>
        <v>1</v>
      </c>
      <c r="H402" s="3388"/>
      <c r="I402" s="3387">
        <f t="shared" si="71"/>
        <v>1</v>
      </c>
      <c r="J402" s="3388"/>
      <c r="K402" s="3387">
        <f t="shared" si="72"/>
        <v>1</v>
      </c>
      <c r="L402" s="3388"/>
      <c r="M402" s="3387">
        <f t="shared" si="73"/>
        <v>1</v>
      </c>
      <c r="N402" s="3388"/>
      <c r="O402" s="3387">
        <f t="shared" si="74"/>
        <v>1</v>
      </c>
      <c r="P402" s="3388"/>
      <c r="Q402" s="3387">
        <f t="shared" si="75"/>
        <v>0</v>
      </c>
      <c r="R402" s="2973">
        <f t="shared" si="76"/>
        <v>0</v>
      </c>
      <c r="S402" s="2850">
        <f t="shared" si="77"/>
        <v>0</v>
      </c>
    </row>
    <row r="403" spans="1:19">
      <c r="A403" s="3389"/>
      <c r="B403" s="3386"/>
      <c r="C403" s="3387">
        <f t="shared" si="68"/>
        <v>1</v>
      </c>
      <c r="D403" s="3388"/>
      <c r="E403" s="3387">
        <f t="shared" si="69"/>
        <v>0</v>
      </c>
      <c r="F403" s="3388"/>
      <c r="G403" s="3387">
        <f t="shared" si="70"/>
        <v>1</v>
      </c>
      <c r="H403" s="3388"/>
      <c r="I403" s="3387">
        <f t="shared" si="71"/>
        <v>1</v>
      </c>
      <c r="J403" s="3388"/>
      <c r="K403" s="3387">
        <f t="shared" si="72"/>
        <v>1</v>
      </c>
      <c r="L403" s="3388"/>
      <c r="M403" s="3387">
        <f t="shared" si="73"/>
        <v>1</v>
      </c>
      <c r="N403" s="3388"/>
      <c r="O403" s="3387">
        <f t="shared" si="74"/>
        <v>1</v>
      </c>
      <c r="P403" s="3388"/>
      <c r="Q403" s="3387">
        <f t="shared" si="75"/>
        <v>0</v>
      </c>
      <c r="R403" s="2973">
        <f t="shared" si="76"/>
        <v>0</v>
      </c>
      <c r="S403" s="2850">
        <f t="shared" si="77"/>
        <v>0</v>
      </c>
    </row>
    <row r="404" spans="1:19">
      <c r="A404" s="3389"/>
      <c r="B404" s="3386"/>
      <c r="C404" s="3387">
        <f t="shared" si="68"/>
        <v>1</v>
      </c>
      <c r="D404" s="3388"/>
      <c r="E404" s="3387">
        <f t="shared" si="69"/>
        <v>0</v>
      </c>
      <c r="F404" s="3388"/>
      <c r="G404" s="3387">
        <f t="shared" si="70"/>
        <v>1</v>
      </c>
      <c r="H404" s="3388"/>
      <c r="I404" s="3387">
        <f t="shared" si="71"/>
        <v>1</v>
      </c>
      <c r="J404" s="3388"/>
      <c r="K404" s="3387">
        <f t="shared" si="72"/>
        <v>1</v>
      </c>
      <c r="L404" s="3388"/>
      <c r="M404" s="3387">
        <f t="shared" si="73"/>
        <v>1</v>
      </c>
      <c r="N404" s="3388"/>
      <c r="O404" s="3387">
        <f t="shared" si="74"/>
        <v>1</v>
      </c>
      <c r="P404" s="3388"/>
      <c r="Q404" s="3387">
        <f t="shared" si="75"/>
        <v>0</v>
      </c>
      <c r="R404" s="2973">
        <f t="shared" si="76"/>
        <v>0</v>
      </c>
      <c r="S404" s="2850">
        <f t="shared" si="77"/>
        <v>0</v>
      </c>
    </row>
    <row r="405" spans="1:19">
      <c r="A405" s="3389"/>
      <c r="B405" s="3386"/>
      <c r="C405" s="3387">
        <f t="shared" si="68"/>
        <v>1</v>
      </c>
      <c r="D405" s="3388"/>
      <c r="E405" s="3387">
        <f t="shared" si="69"/>
        <v>0</v>
      </c>
      <c r="F405" s="3388"/>
      <c r="G405" s="3387">
        <f t="shared" si="70"/>
        <v>1</v>
      </c>
      <c r="H405" s="3388"/>
      <c r="I405" s="3387">
        <f t="shared" si="71"/>
        <v>1</v>
      </c>
      <c r="J405" s="3388"/>
      <c r="K405" s="3387">
        <f t="shared" si="72"/>
        <v>1</v>
      </c>
      <c r="L405" s="3388"/>
      <c r="M405" s="3387">
        <f t="shared" si="73"/>
        <v>1</v>
      </c>
      <c r="N405" s="3388"/>
      <c r="O405" s="3387">
        <f t="shared" si="74"/>
        <v>1</v>
      </c>
      <c r="P405" s="3388"/>
      <c r="Q405" s="3387">
        <f t="shared" si="75"/>
        <v>0</v>
      </c>
      <c r="R405" s="2973">
        <f t="shared" si="76"/>
        <v>0</v>
      </c>
      <c r="S405" s="2850">
        <f t="shared" si="77"/>
        <v>0</v>
      </c>
    </row>
    <row r="406" spans="1:19">
      <c r="A406" s="3389"/>
      <c r="B406" s="3386"/>
      <c r="C406" s="3387">
        <f t="shared" si="68"/>
        <v>1</v>
      </c>
      <c r="D406" s="3388"/>
      <c r="E406" s="3387">
        <f t="shared" si="69"/>
        <v>0</v>
      </c>
      <c r="F406" s="3388"/>
      <c r="G406" s="3387">
        <f t="shared" si="70"/>
        <v>1</v>
      </c>
      <c r="H406" s="3388"/>
      <c r="I406" s="3387">
        <f t="shared" si="71"/>
        <v>1</v>
      </c>
      <c r="J406" s="3388"/>
      <c r="K406" s="3387">
        <f t="shared" si="72"/>
        <v>1</v>
      </c>
      <c r="L406" s="3388"/>
      <c r="M406" s="3387">
        <f t="shared" si="73"/>
        <v>1</v>
      </c>
      <c r="N406" s="3388"/>
      <c r="O406" s="3387">
        <f t="shared" si="74"/>
        <v>1</v>
      </c>
      <c r="P406" s="3388"/>
      <c r="Q406" s="3387">
        <f t="shared" si="75"/>
        <v>0</v>
      </c>
      <c r="R406" s="2973">
        <f t="shared" si="76"/>
        <v>0</v>
      </c>
      <c r="S406" s="2850">
        <f t="shared" si="77"/>
        <v>0</v>
      </c>
    </row>
    <row r="407" spans="1:19">
      <c r="A407" s="3389"/>
      <c r="B407" s="3386"/>
      <c r="C407" s="3387">
        <f t="shared" si="68"/>
        <v>1</v>
      </c>
      <c r="D407" s="3388"/>
      <c r="E407" s="3387">
        <f t="shared" si="69"/>
        <v>0</v>
      </c>
      <c r="F407" s="3388"/>
      <c r="G407" s="3387">
        <f t="shared" si="70"/>
        <v>1</v>
      </c>
      <c r="H407" s="3388"/>
      <c r="I407" s="3387">
        <f t="shared" si="71"/>
        <v>1</v>
      </c>
      <c r="J407" s="3388"/>
      <c r="K407" s="3387">
        <f t="shared" si="72"/>
        <v>1</v>
      </c>
      <c r="L407" s="3388"/>
      <c r="M407" s="3387">
        <f t="shared" si="73"/>
        <v>1</v>
      </c>
      <c r="N407" s="3388"/>
      <c r="O407" s="3387">
        <f t="shared" si="74"/>
        <v>1</v>
      </c>
      <c r="P407" s="3388"/>
      <c r="Q407" s="3387">
        <f t="shared" si="75"/>
        <v>0</v>
      </c>
      <c r="R407" s="2973">
        <f t="shared" si="76"/>
        <v>0</v>
      </c>
      <c r="S407" s="2850">
        <f t="shared" si="77"/>
        <v>0</v>
      </c>
    </row>
    <row r="408" spans="1:19">
      <c r="A408" s="3389"/>
      <c r="B408" s="3386"/>
      <c r="C408" s="3387">
        <f t="shared" si="68"/>
        <v>1</v>
      </c>
      <c r="D408" s="3388"/>
      <c r="E408" s="3387">
        <f t="shared" si="69"/>
        <v>0</v>
      </c>
      <c r="F408" s="3388"/>
      <c r="G408" s="3387">
        <f t="shared" si="70"/>
        <v>1</v>
      </c>
      <c r="H408" s="3388"/>
      <c r="I408" s="3387">
        <f t="shared" si="71"/>
        <v>1</v>
      </c>
      <c r="J408" s="3388"/>
      <c r="K408" s="3387">
        <f t="shared" si="72"/>
        <v>1</v>
      </c>
      <c r="L408" s="3388"/>
      <c r="M408" s="3387">
        <f t="shared" si="73"/>
        <v>1</v>
      </c>
      <c r="N408" s="3388"/>
      <c r="O408" s="3387">
        <f t="shared" si="74"/>
        <v>1</v>
      </c>
      <c r="P408" s="3388"/>
      <c r="Q408" s="3387">
        <f t="shared" si="75"/>
        <v>0</v>
      </c>
      <c r="R408" s="2973">
        <f t="shared" si="76"/>
        <v>0</v>
      </c>
      <c r="S408" s="2850">
        <f t="shared" si="77"/>
        <v>0</v>
      </c>
    </row>
    <row r="409" spans="1:19">
      <c r="A409" s="3389"/>
      <c r="B409" s="3386"/>
      <c r="C409" s="3387">
        <f t="shared" si="68"/>
        <v>1</v>
      </c>
      <c r="D409" s="3388"/>
      <c r="E409" s="3387">
        <f t="shared" si="69"/>
        <v>0</v>
      </c>
      <c r="F409" s="3388"/>
      <c r="G409" s="3387">
        <f t="shared" si="70"/>
        <v>1</v>
      </c>
      <c r="H409" s="3388"/>
      <c r="I409" s="3387">
        <f t="shared" si="71"/>
        <v>1</v>
      </c>
      <c r="J409" s="3388"/>
      <c r="K409" s="3387">
        <f t="shared" si="72"/>
        <v>1</v>
      </c>
      <c r="L409" s="3388"/>
      <c r="M409" s="3387">
        <f t="shared" si="73"/>
        <v>1</v>
      </c>
      <c r="N409" s="3388"/>
      <c r="O409" s="3387">
        <f t="shared" si="74"/>
        <v>1</v>
      </c>
      <c r="P409" s="3388"/>
      <c r="Q409" s="3387">
        <f t="shared" si="75"/>
        <v>0</v>
      </c>
      <c r="R409" s="2973">
        <f t="shared" si="76"/>
        <v>0</v>
      </c>
      <c r="S409" s="2850">
        <f t="shared" si="77"/>
        <v>0</v>
      </c>
    </row>
    <row r="410" spans="1:19">
      <c r="A410" s="3389"/>
      <c r="B410" s="3386"/>
      <c r="C410" s="3387">
        <f t="shared" ref="C410:C473" si="78">IF(B410="",1,(LOOKUP(B410,$3:$3,$4:$4)-LOOKUP($B$24,$3:$3,$4:$4)+100)/100)</f>
        <v>1</v>
      </c>
      <c r="D410" s="3388"/>
      <c r="E410" s="3387">
        <f t="shared" ref="E410:E473" si="79">(SUMIF($5:$5,D410,$6:$6)-SUMIF($5:$5,$D$24,$6:$6)+100)/100</f>
        <v>0</v>
      </c>
      <c r="F410" s="3388"/>
      <c r="G410" s="3387">
        <f t="shared" ref="G410:G473" si="80">(SUMIF($7:$7,F410,$8:$8)-SUMIF($7:$7,$F$24,$8:$8)+100)/100</f>
        <v>1</v>
      </c>
      <c r="H410" s="3388"/>
      <c r="I410" s="3387">
        <f t="shared" ref="I410:I473" si="81">(SUMIF($9:$9,H410,$10:$10)-SUMIF($9:$9,$H$24,$10:$10)+100)/100</f>
        <v>1</v>
      </c>
      <c r="J410" s="3388"/>
      <c r="K410" s="3387">
        <f t="shared" ref="K410:K473" si="82">(SUMIF($11:$11,J410,$12:$12)-SUMIF($11:$11,$J$24,$12:$12)+100)/100</f>
        <v>1</v>
      </c>
      <c r="L410" s="3388"/>
      <c r="M410" s="3387">
        <f t="shared" ref="M410:M473" si="83">(SUMIF($13:$13,L410,$14:$14)-SUMIF($13:$13,$L$24,$14:$14)+100)/100</f>
        <v>1</v>
      </c>
      <c r="N410" s="3388"/>
      <c r="O410" s="3387">
        <f t="shared" ref="O410:O473" si="84">(SUMIF($15:$15,N410,$16:$16)-SUMIF($15:$15,$N$24,$16:$16)+100)/100</f>
        <v>1</v>
      </c>
      <c r="P410" s="3388"/>
      <c r="Q410" s="3387">
        <f t="shared" ref="Q410:Q473" si="85">(SUMIF($17:$17,P410,$18:$18)-SUMIF($17:$17,$P$24,$18:$18)+100)/100</f>
        <v>0</v>
      </c>
      <c r="R410" s="2973">
        <f t="shared" ref="R410:R473" si="86">IF(B410="",0,ROUND($R$24*C410*E410*G410*I410*K410*M410*O410*Q410,0))</f>
        <v>0</v>
      </c>
      <c r="S410" s="2850">
        <f t="shared" si="77"/>
        <v>0</v>
      </c>
    </row>
    <row r="411" spans="1:19">
      <c r="A411" s="3389"/>
      <c r="B411" s="3386"/>
      <c r="C411" s="3387">
        <f t="shared" si="78"/>
        <v>1</v>
      </c>
      <c r="D411" s="3388"/>
      <c r="E411" s="3387">
        <f t="shared" si="79"/>
        <v>0</v>
      </c>
      <c r="F411" s="3388"/>
      <c r="G411" s="3387">
        <f t="shared" si="80"/>
        <v>1</v>
      </c>
      <c r="H411" s="3388"/>
      <c r="I411" s="3387">
        <f t="shared" si="81"/>
        <v>1</v>
      </c>
      <c r="J411" s="3388"/>
      <c r="K411" s="3387">
        <f t="shared" si="82"/>
        <v>1</v>
      </c>
      <c r="L411" s="3388"/>
      <c r="M411" s="3387">
        <f t="shared" si="83"/>
        <v>1</v>
      </c>
      <c r="N411" s="3388"/>
      <c r="O411" s="3387">
        <f t="shared" si="84"/>
        <v>1</v>
      </c>
      <c r="P411" s="3388"/>
      <c r="Q411" s="3387">
        <f t="shared" si="85"/>
        <v>0</v>
      </c>
      <c r="R411" s="2973">
        <f t="shared" si="86"/>
        <v>0</v>
      </c>
      <c r="S411" s="2850">
        <f t="shared" si="77"/>
        <v>0</v>
      </c>
    </row>
    <row r="412" spans="1:19">
      <c r="A412" s="3389"/>
      <c r="B412" s="3386"/>
      <c r="C412" s="3387">
        <f t="shared" si="78"/>
        <v>1</v>
      </c>
      <c r="D412" s="3388"/>
      <c r="E412" s="3387">
        <f t="shared" si="79"/>
        <v>0</v>
      </c>
      <c r="F412" s="3388"/>
      <c r="G412" s="3387">
        <f t="shared" si="80"/>
        <v>1</v>
      </c>
      <c r="H412" s="3388"/>
      <c r="I412" s="3387">
        <f t="shared" si="81"/>
        <v>1</v>
      </c>
      <c r="J412" s="3388"/>
      <c r="K412" s="3387">
        <f t="shared" si="82"/>
        <v>1</v>
      </c>
      <c r="L412" s="3388"/>
      <c r="M412" s="3387">
        <f t="shared" si="83"/>
        <v>1</v>
      </c>
      <c r="N412" s="3388"/>
      <c r="O412" s="3387">
        <f t="shared" si="84"/>
        <v>1</v>
      </c>
      <c r="P412" s="3388"/>
      <c r="Q412" s="3387">
        <f t="shared" si="85"/>
        <v>0</v>
      </c>
      <c r="R412" s="2973">
        <f t="shared" si="86"/>
        <v>0</v>
      </c>
      <c r="S412" s="2850">
        <f t="shared" si="77"/>
        <v>0</v>
      </c>
    </row>
    <row r="413" spans="1:19">
      <c r="A413" s="3389"/>
      <c r="B413" s="3386"/>
      <c r="C413" s="3387">
        <f t="shared" si="78"/>
        <v>1</v>
      </c>
      <c r="D413" s="3388"/>
      <c r="E413" s="3387">
        <f t="shared" si="79"/>
        <v>0</v>
      </c>
      <c r="F413" s="3388"/>
      <c r="G413" s="3387">
        <f t="shared" si="80"/>
        <v>1</v>
      </c>
      <c r="H413" s="3388"/>
      <c r="I413" s="3387">
        <f t="shared" si="81"/>
        <v>1</v>
      </c>
      <c r="J413" s="3388"/>
      <c r="K413" s="3387">
        <f t="shared" si="82"/>
        <v>1</v>
      </c>
      <c r="L413" s="3388"/>
      <c r="M413" s="3387">
        <f t="shared" si="83"/>
        <v>1</v>
      </c>
      <c r="N413" s="3388"/>
      <c r="O413" s="3387">
        <f t="shared" si="84"/>
        <v>1</v>
      </c>
      <c r="P413" s="3388"/>
      <c r="Q413" s="3387">
        <f t="shared" si="85"/>
        <v>0</v>
      </c>
      <c r="R413" s="2973">
        <f t="shared" si="86"/>
        <v>0</v>
      </c>
      <c r="S413" s="2850">
        <f t="shared" si="77"/>
        <v>0</v>
      </c>
    </row>
    <row r="414" spans="1:19">
      <c r="A414" s="3389"/>
      <c r="B414" s="3386"/>
      <c r="C414" s="3387">
        <f t="shared" si="78"/>
        <v>1</v>
      </c>
      <c r="D414" s="3388"/>
      <c r="E414" s="3387">
        <f t="shared" si="79"/>
        <v>0</v>
      </c>
      <c r="F414" s="3388"/>
      <c r="G414" s="3387">
        <f t="shared" si="80"/>
        <v>1</v>
      </c>
      <c r="H414" s="3388"/>
      <c r="I414" s="3387">
        <f t="shared" si="81"/>
        <v>1</v>
      </c>
      <c r="J414" s="3388"/>
      <c r="K414" s="3387">
        <f t="shared" si="82"/>
        <v>1</v>
      </c>
      <c r="L414" s="3388"/>
      <c r="M414" s="3387">
        <f t="shared" si="83"/>
        <v>1</v>
      </c>
      <c r="N414" s="3388"/>
      <c r="O414" s="3387">
        <f t="shared" si="84"/>
        <v>1</v>
      </c>
      <c r="P414" s="3388"/>
      <c r="Q414" s="3387">
        <f t="shared" si="85"/>
        <v>0</v>
      </c>
      <c r="R414" s="2973">
        <f t="shared" si="86"/>
        <v>0</v>
      </c>
      <c r="S414" s="2850">
        <f t="shared" si="77"/>
        <v>0</v>
      </c>
    </row>
    <row r="415" spans="1:19">
      <c r="A415" s="3389"/>
      <c r="B415" s="3386"/>
      <c r="C415" s="3387">
        <f t="shared" si="78"/>
        <v>1</v>
      </c>
      <c r="D415" s="3388"/>
      <c r="E415" s="3387">
        <f t="shared" si="79"/>
        <v>0</v>
      </c>
      <c r="F415" s="3388"/>
      <c r="G415" s="3387">
        <f t="shared" si="80"/>
        <v>1</v>
      </c>
      <c r="H415" s="3388"/>
      <c r="I415" s="3387">
        <f t="shared" si="81"/>
        <v>1</v>
      </c>
      <c r="J415" s="3388"/>
      <c r="K415" s="3387">
        <f t="shared" si="82"/>
        <v>1</v>
      </c>
      <c r="L415" s="3388"/>
      <c r="M415" s="3387">
        <f t="shared" si="83"/>
        <v>1</v>
      </c>
      <c r="N415" s="3388"/>
      <c r="O415" s="3387">
        <f t="shared" si="84"/>
        <v>1</v>
      </c>
      <c r="P415" s="3388"/>
      <c r="Q415" s="3387">
        <f t="shared" si="85"/>
        <v>0</v>
      </c>
      <c r="R415" s="2973">
        <f t="shared" si="86"/>
        <v>0</v>
      </c>
      <c r="S415" s="2850">
        <f t="shared" si="77"/>
        <v>0</v>
      </c>
    </row>
    <row r="416" spans="1:19">
      <c r="A416" s="3389"/>
      <c r="B416" s="3386"/>
      <c r="C416" s="3387">
        <f t="shared" si="78"/>
        <v>1</v>
      </c>
      <c r="D416" s="3388"/>
      <c r="E416" s="3387">
        <f t="shared" si="79"/>
        <v>0</v>
      </c>
      <c r="F416" s="3388"/>
      <c r="G416" s="3387">
        <f t="shared" si="80"/>
        <v>1</v>
      </c>
      <c r="H416" s="3388"/>
      <c r="I416" s="3387">
        <f t="shared" si="81"/>
        <v>1</v>
      </c>
      <c r="J416" s="3388"/>
      <c r="K416" s="3387">
        <f t="shared" si="82"/>
        <v>1</v>
      </c>
      <c r="L416" s="3388"/>
      <c r="M416" s="3387">
        <f t="shared" si="83"/>
        <v>1</v>
      </c>
      <c r="N416" s="3388"/>
      <c r="O416" s="3387">
        <f t="shared" si="84"/>
        <v>1</v>
      </c>
      <c r="P416" s="3388"/>
      <c r="Q416" s="3387">
        <f t="shared" si="85"/>
        <v>0</v>
      </c>
      <c r="R416" s="2973">
        <f t="shared" si="86"/>
        <v>0</v>
      </c>
      <c r="S416" s="2850">
        <f t="shared" si="77"/>
        <v>0</v>
      </c>
    </row>
    <row r="417" spans="1:19">
      <c r="A417" s="3389"/>
      <c r="B417" s="3386"/>
      <c r="C417" s="3387">
        <f t="shared" si="78"/>
        <v>1</v>
      </c>
      <c r="D417" s="3388"/>
      <c r="E417" s="3387">
        <f t="shared" si="79"/>
        <v>0</v>
      </c>
      <c r="F417" s="3388"/>
      <c r="G417" s="3387">
        <f t="shared" si="80"/>
        <v>1</v>
      </c>
      <c r="H417" s="3388"/>
      <c r="I417" s="3387">
        <f t="shared" si="81"/>
        <v>1</v>
      </c>
      <c r="J417" s="3388"/>
      <c r="K417" s="3387">
        <f t="shared" si="82"/>
        <v>1</v>
      </c>
      <c r="L417" s="3388"/>
      <c r="M417" s="3387">
        <f t="shared" si="83"/>
        <v>1</v>
      </c>
      <c r="N417" s="3388"/>
      <c r="O417" s="3387">
        <f t="shared" si="84"/>
        <v>1</v>
      </c>
      <c r="P417" s="3388"/>
      <c r="Q417" s="3387">
        <f t="shared" si="85"/>
        <v>0</v>
      </c>
      <c r="R417" s="2973">
        <f t="shared" si="86"/>
        <v>0</v>
      </c>
      <c r="S417" s="2850">
        <f t="shared" si="77"/>
        <v>0</v>
      </c>
    </row>
    <row r="418" spans="1:19">
      <c r="A418" s="3389"/>
      <c r="B418" s="3386"/>
      <c r="C418" s="3387">
        <f t="shared" si="78"/>
        <v>1</v>
      </c>
      <c r="D418" s="3388"/>
      <c r="E418" s="3387">
        <f t="shared" si="79"/>
        <v>0</v>
      </c>
      <c r="F418" s="3388"/>
      <c r="G418" s="3387">
        <f t="shared" si="80"/>
        <v>1</v>
      </c>
      <c r="H418" s="3388"/>
      <c r="I418" s="3387">
        <f t="shared" si="81"/>
        <v>1</v>
      </c>
      <c r="J418" s="3388"/>
      <c r="K418" s="3387">
        <f t="shared" si="82"/>
        <v>1</v>
      </c>
      <c r="L418" s="3388"/>
      <c r="M418" s="3387">
        <f t="shared" si="83"/>
        <v>1</v>
      </c>
      <c r="N418" s="3388"/>
      <c r="O418" s="3387">
        <f t="shared" si="84"/>
        <v>1</v>
      </c>
      <c r="P418" s="3388"/>
      <c r="Q418" s="3387">
        <f t="shared" si="85"/>
        <v>0</v>
      </c>
      <c r="R418" s="2973">
        <f t="shared" si="86"/>
        <v>0</v>
      </c>
      <c r="S418" s="2850">
        <f t="shared" si="77"/>
        <v>0</v>
      </c>
    </row>
    <row r="419" spans="1:19">
      <c r="A419" s="3389"/>
      <c r="B419" s="3386"/>
      <c r="C419" s="3387">
        <f t="shared" si="78"/>
        <v>1</v>
      </c>
      <c r="D419" s="3388"/>
      <c r="E419" s="3387">
        <f t="shared" si="79"/>
        <v>0</v>
      </c>
      <c r="F419" s="3388"/>
      <c r="G419" s="3387">
        <f t="shared" si="80"/>
        <v>1</v>
      </c>
      <c r="H419" s="3388"/>
      <c r="I419" s="3387">
        <f t="shared" si="81"/>
        <v>1</v>
      </c>
      <c r="J419" s="3388"/>
      <c r="K419" s="3387">
        <f t="shared" si="82"/>
        <v>1</v>
      </c>
      <c r="L419" s="3388"/>
      <c r="M419" s="3387">
        <f t="shared" si="83"/>
        <v>1</v>
      </c>
      <c r="N419" s="3388"/>
      <c r="O419" s="3387">
        <f t="shared" si="84"/>
        <v>1</v>
      </c>
      <c r="P419" s="3388"/>
      <c r="Q419" s="3387">
        <f t="shared" si="85"/>
        <v>0</v>
      </c>
      <c r="R419" s="2973">
        <f t="shared" si="86"/>
        <v>0</v>
      </c>
      <c r="S419" s="2850">
        <f t="shared" si="77"/>
        <v>0</v>
      </c>
    </row>
    <row r="420" spans="1:19">
      <c r="A420" s="3389"/>
      <c r="B420" s="3386"/>
      <c r="C420" s="3387">
        <f t="shared" si="78"/>
        <v>1</v>
      </c>
      <c r="D420" s="3388"/>
      <c r="E420" s="3387">
        <f t="shared" si="79"/>
        <v>0</v>
      </c>
      <c r="F420" s="3388"/>
      <c r="G420" s="3387">
        <f t="shared" si="80"/>
        <v>1</v>
      </c>
      <c r="H420" s="3388"/>
      <c r="I420" s="3387">
        <f t="shared" si="81"/>
        <v>1</v>
      </c>
      <c r="J420" s="3388"/>
      <c r="K420" s="3387">
        <f t="shared" si="82"/>
        <v>1</v>
      </c>
      <c r="L420" s="3388"/>
      <c r="M420" s="3387">
        <f t="shared" si="83"/>
        <v>1</v>
      </c>
      <c r="N420" s="3388"/>
      <c r="O420" s="3387">
        <f t="shared" si="84"/>
        <v>1</v>
      </c>
      <c r="P420" s="3388"/>
      <c r="Q420" s="3387">
        <f t="shared" si="85"/>
        <v>0</v>
      </c>
      <c r="R420" s="2973">
        <f t="shared" si="86"/>
        <v>0</v>
      </c>
      <c r="S420" s="2850">
        <f t="shared" si="77"/>
        <v>0</v>
      </c>
    </row>
    <row r="421" spans="1:19">
      <c r="A421" s="3389"/>
      <c r="B421" s="3386"/>
      <c r="C421" s="3387">
        <f t="shared" si="78"/>
        <v>1</v>
      </c>
      <c r="D421" s="3388"/>
      <c r="E421" s="3387">
        <f t="shared" si="79"/>
        <v>0</v>
      </c>
      <c r="F421" s="3388"/>
      <c r="G421" s="3387">
        <f t="shared" si="80"/>
        <v>1</v>
      </c>
      <c r="H421" s="3388"/>
      <c r="I421" s="3387">
        <f t="shared" si="81"/>
        <v>1</v>
      </c>
      <c r="J421" s="3388"/>
      <c r="K421" s="3387">
        <f t="shared" si="82"/>
        <v>1</v>
      </c>
      <c r="L421" s="3388"/>
      <c r="M421" s="3387">
        <f t="shared" si="83"/>
        <v>1</v>
      </c>
      <c r="N421" s="3388"/>
      <c r="O421" s="3387">
        <f t="shared" si="84"/>
        <v>1</v>
      </c>
      <c r="P421" s="3388"/>
      <c r="Q421" s="3387">
        <f t="shared" si="85"/>
        <v>0</v>
      </c>
      <c r="R421" s="2973">
        <f t="shared" si="86"/>
        <v>0</v>
      </c>
      <c r="S421" s="2850">
        <f t="shared" si="77"/>
        <v>0</v>
      </c>
    </row>
    <row r="422" spans="1:19">
      <c r="A422" s="3389"/>
      <c r="B422" s="3386"/>
      <c r="C422" s="3387">
        <f t="shared" si="78"/>
        <v>1</v>
      </c>
      <c r="D422" s="3388"/>
      <c r="E422" s="3387">
        <f t="shared" si="79"/>
        <v>0</v>
      </c>
      <c r="F422" s="3388"/>
      <c r="G422" s="3387">
        <f t="shared" si="80"/>
        <v>1</v>
      </c>
      <c r="H422" s="3388"/>
      <c r="I422" s="3387">
        <f t="shared" si="81"/>
        <v>1</v>
      </c>
      <c r="J422" s="3388"/>
      <c r="K422" s="3387">
        <f t="shared" si="82"/>
        <v>1</v>
      </c>
      <c r="L422" s="3388"/>
      <c r="M422" s="3387">
        <f t="shared" si="83"/>
        <v>1</v>
      </c>
      <c r="N422" s="3388"/>
      <c r="O422" s="3387">
        <f t="shared" si="84"/>
        <v>1</v>
      </c>
      <c r="P422" s="3388"/>
      <c r="Q422" s="3387">
        <f t="shared" si="85"/>
        <v>0</v>
      </c>
      <c r="R422" s="2973">
        <f t="shared" si="86"/>
        <v>0</v>
      </c>
      <c r="S422" s="2850">
        <f t="shared" si="77"/>
        <v>0</v>
      </c>
    </row>
    <row r="423" spans="1:19">
      <c r="A423" s="3389"/>
      <c r="B423" s="3386"/>
      <c r="C423" s="3387">
        <f t="shared" si="78"/>
        <v>1</v>
      </c>
      <c r="D423" s="3388"/>
      <c r="E423" s="3387">
        <f t="shared" si="79"/>
        <v>0</v>
      </c>
      <c r="F423" s="3388"/>
      <c r="G423" s="3387">
        <f t="shared" si="80"/>
        <v>1</v>
      </c>
      <c r="H423" s="3388"/>
      <c r="I423" s="3387">
        <f t="shared" si="81"/>
        <v>1</v>
      </c>
      <c r="J423" s="3388"/>
      <c r="K423" s="3387">
        <f t="shared" si="82"/>
        <v>1</v>
      </c>
      <c r="L423" s="3388"/>
      <c r="M423" s="3387">
        <f t="shared" si="83"/>
        <v>1</v>
      </c>
      <c r="N423" s="3388"/>
      <c r="O423" s="3387">
        <f t="shared" si="84"/>
        <v>1</v>
      </c>
      <c r="P423" s="3388"/>
      <c r="Q423" s="3387">
        <f t="shared" si="85"/>
        <v>0</v>
      </c>
      <c r="R423" s="2973">
        <f t="shared" si="86"/>
        <v>0</v>
      </c>
      <c r="S423" s="2850">
        <f t="shared" ref="S423:S467" si="87">ROUND(R423*B423/10000,0)</f>
        <v>0</v>
      </c>
    </row>
    <row r="424" spans="1:19">
      <c r="A424" s="3389"/>
      <c r="B424" s="3386"/>
      <c r="C424" s="3387">
        <f t="shared" si="78"/>
        <v>1</v>
      </c>
      <c r="D424" s="3388"/>
      <c r="E424" s="3387">
        <f t="shared" si="79"/>
        <v>0</v>
      </c>
      <c r="F424" s="3388"/>
      <c r="G424" s="3387">
        <f t="shared" si="80"/>
        <v>1</v>
      </c>
      <c r="H424" s="3388"/>
      <c r="I424" s="3387">
        <f t="shared" si="81"/>
        <v>1</v>
      </c>
      <c r="J424" s="3388"/>
      <c r="K424" s="3387">
        <f t="shared" si="82"/>
        <v>1</v>
      </c>
      <c r="L424" s="3388"/>
      <c r="M424" s="3387">
        <f t="shared" si="83"/>
        <v>1</v>
      </c>
      <c r="N424" s="3388"/>
      <c r="O424" s="3387">
        <f t="shared" si="84"/>
        <v>1</v>
      </c>
      <c r="P424" s="3388"/>
      <c r="Q424" s="3387">
        <f t="shared" si="85"/>
        <v>0</v>
      </c>
      <c r="R424" s="2973">
        <f t="shared" si="86"/>
        <v>0</v>
      </c>
      <c r="S424" s="2850">
        <f t="shared" si="87"/>
        <v>0</v>
      </c>
    </row>
    <row r="425" spans="1:19">
      <c r="A425" s="3389"/>
      <c r="B425" s="3386"/>
      <c r="C425" s="3387">
        <f t="shared" si="78"/>
        <v>1</v>
      </c>
      <c r="D425" s="3388"/>
      <c r="E425" s="3387">
        <f t="shared" si="79"/>
        <v>0</v>
      </c>
      <c r="F425" s="3388"/>
      <c r="G425" s="3387">
        <f t="shared" si="80"/>
        <v>1</v>
      </c>
      <c r="H425" s="3388"/>
      <c r="I425" s="3387">
        <f t="shared" si="81"/>
        <v>1</v>
      </c>
      <c r="J425" s="3388"/>
      <c r="K425" s="3387">
        <f t="shared" si="82"/>
        <v>1</v>
      </c>
      <c r="L425" s="3388"/>
      <c r="M425" s="3387">
        <f t="shared" si="83"/>
        <v>1</v>
      </c>
      <c r="N425" s="3388"/>
      <c r="O425" s="3387">
        <f t="shared" si="84"/>
        <v>1</v>
      </c>
      <c r="P425" s="3388"/>
      <c r="Q425" s="3387">
        <f t="shared" si="85"/>
        <v>0</v>
      </c>
      <c r="R425" s="2973">
        <f t="shared" si="86"/>
        <v>0</v>
      </c>
      <c r="S425" s="2850">
        <f t="shared" si="87"/>
        <v>0</v>
      </c>
    </row>
    <row r="426" spans="1:19">
      <c r="A426" s="3389"/>
      <c r="B426" s="3386"/>
      <c r="C426" s="3387">
        <f t="shared" si="78"/>
        <v>1</v>
      </c>
      <c r="D426" s="3388"/>
      <c r="E426" s="3387">
        <f t="shared" si="79"/>
        <v>0</v>
      </c>
      <c r="F426" s="3388"/>
      <c r="G426" s="3387">
        <f t="shared" si="80"/>
        <v>1</v>
      </c>
      <c r="H426" s="3388"/>
      <c r="I426" s="3387">
        <f t="shared" si="81"/>
        <v>1</v>
      </c>
      <c r="J426" s="3388"/>
      <c r="K426" s="3387">
        <f t="shared" si="82"/>
        <v>1</v>
      </c>
      <c r="L426" s="3388"/>
      <c r="M426" s="3387">
        <f t="shared" si="83"/>
        <v>1</v>
      </c>
      <c r="N426" s="3388"/>
      <c r="O426" s="3387">
        <f t="shared" si="84"/>
        <v>1</v>
      </c>
      <c r="P426" s="3388"/>
      <c r="Q426" s="3387">
        <f t="shared" si="85"/>
        <v>0</v>
      </c>
      <c r="R426" s="2973">
        <f t="shared" si="86"/>
        <v>0</v>
      </c>
      <c r="S426" s="2850">
        <f t="shared" si="87"/>
        <v>0</v>
      </c>
    </row>
    <row r="427" spans="1:19">
      <c r="A427" s="3389"/>
      <c r="B427" s="3386"/>
      <c r="C427" s="3387">
        <f t="shared" si="78"/>
        <v>1</v>
      </c>
      <c r="D427" s="3388"/>
      <c r="E427" s="3387">
        <f t="shared" si="79"/>
        <v>0</v>
      </c>
      <c r="F427" s="3388"/>
      <c r="G427" s="3387">
        <f t="shared" si="80"/>
        <v>1</v>
      </c>
      <c r="H427" s="3388"/>
      <c r="I427" s="3387">
        <f t="shared" si="81"/>
        <v>1</v>
      </c>
      <c r="J427" s="3388"/>
      <c r="K427" s="3387">
        <f t="shared" si="82"/>
        <v>1</v>
      </c>
      <c r="L427" s="3388"/>
      <c r="M427" s="3387">
        <f t="shared" si="83"/>
        <v>1</v>
      </c>
      <c r="N427" s="3388"/>
      <c r="O427" s="3387">
        <f t="shared" si="84"/>
        <v>1</v>
      </c>
      <c r="P427" s="3388"/>
      <c r="Q427" s="3387">
        <f t="shared" si="85"/>
        <v>0</v>
      </c>
      <c r="R427" s="2973">
        <f t="shared" si="86"/>
        <v>0</v>
      </c>
      <c r="S427" s="2850">
        <f t="shared" si="87"/>
        <v>0</v>
      </c>
    </row>
    <row r="428" spans="1:19">
      <c r="A428" s="3389"/>
      <c r="B428" s="3386"/>
      <c r="C428" s="3387">
        <f t="shared" si="78"/>
        <v>1</v>
      </c>
      <c r="D428" s="3388"/>
      <c r="E428" s="3387">
        <f t="shared" si="79"/>
        <v>0</v>
      </c>
      <c r="F428" s="3388"/>
      <c r="G428" s="3387">
        <f t="shared" si="80"/>
        <v>1</v>
      </c>
      <c r="H428" s="3388"/>
      <c r="I428" s="3387">
        <f t="shared" si="81"/>
        <v>1</v>
      </c>
      <c r="J428" s="3388"/>
      <c r="K428" s="3387">
        <f t="shared" si="82"/>
        <v>1</v>
      </c>
      <c r="L428" s="3388"/>
      <c r="M428" s="3387">
        <f t="shared" si="83"/>
        <v>1</v>
      </c>
      <c r="N428" s="3388"/>
      <c r="O428" s="3387">
        <f t="shared" si="84"/>
        <v>1</v>
      </c>
      <c r="P428" s="3388"/>
      <c r="Q428" s="3387">
        <f t="shared" si="85"/>
        <v>0</v>
      </c>
      <c r="R428" s="2973">
        <f t="shared" si="86"/>
        <v>0</v>
      </c>
      <c r="S428" s="2850">
        <f t="shared" si="87"/>
        <v>0</v>
      </c>
    </row>
    <row r="429" spans="1:19">
      <c r="A429" s="3389"/>
      <c r="B429" s="3386"/>
      <c r="C429" s="3387">
        <f t="shared" si="78"/>
        <v>1</v>
      </c>
      <c r="D429" s="3388"/>
      <c r="E429" s="3387">
        <f t="shared" si="79"/>
        <v>0</v>
      </c>
      <c r="F429" s="3388"/>
      <c r="G429" s="3387">
        <f t="shared" si="80"/>
        <v>1</v>
      </c>
      <c r="H429" s="3388"/>
      <c r="I429" s="3387">
        <f t="shared" si="81"/>
        <v>1</v>
      </c>
      <c r="J429" s="3388"/>
      <c r="K429" s="3387">
        <f t="shared" si="82"/>
        <v>1</v>
      </c>
      <c r="L429" s="3388"/>
      <c r="M429" s="3387">
        <f t="shared" si="83"/>
        <v>1</v>
      </c>
      <c r="N429" s="3388"/>
      <c r="O429" s="3387">
        <f t="shared" si="84"/>
        <v>1</v>
      </c>
      <c r="P429" s="3388"/>
      <c r="Q429" s="3387">
        <f t="shared" si="85"/>
        <v>0</v>
      </c>
      <c r="R429" s="2973">
        <f t="shared" si="86"/>
        <v>0</v>
      </c>
      <c r="S429" s="2850">
        <f t="shared" si="87"/>
        <v>0</v>
      </c>
    </row>
    <row r="430" spans="1:19">
      <c r="A430" s="3389"/>
      <c r="B430" s="3386"/>
      <c r="C430" s="3387">
        <f t="shared" si="78"/>
        <v>1</v>
      </c>
      <c r="D430" s="3388"/>
      <c r="E430" s="3387">
        <f t="shared" si="79"/>
        <v>0</v>
      </c>
      <c r="F430" s="3388"/>
      <c r="G430" s="3387">
        <f t="shared" si="80"/>
        <v>1</v>
      </c>
      <c r="H430" s="3388"/>
      <c r="I430" s="3387">
        <f t="shared" si="81"/>
        <v>1</v>
      </c>
      <c r="J430" s="3388"/>
      <c r="K430" s="3387">
        <f t="shared" si="82"/>
        <v>1</v>
      </c>
      <c r="L430" s="3388"/>
      <c r="M430" s="3387">
        <f t="shared" si="83"/>
        <v>1</v>
      </c>
      <c r="N430" s="3388"/>
      <c r="O430" s="3387">
        <f t="shared" si="84"/>
        <v>1</v>
      </c>
      <c r="P430" s="3388"/>
      <c r="Q430" s="3387">
        <f t="shared" si="85"/>
        <v>0</v>
      </c>
      <c r="R430" s="2973">
        <f t="shared" si="86"/>
        <v>0</v>
      </c>
      <c r="S430" s="2850">
        <f t="shared" si="87"/>
        <v>0</v>
      </c>
    </row>
    <row r="431" spans="1:19">
      <c r="A431" s="3389"/>
      <c r="B431" s="3386"/>
      <c r="C431" s="3387">
        <f t="shared" si="78"/>
        <v>1</v>
      </c>
      <c r="D431" s="3388"/>
      <c r="E431" s="3387">
        <f t="shared" si="79"/>
        <v>0</v>
      </c>
      <c r="F431" s="3388"/>
      <c r="G431" s="3387">
        <f t="shared" si="80"/>
        <v>1</v>
      </c>
      <c r="H431" s="3388"/>
      <c r="I431" s="3387">
        <f t="shared" si="81"/>
        <v>1</v>
      </c>
      <c r="J431" s="3388"/>
      <c r="K431" s="3387">
        <f t="shared" si="82"/>
        <v>1</v>
      </c>
      <c r="L431" s="3388"/>
      <c r="M431" s="3387">
        <f t="shared" si="83"/>
        <v>1</v>
      </c>
      <c r="N431" s="3388"/>
      <c r="O431" s="3387">
        <f t="shared" si="84"/>
        <v>1</v>
      </c>
      <c r="P431" s="3388"/>
      <c r="Q431" s="3387">
        <f t="shared" si="85"/>
        <v>0</v>
      </c>
      <c r="R431" s="2973">
        <f t="shared" si="86"/>
        <v>0</v>
      </c>
      <c r="S431" s="2850">
        <f t="shared" si="87"/>
        <v>0</v>
      </c>
    </row>
    <row r="432" spans="1:19">
      <c r="A432" s="3389"/>
      <c r="B432" s="3386"/>
      <c r="C432" s="3387">
        <f t="shared" si="78"/>
        <v>1</v>
      </c>
      <c r="D432" s="3388"/>
      <c r="E432" s="3387">
        <f t="shared" si="79"/>
        <v>0</v>
      </c>
      <c r="F432" s="3388"/>
      <c r="G432" s="3387">
        <f t="shared" si="80"/>
        <v>1</v>
      </c>
      <c r="H432" s="3388"/>
      <c r="I432" s="3387">
        <f t="shared" si="81"/>
        <v>1</v>
      </c>
      <c r="J432" s="3388"/>
      <c r="K432" s="3387">
        <f t="shared" si="82"/>
        <v>1</v>
      </c>
      <c r="L432" s="3388"/>
      <c r="M432" s="3387">
        <f t="shared" si="83"/>
        <v>1</v>
      </c>
      <c r="N432" s="3388"/>
      <c r="O432" s="3387">
        <f t="shared" si="84"/>
        <v>1</v>
      </c>
      <c r="P432" s="3388"/>
      <c r="Q432" s="3387">
        <f t="shared" si="85"/>
        <v>0</v>
      </c>
      <c r="R432" s="2973">
        <f t="shared" si="86"/>
        <v>0</v>
      </c>
      <c r="S432" s="2850">
        <f t="shared" si="87"/>
        <v>0</v>
      </c>
    </row>
    <row r="433" spans="1:19">
      <c r="A433" s="3389"/>
      <c r="B433" s="3386"/>
      <c r="C433" s="3387">
        <f t="shared" si="78"/>
        <v>1</v>
      </c>
      <c r="D433" s="3388"/>
      <c r="E433" s="3387">
        <f t="shared" si="79"/>
        <v>0</v>
      </c>
      <c r="F433" s="3388"/>
      <c r="G433" s="3387">
        <f t="shared" si="80"/>
        <v>1</v>
      </c>
      <c r="H433" s="3388"/>
      <c r="I433" s="3387">
        <f t="shared" si="81"/>
        <v>1</v>
      </c>
      <c r="J433" s="3388"/>
      <c r="K433" s="3387">
        <f t="shared" si="82"/>
        <v>1</v>
      </c>
      <c r="L433" s="3388"/>
      <c r="M433" s="3387">
        <f t="shared" si="83"/>
        <v>1</v>
      </c>
      <c r="N433" s="3388"/>
      <c r="O433" s="3387">
        <f t="shared" si="84"/>
        <v>1</v>
      </c>
      <c r="P433" s="3388"/>
      <c r="Q433" s="3387">
        <f t="shared" si="85"/>
        <v>0</v>
      </c>
      <c r="R433" s="2973">
        <f t="shared" si="86"/>
        <v>0</v>
      </c>
      <c r="S433" s="2850">
        <f t="shared" si="87"/>
        <v>0</v>
      </c>
    </row>
    <row r="434" spans="1:19">
      <c r="A434" s="3389"/>
      <c r="B434" s="3386"/>
      <c r="C434" s="3387">
        <f t="shared" si="78"/>
        <v>1</v>
      </c>
      <c r="D434" s="3388"/>
      <c r="E434" s="3387">
        <f t="shared" si="79"/>
        <v>0</v>
      </c>
      <c r="F434" s="3388"/>
      <c r="G434" s="3387">
        <f t="shared" si="80"/>
        <v>1</v>
      </c>
      <c r="H434" s="3388"/>
      <c r="I434" s="3387">
        <f t="shared" si="81"/>
        <v>1</v>
      </c>
      <c r="J434" s="3388"/>
      <c r="K434" s="3387">
        <f t="shared" si="82"/>
        <v>1</v>
      </c>
      <c r="L434" s="3388"/>
      <c r="M434" s="3387">
        <f t="shared" si="83"/>
        <v>1</v>
      </c>
      <c r="N434" s="3388"/>
      <c r="O434" s="3387">
        <f t="shared" si="84"/>
        <v>1</v>
      </c>
      <c r="P434" s="3388"/>
      <c r="Q434" s="3387">
        <f t="shared" si="85"/>
        <v>0</v>
      </c>
      <c r="R434" s="2973">
        <f t="shared" si="86"/>
        <v>0</v>
      </c>
      <c r="S434" s="2850">
        <f t="shared" si="87"/>
        <v>0</v>
      </c>
    </row>
    <row r="435" spans="1:19">
      <c r="A435" s="3389"/>
      <c r="B435" s="3386"/>
      <c r="C435" s="3387">
        <f t="shared" si="78"/>
        <v>1</v>
      </c>
      <c r="D435" s="3388"/>
      <c r="E435" s="3387">
        <f t="shared" si="79"/>
        <v>0</v>
      </c>
      <c r="F435" s="3388"/>
      <c r="G435" s="3387">
        <f t="shared" si="80"/>
        <v>1</v>
      </c>
      <c r="H435" s="3388"/>
      <c r="I435" s="3387">
        <f t="shared" si="81"/>
        <v>1</v>
      </c>
      <c r="J435" s="3388"/>
      <c r="K435" s="3387">
        <f t="shared" si="82"/>
        <v>1</v>
      </c>
      <c r="L435" s="3388"/>
      <c r="M435" s="3387">
        <f t="shared" si="83"/>
        <v>1</v>
      </c>
      <c r="N435" s="3388"/>
      <c r="O435" s="3387">
        <f t="shared" si="84"/>
        <v>1</v>
      </c>
      <c r="P435" s="3388"/>
      <c r="Q435" s="3387">
        <f t="shared" si="85"/>
        <v>0</v>
      </c>
      <c r="R435" s="2973">
        <f t="shared" si="86"/>
        <v>0</v>
      </c>
      <c r="S435" s="2850">
        <f t="shared" si="87"/>
        <v>0</v>
      </c>
    </row>
    <row r="436" spans="1:19">
      <c r="A436" s="3389"/>
      <c r="B436" s="3386"/>
      <c r="C436" s="3387">
        <f t="shared" si="78"/>
        <v>1</v>
      </c>
      <c r="D436" s="3388"/>
      <c r="E436" s="3387">
        <f t="shared" si="79"/>
        <v>0</v>
      </c>
      <c r="F436" s="3388"/>
      <c r="G436" s="3387">
        <f t="shared" si="80"/>
        <v>1</v>
      </c>
      <c r="H436" s="3388"/>
      <c r="I436" s="3387">
        <f t="shared" si="81"/>
        <v>1</v>
      </c>
      <c r="J436" s="3388"/>
      <c r="K436" s="3387">
        <f t="shared" si="82"/>
        <v>1</v>
      </c>
      <c r="L436" s="3388"/>
      <c r="M436" s="3387">
        <f t="shared" si="83"/>
        <v>1</v>
      </c>
      <c r="N436" s="3388"/>
      <c r="O436" s="3387">
        <f t="shared" si="84"/>
        <v>1</v>
      </c>
      <c r="P436" s="3388"/>
      <c r="Q436" s="3387">
        <f t="shared" si="85"/>
        <v>0</v>
      </c>
      <c r="R436" s="2973">
        <f t="shared" si="86"/>
        <v>0</v>
      </c>
      <c r="S436" s="2850">
        <f t="shared" si="87"/>
        <v>0</v>
      </c>
    </row>
    <row r="437" spans="1:19">
      <c r="A437" s="3389"/>
      <c r="B437" s="3386"/>
      <c r="C437" s="3387">
        <f t="shared" si="78"/>
        <v>1</v>
      </c>
      <c r="D437" s="3388"/>
      <c r="E437" s="3387">
        <f t="shared" si="79"/>
        <v>0</v>
      </c>
      <c r="F437" s="3388"/>
      <c r="G437" s="3387">
        <f t="shared" si="80"/>
        <v>1</v>
      </c>
      <c r="H437" s="3388"/>
      <c r="I437" s="3387">
        <f t="shared" si="81"/>
        <v>1</v>
      </c>
      <c r="J437" s="3388"/>
      <c r="K437" s="3387">
        <f t="shared" si="82"/>
        <v>1</v>
      </c>
      <c r="L437" s="3388"/>
      <c r="M437" s="3387">
        <f t="shared" si="83"/>
        <v>1</v>
      </c>
      <c r="N437" s="3388"/>
      <c r="O437" s="3387">
        <f t="shared" si="84"/>
        <v>1</v>
      </c>
      <c r="P437" s="3388"/>
      <c r="Q437" s="3387">
        <f t="shared" si="85"/>
        <v>0</v>
      </c>
      <c r="R437" s="2973">
        <f t="shared" si="86"/>
        <v>0</v>
      </c>
      <c r="S437" s="2850">
        <f t="shared" si="87"/>
        <v>0</v>
      </c>
    </row>
    <row r="438" spans="1:19">
      <c r="A438" s="3389"/>
      <c r="B438" s="3386"/>
      <c r="C438" s="3387">
        <f t="shared" si="78"/>
        <v>1</v>
      </c>
      <c r="D438" s="3388"/>
      <c r="E438" s="3387">
        <f t="shared" si="79"/>
        <v>0</v>
      </c>
      <c r="F438" s="3388"/>
      <c r="G438" s="3387">
        <f t="shared" si="80"/>
        <v>1</v>
      </c>
      <c r="H438" s="3388"/>
      <c r="I438" s="3387">
        <f t="shared" si="81"/>
        <v>1</v>
      </c>
      <c r="J438" s="3388"/>
      <c r="K438" s="3387">
        <f t="shared" si="82"/>
        <v>1</v>
      </c>
      <c r="L438" s="3388"/>
      <c r="M438" s="3387">
        <f t="shared" si="83"/>
        <v>1</v>
      </c>
      <c r="N438" s="3388"/>
      <c r="O438" s="3387">
        <f t="shared" si="84"/>
        <v>1</v>
      </c>
      <c r="P438" s="3388"/>
      <c r="Q438" s="3387">
        <f t="shared" si="85"/>
        <v>0</v>
      </c>
      <c r="R438" s="2973">
        <f t="shared" si="86"/>
        <v>0</v>
      </c>
      <c r="S438" s="2850">
        <f t="shared" si="87"/>
        <v>0</v>
      </c>
    </row>
    <row r="439" spans="1:19">
      <c r="A439" s="3389"/>
      <c r="B439" s="3386"/>
      <c r="C439" s="3387">
        <f t="shared" si="78"/>
        <v>1</v>
      </c>
      <c r="D439" s="3388"/>
      <c r="E439" s="3387">
        <f t="shared" si="79"/>
        <v>0</v>
      </c>
      <c r="F439" s="3388"/>
      <c r="G439" s="3387">
        <f t="shared" si="80"/>
        <v>1</v>
      </c>
      <c r="H439" s="3388"/>
      <c r="I439" s="3387">
        <f t="shared" si="81"/>
        <v>1</v>
      </c>
      <c r="J439" s="3388"/>
      <c r="K439" s="3387">
        <f t="shared" si="82"/>
        <v>1</v>
      </c>
      <c r="L439" s="3388"/>
      <c r="M439" s="3387">
        <f t="shared" si="83"/>
        <v>1</v>
      </c>
      <c r="N439" s="3388"/>
      <c r="O439" s="3387">
        <f t="shared" si="84"/>
        <v>1</v>
      </c>
      <c r="P439" s="3388"/>
      <c r="Q439" s="3387">
        <f t="shared" si="85"/>
        <v>0</v>
      </c>
      <c r="R439" s="2973">
        <f t="shared" si="86"/>
        <v>0</v>
      </c>
      <c r="S439" s="2850">
        <f t="shared" si="87"/>
        <v>0</v>
      </c>
    </row>
    <row r="440" spans="1:19">
      <c r="A440" s="3389"/>
      <c r="B440" s="3386"/>
      <c r="C440" s="3387">
        <f t="shared" si="78"/>
        <v>1</v>
      </c>
      <c r="D440" s="3388"/>
      <c r="E440" s="3387">
        <f t="shared" si="79"/>
        <v>0</v>
      </c>
      <c r="F440" s="3388"/>
      <c r="G440" s="3387">
        <f t="shared" si="80"/>
        <v>1</v>
      </c>
      <c r="H440" s="3388"/>
      <c r="I440" s="3387">
        <f t="shared" si="81"/>
        <v>1</v>
      </c>
      <c r="J440" s="3388"/>
      <c r="K440" s="3387">
        <f t="shared" si="82"/>
        <v>1</v>
      </c>
      <c r="L440" s="3388"/>
      <c r="M440" s="3387">
        <f t="shared" si="83"/>
        <v>1</v>
      </c>
      <c r="N440" s="3388"/>
      <c r="O440" s="3387">
        <f t="shared" si="84"/>
        <v>1</v>
      </c>
      <c r="P440" s="3388"/>
      <c r="Q440" s="3387">
        <f t="shared" si="85"/>
        <v>0</v>
      </c>
      <c r="R440" s="2973">
        <f t="shared" si="86"/>
        <v>0</v>
      </c>
      <c r="S440" s="2850">
        <f t="shared" si="87"/>
        <v>0</v>
      </c>
    </row>
    <row r="441" spans="1:19">
      <c r="A441" s="3389"/>
      <c r="B441" s="3386"/>
      <c r="C441" s="3387">
        <f t="shared" si="78"/>
        <v>1</v>
      </c>
      <c r="D441" s="3388"/>
      <c r="E441" s="3387">
        <f t="shared" si="79"/>
        <v>0</v>
      </c>
      <c r="F441" s="3388"/>
      <c r="G441" s="3387">
        <f t="shared" si="80"/>
        <v>1</v>
      </c>
      <c r="H441" s="3388"/>
      <c r="I441" s="3387">
        <f t="shared" si="81"/>
        <v>1</v>
      </c>
      <c r="J441" s="3388"/>
      <c r="K441" s="3387">
        <f t="shared" si="82"/>
        <v>1</v>
      </c>
      <c r="L441" s="3388"/>
      <c r="M441" s="3387">
        <f t="shared" si="83"/>
        <v>1</v>
      </c>
      <c r="N441" s="3388"/>
      <c r="O441" s="3387">
        <f t="shared" si="84"/>
        <v>1</v>
      </c>
      <c r="P441" s="3388"/>
      <c r="Q441" s="3387">
        <f t="shared" si="85"/>
        <v>0</v>
      </c>
      <c r="R441" s="2973">
        <f t="shared" si="86"/>
        <v>0</v>
      </c>
      <c r="S441" s="2850">
        <f t="shared" si="87"/>
        <v>0</v>
      </c>
    </row>
    <row r="442" spans="1:19">
      <c r="A442" s="3389"/>
      <c r="B442" s="3386"/>
      <c r="C442" s="3387">
        <f t="shared" si="78"/>
        <v>1</v>
      </c>
      <c r="D442" s="3388"/>
      <c r="E442" s="3387">
        <f t="shared" si="79"/>
        <v>0</v>
      </c>
      <c r="F442" s="3388"/>
      <c r="G442" s="3387">
        <f t="shared" si="80"/>
        <v>1</v>
      </c>
      <c r="H442" s="3388"/>
      <c r="I442" s="3387">
        <f t="shared" si="81"/>
        <v>1</v>
      </c>
      <c r="J442" s="3388"/>
      <c r="K442" s="3387">
        <f t="shared" si="82"/>
        <v>1</v>
      </c>
      <c r="L442" s="3388"/>
      <c r="M442" s="3387">
        <f t="shared" si="83"/>
        <v>1</v>
      </c>
      <c r="N442" s="3388"/>
      <c r="O442" s="3387">
        <f t="shared" si="84"/>
        <v>1</v>
      </c>
      <c r="P442" s="3388"/>
      <c r="Q442" s="3387">
        <f t="shared" si="85"/>
        <v>0</v>
      </c>
      <c r="R442" s="2973">
        <f t="shared" si="86"/>
        <v>0</v>
      </c>
      <c r="S442" s="2850">
        <f t="shared" si="87"/>
        <v>0</v>
      </c>
    </row>
    <row r="443" spans="1:19">
      <c r="A443" s="3389"/>
      <c r="B443" s="3386"/>
      <c r="C443" s="3387">
        <f t="shared" si="78"/>
        <v>1</v>
      </c>
      <c r="D443" s="3388"/>
      <c r="E443" s="3387">
        <f t="shared" si="79"/>
        <v>0</v>
      </c>
      <c r="F443" s="3388"/>
      <c r="G443" s="3387">
        <f t="shared" si="80"/>
        <v>1</v>
      </c>
      <c r="H443" s="3388"/>
      <c r="I443" s="3387">
        <f t="shared" si="81"/>
        <v>1</v>
      </c>
      <c r="J443" s="3388"/>
      <c r="K443" s="3387">
        <f t="shared" si="82"/>
        <v>1</v>
      </c>
      <c r="L443" s="3388"/>
      <c r="M443" s="3387">
        <f t="shared" si="83"/>
        <v>1</v>
      </c>
      <c r="N443" s="3388"/>
      <c r="O443" s="3387">
        <f t="shared" si="84"/>
        <v>1</v>
      </c>
      <c r="P443" s="3388"/>
      <c r="Q443" s="3387">
        <f t="shared" si="85"/>
        <v>0</v>
      </c>
      <c r="R443" s="2973">
        <f t="shared" si="86"/>
        <v>0</v>
      </c>
      <c r="S443" s="2850">
        <f t="shared" si="87"/>
        <v>0</v>
      </c>
    </row>
    <row r="444" spans="1:19">
      <c r="A444" s="3389"/>
      <c r="B444" s="3386"/>
      <c r="C444" s="3387">
        <f t="shared" si="78"/>
        <v>1</v>
      </c>
      <c r="D444" s="3388"/>
      <c r="E444" s="3387">
        <f t="shared" si="79"/>
        <v>0</v>
      </c>
      <c r="F444" s="3388"/>
      <c r="G444" s="3387">
        <f t="shared" si="80"/>
        <v>1</v>
      </c>
      <c r="H444" s="3388"/>
      <c r="I444" s="3387">
        <f t="shared" si="81"/>
        <v>1</v>
      </c>
      <c r="J444" s="3388"/>
      <c r="K444" s="3387">
        <f t="shared" si="82"/>
        <v>1</v>
      </c>
      <c r="L444" s="3388"/>
      <c r="M444" s="3387">
        <f t="shared" si="83"/>
        <v>1</v>
      </c>
      <c r="N444" s="3388"/>
      <c r="O444" s="3387">
        <f t="shared" si="84"/>
        <v>1</v>
      </c>
      <c r="P444" s="3388"/>
      <c r="Q444" s="3387">
        <f t="shared" si="85"/>
        <v>0</v>
      </c>
      <c r="R444" s="2973">
        <f t="shared" si="86"/>
        <v>0</v>
      </c>
      <c r="S444" s="2850">
        <f t="shared" si="87"/>
        <v>0</v>
      </c>
    </row>
    <row r="445" spans="1:19">
      <c r="A445" s="3389"/>
      <c r="B445" s="3386"/>
      <c r="C445" s="3387">
        <f t="shared" si="78"/>
        <v>1</v>
      </c>
      <c r="D445" s="3388"/>
      <c r="E445" s="3387">
        <f t="shared" si="79"/>
        <v>0</v>
      </c>
      <c r="F445" s="3388"/>
      <c r="G445" s="3387">
        <f t="shared" si="80"/>
        <v>1</v>
      </c>
      <c r="H445" s="3388"/>
      <c r="I445" s="3387">
        <f t="shared" si="81"/>
        <v>1</v>
      </c>
      <c r="J445" s="3388"/>
      <c r="K445" s="3387">
        <f t="shared" si="82"/>
        <v>1</v>
      </c>
      <c r="L445" s="3388"/>
      <c r="M445" s="3387">
        <f t="shared" si="83"/>
        <v>1</v>
      </c>
      <c r="N445" s="3388"/>
      <c r="O445" s="3387">
        <f t="shared" si="84"/>
        <v>1</v>
      </c>
      <c r="P445" s="3388"/>
      <c r="Q445" s="3387">
        <f t="shared" si="85"/>
        <v>0</v>
      </c>
      <c r="R445" s="2973">
        <f t="shared" si="86"/>
        <v>0</v>
      </c>
      <c r="S445" s="2850">
        <f t="shared" si="87"/>
        <v>0</v>
      </c>
    </row>
    <row r="446" spans="1:19">
      <c r="A446" s="3389"/>
      <c r="B446" s="3386"/>
      <c r="C446" s="3387">
        <f t="shared" si="78"/>
        <v>1</v>
      </c>
      <c r="D446" s="3388"/>
      <c r="E446" s="3387">
        <f t="shared" si="79"/>
        <v>0</v>
      </c>
      <c r="F446" s="3388"/>
      <c r="G446" s="3387">
        <f t="shared" si="80"/>
        <v>1</v>
      </c>
      <c r="H446" s="3388"/>
      <c r="I446" s="3387">
        <f t="shared" si="81"/>
        <v>1</v>
      </c>
      <c r="J446" s="3388"/>
      <c r="K446" s="3387">
        <f t="shared" si="82"/>
        <v>1</v>
      </c>
      <c r="L446" s="3388"/>
      <c r="M446" s="3387">
        <f t="shared" si="83"/>
        <v>1</v>
      </c>
      <c r="N446" s="3388"/>
      <c r="O446" s="3387">
        <f t="shared" si="84"/>
        <v>1</v>
      </c>
      <c r="P446" s="3388"/>
      <c r="Q446" s="3387">
        <f t="shared" si="85"/>
        <v>0</v>
      </c>
      <c r="R446" s="2973">
        <f t="shared" si="86"/>
        <v>0</v>
      </c>
      <c r="S446" s="2850">
        <f t="shared" si="87"/>
        <v>0</v>
      </c>
    </row>
    <row r="447" spans="1:19">
      <c r="A447" s="3389"/>
      <c r="B447" s="3386"/>
      <c r="C447" s="3387">
        <f t="shared" si="78"/>
        <v>1</v>
      </c>
      <c r="D447" s="3388"/>
      <c r="E447" s="3387">
        <f t="shared" si="79"/>
        <v>0</v>
      </c>
      <c r="F447" s="3388"/>
      <c r="G447" s="3387">
        <f t="shared" si="80"/>
        <v>1</v>
      </c>
      <c r="H447" s="3388"/>
      <c r="I447" s="3387">
        <f t="shared" si="81"/>
        <v>1</v>
      </c>
      <c r="J447" s="3388"/>
      <c r="K447" s="3387">
        <f t="shared" si="82"/>
        <v>1</v>
      </c>
      <c r="L447" s="3388"/>
      <c r="M447" s="3387">
        <f t="shared" si="83"/>
        <v>1</v>
      </c>
      <c r="N447" s="3388"/>
      <c r="O447" s="3387">
        <f t="shared" si="84"/>
        <v>1</v>
      </c>
      <c r="P447" s="3388"/>
      <c r="Q447" s="3387">
        <f t="shared" si="85"/>
        <v>0</v>
      </c>
      <c r="R447" s="2973">
        <f t="shared" si="86"/>
        <v>0</v>
      </c>
      <c r="S447" s="2850">
        <f t="shared" si="87"/>
        <v>0</v>
      </c>
    </row>
    <row r="448" spans="1:19">
      <c r="A448" s="3389"/>
      <c r="B448" s="3386"/>
      <c r="C448" s="3387">
        <f t="shared" si="78"/>
        <v>1</v>
      </c>
      <c r="D448" s="3388"/>
      <c r="E448" s="3387">
        <f t="shared" si="79"/>
        <v>0</v>
      </c>
      <c r="F448" s="3388"/>
      <c r="G448" s="3387">
        <f t="shared" si="80"/>
        <v>1</v>
      </c>
      <c r="H448" s="3388"/>
      <c r="I448" s="3387">
        <f t="shared" si="81"/>
        <v>1</v>
      </c>
      <c r="J448" s="3388"/>
      <c r="K448" s="3387">
        <f t="shared" si="82"/>
        <v>1</v>
      </c>
      <c r="L448" s="3388"/>
      <c r="M448" s="3387">
        <f t="shared" si="83"/>
        <v>1</v>
      </c>
      <c r="N448" s="3388"/>
      <c r="O448" s="3387">
        <f t="shared" si="84"/>
        <v>1</v>
      </c>
      <c r="P448" s="3388"/>
      <c r="Q448" s="3387">
        <f t="shared" si="85"/>
        <v>0</v>
      </c>
      <c r="R448" s="2973">
        <f t="shared" si="86"/>
        <v>0</v>
      </c>
      <c r="S448" s="2850">
        <f t="shared" si="87"/>
        <v>0</v>
      </c>
    </row>
    <row r="449" spans="1:19">
      <c r="A449" s="3389"/>
      <c r="B449" s="3386"/>
      <c r="C449" s="3387">
        <f t="shared" si="78"/>
        <v>1</v>
      </c>
      <c r="D449" s="3388"/>
      <c r="E449" s="3387">
        <f t="shared" si="79"/>
        <v>0</v>
      </c>
      <c r="F449" s="3388"/>
      <c r="G449" s="3387">
        <f t="shared" si="80"/>
        <v>1</v>
      </c>
      <c r="H449" s="3388"/>
      <c r="I449" s="3387">
        <f t="shared" si="81"/>
        <v>1</v>
      </c>
      <c r="J449" s="3388"/>
      <c r="K449" s="3387">
        <f t="shared" si="82"/>
        <v>1</v>
      </c>
      <c r="L449" s="3388"/>
      <c r="M449" s="3387">
        <f t="shared" si="83"/>
        <v>1</v>
      </c>
      <c r="N449" s="3388"/>
      <c r="O449" s="3387">
        <f t="shared" si="84"/>
        <v>1</v>
      </c>
      <c r="P449" s="3388"/>
      <c r="Q449" s="3387">
        <f t="shared" si="85"/>
        <v>0</v>
      </c>
      <c r="R449" s="2973">
        <f t="shared" si="86"/>
        <v>0</v>
      </c>
      <c r="S449" s="2850">
        <f t="shared" si="87"/>
        <v>0</v>
      </c>
    </row>
    <row r="450" spans="1:19">
      <c r="A450" s="3389"/>
      <c r="B450" s="3386"/>
      <c r="C450" s="3387">
        <f t="shared" si="78"/>
        <v>1</v>
      </c>
      <c r="D450" s="3388"/>
      <c r="E450" s="3387">
        <f t="shared" si="79"/>
        <v>0</v>
      </c>
      <c r="F450" s="3388"/>
      <c r="G450" s="3387">
        <f t="shared" si="80"/>
        <v>1</v>
      </c>
      <c r="H450" s="3388"/>
      <c r="I450" s="3387">
        <f t="shared" si="81"/>
        <v>1</v>
      </c>
      <c r="J450" s="3388"/>
      <c r="K450" s="3387">
        <f t="shared" si="82"/>
        <v>1</v>
      </c>
      <c r="L450" s="3388"/>
      <c r="M450" s="3387">
        <f t="shared" si="83"/>
        <v>1</v>
      </c>
      <c r="N450" s="3388"/>
      <c r="O450" s="3387">
        <f t="shared" si="84"/>
        <v>1</v>
      </c>
      <c r="P450" s="3388"/>
      <c r="Q450" s="3387">
        <f t="shared" si="85"/>
        <v>0</v>
      </c>
      <c r="R450" s="2973">
        <f t="shared" si="86"/>
        <v>0</v>
      </c>
      <c r="S450" s="2850">
        <f t="shared" si="87"/>
        <v>0</v>
      </c>
    </row>
    <row r="451" spans="1:19">
      <c r="A451" s="3389"/>
      <c r="B451" s="3386"/>
      <c r="C451" s="3387">
        <f t="shared" si="78"/>
        <v>1</v>
      </c>
      <c r="D451" s="3388"/>
      <c r="E451" s="3387">
        <f t="shared" si="79"/>
        <v>0</v>
      </c>
      <c r="F451" s="3388"/>
      <c r="G451" s="3387">
        <f t="shared" si="80"/>
        <v>1</v>
      </c>
      <c r="H451" s="3388"/>
      <c r="I451" s="3387">
        <f t="shared" si="81"/>
        <v>1</v>
      </c>
      <c r="J451" s="3388"/>
      <c r="K451" s="3387">
        <f t="shared" si="82"/>
        <v>1</v>
      </c>
      <c r="L451" s="3388"/>
      <c r="M451" s="3387">
        <f t="shared" si="83"/>
        <v>1</v>
      </c>
      <c r="N451" s="3388"/>
      <c r="O451" s="3387">
        <f t="shared" si="84"/>
        <v>1</v>
      </c>
      <c r="P451" s="3388"/>
      <c r="Q451" s="3387">
        <f t="shared" si="85"/>
        <v>0</v>
      </c>
      <c r="R451" s="2973">
        <f t="shared" si="86"/>
        <v>0</v>
      </c>
      <c r="S451" s="2850">
        <f t="shared" si="87"/>
        <v>0</v>
      </c>
    </row>
    <row r="452" spans="1:19">
      <c r="A452" s="3389"/>
      <c r="B452" s="3386"/>
      <c r="C452" s="3387">
        <f t="shared" si="78"/>
        <v>1</v>
      </c>
      <c r="D452" s="3388"/>
      <c r="E452" s="3387">
        <f t="shared" si="79"/>
        <v>0</v>
      </c>
      <c r="F452" s="3388"/>
      <c r="G452" s="3387">
        <f t="shared" si="80"/>
        <v>1</v>
      </c>
      <c r="H452" s="3388"/>
      <c r="I452" s="3387">
        <f t="shared" si="81"/>
        <v>1</v>
      </c>
      <c r="J452" s="3388"/>
      <c r="K452" s="3387">
        <f t="shared" si="82"/>
        <v>1</v>
      </c>
      <c r="L452" s="3388"/>
      <c r="M452" s="3387">
        <f t="shared" si="83"/>
        <v>1</v>
      </c>
      <c r="N452" s="3388"/>
      <c r="O452" s="3387">
        <f t="shared" si="84"/>
        <v>1</v>
      </c>
      <c r="P452" s="3388"/>
      <c r="Q452" s="3387">
        <f t="shared" si="85"/>
        <v>0</v>
      </c>
      <c r="R452" s="2973">
        <f t="shared" si="86"/>
        <v>0</v>
      </c>
      <c r="S452" s="2850">
        <f t="shared" si="87"/>
        <v>0</v>
      </c>
    </row>
    <row r="453" spans="1:19">
      <c r="A453" s="3389"/>
      <c r="B453" s="3386"/>
      <c r="C453" s="3387">
        <f t="shared" si="78"/>
        <v>1</v>
      </c>
      <c r="D453" s="3388"/>
      <c r="E453" s="3387">
        <f t="shared" si="79"/>
        <v>0</v>
      </c>
      <c r="F453" s="3388"/>
      <c r="G453" s="3387">
        <f t="shared" si="80"/>
        <v>1</v>
      </c>
      <c r="H453" s="3388"/>
      <c r="I453" s="3387">
        <f t="shared" si="81"/>
        <v>1</v>
      </c>
      <c r="J453" s="3388"/>
      <c r="K453" s="3387">
        <f t="shared" si="82"/>
        <v>1</v>
      </c>
      <c r="L453" s="3388"/>
      <c r="M453" s="3387">
        <f t="shared" si="83"/>
        <v>1</v>
      </c>
      <c r="N453" s="3388"/>
      <c r="O453" s="3387">
        <f t="shared" si="84"/>
        <v>1</v>
      </c>
      <c r="P453" s="3388"/>
      <c r="Q453" s="3387">
        <f t="shared" si="85"/>
        <v>0</v>
      </c>
      <c r="R453" s="2973">
        <f t="shared" si="86"/>
        <v>0</v>
      </c>
      <c r="S453" s="2850">
        <f t="shared" si="87"/>
        <v>0</v>
      </c>
    </row>
    <row r="454" spans="1:19">
      <c r="A454" s="3389"/>
      <c r="B454" s="3386"/>
      <c r="C454" s="3387">
        <f t="shared" si="78"/>
        <v>1</v>
      </c>
      <c r="D454" s="3388"/>
      <c r="E454" s="3387">
        <f t="shared" si="79"/>
        <v>0</v>
      </c>
      <c r="F454" s="3388"/>
      <c r="G454" s="3387">
        <f t="shared" si="80"/>
        <v>1</v>
      </c>
      <c r="H454" s="3388"/>
      <c r="I454" s="3387">
        <f t="shared" si="81"/>
        <v>1</v>
      </c>
      <c r="J454" s="3388"/>
      <c r="K454" s="3387">
        <f t="shared" si="82"/>
        <v>1</v>
      </c>
      <c r="L454" s="3388"/>
      <c r="M454" s="3387">
        <f t="shared" si="83"/>
        <v>1</v>
      </c>
      <c r="N454" s="3388"/>
      <c r="O454" s="3387">
        <f t="shared" si="84"/>
        <v>1</v>
      </c>
      <c r="P454" s="3388"/>
      <c r="Q454" s="3387">
        <f t="shared" si="85"/>
        <v>0</v>
      </c>
      <c r="R454" s="2973">
        <f t="shared" si="86"/>
        <v>0</v>
      </c>
      <c r="S454" s="2850">
        <f t="shared" si="87"/>
        <v>0</v>
      </c>
    </row>
    <row r="455" spans="1:19">
      <c r="A455" s="3389"/>
      <c r="B455" s="3386"/>
      <c r="C455" s="3387">
        <f t="shared" si="78"/>
        <v>1</v>
      </c>
      <c r="D455" s="3388"/>
      <c r="E455" s="3387">
        <f t="shared" si="79"/>
        <v>0</v>
      </c>
      <c r="F455" s="3388"/>
      <c r="G455" s="3387">
        <f t="shared" si="80"/>
        <v>1</v>
      </c>
      <c r="H455" s="3388"/>
      <c r="I455" s="3387">
        <f t="shared" si="81"/>
        <v>1</v>
      </c>
      <c r="J455" s="3388"/>
      <c r="K455" s="3387">
        <f t="shared" si="82"/>
        <v>1</v>
      </c>
      <c r="L455" s="3388"/>
      <c r="M455" s="3387">
        <f t="shared" si="83"/>
        <v>1</v>
      </c>
      <c r="N455" s="3388"/>
      <c r="O455" s="3387">
        <f t="shared" si="84"/>
        <v>1</v>
      </c>
      <c r="P455" s="3388"/>
      <c r="Q455" s="3387">
        <f t="shared" si="85"/>
        <v>0</v>
      </c>
      <c r="R455" s="2973">
        <f t="shared" si="86"/>
        <v>0</v>
      </c>
      <c r="S455" s="2850">
        <f t="shared" si="87"/>
        <v>0</v>
      </c>
    </row>
    <row r="456" spans="1:19">
      <c r="A456" s="3389"/>
      <c r="B456" s="3386"/>
      <c r="C456" s="3387">
        <f t="shared" si="78"/>
        <v>1</v>
      </c>
      <c r="D456" s="3388"/>
      <c r="E456" s="3387">
        <f t="shared" si="79"/>
        <v>0</v>
      </c>
      <c r="F456" s="3388"/>
      <c r="G456" s="3387">
        <f t="shared" si="80"/>
        <v>1</v>
      </c>
      <c r="H456" s="3388"/>
      <c r="I456" s="3387">
        <f t="shared" si="81"/>
        <v>1</v>
      </c>
      <c r="J456" s="3388"/>
      <c r="K456" s="3387">
        <f t="shared" si="82"/>
        <v>1</v>
      </c>
      <c r="L456" s="3388"/>
      <c r="M456" s="3387">
        <f t="shared" si="83"/>
        <v>1</v>
      </c>
      <c r="N456" s="3388"/>
      <c r="O456" s="3387">
        <f t="shared" si="84"/>
        <v>1</v>
      </c>
      <c r="P456" s="3388"/>
      <c r="Q456" s="3387">
        <f t="shared" si="85"/>
        <v>0</v>
      </c>
      <c r="R456" s="2973">
        <f t="shared" si="86"/>
        <v>0</v>
      </c>
      <c r="S456" s="2850">
        <f t="shared" si="87"/>
        <v>0</v>
      </c>
    </row>
    <row r="457" spans="1:19">
      <c r="A457" s="3389"/>
      <c r="B457" s="3386"/>
      <c r="C457" s="3387">
        <f t="shared" si="78"/>
        <v>1</v>
      </c>
      <c r="D457" s="3388"/>
      <c r="E457" s="3387">
        <f t="shared" si="79"/>
        <v>0</v>
      </c>
      <c r="F457" s="3388"/>
      <c r="G457" s="3387">
        <f t="shared" si="80"/>
        <v>1</v>
      </c>
      <c r="H457" s="3388"/>
      <c r="I457" s="3387">
        <f t="shared" si="81"/>
        <v>1</v>
      </c>
      <c r="J457" s="3388"/>
      <c r="K457" s="3387">
        <f t="shared" si="82"/>
        <v>1</v>
      </c>
      <c r="L457" s="3388"/>
      <c r="M457" s="3387">
        <f t="shared" si="83"/>
        <v>1</v>
      </c>
      <c r="N457" s="3388"/>
      <c r="O457" s="3387">
        <f t="shared" si="84"/>
        <v>1</v>
      </c>
      <c r="P457" s="3388"/>
      <c r="Q457" s="3387">
        <f t="shared" si="85"/>
        <v>0</v>
      </c>
      <c r="R457" s="2973">
        <f t="shared" si="86"/>
        <v>0</v>
      </c>
      <c r="S457" s="2850">
        <f t="shared" si="87"/>
        <v>0</v>
      </c>
    </row>
    <row r="458" spans="1:19">
      <c r="A458" s="3389"/>
      <c r="B458" s="3386"/>
      <c r="C458" s="3387">
        <f t="shared" si="78"/>
        <v>1</v>
      </c>
      <c r="D458" s="3388"/>
      <c r="E458" s="3387">
        <f t="shared" si="79"/>
        <v>0</v>
      </c>
      <c r="F458" s="3388"/>
      <c r="G458" s="3387">
        <f t="shared" si="80"/>
        <v>1</v>
      </c>
      <c r="H458" s="3388"/>
      <c r="I458" s="3387">
        <f t="shared" si="81"/>
        <v>1</v>
      </c>
      <c r="J458" s="3388"/>
      <c r="K458" s="3387">
        <f t="shared" si="82"/>
        <v>1</v>
      </c>
      <c r="L458" s="3388"/>
      <c r="M458" s="3387">
        <f t="shared" si="83"/>
        <v>1</v>
      </c>
      <c r="N458" s="3388"/>
      <c r="O458" s="3387">
        <f t="shared" si="84"/>
        <v>1</v>
      </c>
      <c r="P458" s="3388"/>
      <c r="Q458" s="3387">
        <f t="shared" si="85"/>
        <v>0</v>
      </c>
      <c r="R458" s="2973">
        <f t="shared" si="86"/>
        <v>0</v>
      </c>
      <c r="S458" s="2850">
        <f t="shared" si="87"/>
        <v>0</v>
      </c>
    </row>
    <row r="459" spans="1:19">
      <c r="A459" s="3389"/>
      <c r="B459" s="3386"/>
      <c r="C459" s="3387">
        <f t="shared" si="78"/>
        <v>1</v>
      </c>
      <c r="D459" s="3388"/>
      <c r="E459" s="3387">
        <f t="shared" si="79"/>
        <v>0</v>
      </c>
      <c r="F459" s="3388"/>
      <c r="G459" s="3387">
        <f t="shared" si="80"/>
        <v>1</v>
      </c>
      <c r="H459" s="3388"/>
      <c r="I459" s="3387">
        <f t="shared" si="81"/>
        <v>1</v>
      </c>
      <c r="J459" s="3388"/>
      <c r="K459" s="3387">
        <f t="shared" si="82"/>
        <v>1</v>
      </c>
      <c r="L459" s="3388"/>
      <c r="M459" s="3387">
        <f t="shared" si="83"/>
        <v>1</v>
      </c>
      <c r="N459" s="3388"/>
      <c r="O459" s="3387">
        <f t="shared" si="84"/>
        <v>1</v>
      </c>
      <c r="P459" s="3388"/>
      <c r="Q459" s="3387">
        <f t="shared" si="85"/>
        <v>0</v>
      </c>
      <c r="R459" s="2973">
        <f t="shared" si="86"/>
        <v>0</v>
      </c>
      <c r="S459" s="2850">
        <f t="shared" si="87"/>
        <v>0</v>
      </c>
    </row>
    <row r="460" spans="1:19">
      <c r="A460" s="3389"/>
      <c r="B460" s="3386"/>
      <c r="C460" s="3387">
        <f t="shared" si="78"/>
        <v>1</v>
      </c>
      <c r="D460" s="3388"/>
      <c r="E460" s="3387">
        <f t="shared" si="79"/>
        <v>0</v>
      </c>
      <c r="F460" s="3388"/>
      <c r="G460" s="3387">
        <f t="shared" si="80"/>
        <v>1</v>
      </c>
      <c r="H460" s="3388"/>
      <c r="I460" s="3387">
        <f t="shared" si="81"/>
        <v>1</v>
      </c>
      <c r="J460" s="3388"/>
      <c r="K460" s="3387">
        <f t="shared" si="82"/>
        <v>1</v>
      </c>
      <c r="L460" s="3388"/>
      <c r="M460" s="3387">
        <f t="shared" si="83"/>
        <v>1</v>
      </c>
      <c r="N460" s="3388"/>
      <c r="O460" s="3387">
        <f t="shared" si="84"/>
        <v>1</v>
      </c>
      <c r="P460" s="3388"/>
      <c r="Q460" s="3387">
        <f t="shared" si="85"/>
        <v>0</v>
      </c>
      <c r="R460" s="2973">
        <f t="shared" si="86"/>
        <v>0</v>
      </c>
      <c r="S460" s="2850">
        <f t="shared" si="87"/>
        <v>0</v>
      </c>
    </row>
    <row r="461" spans="1:19">
      <c r="A461" s="3389"/>
      <c r="B461" s="3386"/>
      <c r="C461" s="3387">
        <f t="shared" si="78"/>
        <v>1</v>
      </c>
      <c r="D461" s="3388"/>
      <c r="E461" s="3387">
        <f t="shared" si="79"/>
        <v>0</v>
      </c>
      <c r="F461" s="3388"/>
      <c r="G461" s="3387">
        <f t="shared" si="80"/>
        <v>1</v>
      </c>
      <c r="H461" s="3388"/>
      <c r="I461" s="3387">
        <f t="shared" si="81"/>
        <v>1</v>
      </c>
      <c r="J461" s="3388"/>
      <c r="K461" s="3387">
        <f t="shared" si="82"/>
        <v>1</v>
      </c>
      <c r="L461" s="3388"/>
      <c r="M461" s="3387">
        <f t="shared" si="83"/>
        <v>1</v>
      </c>
      <c r="N461" s="3388"/>
      <c r="O461" s="3387">
        <f t="shared" si="84"/>
        <v>1</v>
      </c>
      <c r="P461" s="3388"/>
      <c r="Q461" s="3387">
        <f t="shared" si="85"/>
        <v>0</v>
      </c>
      <c r="R461" s="2973">
        <f t="shared" si="86"/>
        <v>0</v>
      </c>
      <c r="S461" s="2850">
        <f t="shared" si="87"/>
        <v>0</v>
      </c>
    </row>
    <row r="462" spans="1:19">
      <c r="A462" s="3389"/>
      <c r="B462" s="3386"/>
      <c r="C462" s="3387">
        <f t="shared" si="78"/>
        <v>1</v>
      </c>
      <c r="D462" s="3388"/>
      <c r="E462" s="3387">
        <f t="shared" si="79"/>
        <v>0</v>
      </c>
      <c r="F462" s="3388"/>
      <c r="G462" s="3387">
        <f t="shared" si="80"/>
        <v>1</v>
      </c>
      <c r="H462" s="3388"/>
      <c r="I462" s="3387">
        <f t="shared" si="81"/>
        <v>1</v>
      </c>
      <c r="J462" s="3388"/>
      <c r="K462" s="3387">
        <f t="shared" si="82"/>
        <v>1</v>
      </c>
      <c r="L462" s="3388"/>
      <c r="M462" s="3387">
        <f t="shared" si="83"/>
        <v>1</v>
      </c>
      <c r="N462" s="3388"/>
      <c r="O462" s="3387">
        <f t="shared" si="84"/>
        <v>1</v>
      </c>
      <c r="P462" s="3388"/>
      <c r="Q462" s="3387">
        <f t="shared" si="85"/>
        <v>0</v>
      </c>
      <c r="R462" s="2973">
        <f t="shared" si="86"/>
        <v>0</v>
      </c>
      <c r="S462" s="2850">
        <f t="shared" si="87"/>
        <v>0</v>
      </c>
    </row>
    <row r="463" spans="1:19">
      <c r="A463" s="3389"/>
      <c r="B463" s="3386"/>
      <c r="C463" s="3387">
        <f t="shared" si="78"/>
        <v>1</v>
      </c>
      <c r="D463" s="3388"/>
      <c r="E463" s="3387">
        <f t="shared" si="79"/>
        <v>0</v>
      </c>
      <c r="F463" s="3388"/>
      <c r="G463" s="3387">
        <f t="shared" si="80"/>
        <v>1</v>
      </c>
      <c r="H463" s="3388"/>
      <c r="I463" s="3387">
        <f t="shared" si="81"/>
        <v>1</v>
      </c>
      <c r="J463" s="3388"/>
      <c r="K463" s="3387">
        <f t="shared" si="82"/>
        <v>1</v>
      </c>
      <c r="L463" s="3388"/>
      <c r="M463" s="3387">
        <f t="shared" si="83"/>
        <v>1</v>
      </c>
      <c r="N463" s="3388"/>
      <c r="O463" s="3387">
        <f t="shared" si="84"/>
        <v>1</v>
      </c>
      <c r="P463" s="3388"/>
      <c r="Q463" s="3387">
        <f t="shared" si="85"/>
        <v>0</v>
      </c>
      <c r="R463" s="2973">
        <f t="shared" si="86"/>
        <v>0</v>
      </c>
      <c r="S463" s="2850">
        <f t="shared" si="87"/>
        <v>0</v>
      </c>
    </row>
    <row r="464" spans="1:19">
      <c r="A464" s="3389"/>
      <c r="B464" s="3386"/>
      <c r="C464" s="3387">
        <f t="shared" si="78"/>
        <v>1</v>
      </c>
      <c r="D464" s="3388"/>
      <c r="E464" s="3387">
        <f t="shared" si="79"/>
        <v>0</v>
      </c>
      <c r="F464" s="3388"/>
      <c r="G464" s="3387">
        <f t="shared" si="80"/>
        <v>1</v>
      </c>
      <c r="H464" s="3388"/>
      <c r="I464" s="3387">
        <f t="shared" si="81"/>
        <v>1</v>
      </c>
      <c r="J464" s="3388"/>
      <c r="K464" s="3387">
        <f t="shared" si="82"/>
        <v>1</v>
      </c>
      <c r="L464" s="3388"/>
      <c r="M464" s="3387">
        <f t="shared" si="83"/>
        <v>1</v>
      </c>
      <c r="N464" s="3388"/>
      <c r="O464" s="3387">
        <f t="shared" si="84"/>
        <v>1</v>
      </c>
      <c r="P464" s="3388"/>
      <c r="Q464" s="3387">
        <f t="shared" si="85"/>
        <v>0</v>
      </c>
      <c r="R464" s="2973">
        <f t="shared" si="86"/>
        <v>0</v>
      </c>
      <c r="S464" s="2850">
        <f t="shared" si="87"/>
        <v>0</v>
      </c>
    </row>
    <row r="465" spans="1:19">
      <c r="A465" s="3389"/>
      <c r="B465" s="3386"/>
      <c r="C465" s="3387">
        <f t="shared" si="78"/>
        <v>1</v>
      </c>
      <c r="D465" s="3388"/>
      <c r="E465" s="3387">
        <f t="shared" si="79"/>
        <v>0</v>
      </c>
      <c r="F465" s="3388"/>
      <c r="G465" s="3387">
        <f t="shared" si="80"/>
        <v>1</v>
      </c>
      <c r="H465" s="3388"/>
      <c r="I465" s="3387">
        <f t="shared" si="81"/>
        <v>1</v>
      </c>
      <c r="J465" s="3388"/>
      <c r="K465" s="3387">
        <f t="shared" si="82"/>
        <v>1</v>
      </c>
      <c r="L465" s="3388"/>
      <c r="M465" s="3387">
        <f t="shared" si="83"/>
        <v>1</v>
      </c>
      <c r="N465" s="3388"/>
      <c r="O465" s="3387">
        <f t="shared" si="84"/>
        <v>1</v>
      </c>
      <c r="P465" s="3388"/>
      <c r="Q465" s="3387">
        <f t="shared" si="85"/>
        <v>0</v>
      </c>
      <c r="R465" s="2973">
        <f t="shared" si="86"/>
        <v>0</v>
      </c>
      <c r="S465" s="2850">
        <f t="shared" si="87"/>
        <v>0</v>
      </c>
    </row>
    <row r="466" spans="1:19">
      <c r="A466" s="3389"/>
      <c r="B466" s="3386"/>
      <c r="C466" s="3387">
        <f t="shared" si="78"/>
        <v>1</v>
      </c>
      <c r="D466" s="3388"/>
      <c r="E466" s="3387">
        <f t="shared" si="79"/>
        <v>0</v>
      </c>
      <c r="F466" s="3388"/>
      <c r="G466" s="3387">
        <f t="shared" si="80"/>
        <v>1</v>
      </c>
      <c r="H466" s="3388"/>
      <c r="I466" s="3387">
        <f t="shared" si="81"/>
        <v>1</v>
      </c>
      <c r="J466" s="3388"/>
      <c r="K466" s="3387">
        <f t="shared" si="82"/>
        <v>1</v>
      </c>
      <c r="L466" s="3388"/>
      <c r="M466" s="3387">
        <f t="shared" si="83"/>
        <v>1</v>
      </c>
      <c r="N466" s="3388"/>
      <c r="O466" s="3387">
        <f t="shared" si="84"/>
        <v>1</v>
      </c>
      <c r="P466" s="3388"/>
      <c r="Q466" s="3387">
        <f t="shared" si="85"/>
        <v>0</v>
      </c>
      <c r="R466" s="2973">
        <f t="shared" si="86"/>
        <v>0</v>
      </c>
      <c r="S466" s="2850">
        <f t="shared" si="87"/>
        <v>0</v>
      </c>
    </row>
    <row r="467" spans="1:19">
      <c r="A467" s="3389"/>
      <c r="B467" s="3386"/>
      <c r="C467" s="3387">
        <f t="shared" si="78"/>
        <v>1</v>
      </c>
      <c r="D467" s="3388"/>
      <c r="E467" s="3387">
        <f t="shared" si="79"/>
        <v>0</v>
      </c>
      <c r="F467" s="3388"/>
      <c r="G467" s="3387">
        <f t="shared" si="80"/>
        <v>1</v>
      </c>
      <c r="H467" s="3388"/>
      <c r="I467" s="3387">
        <f t="shared" si="81"/>
        <v>1</v>
      </c>
      <c r="J467" s="3388"/>
      <c r="K467" s="3387">
        <f t="shared" si="82"/>
        <v>1</v>
      </c>
      <c r="L467" s="3388"/>
      <c r="M467" s="3387">
        <f t="shared" si="83"/>
        <v>1</v>
      </c>
      <c r="N467" s="3388"/>
      <c r="O467" s="3387">
        <f t="shared" si="84"/>
        <v>1</v>
      </c>
      <c r="P467" s="3388"/>
      <c r="Q467" s="3387">
        <f t="shared" si="85"/>
        <v>0</v>
      </c>
      <c r="R467" s="2973">
        <f t="shared" si="86"/>
        <v>0</v>
      </c>
      <c r="S467" s="2850">
        <f t="shared" si="87"/>
        <v>0</v>
      </c>
    </row>
    <row r="468" spans="1:19">
      <c r="A468" s="3389"/>
      <c r="B468" s="3386"/>
      <c r="C468" s="3387">
        <f t="shared" si="78"/>
        <v>1</v>
      </c>
      <c r="D468" s="3388"/>
      <c r="E468" s="3387">
        <f t="shared" si="79"/>
        <v>0</v>
      </c>
      <c r="F468" s="3388"/>
      <c r="G468" s="3387">
        <f t="shared" si="80"/>
        <v>1</v>
      </c>
      <c r="H468" s="3388"/>
      <c r="I468" s="3387">
        <f t="shared" si="81"/>
        <v>1</v>
      </c>
      <c r="J468" s="3388"/>
      <c r="K468" s="3387">
        <f t="shared" si="82"/>
        <v>1</v>
      </c>
      <c r="L468" s="3388"/>
      <c r="M468" s="3387">
        <f t="shared" si="83"/>
        <v>1</v>
      </c>
      <c r="N468" s="3388"/>
      <c r="O468" s="3387">
        <f t="shared" si="84"/>
        <v>1</v>
      </c>
      <c r="P468" s="3388"/>
      <c r="Q468" s="3387">
        <f t="shared" si="85"/>
        <v>0</v>
      </c>
      <c r="R468" s="2973">
        <f t="shared" si="86"/>
        <v>0</v>
      </c>
      <c r="S468" s="2850">
        <f t="shared" ref="S468:S497" si="88">ROUND(R468*B468/10000,0)</f>
        <v>0</v>
      </c>
    </row>
    <row r="469" spans="1:19">
      <c r="A469" s="3389"/>
      <c r="B469" s="3386"/>
      <c r="C469" s="3387">
        <f t="shared" si="78"/>
        <v>1</v>
      </c>
      <c r="D469" s="3388"/>
      <c r="E469" s="3387">
        <f t="shared" si="79"/>
        <v>0</v>
      </c>
      <c r="F469" s="3388"/>
      <c r="G469" s="3387">
        <f t="shared" si="80"/>
        <v>1</v>
      </c>
      <c r="H469" s="3388"/>
      <c r="I469" s="3387">
        <f t="shared" si="81"/>
        <v>1</v>
      </c>
      <c r="J469" s="3388"/>
      <c r="K469" s="3387">
        <f t="shared" si="82"/>
        <v>1</v>
      </c>
      <c r="L469" s="3388"/>
      <c r="M469" s="3387">
        <f t="shared" si="83"/>
        <v>1</v>
      </c>
      <c r="N469" s="3388"/>
      <c r="O469" s="3387">
        <f t="shared" si="84"/>
        <v>1</v>
      </c>
      <c r="P469" s="3388"/>
      <c r="Q469" s="3387">
        <f t="shared" si="85"/>
        <v>0</v>
      </c>
      <c r="R469" s="2973">
        <f t="shared" si="86"/>
        <v>0</v>
      </c>
      <c r="S469" s="2850">
        <f t="shared" si="88"/>
        <v>0</v>
      </c>
    </row>
    <row r="470" spans="1:19">
      <c r="A470" s="3389"/>
      <c r="B470" s="3386"/>
      <c r="C470" s="3387">
        <f t="shared" si="78"/>
        <v>1</v>
      </c>
      <c r="D470" s="3388"/>
      <c r="E470" s="3387">
        <f t="shared" si="79"/>
        <v>0</v>
      </c>
      <c r="F470" s="3388"/>
      <c r="G470" s="3387">
        <f t="shared" si="80"/>
        <v>1</v>
      </c>
      <c r="H470" s="3388"/>
      <c r="I470" s="3387">
        <f t="shared" si="81"/>
        <v>1</v>
      </c>
      <c r="J470" s="3388"/>
      <c r="K470" s="3387">
        <f t="shared" si="82"/>
        <v>1</v>
      </c>
      <c r="L470" s="3388"/>
      <c r="M470" s="3387">
        <f t="shared" si="83"/>
        <v>1</v>
      </c>
      <c r="N470" s="3388"/>
      <c r="O470" s="3387">
        <f t="shared" si="84"/>
        <v>1</v>
      </c>
      <c r="P470" s="3388"/>
      <c r="Q470" s="3387">
        <f t="shared" si="85"/>
        <v>0</v>
      </c>
      <c r="R470" s="2973">
        <f t="shared" si="86"/>
        <v>0</v>
      </c>
      <c r="S470" s="2850">
        <f t="shared" si="88"/>
        <v>0</v>
      </c>
    </row>
    <row r="471" spans="1:19">
      <c r="A471" s="3389"/>
      <c r="B471" s="3386"/>
      <c r="C471" s="3387">
        <f t="shared" si="78"/>
        <v>1</v>
      </c>
      <c r="D471" s="3388"/>
      <c r="E471" s="3387">
        <f t="shared" si="79"/>
        <v>0</v>
      </c>
      <c r="F471" s="3388"/>
      <c r="G471" s="3387">
        <f t="shared" si="80"/>
        <v>1</v>
      </c>
      <c r="H471" s="3388"/>
      <c r="I471" s="3387">
        <f t="shared" si="81"/>
        <v>1</v>
      </c>
      <c r="J471" s="3388"/>
      <c r="K471" s="3387">
        <f t="shared" si="82"/>
        <v>1</v>
      </c>
      <c r="L471" s="3388"/>
      <c r="M471" s="3387">
        <f t="shared" si="83"/>
        <v>1</v>
      </c>
      <c r="N471" s="3388"/>
      <c r="O471" s="3387">
        <f t="shared" si="84"/>
        <v>1</v>
      </c>
      <c r="P471" s="3388"/>
      <c r="Q471" s="3387">
        <f t="shared" si="85"/>
        <v>0</v>
      </c>
      <c r="R471" s="2973">
        <f t="shared" si="86"/>
        <v>0</v>
      </c>
      <c r="S471" s="2850">
        <f t="shared" si="88"/>
        <v>0</v>
      </c>
    </row>
    <row r="472" spans="1:19">
      <c r="A472" s="3389"/>
      <c r="B472" s="3386"/>
      <c r="C472" s="3387">
        <f t="shared" si="78"/>
        <v>1</v>
      </c>
      <c r="D472" s="3388"/>
      <c r="E472" s="3387">
        <f t="shared" si="79"/>
        <v>0</v>
      </c>
      <c r="F472" s="3388"/>
      <c r="G472" s="3387">
        <f t="shared" si="80"/>
        <v>1</v>
      </c>
      <c r="H472" s="3388"/>
      <c r="I472" s="3387">
        <f t="shared" si="81"/>
        <v>1</v>
      </c>
      <c r="J472" s="3388"/>
      <c r="K472" s="3387">
        <f t="shared" si="82"/>
        <v>1</v>
      </c>
      <c r="L472" s="3388"/>
      <c r="M472" s="3387">
        <f t="shared" si="83"/>
        <v>1</v>
      </c>
      <c r="N472" s="3388"/>
      <c r="O472" s="3387">
        <f t="shared" si="84"/>
        <v>1</v>
      </c>
      <c r="P472" s="3388"/>
      <c r="Q472" s="3387">
        <f t="shared" si="85"/>
        <v>0</v>
      </c>
      <c r="R472" s="2973">
        <f t="shared" si="86"/>
        <v>0</v>
      </c>
      <c r="S472" s="2850">
        <f t="shared" si="88"/>
        <v>0</v>
      </c>
    </row>
    <row r="473" spans="1:19">
      <c r="A473" s="3389"/>
      <c r="B473" s="3386"/>
      <c r="C473" s="3387">
        <f t="shared" si="78"/>
        <v>1</v>
      </c>
      <c r="D473" s="3388"/>
      <c r="E473" s="3387">
        <f t="shared" si="79"/>
        <v>0</v>
      </c>
      <c r="F473" s="3388"/>
      <c r="G473" s="3387">
        <f t="shared" si="80"/>
        <v>1</v>
      </c>
      <c r="H473" s="3388"/>
      <c r="I473" s="3387">
        <f t="shared" si="81"/>
        <v>1</v>
      </c>
      <c r="J473" s="3388"/>
      <c r="K473" s="3387">
        <f t="shared" si="82"/>
        <v>1</v>
      </c>
      <c r="L473" s="3388"/>
      <c r="M473" s="3387">
        <f t="shared" si="83"/>
        <v>1</v>
      </c>
      <c r="N473" s="3388"/>
      <c r="O473" s="3387">
        <f t="shared" si="84"/>
        <v>1</v>
      </c>
      <c r="P473" s="3388"/>
      <c r="Q473" s="3387">
        <f t="shared" si="85"/>
        <v>0</v>
      </c>
      <c r="R473" s="2973">
        <f t="shared" si="86"/>
        <v>0</v>
      </c>
      <c r="S473" s="2850">
        <f t="shared" si="88"/>
        <v>0</v>
      </c>
    </row>
    <row r="474" spans="1:19">
      <c r="A474" s="3389"/>
      <c r="B474" s="3386"/>
      <c r="C474" s="3387">
        <f t="shared" ref="C474:C524" si="89">IF(B474="",1,(LOOKUP(B474,$3:$3,$4:$4)-LOOKUP($B$24,$3:$3,$4:$4)+100)/100)</f>
        <v>1</v>
      </c>
      <c r="D474" s="3388"/>
      <c r="E474" s="3387">
        <f t="shared" ref="E474:E524" si="90">(SUMIF($5:$5,D474,$6:$6)-SUMIF($5:$5,$D$24,$6:$6)+100)/100</f>
        <v>0</v>
      </c>
      <c r="F474" s="3388"/>
      <c r="G474" s="3387">
        <f t="shared" ref="G474:G524" si="91">(SUMIF($7:$7,F474,$8:$8)-SUMIF($7:$7,$F$24,$8:$8)+100)/100</f>
        <v>1</v>
      </c>
      <c r="H474" s="3388"/>
      <c r="I474" s="3387">
        <f t="shared" ref="I474:I524" si="92">(SUMIF($9:$9,H474,$10:$10)-SUMIF($9:$9,$H$24,$10:$10)+100)/100</f>
        <v>1</v>
      </c>
      <c r="J474" s="3388"/>
      <c r="K474" s="3387">
        <f t="shared" ref="K474:K524" si="93">(SUMIF($11:$11,J474,$12:$12)-SUMIF($11:$11,$J$24,$12:$12)+100)/100</f>
        <v>1</v>
      </c>
      <c r="L474" s="3388"/>
      <c r="M474" s="3387">
        <f t="shared" ref="M474:M524" si="94">(SUMIF($13:$13,L474,$14:$14)-SUMIF($13:$13,$L$24,$14:$14)+100)/100</f>
        <v>1</v>
      </c>
      <c r="N474" s="3388"/>
      <c r="O474" s="3387">
        <f t="shared" ref="O474:O524" si="95">(SUMIF($15:$15,N474,$16:$16)-SUMIF($15:$15,$N$24,$16:$16)+100)/100</f>
        <v>1</v>
      </c>
      <c r="P474" s="3388"/>
      <c r="Q474" s="3387">
        <f t="shared" ref="Q474:Q524" si="96">(SUMIF($17:$17,P474,$18:$18)-SUMIF($17:$17,$P$24,$18:$18)+100)/100</f>
        <v>0</v>
      </c>
      <c r="R474" s="2973">
        <f t="shared" ref="R474:R524" si="97">IF(B474="",0,ROUND($R$24*C474*E474*G474*I474*K474*M474*O474*Q474,0))</f>
        <v>0</v>
      </c>
      <c r="S474" s="2850">
        <f t="shared" si="88"/>
        <v>0</v>
      </c>
    </row>
    <row r="475" spans="1:19">
      <c r="A475" s="3389"/>
      <c r="B475" s="3386"/>
      <c r="C475" s="3387">
        <f t="shared" si="89"/>
        <v>1</v>
      </c>
      <c r="D475" s="3388"/>
      <c r="E475" s="3387">
        <f t="shared" si="90"/>
        <v>0</v>
      </c>
      <c r="F475" s="3388"/>
      <c r="G475" s="3387">
        <f t="shared" si="91"/>
        <v>1</v>
      </c>
      <c r="H475" s="3388"/>
      <c r="I475" s="3387">
        <f t="shared" si="92"/>
        <v>1</v>
      </c>
      <c r="J475" s="3388"/>
      <c r="K475" s="3387">
        <f t="shared" si="93"/>
        <v>1</v>
      </c>
      <c r="L475" s="3388"/>
      <c r="M475" s="3387">
        <f t="shared" si="94"/>
        <v>1</v>
      </c>
      <c r="N475" s="3388"/>
      <c r="O475" s="3387">
        <f t="shared" si="95"/>
        <v>1</v>
      </c>
      <c r="P475" s="3388"/>
      <c r="Q475" s="3387">
        <f t="shared" si="96"/>
        <v>0</v>
      </c>
      <c r="R475" s="2973">
        <f t="shared" si="97"/>
        <v>0</v>
      </c>
      <c r="S475" s="2850">
        <f t="shared" si="88"/>
        <v>0</v>
      </c>
    </row>
    <row r="476" spans="1:19">
      <c r="A476" s="3389"/>
      <c r="B476" s="3386"/>
      <c r="C476" s="3387">
        <f t="shared" si="89"/>
        <v>1</v>
      </c>
      <c r="D476" s="3388"/>
      <c r="E476" s="3387">
        <f t="shared" si="90"/>
        <v>0</v>
      </c>
      <c r="F476" s="3388"/>
      <c r="G476" s="3387">
        <f t="shared" si="91"/>
        <v>1</v>
      </c>
      <c r="H476" s="3388"/>
      <c r="I476" s="3387">
        <f t="shared" si="92"/>
        <v>1</v>
      </c>
      <c r="J476" s="3388"/>
      <c r="K476" s="3387">
        <f t="shared" si="93"/>
        <v>1</v>
      </c>
      <c r="L476" s="3388"/>
      <c r="M476" s="3387">
        <f t="shared" si="94"/>
        <v>1</v>
      </c>
      <c r="N476" s="3388"/>
      <c r="O476" s="3387">
        <f t="shared" si="95"/>
        <v>1</v>
      </c>
      <c r="P476" s="3388"/>
      <c r="Q476" s="3387">
        <f t="shared" si="96"/>
        <v>0</v>
      </c>
      <c r="R476" s="2973">
        <f t="shared" si="97"/>
        <v>0</v>
      </c>
      <c r="S476" s="2850">
        <f t="shared" si="88"/>
        <v>0</v>
      </c>
    </row>
    <row r="477" spans="1:19">
      <c r="A477" s="3389"/>
      <c r="B477" s="3386"/>
      <c r="C477" s="3387">
        <f t="shared" si="89"/>
        <v>1</v>
      </c>
      <c r="D477" s="3388"/>
      <c r="E477" s="3387">
        <f t="shared" si="90"/>
        <v>0</v>
      </c>
      <c r="F477" s="3388"/>
      <c r="G477" s="3387">
        <f t="shared" si="91"/>
        <v>1</v>
      </c>
      <c r="H477" s="3388"/>
      <c r="I477" s="3387">
        <f t="shared" si="92"/>
        <v>1</v>
      </c>
      <c r="J477" s="3388"/>
      <c r="K477" s="3387">
        <f t="shared" si="93"/>
        <v>1</v>
      </c>
      <c r="L477" s="3388"/>
      <c r="M477" s="3387">
        <f t="shared" si="94"/>
        <v>1</v>
      </c>
      <c r="N477" s="3388"/>
      <c r="O477" s="3387">
        <f t="shared" si="95"/>
        <v>1</v>
      </c>
      <c r="P477" s="3388"/>
      <c r="Q477" s="3387">
        <f t="shared" si="96"/>
        <v>0</v>
      </c>
      <c r="R477" s="2973">
        <f t="shared" si="97"/>
        <v>0</v>
      </c>
      <c r="S477" s="2850">
        <f t="shared" si="88"/>
        <v>0</v>
      </c>
    </row>
    <row r="478" spans="1:19">
      <c r="A478" s="3389"/>
      <c r="B478" s="3386"/>
      <c r="C478" s="3387">
        <f t="shared" si="89"/>
        <v>1</v>
      </c>
      <c r="D478" s="3388"/>
      <c r="E478" s="3387">
        <f t="shared" si="90"/>
        <v>0</v>
      </c>
      <c r="F478" s="3388"/>
      <c r="G478" s="3387">
        <f t="shared" si="91"/>
        <v>1</v>
      </c>
      <c r="H478" s="3388"/>
      <c r="I478" s="3387">
        <f t="shared" si="92"/>
        <v>1</v>
      </c>
      <c r="J478" s="3388"/>
      <c r="K478" s="3387">
        <f t="shared" si="93"/>
        <v>1</v>
      </c>
      <c r="L478" s="3388"/>
      <c r="M478" s="3387">
        <f t="shared" si="94"/>
        <v>1</v>
      </c>
      <c r="N478" s="3388"/>
      <c r="O478" s="3387">
        <f t="shared" si="95"/>
        <v>1</v>
      </c>
      <c r="P478" s="3388"/>
      <c r="Q478" s="3387">
        <f t="shared" si="96"/>
        <v>0</v>
      </c>
      <c r="R478" s="2973">
        <f t="shared" si="97"/>
        <v>0</v>
      </c>
      <c r="S478" s="2850">
        <f t="shared" si="88"/>
        <v>0</v>
      </c>
    </row>
    <row r="479" spans="1:19">
      <c r="A479" s="3389"/>
      <c r="B479" s="3386"/>
      <c r="C479" s="3387">
        <f t="shared" si="89"/>
        <v>1</v>
      </c>
      <c r="D479" s="3388"/>
      <c r="E479" s="3387">
        <f t="shared" si="90"/>
        <v>0</v>
      </c>
      <c r="F479" s="3388"/>
      <c r="G479" s="3387">
        <f t="shared" si="91"/>
        <v>1</v>
      </c>
      <c r="H479" s="3388"/>
      <c r="I479" s="3387">
        <f t="shared" si="92"/>
        <v>1</v>
      </c>
      <c r="J479" s="3388"/>
      <c r="K479" s="3387">
        <f t="shared" si="93"/>
        <v>1</v>
      </c>
      <c r="L479" s="3388"/>
      <c r="M479" s="3387">
        <f t="shared" si="94"/>
        <v>1</v>
      </c>
      <c r="N479" s="3388"/>
      <c r="O479" s="3387">
        <f t="shared" si="95"/>
        <v>1</v>
      </c>
      <c r="P479" s="3388"/>
      <c r="Q479" s="3387">
        <f t="shared" si="96"/>
        <v>0</v>
      </c>
      <c r="R479" s="2973">
        <f t="shared" si="97"/>
        <v>0</v>
      </c>
      <c r="S479" s="2850">
        <f t="shared" si="88"/>
        <v>0</v>
      </c>
    </row>
    <row r="480" spans="1:19">
      <c r="A480" s="3389"/>
      <c r="B480" s="3386"/>
      <c r="C480" s="3387">
        <f t="shared" si="89"/>
        <v>1</v>
      </c>
      <c r="D480" s="3388"/>
      <c r="E480" s="3387">
        <f t="shared" si="90"/>
        <v>0</v>
      </c>
      <c r="F480" s="3388"/>
      <c r="G480" s="3387">
        <f t="shared" si="91"/>
        <v>1</v>
      </c>
      <c r="H480" s="3388"/>
      <c r="I480" s="3387">
        <f t="shared" si="92"/>
        <v>1</v>
      </c>
      <c r="J480" s="3388"/>
      <c r="K480" s="3387">
        <f t="shared" si="93"/>
        <v>1</v>
      </c>
      <c r="L480" s="3388"/>
      <c r="M480" s="3387">
        <f t="shared" si="94"/>
        <v>1</v>
      </c>
      <c r="N480" s="3388"/>
      <c r="O480" s="3387">
        <f t="shared" si="95"/>
        <v>1</v>
      </c>
      <c r="P480" s="3388"/>
      <c r="Q480" s="3387">
        <f t="shared" si="96"/>
        <v>0</v>
      </c>
      <c r="R480" s="2973">
        <f t="shared" si="97"/>
        <v>0</v>
      </c>
      <c r="S480" s="2850">
        <f t="shared" si="88"/>
        <v>0</v>
      </c>
    </row>
    <row r="481" spans="1:19">
      <c r="A481" s="3389"/>
      <c r="B481" s="3386"/>
      <c r="C481" s="3387">
        <f t="shared" si="89"/>
        <v>1</v>
      </c>
      <c r="D481" s="3388"/>
      <c r="E481" s="3387">
        <f t="shared" si="90"/>
        <v>0</v>
      </c>
      <c r="F481" s="3388"/>
      <c r="G481" s="3387">
        <f t="shared" si="91"/>
        <v>1</v>
      </c>
      <c r="H481" s="3388"/>
      <c r="I481" s="3387">
        <f t="shared" si="92"/>
        <v>1</v>
      </c>
      <c r="J481" s="3388"/>
      <c r="K481" s="3387">
        <f t="shared" si="93"/>
        <v>1</v>
      </c>
      <c r="L481" s="3388"/>
      <c r="M481" s="3387">
        <f t="shared" si="94"/>
        <v>1</v>
      </c>
      <c r="N481" s="3388"/>
      <c r="O481" s="3387">
        <f t="shared" si="95"/>
        <v>1</v>
      </c>
      <c r="P481" s="3388"/>
      <c r="Q481" s="3387">
        <f t="shared" si="96"/>
        <v>0</v>
      </c>
      <c r="R481" s="2973">
        <f t="shared" si="97"/>
        <v>0</v>
      </c>
      <c r="S481" s="2850">
        <f t="shared" si="88"/>
        <v>0</v>
      </c>
    </row>
    <row r="482" spans="1:19">
      <c r="A482" s="3389"/>
      <c r="B482" s="3386"/>
      <c r="C482" s="3387">
        <f t="shared" si="89"/>
        <v>1</v>
      </c>
      <c r="D482" s="3388"/>
      <c r="E482" s="3387">
        <f t="shared" si="90"/>
        <v>0</v>
      </c>
      <c r="F482" s="3388"/>
      <c r="G482" s="3387">
        <f t="shared" si="91"/>
        <v>1</v>
      </c>
      <c r="H482" s="3388"/>
      <c r="I482" s="3387">
        <f t="shared" si="92"/>
        <v>1</v>
      </c>
      <c r="J482" s="3388"/>
      <c r="K482" s="3387">
        <f t="shared" si="93"/>
        <v>1</v>
      </c>
      <c r="L482" s="3388"/>
      <c r="M482" s="3387">
        <f t="shared" si="94"/>
        <v>1</v>
      </c>
      <c r="N482" s="3388"/>
      <c r="O482" s="3387">
        <f t="shared" si="95"/>
        <v>1</v>
      </c>
      <c r="P482" s="3388"/>
      <c r="Q482" s="3387">
        <f t="shared" si="96"/>
        <v>0</v>
      </c>
      <c r="R482" s="2973">
        <f t="shared" si="97"/>
        <v>0</v>
      </c>
      <c r="S482" s="2850">
        <f t="shared" si="88"/>
        <v>0</v>
      </c>
    </row>
    <row r="483" spans="1:19">
      <c r="A483" s="3389"/>
      <c r="B483" s="3386"/>
      <c r="C483" s="3387">
        <f t="shared" si="89"/>
        <v>1</v>
      </c>
      <c r="D483" s="3388"/>
      <c r="E483" s="3387">
        <f t="shared" si="90"/>
        <v>0</v>
      </c>
      <c r="F483" s="3388"/>
      <c r="G483" s="3387">
        <f t="shared" si="91"/>
        <v>1</v>
      </c>
      <c r="H483" s="3388"/>
      <c r="I483" s="3387">
        <f t="shared" si="92"/>
        <v>1</v>
      </c>
      <c r="J483" s="3388"/>
      <c r="K483" s="3387">
        <f t="shared" si="93"/>
        <v>1</v>
      </c>
      <c r="L483" s="3388"/>
      <c r="M483" s="3387">
        <f t="shared" si="94"/>
        <v>1</v>
      </c>
      <c r="N483" s="3388"/>
      <c r="O483" s="3387">
        <f t="shared" si="95"/>
        <v>1</v>
      </c>
      <c r="P483" s="3388"/>
      <c r="Q483" s="3387">
        <f t="shared" si="96"/>
        <v>0</v>
      </c>
      <c r="R483" s="2973">
        <f t="shared" si="97"/>
        <v>0</v>
      </c>
      <c r="S483" s="2850">
        <f t="shared" si="88"/>
        <v>0</v>
      </c>
    </row>
    <row r="484" spans="1:19">
      <c r="A484" s="3389"/>
      <c r="B484" s="3386"/>
      <c r="C484" s="3387">
        <f t="shared" si="89"/>
        <v>1</v>
      </c>
      <c r="D484" s="3388"/>
      <c r="E484" s="3387">
        <f t="shared" si="90"/>
        <v>0</v>
      </c>
      <c r="F484" s="3388"/>
      <c r="G484" s="3387">
        <f t="shared" si="91"/>
        <v>1</v>
      </c>
      <c r="H484" s="3388"/>
      <c r="I484" s="3387">
        <f t="shared" si="92"/>
        <v>1</v>
      </c>
      <c r="J484" s="3388"/>
      <c r="K484" s="3387">
        <f t="shared" si="93"/>
        <v>1</v>
      </c>
      <c r="L484" s="3388"/>
      <c r="M484" s="3387">
        <f t="shared" si="94"/>
        <v>1</v>
      </c>
      <c r="N484" s="3388"/>
      <c r="O484" s="3387">
        <f t="shared" si="95"/>
        <v>1</v>
      </c>
      <c r="P484" s="3388"/>
      <c r="Q484" s="3387">
        <f t="shared" si="96"/>
        <v>0</v>
      </c>
      <c r="R484" s="2973">
        <f t="shared" si="97"/>
        <v>0</v>
      </c>
      <c r="S484" s="2850">
        <f t="shared" si="88"/>
        <v>0</v>
      </c>
    </row>
    <row r="485" spans="1:19">
      <c r="A485" s="3389"/>
      <c r="B485" s="3386"/>
      <c r="C485" s="3387">
        <f t="shared" si="89"/>
        <v>1</v>
      </c>
      <c r="D485" s="3388"/>
      <c r="E485" s="3387">
        <f t="shared" si="90"/>
        <v>0</v>
      </c>
      <c r="F485" s="3388"/>
      <c r="G485" s="3387">
        <f t="shared" si="91"/>
        <v>1</v>
      </c>
      <c r="H485" s="3388"/>
      <c r="I485" s="3387">
        <f t="shared" si="92"/>
        <v>1</v>
      </c>
      <c r="J485" s="3388"/>
      <c r="K485" s="3387">
        <f t="shared" si="93"/>
        <v>1</v>
      </c>
      <c r="L485" s="3388"/>
      <c r="M485" s="3387">
        <f t="shared" si="94"/>
        <v>1</v>
      </c>
      <c r="N485" s="3388"/>
      <c r="O485" s="3387">
        <f t="shared" si="95"/>
        <v>1</v>
      </c>
      <c r="P485" s="3388"/>
      <c r="Q485" s="3387">
        <f t="shared" si="96"/>
        <v>0</v>
      </c>
      <c r="R485" s="2973">
        <f t="shared" si="97"/>
        <v>0</v>
      </c>
      <c r="S485" s="2850">
        <f t="shared" si="88"/>
        <v>0</v>
      </c>
    </row>
    <row r="486" spans="1:19">
      <c r="A486" s="3389"/>
      <c r="B486" s="3386"/>
      <c r="C486" s="3387">
        <f t="shared" si="89"/>
        <v>1</v>
      </c>
      <c r="D486" s="3388"/>
      <c r="E486" s="3387">
        <f t="shared" si="90"/>
        <v>0</v>
      </c>
      <c r="F486" s="3388"/>
      <c r="G486" s="3387">
        <f t="shared" si="91"/>
        <v>1</v>
      </c>
      <c r="H486" s="3388"/>
      <c r="I486" s="3387">
        <f t="shared" si="92"/>
        <v>1</v>
      </c>
      <c r="J486" s="3388"/>
      <c r="K486" s="3387">
        <f t="shared" si="93"/>
        <v>1</v>
      </c>
      <c r="L486" s="3388"/>
      <c r="M486" s="3387">
        <f t="shared" si="94"/>
        <v>1</v>
      </c>
      <c r="N486" s="3388"/>
      <c r="O486" s="3387">
        <f t="shared" si="95"/>
        <v>1</v>
      </c>
      <c r="P486" s="3388"/>
      <c r="Q486" s="3387">
        <f t="shared" si="96"/>
        <v>0</v>
      </c>
      <c r="R486" s="2973">
        <f t="shared" si="97"/>
        <v>0</v>
      </c>
      <c r="S486" s="2850">
        <f t="shared" si="88"/>
        <v>0</v>
      </c>
    </row>
    <row r="487" spans="1:19">
      <c r="A487" s="3389"/>
      <c r="B487" s="3386"/>
      <c r="C487" s="3387">
        <f t="shared" si="89"/>
        <v>1</v>
      </c>
      <c r="D487" s="3388"/>
      <c r="E487" s="3387">
        <f t="shared" si="90"/>
        <v>0</v>
      </c>
      <c r="F487" s="3388"/>
      <c r="G487" s="3387">
        <f t="shared" si="91"/>
        <v>1</v>
      </c>
      <c r="H487" s="3388"/>
      <c r="I487" s="3387">
        <f t="shared" si="92"/>
        <v>1</v>
      </c>
      <c r="J487" s="3388"/>
      <c r="K487" s="3387">
        <f t="shared" si="93"/>
        <v>1</v>
      </c>
      <c r="L487" s="3388"/>
      <c r="M487" s="3387">
        <f t="shared" si="94"/>
        <v>1</v>
      </c>
      <c r="N487" s="3388"/>
      <c r="O487" s="3387">
        <f t="shared" si="95"/>
        <v>1</v>
      </c>
      <c r="P487" s="3388"/>
      <c r="Q487" s="3387">
        <f t="shared" si="96"/>
        <v>0</v>
      </c>
      <c r="R487" s="2973">
        <f t="shared" si="97"/>
        <v>0</v>
      </c>
      <c r="S487" s="2850">
        <f t="shared" si="88"/>
        <v>0</v>
      </c>
    </row>
    <row r="488" spans="1:19">
      <c r="A488" s="3389"/>
      <c r="B488" s="3386"/>
      <c r="C488" s="3387">
        <f t="shared" si="89"/>
        <v>1</v>
      </c>
      <c r="D488" s="3388"/>
      <c r="E488" s="3387">
        <f t="shared" si="90"/>
        <v>0</v>
      </c>
      <c r="F488" s="3388"/>
      <c r="G488" s="3387">
        <f t="shared" si="91"/>
        <v>1</v>
      </c>
      <c r="H488" s="3388"/>
      <c r="I488" s="3387">
        <f t="shared" si="92"/>
        <v>1</v>
      </c>
      <c r="J488" s="3388"/>
      <c r="K488" s="3387">
        <f t="shared" si="93"/>
        <v>1</v>
      </c>
      <c r="L488" s="3388"/>
      <c r="M488" s="3387">
        <f t="shared" si="94"/>
        <v>1</v>
      </c>
      <c r="N488" s="3388"/>
      <c r="O488" s="3387">
        <f t="shared" si="95"/>
        <v>1</v>
      </c>
      <c r="P488" s="3388"/>
      <c r="Q488" s="3387">
        <f t="shared" si="96"/>
        <v>0</v>
      </c>
      <c r="R488" s="2973">
        <f t="shared" si="97"/>
        <v>0</v>
      </c>
      <c r="S488" s="2850">
        <f t="shared" si="88"/>
        <v>0</v>
      </c>
    </row>
    <row r="489" spans="1:19">
      <c r="A489" s="3389"/>
      <c r="B489" s="3386"/>
      <c r="C489" s="3387">
        <f t="shared" si="89"/>
        <v>1</v>
      </c>
      <c r="D489" s="3388"/>
      <c r="E489" s="3387">
        <f t="shared" si="90"/>
        <v>0</v>
      </c>
      <c r="F489" s="3388"/>
      <c r="G489" s="3387">
        <f t="shared" si="91"/>
        <v>1</v>
      </c>
      <c r="H489" s="3388"/>
      <c r="I489" s="3387">
        <f t="shared" si="92"/>
        <v>1</v>
      </c>
      <c r="J489" s="3388"/>
      <c r="K489" s="3387">
        <f t="shared" si="93"/>
        <v>1</v>
      </c>
      <c r="L489" s="3388"/>
      <c r="M489" s="3387">
        <f t="shared" si="94"/>
        <v>1</v>
      </c>
      <c r="N489" s="3388"/>
      <c r="O489" s="3387">
        <f t="shared" si="95"/>
        <v>1</v>
      </c>
      <c r="P489" s="3388"/>
      <c r="Q489" s="3387">
        <f t="shared" si="96"/>
        <v>0</v>
      </c>
      <c r="R489" s="2973">
        <f t="shared" si="97"/>
        <v>0</v>
      </c>
      <c r="S489" s="2850">
        <f t="shared" si="88"/>
        <v>0</v>
      </c>
    </row>
    <row r="490" spans="1:19">
      <c r="A490" s="3389"/>
      <c r="B490" s="3386"/>
      <c r="C490" s="3387">
        <f t="shared" si="89"/>
        <v>1</v>
      </c>
      <c r="D490" s="3388"/>
      <c r="E490" s="3387">
        <f t="shared" si="90"/>
        <v>0</v>
      </c>
      <c r="F490" s="3388"/>
      <c r="G490" s="3387">
        <f t="shared" si="91"/>
        <v>1</v>
      </c>
      <c r="H490" s="3388"/>
      <c r="I490" s="3387">
        <f t="shared" si="92"/>
        <v>1</v>
      </c>
      <c r="J490" s="3388"/>
      <c r="K490" s="3387">
        <f t="shared" si="93"/>
        <v>1</v>
      </c>
      <c r="L490" s="3388"/>
      <c r="M490" s="3387">
        <f t="shared" si="94"/>
        <v>1</v>
      </c>
      <c r="N490" s="3388"/>
      <c r="O490" s="3387">
        <f t="shared" si="95"/>
        <v>1</v>
      </c>
      <c r="P490" s="3388"/>
      <c r="Q490" s="3387">
        <f t="shared" si="96"/>
        <v>0</v>
      </c>
      <c r="R490" s="2973">
        <f t="shared" si="97"/>
        <v>0</v>
      </c>
      <c r="S490" s="2850">
        <f t="shared" si="88"/>
        <v>0</v>
      </c>
    </row>
    <row r="491" spans="1:19">
      <c r="A491" s="3389"/>
      <c r="B491" s="3386"/>
      <c r="C491" s="3387">
        <f t="shared" si="89"/>
        <v>1</v>
      </c>
      <c r="D491" s="3388"/>
      <c r="E491" s="3387">
        <f t="shared" si="90"/>
        <v>0</v>
      </c>
      <c r="F491" s="3388"/>
      <c r="G491" s="3387">
        <f t="shared" si="91"/>
        <v>1</v>
      </c>
      <c r="H491" s="3388"/>
      <c r="I491" s="3387">
        <f t="shared" si="92"/>
        <v>1</v>
      </c>
      <c r="J491" s="3388"/>
      <c r="K491" s="3387">
        <f t="shared" si="93"/>
        <v>1</v>
      </c>
      <c r="L491" s="3388"/>
      <c r="M491" s="3387">
        <f t="shared" si="94"/>
        <v>1</v>
      </c>
      <c r="N491" s="3388"/>
      <c r="O491" s="3387">
        <f t="shared" si="95"/>
        <v>1</v>
      </c>
      <c r="P491" s="3388"/>
      <c r="Q491" s="3387">
        <f t="shared" si="96"/>
        <v>0</v>
      </c>
      <c r="R491" s="2973">
        <f t="shared" si="97"/>
        <v>0</v>
      </c>
      <c r="S491" s="2850">
        <f t="shared" si="88"/>
        <v>0</v>
      </c>
    </row>
    <row r="492" spans="1:19">
      <c r="A492" s="3389"/>
      <c r="B492" s="3386"/>
      <c r="C492" s="3387">
        <f t="shared" si="89"/>
        <v>1</v>
      </c>
      <c r="D492" s="3388"/>
      <c r="E492" s="3387">
        <f t="shared" si="90"/>
        <v>0</v>
      </c>
      <c r="F492" s="3388"/>
      <c r="G492" s="3387">
        <f t="shared" si="91"/>
        <v>1</v>
      </c>
      <c r="H492" s="3388"/>
      <c r="I492" s="3387">
        <f t="shared" si="92"/>
        <v>1</v>
      </c>
      <c r="J492" s="3388"/>
      <c r="K492" s="3387">
        <f t="shared" si="93"/>
        <v>1</v>
      </c>
      <c r="L492" s="3388"/>
      <c r="M492" s="3387">
        <f t="shared" si="94"/>
        <v>1</v>
      </c>
      <c r="N492" s="3388"/>
      <c r="O492" s="3387">
        <f t="shared" si="95"/>
        <v>1</v>
      </c>
      <c r="P492" s="3388"/>
      <c r="Q492" s="3387">
        <f t="shared" si="96"/>
        <v>0</v>
      </c>
      <c r="R492" s="2973">
        <f t="shared" si="97"/>
        <v>0</v>
      </c>
      <c r="S492" s="2850">
        <f t="shared" si="88"/>
        <v>0</v>
      </c>
    </row>
    <row r="493" spans="1:19">
      <c r="A493" s="3389"/>
      <c r="B493" s="3386"/>
      <c r="C493" s="3387">
        <f t="shared" si="89"/>
        <v>1</v>
      </c>
      <c r="D493" s="3388"/>
      <c r="E493" s="3387">
        <f t="shared" si="90"/>
        <v>0</v>
      </c>
      <c r="F493" s="3388"/>
      <c r="G493" s="3387">
        <f t="shared" si="91"/>
        <v>1</v>
      </c>
      <c r="H493" s="3388"/>
      <c r="I493" s="3387">
        <f t="shared" si="92"/>
        <v>1</v>
      </c>
      <c r="J493" s="3388"/>
      <c r="K493" s="3387">
        <f t="shared" si="93"/>
        <v>1</v>
      </c>
      <c r="L493" s="3388"/>
      <c r="M493" s="3387">
        <f t="shared" si="94"/>
        <v>1</v>
      </c>
      <c r="N493" s="3388"/>
      <c r="O493" s="3387">
        <f t="shared" si="95"/>
        <v>1</v>
      </c>
      <c r="P493" s="3388"/>
      <c r="Q493" s="3387">
        <f t="shared" si="96"/>
        <v>0</v>
      </c>
      <c r="R493" s="2973">
        <f t="shared" si="97"/>
        <v>0</v>
      </c>
      <c r="S493" s="2850">
        <f t="shared" si="88"/>
        <v>0</v>
      </c>
    </row>
    <row r="494" spans="1:19">
      <c r="A494" s="3389"/>
      <c r="B494" s="3386"/>
      <c r="C494" s="3387">
        <f t="shared" si="89"/>
        <v>1</v>
      </c>
      <c r="D494" s="3388"/>
      <c r="E494" s="3387">
        <f t="shared" si="90"/>
        <v>0</v>
      </c>
      <c r="F494" s="3388"/>
      <c r="G494" s="3387">
        <f t="shared" si="91"/>
        <v>1</v>
      </c>
      <c r="H494" s="3388"/>
      <c r="I494" s="3387">
        <f t="shared" si="92"/>
        <v>1</v>
      </c>
      <c r="J494" s="3388"/>
      <c r="K494" s="3387">
        <f t="shared" si="93"/>
        <v>1</v>
      </c>
      <c r="L494" s="3388"/>
      <c r="M494" s="3387">
        <f t="shared" si="94"/>
        <v>1</v>
      </c>
      <c r="N494" s="3388"/>
      <c r="O494" s="3387">
        <f t="shared" si="95"/>
        <v>1</v>
      </c>
      <c r="P494" s="3388"/>
      <c r="Q494" s="3387">
        <f t="shared" si="96"/>
        <v>0</v>
      </c>
      <c r="R494" s="2973">
        <f t="shared" si="97"/>
        <v>0</v>
      </c>
      <c r="S494" s="2850">
        <f t="shared" si="88"/>
        <v>0</v>
      </c>
    </row>
    <row r="495" spans="1:19">
      <c r="A495" s="3389"/>
      <c r="B495" s="3386"/>
      <c r="C495" s="3387">
        <f t="shared" si="89"/>
        <v>1</v>
      </c>
      <c r="D495" s="3388"/>
      <c r="E495" s="3387">
        <f t="shared" si="90"/>
        <v>0</v>
      </c>
      <c r="F495" s="3388"/>
      <c r="G495" s="3387">
        <f t="shared" si="91"/>
        <v>1</v>
      </c>
      <c r="H495" s="3388"/>
      <c r="I495" s="3387">
        <f t="shared" si="92"/>
        <v>1</v>
      </c>
      <c r="J495" s="3388"/>
      <c r="K495" s="3387">
        <f t="shared" si="93"/>
        <v>1</v>
      </c>
      <c r="L495" s="3388"/>
      <c r="M495" s="3387">
        <f t="shared" si="94"/>
        <v>1</v>
      </c>
      <c r="N495" s="3388"/>
      <c r="O495" s="3387">
        <f t="shared" si="95"/>
        <v>1</v>
      </c>
      <c r="P495" s="3388"/>
      <c r="Q495" s="3387">
        <f t="shared" si="96"/>
        <v>0</v>
      </c>
      <c r="R495" s="2973">
        <f t="shared" si="97"/>
        <v>0</v>
      </c>
      <c r="S495" s="2850">
        <f t="shared" si="88"/>
        <v>0</v>
      </c>
    </row>
    <row r="496" spans="1:19">
      <c r="A496" s="3389"/>
      <c r="B496" s="3386"/>
      <c r="C496" s="3387">
        <f t="shared" si="89"/>
        <v>1</v>
      </c>
      <c r="D496" s="3388"/>
      <c r="E496" s="3387">
        <f t="shared" si="90"/>
        <v>0</v>
      </c>
      <c r="F496" s="3388"/>
      <c r="G496" s="3387">
        <f t="shared" si="91"/>
        <v>1</v>
      </c>
      <c r="H496" s="3388"/>
      <c r="I496" s="3387">
        <f t="shared" si="92"/>
        <v>1</v>
      </c>
      <c r="J496" s="3388"/>
      <c r="K496" s="3387">
        <f t="shared" si="93"/>
        <v>1</v>
      </c>
      <c r="L496" s="3388"/>
      <c r="M496" s="3387">
        <f t="shared" si="94"/>
        <v>1</v>
      </c>
      <c r="N496" s="3388"/>
      <c r="O496" s="3387">
        <f t="shared" si="95"/>
        <v>1</v>
      </c>
      <c r="P496" s="3388"/>
      <c r="Q496" s="3387">
        <f t="shared" si="96"/>
        <v>0</v>
      </c>
      <c r="R496" s="2973">
        <f t="shared" si="97"/>
        <v>0</v>
      </c>
      <c r="S496" s="2850">
        <f t="shared" si="88"/>
        <v>0</v>
      </c>
    </row>
    <row r="497" spans="1:19">
      <c r="A497" s="3389"/>
      <c r="B497" s="3386"/>
      <c r="C497" s="3387">
        <f t="shared" si="89"/>
        <v>1</v>
      </c>
      <c r="D497" s="3388"/>
      <c r="E497" s="3387">
        <f t="shared" si="90"/>
        <v>0</v>
      </c>
      <c r="F497" s="3388"/>
      <c r="G497" s="3387">
        <f t="shared" si="91"/>
        <v>1</v>
      </c>
      <c r="H497" s="3388"/>
      <c r="I497" s="3387">
        <f t="shared" si="92"/>
        <v>1</v>
      </c>
      <c r="J497" s="3388"/>
      <c r="K497" s="3387">
        <f t="shared" si="93"/>
        <v>1</v>
      </c>
      <c r="L497" s="3388"/>
      <c r="M497" s="3387">
        <f t="shared" si="94"/>
        <v>1</v>
      </c>
      <c r="N497" s="3388"/>
      <c r="O497" s="3387">
        <f t="shared" si="95"/>
        <v>1</v>
      </c>
      <c r="P497" s="3388"/>
      <c r="Q497" s="3387">
        <f t="shared" si="96"/>
        <v>0</v>
      </c>
      <c r="R497" s="2973">
        <f t="shared" si="97"/>
        <v>0</v>
      </c>
      <c r="S497" s="2850">
        <f t="shared" si="88"/>
        <v>0</v>
      </c>
    </row>
    <row r="498" spans="1:19">
      <c r="A498" s="3389"/>
      <c r="B498" s="3386"/>
      <c r="C498" s="3387">
        <f t="shared" si="89"/>
        <v>1</v>
      </c>
      <c r="D498" s="3388"/>
      <c r="E498" s="3387">
        <f t="shared" si="90"/>
        <v>0</v>
      </c>
      <c r="F498" s="3388"/>
      <c r="G498" s="3387">
        <f t="shared" si="91"/>
        <v>1</v>
      </c>
      <c r="H498" s="3388"/>
      <c r="I498" s="3387">
        <f t="shared" si="92"/>
        <v>1</v>
      </c>
      <c r="J498" s="3388"/>
      <c r="K498" s="3387">
        <f t="shared" si="93"/>
        <v>1</v>
      </c>
      <c r="L498" s="3388"/>
      <c r="M498" s="3387">
        <f t="shared" si="94"/>
        <v>1</v>
      </c>
      <c r="N498" s="3388"/>
      <c r="O498" s="3387">
        <f t="shared" si="95"/>
        <v>1</v>
      </c>
      <c r="P498" s="3388"/>
      <c r="Q498" s="3387">
        <f t="shared" si="96"/>
        <v>0</v>
      </c>
      <c r="R498" s="2973">
        <f t="shared" si="97"/>
        <v>0</v>
      </c>
      <c r="S498" s="2850">
        <f t="shared" ref="S498:S524" si="98">ROUND(R498*B498/10000,0)</f>
        <v>0</v>
      </c>
    </row>
    <row r="499" spans="1:19">
      <c r="A499" s="3389"/>
      <c r="B499" s="3386"/>
      <c r="C499" s="3387">
        <f t="shared" si="89"/>
        <v>1</v>
      </c>
      <c r="D499" s="3388"/>
      <c r="E499" s="3387">
        <f t="shared" si="90"/>
        <v>0</v>
      </c>
      <c r="F499" s="3388"/>
      <c r="G499" s="3387">
        <f t="shared" si="91"/>
        <v>1</v>
      </c>
      <c r="H499" s="3388"/>
      <c r="I499" s="3387">
        <f t="shared" si="92"/>
        <v>1</v>
      </c>
      <c r="J499" s="3388"/>
      <c r="K499" s="3387">
        <f t="shared" si="93"/>
        <v>1</v>
      </c>
      <c r="L499" s="3388"/>
      <c r="M499" s="3387">
        <f t="shared" si="94"/>
        <v>1</v>
      </c>
      <c r="N499" s="3388"/>
      <c r="O499" s="3387">
        <f t="shared" si="95"/>
        <v>1</v>
      </c>
      <c r="P499" s="3388"/>
      <c r="Q499" s="3387">
        <f t="shared" si="96"/>
        <v>0</v>
      </c>
      <c r="R499" s="2973">
        <f t="shared" si="97"/>
        <v>0</v>
      </c>
      <c r="S499" s="2850">
        <f t="shared" si="98"/>
        <v>0</v>
      </c>
    </row>
    <row r="500" spans="1:19">
      <c r="A500" s="3389"/>
      <c r="B500" s="3386"/>
      <c r="C500" s="3387">
        <f t="shared" si="89"/>
        <v>1</v>
      </c>
      <c r="D500" s="3388"/>
      <c r="E500" s="3387">
        <f t="shared" si="90"/>
        <v>0</v>
      </c>
      <c r="F500" s="3388"/>
      <c r="G500" s="3387">
        <f t="shared" si="91"/>
        <v>1</v>
      </c>
      <c r="H500" s="3388"/>
      <c r="I500" s="3387">
        <f t="shared" si="92"/>
        <v>1</v>
      </c>
      <c r="J500" s="3388"/>
      <c r="K500" s="3387">
        <f t="shared" si="93"/>
        <v>1</v>
      </c>
      <c r="L500" s="3388"/>
      <c r="M500" s="3387">
        <f t="shared" si="94"/>
        <v>1</v>
      </c>
      <c r="N500" s="3388"/>
      <c r="O500" s="3387">
        <f t="shared" si="95"/>
        <v>1</v>
      </c>
      <c r="P500" s="3388"/>
      <c r="Q500" s="3387">
        <f t="shared" si="96"/>
        <v>0</v>
      </c>
      <c r="R500" s="2973">
        <f t="shared" si="97"/>
        <v>0</v>
      </c>
      <c r="S500" s="2850">
        <f t="shared" si="98"/>
        <v>0</v>
      </c>
    </row>
    <row r="501" spans="1:19">
      <c r="A501" s="3389"/>
      <c r="B501" s="3386"/>
      <c r="C501" s="3387">
        <f t="shared" si="89"/>
        <v>1</v>
      </c>
      <c r="D501" s="3388"/>
      <c r="E501" s="3387">
        <f t="shared" si="90"/>
        <v>0</v>
      </c>
      <c r="F501" s="3388"/>
      <c r="G501" s="3387">
        <f t="shared" si="91"/>
        <v>1</v>
      </c>
      <c r="H501" s="3388"/>
      <c r="I501" s="3387">
        <f t="shared" si="92"/>
        <v>1</v>
      </c>
      <c r="J501" s="3388"/>
      <c r="K501" s="3387">
        <f t="shared" si="93"/>
        <v>1</v>
      </c>
      <c r="L501" s="3388"/>
      <c r="M501" s="3387">
        <f t="shared" si="94"/>
        <v>1</v>
      </c>
      <c r="N501" s="3388"/>
      <c r="O501" s="3387">
        <f t="shared" si="95"/>
        <v>1</v>
      </c>
      <c r="P501" s="3388"/>
      <c r="Q501" s="3387">
        <f t="shared" si="96"/>
        <v>0</v>
      </c>
      <c r="R501" s="2973">
        <f t="shared" si="97"/>
        <v>0</v>
      </c>
      <c r="S501" s="2850">
        <f t="shared" si="98"/>
        <v>0</v>
      </c>
    </row>
    <row r="502" spans="1:19">
      <c r="A502" s="3389"/>
      <c r="B502" s="3386"/>
      <c r="C502" s="3387">
        <f t="shared" si="89"/>
        <v>1</v>
      </c>
      <c r="D502" s="3388"/>
      <c r="E502" s="3387">
        <f t="shared" si="90"/>
        <v>0</v>
      </c>
      <c r="F502" s="3388"/>
      <c r="G502" s="3387">
        <f t="shared" si="91"/>
        <v>1</v>
      </c>
      <c r="H502" s="3388"/>
      <c r="I502" s="3387">
        <f t="shared" si="92"/>
        <v>1</v>
      </c>
      <c r="J502" s="3388"/>
      <c r="K502" s="3387">
        <f t="shared" si="93"/>
        <v>1</v>
      </c>
      <c r="L502" s="3388"/>
      <c r="M502" s="3387">
        <f t="shared" si="94"/>
        <v>1</v>
      </c>
      <c r="N502" s="3388"/>
      <c r="O502" s="3387">
        <f t="shared" si="95"/>
        <v>1</v>
      </c>
      <c r="P502" s="3388"/>
      <c r="Q502" s="3387">
        <f t="shared" si="96"/>
        <v>0</v>
      </c>
      <c r="R502" s="2973">
        <f t="shared" si="97"/>
        <v>0</v>
      </c>
      <c r="S502" s="2850">
        <f t="shared" si="98"/>
        <v>0</v>
      </c>
    </row>
    <row r="503" spans="1:19">
      <c r="A503" s="3389"/>
      <c r="B503" s="3386"/>
      <c r="C503" s="3387">
        <f t="shared" si="89"/>
        <v>1</v>
      </c>
      <c r="D503" s="3388"/>
      <c r="E503" s="3387">
        <f t="shared" si="90"/>
        <v>0</v>
      </c>
      <c r="F503" s="3388"/>
      <c r="G503" s="3387">
        <f t="shared" si="91"/>
        <v>1</v>
      </c>
      <c r="H503" s="3388"/>
      <c r="I503" s="3387">
        <f t="shared" si="92"/>
        <v>1</v>
      </c>
      <c r="J503" s="3388"/>
      <c r="K503" s="3387">
        <f t="shared" si="93"/>
        <v>1</v>
      </c>
      <c r="L503" s="3388"/>
      <c r="M503" s="3387">
        <f t="shared" si="94"/>
        <v>1</v>
      </c>
      <c r="N503" s="3388"/>
      <c r="O503" s="3387">
        <f t="shared" si="95"/>
        <v>1</v>
      </c>
      <c r="P503" s="3388"/>
      <c r="Q503" s="3387">
        <f t="shared" si="96"/>
        <v>0</v>
      </c>
      <c r="R503" s="2973">
        <f t="shared" si="97"/>
        <v>0</v>
      </c>
      <c r="S503" s="2850">
        <f t="shared" si="98"/>
        <v>0</v>
      </c>
    </row>
    <row r="504" spans="1:19">
      <c r="A504" s="3389"/>
      <c r="B504" s="3386"/>
      <c r="C504" s="3387">
        <f t="shared" si="89"/>
        <v>1</v>
      </c>
      <c r="D504" s="3388"/>
      <c r="E504" s="3387">
        <f t="shared" si="90"/>
        <v>0</v>
      </c>
      <c r="F504" s="3388"/>
      <c r="G504" s="3387">
        <f t="shared" si="91"/>
        <v>1</v>
      </c>
      <c r="H504" s="3388"/>
      <c r="I504" s="3387">
        <f t="shared" si="92"/>
        <v>1</v>
      </c>
      <c r="J504" s="3388"/>
      <c r="K504" s="3387">
        <f t="shared" si="93"/>
        <v>1</v>
      </c>
      <c r="L504" s="3388"/>
      <c r="M504" s="3387">
        <f t="shared" si="94"/>
        <v>1</v>
      </c>
      <c r="N504" s="3388"/>
      <c r="O504" s="3387">
        <f t="shared" si="95"/>
        <v>1</v>
      </c>
      <c r="P504" s="3388"/>
      <c r="Q504" s="3387">
        <f t="shared" si="96"/>
        <v>0</v>
      </c>
      <c r="R504" s="2973">
        <f t="shared" si="97"/>
        <v>0</v>
      </c>
      <c r="S504" s="2850">
        <f t="shared" si="98"/>
        <v>0</v>
      </c>
    </row>
    <row r="505" spans="1:19">
      <c r="A505" s="3389"/>
      <c r="B505" s="3386"/>
      <c r="C505" s="3387">
        <f t="shared" si="89"/>
        <v>1</v>
      </c>
      <c r="D505" s="3388"/>
      <c r="E505" s="3387">
        <f t="shared" si="90"/>
        <v>0</v>
      </c>
      <c r="F505" s="3388"/>
      <c r="G505" s="3387">
        <f t="shared" si="91"/>
        <v>1</v>
      </c>
      <c r="H505" s="3388"/>
      <c r="I505" s="3387">
        <f t="shared" si="92"/>
        <v>1</v>
      </c>
      <c r="J505" s="3388"/>
      <c r="K505" s="3387">
        <f t="shared" si="93"/>
        <v>1</v>
      </c>
      <c r="L505" s="3388"/>
      <c r="M505" s="3387">
        <f t="shared" si="94"/>
        <v>1</v>
      </c>
      <c r="N505" s="3388"/>
      <c r="O505" s="3387">
        <f t="shared" si="95"/>
        <v>1</v>
      </c>
      <c r="P505" s="3388"/>
      <c r="Q505" s="3387">
        <f t="shared" si="96"/>
        <v>0</v>
      </c>
      <c r="R505" s="2973">
        <f t="shared" si="97"/>
        <v>0</v>
      </c>
      <c r="S505" s="2850">
        <f t="shared" si="98"/>
        <v>0</v>
      </c>
    </row>
    <row r="506" spans="1:19">
      <c r="A506" s="3389"/>
      <c r="B506" s="3386"/>
      <c r="C506" s="3387">
        <f t="shared" si="89"/>
        <v>1</v>
      </c>
      <c r="D506" s="3388"/>
      <c r="E506" s="3387">
        <f t="shared" si="90"/>
        <v>0</v>
      </c>
      <c r="F506" s="3388"/>
      <c r="G506" s="3387">
        <f t="shared" si="91"/>
        <v>1</v>
      </c>
      <c r="H506" s="3388"/>
      <c r="I506" s="3387">
        <f t="shared" si="92"/>
        <v>1</v>
      </c>
      <c r="J506" s="3388"/>
      <c r="K506" s="3387">
        <f t="shared" si="93"/>
        <v>1</v>
      </c>
      <c r="L506" s="3388"/>
      <c r="M506" s="3387">
        <f t="shared" si="94"/>
        <v>1</v>
      </c>
      <c r="N506" s="3388"/>
      <c r="O506" s="3387">
        <f t="shared" si="95"/>
        <v>1</v>
      </c>
      <c r="P506" s="3388"/>
      <c r="Q506" s="3387">
        <f t="shared" si="96"/>
        <v>0</v>
      </c>
      <c r="R506" s="2973">
        <f t="shared" si="97"/>
        <v>0</v>
      </c>
      <c r="S506" s="2850">
        <f t="shared" si="98"/>
        <v>0</v>
      </c>
    </row>
    <row r="507" spans="1:19">
      <c r="A507" s="3389"/>
      <c r="B507" s="3386"/>
      <c r="C507" s="3387">
        <f t="shared" si="89"/>
        <v>1</v>
      </c>
      <c r="D507" s="3388"/>
      <c r="E507" s="3387">
        <f t="shared" si="90"/>
        <v>0</v>
      </c>
      <c r="F507" s="3388"/>
      <c r="G507" s="3387">
        <f t="shared" si="91"/>
        <v>1</v>
      </c>
      <c r="H507" s="3388"/>
      <c r="I507" s="3387">
        <f t="shared" si="92"/>
        <v>1</v>
      </c>
      <c r="J507" s="3388"/>
      <c r="K507" s="3387">
        <f t="shared" si="93"/>
        <v>1</v>
      </c>
      <c r="L507" s="3388"/>
      <c r="M507" s="3387">
        <f t="shared" si="94"/>
        <v>1</v>
      </c>
      <c r="N507" s="3388"/>
      <c r="O507" s="3387">
        <f t="shared" si="95"/>
        <v>1</v>
      </c>
      <c r="P507" s="3388"/>
      <c r="Q507" s="3387">
        <f t="shared" si="96"/>
        <v>0</v>
      </c>
      <c r="R507" s="2973">
        <f t="shared" si="97"/>
        <v>0</v>
      </c>
      <c r="S507" s="2850">
        <f t="shared" si="98"/>
        <v>0</v>
      </c>
    </row>
    <row r="508" spans="1:19">
      <c r="A508" s="3389"/>
      <c r="B508" s="3386"/>
      <c r="C508" s="3387">
        <f t="shared" si="89"/>
        <v>1</v>
      </c>
      <c r="D508" s="3388"/>
      <c r="E508" s="3387">
        <f t="shared" si="90"/>
        <v>0</v>
      </c>
      <c r="F508" s="3388"/>
      <c r="G508" s="3387">
        <f t="shared" si="91"/>
        <v>1</v>
      </c>
      <c r="H508" s="3388"/>
      <c r="I508" s="3387">
        <f t="shared" si="92"/>
        <v>1</v>
      </c>
      <c r="J508" s="3388"/>
      <c r="K508" s="3387">
        <f t="shared" si="93"/>
        <v>1</v>
      </c>
      <c r="L508" s="3388"/>
      <c r="M508" s="3387">
        <f t="shared" si="94"/>
        <v>1</v>
      </c>
      <c r="N508" s="3388"/>
      <c r="O508" s="3387">
        <f t="shared" si="95"/>
        <v>1</v>
      </c>
      <c r="P508" s="3388"/>
      <c r="Q508" s="3387">
        <f t="shared" si="96"/>
        <v>0</v>
      </c>
      <c r="R508" s="2973">
        <f t="shared" si="97"/>
        <v>0</v>
      </c>
      <c r="S508" s="2850">
        <f t="shared" si="98"/>
        <v>0</v>
      </c>
    </row>
    <row r="509" spans="1:19">
      <c r="A509" s="3389"/>
      <c r="B509" s="3386"/>
      <c r="C509" s="3387">
        <f t="shared" si="89"/>
        <v>1</v>
      </c>
      <c r="D509" s="3388"/>
      <c r="E509" s="3387">
        <f t="shared" si="90"/>
        <v>0</v>
      </c>
      <c r="F509" s="3388"/>
      <c r="G509" s="3387">
        <f t="shared" si="91"/>
        <v>1</v>
      </c>
      <c r="H509" s="3388"/>
      <c r="I509" s="3387">
        <f t="shared" si="92"/>
        <v>1</v>
      </c>
      <c r="J509" s="3388"/>
      <c r="K509" s="3387">
        <f t="shared" si="93"/>
        <v>1</v>
      </c>
      <c r="L509" s="3388"/>
      <c r="M509" s="3387">
        <f t="shared" si="94"/>
        <v>1</v>
      </c>
      <c r="N509" s="3388"/>
      <c r="O509" s="3387">
        <f t="shared" si="95"/>
        <v>1</v>
      </c>
      <c r="P509" s="3388"/>
      <c r="Q509" s="3387">
        <f t="shared" si="96"/>
        <v>0</v>
      </c>
      <c r="R509" s="2973">
        <f t="shared" si="97"/>
        <v>0</v>
      </c>
      <c r="S509" s="2850">
        <f t="shared" si="98"/>
        <v>0</v>
      </c>
    </row>
    <row r="510" spans="1:19">
      <c r="A510" s="3389"/>
      <c r="B510" s="3386"/>
      <c r="C510" s="3387">
        <f t="shared" si="89"/>
        <v>1</v>
      </c>
      <c r="D510" s="3388"/>
      <c r="E510" s="3387">
        <f t="shared" si="90"/>
        <v>0</v>
      </c>
      <c r="F510" s="3388"/>
      <c r="G510" s="3387">
        <f t="shared" si="91"/>
        <v>1</v>
      </c>
      <c r="H510" s="3388"/>
      <c r="I510" s="3387">
        <f t="shared" si="92"/>
        <v>1</v>
      </c>
      <c r="J510" s="3388"/>
      <c r="K510" s="3387">
        <f t="shared" si="93"/>
        <v>1</v>
      </c>
      <c r="L510" s="3388"/>
      <c r="M510" s="3387">
        <f t="shared" si="94"/>
        <v>1</v>
      </c>
      <c r="N510" s="3388"/>
      <c r="O510" s="3387">
        <f t="shared" si="95"/>
        <v>1</v>
      </c>
      <c r="P510" s="3388"/>
      <c r="Q510" s="3387">
        <f t="shared" si="96"/>
        <v>0</v>
      </c>
      <c r="R510" s="2973">
        <f t="shared" si="97"/>
        <v>0</v>
      </c>
      <c r="S510" s="2850">
        <f t="shared" si="98"/>
        <v>0</v>
      </c>
    </row>
    <row r="511" spans="1:19">
      <c r="A511" s="3389"/>
      <c r="B511" s="3386"/>
      <c r="C511" s="3387">
        <f t="shared" si="89"/>
        <v>1</v>
      </c>
      <c r="D511" s="3388"/>
      <c r="E511" s="3387">
        <f t="shared" si="90"/>
        <v>0</v>
      </c>
      <c r="F511" s="3388"/>
      <c r="G511" s="3387">
        <f t="shared" si="91"/>
        <v>1</v>
      </c>
      <c r="H511" s="3388"/>
      <c r="I511" s="3387">
        <f t="shared" si="92"/>
        <v>1</v>
      </c>
      <c r="J511" s="3388"/>
      <c r="K511" s="3387">
        <f t="shared" si="93"/>
        <v>1</v>
      </c>
      <c r="L511" s="3388"/>
      <c r="M511" s="3387">
        <f t="shared" si="94"/>
        <v>1</v>
      </c>
      <c r="N511" s="3388"/>
      <c r="O511" s="3387">
        <f t="shared" si="95"/>
        <v>1</v>
      </c>
      <c r="P511" s="3388"/>
      <c r="Q511" s="3387">
        <f t="shared" si="96"/>
        <v>0</v>
      </c>
      <c r="R511" s="2973">
        <f t="shared" si="97"/>
        <v>0</v>
      </c>
      <c r="S511" s="2850">
        <f t="shared" si="98"/>
        <v>0</v>
      </c>
    </row>
    <row r="512" spans="1:19">
      <c r="A512" s="3389"/>
      <c r="B512" s="3386"/>
      <c r="C512" s="3387">
        <f t="shared" si="89"/>
        <v>1</v>
      </c>
      <c r="D512" s="3388"/>
      <c r="E512" s="3387">
        <f t="shared" si="90"/>
        <v>0</v>
      </c>
      <c r="F512" s="3388"/>
      <c r="G512" s="3387">
        <f t="shared" si="91"/>
        <v>1</v>
      </c>
      <c r="H512" s="3388"/>
      <c r="I512" s="3387">
        <f t="shared" si="92"/>
        <v>1</v>
      </c>
      <c r="J512" s="3388"/>
      <c r="K512" s="3387">
        <f t="shared" si="93"/>
        <v>1</v>
      </c>
      <c r="L512" s="3388"/>
      <c r="M512" s="3387">
        <f t="shared" si="94"/>
        <v>1</v>
      </c>
      <c r="N512" s="3388"/>
      <c r="O512" s="3387">
        <f t="shared" si="95"/>
        <v>1</v>
      </c>
      <c r="P512" s="3388"/>
      <c r="Q512" s="3387">
        <f t="shared" si="96"/>
        <v>0</v>
      </c>
      <c r="R512" s="2973">
        <f t="shared" si="97"/>
        <v>0</v>
      </c>
      <c r="S512" s="2850">
        <f t="shared" si="98"/>
        <v>0</v>
      </c>
    </row>
    <row r="513" spans="1:19">
      <c r="A513" s="3389"/>
      <c r="B513" s="3386"/>
      <c r="C513" s="3387">
        <f t="shared" si="89"/>
        <v>1</v>
      </c>
      <c r="D513" s="3388"/>
      <c r="E513" s="3387">
        <f t="shared" si="90"/>
        <v>0</v>
      </c>
      <c r="F513" s="3388"/>
      <c r="G513" s="3387">
        <f t="shared" si="91"/>
        <v>1</v>
      </c>
      <c r="H513" s="3388"/>
      <c r="I513" s="3387">
        <f t="shared" si="92"/>
        <v>1</v>
      </c>
      <c r="J513" s="3388"/>
      <c r="K513" s="3387">
        <f t="shared" si="93"/>
        <v>1</v>
      </c>
      <c r="L513" s="3388"/>
      <c r="M513" s="3387">
        <f t="shared" si="94"/>
        <v>1</v>
      </c>
      <c r="N513" s="3388"/>
      <c r="O513" s="3387">
        <f t="shared" si="95"/>
        <v>1</v>
      </c>
      <c r="P513" s="3388"/>
      <c r="Q513" s="3387">
        <f t="shared" si="96"/>
        <v>0</v>
      </c>
      <c r="R513" s="2973">
        <f t="shared" si="97"/>
        <v>0</v>
      </c>
      <c r="S513" s="2850">
        <f t="shared" si="98"/>
        <v>0</v>
      </c>
    </row>
    <row r="514" spans="1:19">
      <c r="A514" s="3389"/>
      <c r="B514" s="3386"/>
      <c r="C514" s="3387">
        <f t="shared" si="89"/>
        <v>1</v>
      </c>
      <c r="D514" s="3388"/>
      <c r="E514" s="3387">
        <f t="shared" si="90"/>
        <v>0</v>
      </c>
      <c r="F514" s="3388"/>
      <c r="G514" s="3387">
        <f t="shared" si="91"/>
        <v>1</v>
      </c>
      <c r="H514" s="3388"/>
      <c r="I514" s="3387">
        <f t="shared" si="92"/>
        <v>1</v>
      </c>
      <c r="J514" s="3388"/>
      <c r="K514" s="3387">
        <f t="shared" si="93"/>
        <v>1</v>
      </c>
      <c r="L514" s="3388"/>
      <c r="M514" s="3387">
        <f t="shared" si="94"/>
        <v>1</v>
      </c>
      <c r="N514" s="3388"/>
      <c r="O514" s="3387">
        <f t="shared" si="95"/>
        <v>1</v>
      </c>
      <c r="P514" s="3388"/>
      <c r="Q514" s="3387">
        <f t="shared" si="96"/>
        <v>0</v>
      </c>
      <c r="R514" s="2973">
        <f t="shared" si="97"/>
        <v>0</v>
      </c>
      <c r="S514" s="2850">
        <f t="shared" si="98"/>
        <v>0</v>
      </c>
    </row>
    <row r="515" spans="1:19">
      <c r="A515" s="3389"/>
      <c r="B515" s="3386"/>
      <c r="C515" s="3387">
        <f t="shared" si="89"/>
        <v>1</v>
      </c>
      <c r="D515" s="3388"/>
      <c r="E515" s="3387">
        <f t="shared" si="90"/>
        <v>0</v>
      </c>
      <c r="F515" s="3388"/>
      <c r="G515" s="3387">
        <f t="shared" si="91"/>
        <v>1</v>
      </c>
      <c r="H515" s="3388"/>
      <c r="I515" s="3387">
        <f t="shared" si="92"/>
        <v>1</v>
      </c>
      <c r="J515" s="3388"/>
      <c r="K515" s="3387">
        <f t="shared" si="93"/>
        <v>1</v>
      </c>
      <c r="L515" s="3388"/>
      <c r="M515" s="3387">
        <f t="shared" si="94"/>
        <v>1</v>
      </c>
      <c r="N515" s="3388"/>
      <c r="O515" s="3387">
        <f t="shared" si="95"/>
        <v>1</v>
      </c>
      <c r="P515" s="3388"/>
      <c r="Q515" s="3387">
        <f t="shared" si="96"/>
        <v>0</v>
      </c>
      <c r="R515" s="2973">
        <f t="shared" si="97"/>
        <v>0</v>
      </c>
      <c r="S515" s="2850">
        <f t="shared" si="98"/>
        <v>0</v>
      </c>
    </row>
    <row r="516" spans="1:19">
      <c r="A516" s="3389"/>
      <c r="B516" s="3386"/>
      <c r="C516" s="3387">
        <f t="shared" si="89"/>
        <v>1</v>
      </c>
      <c r="D516" s="3388"/>
      <c r="E516" s="3387">
        <f t="shared" si="90"/>
        <v>0</v>
      </c>
      <c r="F516" s="3388"/>
      <c r="G516" s="3387">
        <f t="shared" si="91"/>
        <v>1</v>
      </c>
      <c r="H516" s="3388"/>
      <c r="I516" s="3387">
        <f t="shared" si="92"/>
        <v>1</v>
      </c>
      <c r="J516" s="3388"/>
      <c r="K516" s="3387">
        <f t="shared" si="93"/>
        <v>1</v>
      </c>
      <c r="L516" s="3388"/>
      <c r="M516" s="3387">
        <f t="shared" si="94"/>
        <v>1</v>
      </c>
      <c r="N516" s="3388"/>
      <c r="O516" s="3387">
        <f t="shared" si="95"/>
        <v>1</v>
      </c>
      <c r="P516" s="3388"/>
      <c r="Q516" s="3387">
        <f t="shared" si="96"/>
        <v>0</v>
      </c>
      <c r="R516" s="2973">
        <f t="shared" si="97"/>
        <v>0</v>
      </c>
      <c r="S516" s="2850">
        <f t="shared" si="98"/>
        <v>0</v>
      </c>
    </row>
    <row r="517" spans="1:19">
      <c r="A517" s="3389"/>
      <c r="B517" s="3386"/>
      <c r="C517" s="3387">
        <f t="shared" si="89"/>
        <v>1</v>
      </c>
      <c r="D517" s="3388"/>
      <c r="E517" s="3387">
        <f t="shared" si="90"/>
        <v>0</v>
      </c>
      <c r="F517" s="3388"/>
      <c r="G517" s="3387">
        <f t="shared" si="91"/>
        <v>1</v>
      </c>
      <c r="H517" s="3388"/>
      <c r="I517" s="3387">
        <f t="shared" si="92"/>
        <v>1</v>
      </c>
      <c r="J517" s="3388"/>
      <c r="K517" s="3387">
        <f t="shared" si="93"/>
        <v>1</v>
      </c>
      <c r="L517" s="3388"/>
      <c r="M517" s="3387">
        <f t="shared" si="94"/>
        <v>1</v>
      </c>
      <c r="N517" s="3388"/>
      <c r="O517" s="3387">
        <f t="shared" si="95"/>
        <v>1</v>
      </c>
      <c r="P517" s="3388"/>
      <c r="Q517" s="3387">
        <f t="shared" si="96"/>
        <v>0</v>
      </c>
      <c r="R517" s="2973">
        <f t="shared" si="97"/>
        <v>0</v>
      </c>
      <c r="S517" s="2850">
        <f t="shared" si="98"/>
        <v>0</v>
      </c>
    </row>
    <row r="518" spans="1:19">
      <c r="A518" s="3389"/>
      <c r="B518" s="3386"/>
      <c r="C518" s="3387">
        <f t="shared" si="89"/>
        <v>1</v>
      </c>
      <c r="D518" s="3388"/>
      <c r="E518" s="3387">
        <f t="shared" si="90"/>
        <v>0</v>
      </c>
      <c r="F518" s="3388"/>
      <c r="G518" s="3387">
        <f t="shared" si="91"/>
        <v>1</v>
      </c>
      <c r="H518" s="3388"/>
      <c r="I518" s="3387">
        <f t="shared" si="92"/>
        <v>1</v>
      </c>
      <c r="J518" s="3388"/>
      <c r="K518" s="3387">
        <f t="shared" si="93"/>
        <v>1</v>
      </c>
      <c r="L518" s="3388"/>
      <c r="M518" s="3387">
        <f t="shared" si="94"/>
        <v>1</v>
      </c>
      <c r="N518" s="3388"/>
      <c r="O518" s="3387">
        <f t="shared" si="95"/>
        <v>1</v>
      </c>
      <c r="P518" s="3388"/>
      <c r="Q518" s="3387">
        <f t="shared" si="96"/>
        <v>0</v>
      </c>
      <c r="R518" s="2973">
        <f t="shared" si="97"/>
        <v>0</v>
      </c>
      <c r="S518" s="2850">
        <f t="shared" si="98"/>
        <v>0</v>
      </c>
    </row>
    <row r="519" spans="1:19">
      <c r="A519" s="3389"/>
      <c r="B519" s="3386"/>
      <c r="C519" s="3387">
        <f t="shared" si="89"/>
        <v>1</v>
      </c>
      <c r="D519" s="3388"/>
      <c r="E519" s="3387">
        <f t="shared" si="90"/>
        <v>0</v>
      </c>
      <c r="F519" s="3388"/>
      <c r="G519" s="3387">
        <f t="shared" si="91"/>
        <v>1</v>
      </c>
      <c r="H519" s="3388"/>
      <c r="I519" s="3387">
        <f t="shared" si="92"/>
        <v>1</v>
      </c>
      <c r="J519" s="3388"/>
      <c r="K519" s="3387">
        <f t="shared" si="93"/>
        <v>1</v>
      </c>
      <c r="L519" s="3388"/>
      <c r="M519" s="3387">
        <f t="shared" si="94"/>
        <v>1</v>
      </c>
      <c r="N519" s="3388"/>
      <c r="O519" s="3387">
        <f t="shared" si="95"/>
        <v>1</v>
      </c>
      <c r="P519" s="3388"/>
      <c r="Q519" s="3387">
        <f t="shared" si="96"/>
        <v>0</v>
      </c>
      <c r="R519" s="2973">
        <f t="shared" si="97"/>
        <v>0</v>
      </c>
      <c r="S519" s="2850">
        <f t="shared" si="98"/>
        <v>0</v>
      </c>
    </row>
    <row r="520" spans="1:19">
      <c r="A520" s="3389"/>
      <c r="B520" s="3386"/>
      <c r="C520" s="3387">
        <f t="shared" si="89"/>
        <v>1</v>
      </c>
      <c r="D520" s="3388"/>
      <c r="E520" s="3387">
        <f t="shared" si="90"/>
        <v>0</v>
      </c>
      <c r="F520" s="3388"/>
      <c r="G520" s="3387">
        <f t="shared" si="91"/>
        <v>1</v>
      </c>
      <c r="H520" s="3388"/>
      <c r="I520" s="3387">
        <f t="shared" si="92"/>
        <v>1</v>
      </c>
      <c r="J520" s="3388"/>
      <c r="K520" s="3387">
        <f t="shared" si="93"/>
        <v>1</v>
      </c>
      <c r="L520" s="3388"/>
      <c r="M520" s="3387">
        <f t="shared" si="94"/>
        <v>1</v>
      </c>
      <c r="N520" s="3388"/>
      <c r="O520" s="3387">
        <f t="shared" si="95"/>
        <v>1</v>
      </c>
      <c r="P520" s="3388"/>
      <c r="Q520" s="3387">
        <f t="shared" si="96"/>
        <v>0</v>
      </c>
      <c r="R520" s="2973">
        <f t="shared" si="97"/>
        <v>0</v>
      </c>
      <c r="S520" s="2850">
        <f t="shared" si="98"/>
        <v>0</v>
      </c>
    </row>
    <row r="521" spans="1:19">
      <c r="A521" s="3389"/>
      <c r="B521" s="3386"/>
      <c r="C521" s="3387">
        <f t="shared" si="89"/>
        <v>1</v>
      </c>
      <c r="D521" s="3388"/>
      <c r="E521" s="3387">
        <f t="shared" si="90"/>
        <v>0</v>
      </c>
      <c r="F521" s="3388"/>
      <c r="G521" s="3387">
        <f t="shared" si="91"/>
        <v>1</v>
      </c>
      <c r="H521" s="3388"/>
      <c r="I521" s="3387">
        <f t="shared" si="92"/>
        <v>1</v>
      </c>
      <c r="J521" s="3388"/>
      <c r="K521" s="3387">
        <f t="shared" si="93"/>
        <v>1</v>
      </c>
      <c r="L521" s="3388"/>
      <c r="M521" s="3387">
        <f t="shared" si="94"/>
        <v>1</v>
      </c>
      <c r="N521" s="3388"/>
      <c r="O521" s="3387">
        <f t="shared" si="95"/>
        <v>1</v>
      </c>
      <c r="P521" s="3388"/>
      <c r="Q521" s="3387">
        <f t="shared" si="96"/>
        <v>0</v>
      </c>
      <c r="R521" s="2973">
        <f t="shared" si="97"/>
        <v>0</v>
      </c>
      <c r="S521" s="2850">
        <f t="shared" si="98"/>
        <v>0</v>
      </c>
    </row>
    <row r="522" spans="1:19">
      <c r="A522" s="3389"/>
      <c r="B522" s="3386"/>
      <c r="C522" s="3387">
        <f t="shared" si="89"/>
        <v>1</v>
      </c>
      <c r="D522" s="3388"/>
      <c r="E522" s="3387">
        <f t="shared" si="90"/>
        <v>0</v>
      </c>
      <c r="F522" s="3388"/>
      <c r="G522" s="3387">
        <f t="shared" si="91"/>
        <v>1</v>
      </c>
      <c r="H522" s="3388"/>
      <c r="I522" s="3387">
        <f t="shared" si="92"/>
        <v>1</v>
      </c>
      <c r="J522" s="3388"/>
      <c r="K522" s="3387">
        <f t="shared" si="93"/>
        <v>1</v>
      </c>
      <c r="L522" s="3388"/>
      <c r="M522" s="3387">
        <f t="shared" si="94"/>
        <v>1</v>
      </c>
      <c r="N522" s="3388"/>
      <c r="O522" s="3387">
        <f t="shared" si="95"/>
        <v>1</v>
      </c>
      <c r="P522" s="3388"/>
      <c r="Q522" s="3387">
        <f t="shared" si="96"/>
        <v>0</v>
      </c>
      <c r="R522" s="2973">
        <f t="shared" si="97"/>
        <v>0</v>
      </c>
      <c r="S522" s="2850">
        <f t="shared" si="98"/>
        <v>0</v>
      </c>
    </row>
    <row r="523" spans="1:19">
      <c r="A523" s="3389"/>
      <c r="B523" s="3386"/>
      <c r="C523" s="3387">
        <f t="shared" si="89"/>
        <v>1</v>
      </c>
      <c r="D523" s="3388"/>
      <c r="E523" s="3387">
        <f t="shared" si="90"/>
        <v>0</v>
      </c>
      <c r="F523" s="3388"/>
      <c r="G523" s="3387">
        <f t="shared" si="91"/>
        <v>1</v>
      </c>
      <c r="H523" s="3388"/>
      <c r="I523" s="3387">
        <f t="shared" si="92"/>
        <v>1</v>
      </c>
      <c r="J523" s="3388"/>
      <c r="K523" s="3387">
        <f t="shared" si="93"/>
        <v>1</v>
      </c>
      <c r="L523" s="3388"/>
      <c r="M523" s="3387">
        <f t="shared" si="94"/>
        <v>1</v>
      </c>
      <c r="N523" s="3388"/>
      <c r="O523" s="3387">
        <f t="shared" si="95"/>
        <v>1</v>
      </c>
      <c r="P523" s="3388"/>
      <c r="Q523" s="3387">
        <f t="shared" si="96"/>
        <v>0</v>
      </c>
      <c r="R523" s="2973">
        <f t="shared" si="97"/>
        <v>0</v>
      </c>
      <c r="S523" s="2850">
        <f t="shared" si="98"/>
        <v>0</v>
      </c>
    </row>
    <row r="524" spans="1:19">
      <c r="A524" s="3389"/>
      <c r="B524" s="3386"/>
      <c r="C524" s="3387">
        <f t="shared" si="89"/>
        <v>1</v>
      </c>
      <c r="D524" s="3388"/>
      <c r="E524" s="3387">
        <f t="shared" si="90"/>
        <v>0</v>
      </c>
      <c r="F524" s="3388"/>
      <c r="G524" s="3387">
        <f t="shared" si="91"/>
        <v>1</v>
      </c>
      <c r="H524" s="3388"/>
      <c r="I524" s="3387">
        <f t="shared" si="92"/>
        <v>1</v>
      </c>
      <c r="J524" s="3388"/>
      <c r="K524" s="3387">
        <f t="shared" si="93"/>
        <v>1</v>
      </c>
      <c r="L524" s="3388"/>
      <c r="M524" s="3387">
        <f t="shared" si="94"/>
        <v>1</v>
      </c>
      <c r="N524" s="3388"/>
      <c r="O524" s="3387">
        <f t="shared" si="95"/>
        <v>1</v>
      </c>
      <c r="P524" s="3388"/>
      <c r="Q524" s="3387">
        <f t="shared" si="96"/>
        <v>0</v>
      </c>
      <c r="R524" s="2973">
        <f t="shared" si="97"/>
        <v>0</v>
      </c>
      <c r="S524" s="2850">
        <f t="shared" si="98"/>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18" sqref="G18"/>
    </sheetView>
  </sheetViews>
  <sheetFormatPr defaultColWidth="9" defaultRowHeight="12.75"/>
  <cols>
    <col min="1" max="1" width="9" style="428" customWidth="1"/>
    <col min="2" max="2" width="20.625" style="2565" customWidth="1"/>
    <col min="3" max="3" width="12.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1244</v>
      </c>
      <c r="B1" s="1399"/>
      <c r="C1" s="2848" t="s">
        <v>681</v>
      </c>
      <c r="D1" s="2569" t="s">
        <v>124</v>
      </c>
      <c r="E1" s="2570" t="s">
        <v>1245</v>
      </c>
      <c r="F1" s="3222">
        <f ca="1">J62</f>
        <v>26.03</v>
      </c>
      <c r="G1" s="2572">
        <f>MATCH(C1,'数据-取费表'!A6:A16,0)+5</f>
        <v>6</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1246</v>
      </c>
      <c r="B2" s="2874">
        <f ca="1">IF(D2="含税",ROUND((C28+J31+L55)*(1+F31),0),C28+J31+L55)</f>
        <v>23965</v>
      </c>
      <c r="C2" s="2578" t="s">
        <v>1247</v>
      </c>
      <c r="D2" s="2851" t="s">
        <v>1123</v>
      </c>
      <c r="E2" s="2580"/>
      <c r="F2" s="2581"/>
      <c r="G2" s="2582"/>
      <c r="H2" s="2583"/>
      <c r="I2" s="2583"/>
      <c r="J2" s="2583"/>
      <c r="K2" s="2584"/>
      <c r="L2" s="2583"/>
      <c r="M2" s="2583"/>
    </row>
    <row r="3" ht="18" customHeight="1" spans="1:37">
      <c r="A3" s="2585" t="s">
        <v>1248</v>
      </c>
      <c r="B3" s="2978">
        <f ca="1">IF(ISERROR(B2*10000/F32),0,ROUND(B2*10000/F32,0))</f>
        <v>11465</v>
      </c>
      <c r="C3" s="2578" t="s">
        <v>1249</v>
      </c>
      <c r="D3" s="2578"/>
      <c r="E3" s="2580"/>
      <c r="F3" s="2581"/>
      <c r="G3" s="2582"/>
      <c r="H3" s="2587" t="s">
        <v>1250</v>
      </c>
      <c r="I3" s="2588"/>
      <c r="J3" s="2588"/>
      <c r="K3" s="2589"/>
      <c r="L3" s="2588"/>
      <c r="M3" s="2588"/>
    </row>
    <row r="4" s="427" customFormat="1" ht="18" customHeight="1" spans="1:37">
      <c r="A4" s="2852" t="s">
        <v>1251</v>
      </c>
      <c r="B4" s="2853" t="s">
        <v>1252</v>
      </c>
      <c r="C4" s="2854" t="s">
        <v>1253</v>
      </c>
      <c r="D4" s="2853" t="s">
        <v>1254</v>
      </c>
      <c r="E4" s="2855" t="s">
        <v>1255</v>
      </c>
      <c r="F4" s="3223"/>
      <c r="G4" s="2846"/>
      <c r="H4" s="2852" t="s">
        <v>1251</v>
      </c>
      <c r="I4" s="2853" t="s">
        <v>1252</v>
      </c>
      <c r="J4" s="2854" t="s">
        <v>1253</v>
      </c>
      <c r="K4" s="2853" t="s">
        <v>1254</v>
      </c>
      <c r="L4" s="2855" t="s">
        <v>1255</v>
      </c>
      <c r="M4" s="3223"/>
      <c r="N4" s="2846"/>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row>
    <row r="5" s="427" customFormat="1" ht="18" customHeight="1" spans="1:37">
      <c r="A5" s="2594">
        <v>1</v>
      </c>
      <c r="B5" s="2860" t="s">
        <v>1256</v>
      </c>
      <c r="C5" s="2861">
        <f ca="1">ROUND(C6+C10+C12,0)</f>
        <v>1513</v>
      </c>
      <c r="D5" s="2862" t="s">
        <v>1257</v>
      </c>
      <c r="E5" s="2863"/>
      <c r="F5" s="2864"/>
      <c r="G5" s="2846"/>
      <c r="H5" s="2594">
        <v>1</v>
      </c>
      <c r="I5" s="2860" t="s">
        <v>1256</v>
      </c>
      <c r="J5" s="2861">
        <f ca="1">ROUND(J6+J10+J12,0)</f>
        <v>0</v>
      </c>
      <c r="K5" s="2862" t="s">
        <v>1257</v>
      </c>
      <c r="L5" s="2863"/>
      <c r="M5" s="2864"/>
      <c r="N5" s="2846"/>
      <c r="O5" s="2846"/>
      <c r="P5" s="2846"/>
      <c r="Q5" s="284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1258</v>
      </c>
      <c r="C6" s="3224">
        <f ca="1">C7-C9</f>
        <v>1510.69</v>
      </c>
      <c r="D6" s="1298" t="s">
        <v>1259</v>
      </c>
      <c r="E6" s="2869" t="s">
        <v>1260</v>
      </c>
      <c r="F6" s="2916">
        <f ca="1">INDIRECT("'数据-取费表'!u"&amp;$G$1)</f>
        <v>2.2</v>
      </c>
      <c r="G6" s="902"/>
      <c r="H6" s="2600" t="s">
        <v>1014</v>
      </c>
      <c r="I6" s="2867" t="s">
        <v>1258</v>
      </c>
      <c r="J6" s="3225">
        <f ca="1">J7-J9</f>
        <v>0</v>
      </c>
      <c r="K6" s="1298" t="s">
        <v>1259</v>
      </c>
      <c r="L6" s="2869" t="s">
        <v>1260</v>
      </c>
      <c r="M6" s="2916">
        <f ca="1">INDIRECT("'数据-取费表'!z"&amp;$G$1)</f>
        <v>0</v>
      </c>
    </row>
    <row r="7" ht="18" customHeight="1" spans="1:37">
      <c r="A7" s="2872" t="s">
        <v>1043</v>
      </c>
      <c r="B7" s="2873" t="s">
        <v>1261</v>
      </c>
      <c r="C7" s="3225">
        <f ca="1">ROUND(F6*F7*F8/10000,2)</f>
        <v>1678.54</v>
      </c>
      <c r="D7" s="2875" t="s">
        <v>1262</v>
      </c>
      <c r="E7" s="2611" t="s">
        <v>1263</v>
      </c>
      <c r="F7" s="2876">
        <f ca="1">IF(INDIRECT("'数据-取费表'!ah"&amp;$G$1)="",INDIRECT("'数据-取费表'!k"&amp;$G$1),INDIRECT("'数据-取费表'!ah"&amp;$G$1))</f>
        <v>20903.38</v>
      </c>
      <c r="G7" s="902"/>
      <c r="H7" s="2872" t="s">
        <v>1043</v>
      </c>
      <c r="I7" s="2873" t="s">
        <v>1261</v>
      </c>
      <c r="J7" s="3226">
        <f ca="1">ROUND(M6*M8*M7/10000,2)</f>
        <v>0</v>
      </c>
      <c r="K7" s="2875" t="s">
        <v>1262</v>
      </c>
      <c r="L7" s="1320" t="s">
        <v>1263</v>
      </c>
      <c r="M7" s="2876">
        <f ca="1">F7</f>
        <v>20903.38</v>
      </c>
    </row>
    <row r="8" ht="18" customHeight="1" spans="1:37">
      <c r="A8" s="2878"/>
      <c r="B8" s="2879"/>
      <c r="C8" s="3225"/>
      <c r="D8" s="2875"/>
      <c r="E8" s="1320" t="str">
        <f ca="1">IF(F8=1,"年",IF(F8=12,"月","天"))</f>
        <v>天</v>
      </c>
      <c r="F8" s="2880">
        <f ca="1">INDIRECT("'数据-取费表'!ai"&amp;$G$1)</f>
        <v>365</v>
      </c>
      <c r="G8" s="902"/>
      <c r="H8" s="2878"/>
      <c r="I8" s="2879"/>
      <c r="J8" s="3226"/>
      <c r="K8" s="2875"/>
      <c r="L8" s="1320" t="str">
        <f ca="1">IF(M8=1,"年",IF(M8=12,"月","天"))</f>
        <v>天</v>
      </c>
      <c r="M8" s="2880">
        <f ca="1">INDIRECT("'数据-取费表'!ai"&amp;$G$1)</f>
        <v>365</v>
      </c>
    </row>
    <row r="9" ht="18" customHeight="1" spans="1:37">
      <c r="A9" s="1334" t="s">
        <v>1047</v>
      </c>
      <c r="B9" s="2879" t="s">
        <v>1264</v>
      </c>
      <c r="C9" s="3226">
        <f ca="1">ROUND(C7*F9,2)</f>
        <v>167.85</v>
      </c>
      <c r="D9" s="1298" t="s">
        <v>1265</v>
      </c>
      <c r="E9" s="1320" t="s">
        <v>1266</v>
      </c>
      <c r="F9" s="2882">
        <f ca="1">INDIRECT("'数据-取费表'!w"&amp;$G$1)</f>
        <v>0.1</v>
      </c>
      <c r="G9" s="902"/>
      <c r="H9" s="1334" t="s">
        <v>1047</v>
      </c>
      <c r="I9" s="2879" t="s">
        <v>1264</v>
      </c>
      <c r="J9" s="3225">
        <f ca="1">ROUND(J7*M9,2)</f>
        <v>0</v>
      </c>
      <c r="K9" s="1298" t="s">
        <v>1265</v>
      </c>
      <c r="L9" s="2616" t="s">
        <v>1266</v>
      </c>
      <c r="M9" s="2888">
        <f ca="1">INDIRECT("'数据-取费表'!ab"&amp;$G$1)</f>
        <v>0</v>
      </c>
    </row>
    <row r="10" ht="18" customHeight="1" spans="1:37">
      <c r="A10" s="2600" t="s">
        <v>1019</v>
      </c>
      <c r="B10" s="2618" t="s">
        <v>1267</v>
      </c>
      <c r="C10" s="3225">
        <f ca="1">ROUND(IF(F10="押一",C6/12*F11,IF(F10="押二",C6/12*2*F11,IF(F10="押三",C6/12*3*F11,C11*F11))),2)</f>
        <v>1.89</v>
      </c>
      <c r="D10" s="2620" t="s">
        <v>1268</v>
      </c>
      <c r="E10" s="2616" t="s">
        <v>1269</v>
      </c>
      <c r="F10" s="3041" t="s">
        <v>1270</v>
      </c>
      <c r="G10" s="902"/>
      <c r="H10" s="2600" t="s">
        <v>1019</v>
      </c>
      <c r="I10" s="2618" t="s">
        <v>1267</v>
      </c>
      <c r="J10" s="3227">
        <f ca="1">ROUND(IF(M10="押一",J6/12*M11,IF(M10="押二",J6/12*2*M11,IF(M10="押三",J6/12*3*M11,J11*M11))),2)</f>
        <v>0</v>
      </c>
      <c r="K10" s="2620" t="s">
        <v>1268</v>
      </c>
      <c r="L10" s="2616" t="s">
        <v>1269</v>
      </c>
      <c r="M10" s="3041"/>
    </row>
    <row r="11" ht="18" customHeight="1" spans="1:37">
      <c r="A11" s="2623"/>
      <c r="B11" s="2889" t="str">
        <f>IF(OR(F10="自定义",F10=" "),"（自定义押金）","")</f>
        <v/>
      </c>
      <c r="C11" s="3228"/>
      <c r="D11" s="2887"/>
      <c r="E11" s="2616" t="s">
        <v>1271</v>
      </c>
      <c r="F11" s="2888">
        <f ca="1">'数据-取费表'!B40</f>
        <v>0.015</v>
      </c>
      <c r="G11" s="902"/>
      <c r="H11" s="2626"/>
      <c r="I11" s="2889" t="str">
        <f>IF(OR(M10="自定义",M10=" "),"（自定义押金）","")</f>
        <v/>
      </c>
      <c r="J11" s="3228"/>
      <c r="K11" s="2627"/>
      <c r="L11" s="2616" t="s">
        <v>1271</v>
      </c>
      <c r="M11" s="2883">
        <f ca="1">'数据-取费表'!B40</f>
        <v>0.015</v>
      </c>
    </row>
    <row r="12" ht="18" customHeight="1" spans="1:37">
      <c r="A12" s="2629" t="s">
        <v>1070</v>
      </c>
      <c r="B12" s="2630" t="s">
        <v>1272</v>
      </c>
      <c r="C12" s="3045"/>
      <c r="D12" s="2632"/>
      <c r="E12" s="2633"/>
      <c r="F12" s="2634"/>
      <c r="G12" s="902"/>
      <c r="H12" s="2629" t="s">
        <v>1070</v>
      </c>
      <c r="I12" s="2630" t="s">
        <v>1272</v>
      </c>
      <c r="J12" s="3045"/>
      <c r="K12" s="2635"/>
      <c r="L12" s="2633"/>
      <c r="M12" s="2925"/>
    </row>
    <row r="13" s="427" customFormat="1" ht="18" customHeight="1" spans="1:37">
      <c r="A13" s="2637" t="s">
        <v>1273</v>
      </c>
      <c r="B13" s="2638" t="s">
        <v>1274</v>
      </c>
      <c r="C13" s="2893">
        <f ca="1">ROUND(C14+C22+C24+C26,0)</f>
        <v>230</v>
      </c>
      <c r="D13" s="3229" t="s">
        <v>1275</v>
      </c>
      <c r="E13" s="2895"/>
      <c r="F13" s="2864"/>
      <c r="G13" s="2846"/>
      <c r="H13" s="2637" t="s">
        <v>1273</v>
      </c>
      <c r="I13" s="2638" t="s">
        <v>1274</v>
      </c>
      <c r="J13" s="2893">
        <f ca="1">ROUND(J14+J22+J24+J26,0)</f>
        <v>96</v>
      </c>
      <c r="K13" s="3230" t="s">
        <v>1276</v>
      </c>
      <c r="L13" s="2895"/>
      <c r="M13" s="2898"/>
      <c r="N13" s="2846"/>
      <c r="O13" s="2846"/>
      <c r="P13" s="2846"/>
      <c r="Q13" s="284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1277</v>
      </c>
      <c r="C14" s="3225">
        <f ca="1">ROUND(IF(AND(项目基本情况!B11="自然人",项目基本情况!B10="北京市",M56="住宅"),C6*F14,C15+C19+C20),2)</f>
        <v>197.29</v>
      </c>
      <c r="D14" s="2647" t="s">
        <v>1278</v>
      </c>
      <c r="E14" s="2647" t="str">
        <f>IF(M56="非住宅","","综合税率")</f>
        <v/>
      </c>
      <c r="F14" s="2899" t="str">
        <f ca="1">IF(M56="非住宅","",IF(F6*F7*F8/12/(1+'数据-取费表'!F30)&gt;100000,4%,2.5%))</f>
        <v/>
      </c>
      <c r="G14" s="902"/>
      <c r="H14" s="750" t="s">
        <v>1014</v>
      </c>
      <c r="I14" s="2869" t="s">
        <v>1277</v>
      </c>
      <c r="J14" s="3225">
        <f ca="1">ROUND(IF(AND(项目基本情况!B11="自然人",项目基本情况!B10="北京市",M56="住宅"),J6*M14/(1+'数据-取费表'!C43),J15+J19+J20),2)</f>
        <v>77.24</v>
      </c>
      <c r="K14" s="2900" t="s">
        <v>1279</v>
      </c>
      <c r="L14" s="2647" t="str">
        <f>E14</f>
        <v/>
      </c>
      <c r="M14" s="2899" t="str">
        <f ca="1">IF(M56="非住宅","",IF(M6*M7*M8/12/(1+'数据-取费表'!F30)&gt;100000,4%,2.5%))</f>
        <v/>
      </c>
    </row>
    <row r="15" s="2564" customFormat="1" ht="18" customHeight="1" spans="1:37">
      <c r="A15" s="1334" t="s">
        <v>1043</v>
      </c>
      <c r="B15" s="2869" t="s">
        <v>1280</v>
      </c>
      <c r="C15" s="3225">
        <f ca="1">C18</f>
        <v>16.01</v>
      </c>
      <c r="D15" s="1123" t="s">
        <v>1281</v>
      </c>
      <c r="E15" s="2901"/>
      <c r="F15" s="2902"/>
      <c r="G15" s="2653"/>
      <c r="H15" s="1334" t="s">
        <v>1043</v>
      </c>
      <c r="I15" s="2869" t="s">
        <v>1280</v>
      </c>
      <c r="J15" s="3225">
        <f ca="1">J18</f>
        <v>-0.2</v>
      </c>
      <c r="K15" s="1123" t="s">
        <v>1281</v>
      </c>
      <c r="L15" s="2901"/>
      <c r="M15" s="2902"/>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1282</v>
      </c>
      <c r="B16" s="2904" t="s">
        <v>975</v>
      </c>
      <c r="C16" s="827">
        <f ca="1">ROUND(C6*F16,2)</f>
        <v>135.96</v>
      </c>
      <c r="D16" s="652" t="s">
        <v>1283</v>
      </c>
      <c r="E16" s="2905" t="s">
        <v>1127</v>
      </c>
      <c r="F16" s="2906">
        <v>0.09</v>
      </c>
      <c r="G16" s="902"/>
      <c r="H16" s="681" t="s">
        <v>1282</v>
      </c>
      <c r="I16" s="2904" t="s">
        <v>975</v>
      </c>
      <c r="J16" s="827">
        <f ca="1">ROUND(J6*M16,2)</f>
        <v>0</v>
      </c>
      <c r="K16" s="3231" t="s">
        <v>1284</v>
      </c>
      <c r="L16" s="2905" t="s">
        <v>1127</v>
      </c>
      <c r="M16" s="2906">
        <v>0.09</v>
      </c>
    </row>
    <row r="17" s="2564" customFormat="1" ht="18" customHeight="1" spans="1:37">
      <c r="A17" s="681" t="s">
        <v>1285</v>
      </c>
      <c r="B17" s="2904" t="s">
        <v>980</v>
      </c>
      <c r="C17" s="3232">
        <f ca="1">ROUND(C22*F16+((C24+C26)*F17),2)</f>
        <v>2.52</v>
      </c>
      <c r="D17" s="2907" t="s">
        <v>1286</v>
      </c>
      <c r="E17" s="2910"/>
      <c r="F17" s="2906">
        <v>0.06</v>
      </c>
      <c r="G17" s="2653"/>
      <c r="H17" s="681" t="s">
        <v>1285</v>
      </c>
      <c r="I17" s="2904" t="s">
        <v>980</v>
      </c>
      <c r="J17" s="3232">
        <f ca="1">ROUND(J22*M16+((J24+J26)*M17),2)</f>
        <v>1.66</v>
      </c>
      <c r="K17" s="2907" t="s">
        <v>1286</v>
      </c>
      <c r="L17" s="2910"/>
      <c r="M17" s="2906">
        <v>0.06</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1287</v>
      </c>
      <c r="B18" s="2904" t="s">
        <v>1288</v>
      </c>
      <c r="C18" s="3232">
        <f ca="1">ROUND((C16-C17)*F18,2)</f>
        <v>16.01</v>
      </c>
      <c r="D18" s="2900" t="s">
        <v>1289</v>
      </c>
      <c r="E18" s="1320" t="s">
        <v>1290</v>
      </c>
      <c r="F18" s="2906">
        <f>'数据-取费表'!B44</f>
        <v>0.12</v>
      </c>
      <c r="G18" s="2653"/>
      <c r="H18" s="681" t="s">
        <v>1287</v>
      </c>
      <c r="I18" s="2904" t="s">
        <v>1291</v>
      </c>
      <c r="J18" s="3232">
        <f ca="1">ROUND((J16-J17)*M18,2)</f>
        <v>-0.2</v>
      </c>
      <c r="K18" s="2900" t="s">
        <v>1289</v>
      </c>
      <c r="L18" s="1320" t="s">
        <v>1290</v>
      </c>
      <c r="M18" s="2906">
        <f>'数据-取费表'!B44</f>
        <v>0.12</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1292</v>
      </c>
      <c r="C19" s="3225">
        <f ca="1">IF(AND(项目基本情况!B11="自然人",M56="住宅"),"——",IF(D19="按不含税租金收入（有效毛租金收入）计税",ROUND(C6*F19,2),IF(D19="按房产原值计税",ROUND(C51*F19*0.7,2),INDIRECT("'数据-取费表'!Aj"&amp;$G$1))))</f>
        <v>181.28</v>
      </c>
      <c r="D19" s="2912" t="s">
        <v>1293</v>
      </c>
      <c r="E19" s="1320" t="s">
        <v>1294</v>
      </c>
      <c r="F19" s="2906">
        <f>IF(D19="按票据","——",IF(D19="按不含税租金收入（有效毛租金收入）计税",'数据-取费表'!B52,'数据-取费表'!B51))</f>
        <v>0.12</v>
      </c>
      <c r="G19" s="2653"/>
      <c r="H19" s="1334" t="s">
        <v>1047</v>
      </c>
      <c r="I19" s="2869" t="s">
        <v>1292</v>
      </c>
      <c r="J19" s="3225">
        <f ca="1">IF(K19="按不含税租金收入（有效毛租金收入）计税",ROUND(J6*M19,2),ROUND(C51*M19*0.7,2))</f>
        <v>77.44</v>
      </c>
      <c r="K19" s="2666"/>
      <c r="L19" s="1320" t="s">
        <v>1294</v>
      </c>
      <c r="M19" s="2906">
        <f>IF(K19="按不含税租金收入（有效毛租金收入）计税",'数据-取费表'!B52,'数据-取费表'!B51)</f>
        <v>0.012</v>
      </c>
      <c r="N19" s="2653"/>
      <c r="O19" s="2653"/>
      <c r="P19" s="2653"/>
      <c r="Q19" s="265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606" t="s">
        <v>1295</v>
      </c>
      <c r="C20" s="3227">
        <f ca="1">IF(AND(项目基本情况!B11="自然人",M56="住宅"),"——",ROUND(F20*F21/10000,2))</f>
        <v>0</v>
      </c>
      <c r="D20" s="2669" t="s">
        <v>1296</v>
      </c>
      <c r="E20" s="1320" t="s">
        <v>1297</v>
      </c>
      <c r="F20" s="2987">
        <f>'数据-取费表'!B53</f>
        <v>3</v>
      </c>
      <c r="G20" s="902"/>
      <c r="H20" s="2872" t="s">
        <v>1050</v>
      </c>
      <c r="I20" s="2606" t="s">
        <v>1295</v>
      </c>
      <c r="J20" s="3227">
        <f ca="1">ROUND(M20*M21/10000,2)</f>
        <v>0</v>
      </c>
      <c r="K20" s="2669" t="s">
        <v>1296</v>
      </c>
      <c r="L20" s="1320" t="s">
        <v>1297</v>
      </c>
      <c r="M20" s="2987">
        <f>'数据-取费表'!B53</f>
        <v>3</v>
      </c>
    </row>
    <row r="21" s="2564" customFormat="1" ht="18" customHeight="1" spans="1:37">
      <c r="A21" s="2671"/>
      <c r="B21" s="2706"/>
      <c r="C21" s="3233"/>
      <c r="D21" s="2674"/>
      <c r="E21" s="1320" t="s">
        <v>1298</v>
      </c>
      <c r="F21" s="2876">
        <f ca="1">INDIRECT("'数据-取费表'!r"&amp;$G$1)</f>
        <v>0</v>
      </c>
      <c r="G21" s="2653"/>
      <c r="H21" s="2671"/>
      <c r="I21" s="2672"/>
      <c r="J21" s="3233"/>
      <c r="K21" s="2674"/>
      <c r="L21" s="1320" t="s">
        <v>1298</v>
      </c>
      <c r="M21" s="2876">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1299</v>
      </c>
      <c r="C22" s="3234">
        <f ca="1">ROUND(C51*F22,2)</f>
        <v>18.44</v>
      </c>
      <c r="D22" s="2920" t="s">
        <v>1300</v>
      </c>
      <c r="E22" s="1320" t="s">
        <v>1294</v>
      </c>
      <c r="F22" s="2882">
        <f ca="1">INDIRECT("'数据-取费表'!Ak"&amp;$G$1)</f>
        <v>0.002</v>
      </c>
      <c r="G22" s="2653"/>
      <c r="H22" s="2918" t="s">
        <v>1019</v>
      </c>
      <c r="I22" s="2603" t="s">
        <v>1299</v>
      </c>
      <c r="J22" s="3234">
        <f ca="1">ROUND(J35*M22,2)</f>
        <v>18.44</v>
      </c>
      <c r="K22" s="2920" t="s">
        <v>1300</v>
      </c>
      <c r="L22" s="1320" t="s">
        <v>1294</v>
      </c>
      <c r="M22" s="2882">
        <f ca="1">INDIRECT("'数据-取费表'!Ak"&amp;$G$1)</f>
        <v>0.002</v>
      </c>
      <c r="N22" s="2653"/>
      <c r="O22" s="2653"/>
      <c r="P22" s="2653"/>
      <c r="Q22" s="265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3235"/>
      <c r="D23" s="2923"/>
      <c r="E23" s="2869" t="s">
        <v>1301</v>
      </c>
      <c r="F23" s="2880">
        <f ca="1">C51</f>
        <v>9219</v>
      </c>
      <c r="G23" s="2653"/>
      <c r="H23" s="2671"/>
      <c r="I23" s="2672"/>
      <c r="J23" s="3235"/>
      <c r="K23" s="2923"/>
      <c r="L23" s="2869" t="s">
        <v>1301</v>
      </c>
      <c r="M23" s="2880">
        <f ca="1">J35</f>
        <v>9219</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1302</v>
      </c>
      <c r="C24" s="3234">
        <f ca="1">ROUND(C53*F24,2)</f>
        <v>6.82</v>
      </c>
      <c r="D24" s="2920" t="s">
        <v>1303</v>
      </c>
      <c r="E24" s="1320" t="s">
        <v>1294</v>
      </c>
      <c r="F24" s="2882">
        <f ca="1">INDIRECT("'数据-取费表'!Al"&amp;$G$1)</f>
        <v>0.001</v>
      </c>
      <c r="G24" s="902"/>
      <c r="H24" s="2918" t="s">
        <v>1070</v>
      </c>
      <c r="I24" s="2603" t="s">
        <v>1302</v>
      </c>
      <c r="J24" s="3234">
        <f ca="1">ROUND(J37*M24,2)</f>
        <v>0</v>
      </c>
      <c r="K24" s="2920" t="s">
        <v>1304</v>
      </c>
      <c r="L24" s="1320" t="s">
        <v>1294</v>
      </c>
      <c r="M24" s="2882">
        <f ca="1">INDIRECT("'数据-取费表'!Al"&amp;$G$1)</f>
        <v>0.001</v>
      </c>
    </row>
    <row r="25" ht="18" customHeight="1" spans="1:37">
      <c r="A25" s="2671"/>
      <c r="B25" s="2672"/>
      <c r="C25" s="3235"/>
      <c r="D25" s="2923"/>
      <c r="E25" s="2913" t="s">
        <v>1305</v>
      </c>
      <c r="F25" s="2880">
        <f ca="1">C53</f>
        <v>6822</v>
      </c>
      <c r="G25" s="902"/>
      <c r="H25" s="2671"/>
      <c r="I25" s="2672"/>
      <c r="J25" s="3235"/>
      <c r="K25" s="2923"/>
      <c r="L25" s="2913" t="s">
        <v>1305</v>
      </c>
      <c r="M25" s="2880">
        <f ca="1">J37</f>
        <v>0</v>
      </c>
    </row>
    <row r="26" s="2564" customFormat="1" ht="18" customHeight="1" spans="1:37">
      <c r="A26" s="2654" t="s">
        <v>1075</v>
      </c>
      <c r="B26" s="2633" t="s">
        <v>1306</v>
      </c>
      <c r="C26" s="3236">
        <f ca="1">ROUND(C5*F26,2)</f>
        <v>7.57</v>
      </c>
      <c r="D26" s="2679" t="s">
        <v>1307</v>
      </c>
      <c r="E26" s="2633" t="s">
        <v>1294</v>
      </c>
      <c r="F26" s="2925">
        <f ca="1">INDIRECT("'数据-取费表'!Am"&amp;$G$1)</f>
        <v>0.005</v>
      </c>
      <c r="G26" s="2653"/>
      <c r="H26" s="2654" t="s">
        <v>1075</v>
      </c>
      <c r="I26" s="2633" t="s">
        <v>1306</v>
      </c>
      <c r="J26" s="3236">
        <f ca="1">ROUND(J5*M26,2)</f>
        <v>0</v>
      </c>
      <c r="K26" s="2679" t="s">
        <v>1307</v>
      </c>
      <c r="L26" s="2633" t="s">
        <v>1294</v>
      </c>
      <c r="M26" s="2925">
        <f ca="1">INDIRECT("'数据-取费表'!Am"&amp;$G$1)</f>
        <v>0.005</v>
      </c>
      <c r="N26" s="2653"/>
      <c r="O26" s="2653"/>
      <c r="P26" s="2653"/>
      <c r="Q26" s="265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1308</v>
      </c>
      <c r="B27" s="2680" t="s">
        <v>1309</v>
      </c>
      <c r="C27" s="2893">
        <f ca="1">C5-C13</f>
        <v>1283</v>
      </c>
      <c r="D27" s="3237" t="s">
        <v>1310</v>
      </c>
      <c r="E27" s="2926"/>
      <c r="F27" s="2927"/>
      <c r="G27" s="2928"/>
      <c r="H27" s="2637" t="s">
        <v>1308</v>
      </c>
      <c r="I27" s="2680" t="s">
        <v>1309</v>
      </c>
      <c r="J27" s="2893">
        <f ca="1">J5-J13</f>
        <v>-96</v>
      </c>
      <c r="K27" s="3237" t="s">
        <v>1310</v>
      </c>
      <c r="L27" s="2926"/>
      <c r="M27" s="2930"/>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1311</v>
      </c>
      <c r="B28" s="2595" t="s">
        <v>1312</v>
      </c>
      <c r="C28" s="2934">
        <f ca="1">IF(C5&lt;&gt;0,ROUND(C27*(1-((1+F30)/(1+F28))^F29)/(F28-F30),0),0)</f>
        <v>21425</v>
      </c>
      <c r="D28" s="2932" t="s">
        <v>1313</v>
      </c>
      <c r="E28" s="2933" t="s">
        <v>1314</v>
      </c>
      <c r="F28" s="2882">
        <f ca="1">INDIRECT("'数据-取费表'!I"&amp;$G$1)</f>
        <v>0.055</v>
      </c>
      <c r="G28" s="2846"/>
      <c r="H28" s="2594" t="s">
        <v>1311</v>
      </c>
      <c r="I28" s="2595" t="s">
        <v>1315</v>
      </c>
      <c r="J28" s="2934">
        <f ca="1">IF(J5&lt;&gt;0,ROUND(J27*(1-((1+M30)/(1+M28))^M29)/(M28-M30),0),0)</f>
        <v>0</v>
      </c>
      <c r="K28" s="2932" t="s">
        <v>1313</v>
      </c>
      <c r="L28" s="2935" t="s">
        <v>1314</v>
      </c>
      <c r="M28" s="2888">
        <f ca="1">INDIRECT("'数据-取费表'!I"&amp;$G$1)</f>
        <v>0.055</v>
      </c>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21" customHeight="1" spans="1:37">
      <c r="A29" s="2612"/>
      <c r="B29" s="2684"/>
      <c r="C29" s="2936"/>
      <c r="D29" s="2937" t="s">
        <v>1316</v>
      </c>
      <c r="E29" s="2933" t="s">
        <v>1317</v>
      </c>
      <c r="F29" s="2938">
        <f ca="1">IF(INDIRECT("'数据-取费表'!af"&amp;$G$1)=0,INDIRECT("'数据-取费表'!ae"&amp;$G$1),INDIRECT("'数据-取费表'!af"&amp;$G$1))</f>
        <v>26.03</v>
      </c>
      <c r="G29" s="2846"/>
      <c r="H29" s="2612"/>
      <c r="I29" s="2684"/>
      <c r="J29" s="2936"/>
      <c r="K29" s="3238" t="s">
        <v>1316</v>
      </c>
      <c r="L29" s="2933" t="s">
        <v>1317</v>
      </c>
      <c r="M29" s="2938">
        <f ca="1">INDIRECT("'数据-取费表'!ag"&amp;$G$1)</f>
        <v>0</v>
      </c>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1318</v>
      </c>
      <c r="F30" s="2882">
        <f ca="1">INDIRECT("'数据-取费表'!v"&amp;$G$1)</f>
        <v>0.02</v>
      </c>
      <c r="G30" s="2846"/>
      <c r="H30" s="2623"/>
      <c r="I30" s="2687"/>
      <c r="J30" s="2940"/>
      <c r="K30" s="3238"/>
      <c r="L30" s="2933" t="s">
        <v>1318</v>
      </c>
      <c r="M30" s="2882">
        <f ca="1">INDIRECT("'数据-取费表'!aa"&amp;$G$1)</f>
        <v>0</v>
      </c>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1319</v>
      </c>
      <c r="B31" s="2942" t="s">
        <v>1320</v>
      </c>
      <c r="C31" s="2943">
        <f ca="1">ROUND(C28*(1+F31),0)</f>
        <v>23353</v>
      </c>
      <c r="D31" s="2944" t="s">
        <v>1321</v>
      </c>
      <c r="E31" s="2945" t="str">
        <f>IF(D31="其他类型公式—收益价值×（1+9%）","销项税率","征收率")</f>
        <v>销项税率</v>
      </c>
      <c r="F31" s="2882">
        <f>IF(D31="其他类型公式—收益价值×（1+9%）",9%,3%)</f>
        <v>0.09</v>
      </c>
      <c r="G31" s="2928"/>
      <c r="H31" s="2804" t="s">
        <v>1319</v>
      </c>
      <c r="I31" s="2933" t="s">
        <v>1322</v>
      </c>
      <c r="J31" s="2874">
        <f ca="1">ROUND(J28/(1+F28)^F29,0)</f>
        <v>0</v>
      </c>
      <c r="K31" s="3239" t="s">
        <v>1323</v>
      </c>
      <c r="L31" s="2933"/>
      <c r="M31" s="2938">
        <f ca="1">INDIRECT("'数据-取费表'!k"&amp;$G$1)</f>
        <v>20903.38</v>
      </c>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1324</v>
      </c>
      <c r="B32" s="2948" t="s">
        <v>1325</v>
      </c>
      <c r="C32" s="2949">
        <f ca="1">ROUND(C31*10000/F32,0)</f>
        <v>11172</v>
      </c>
      <c r="D32" s="2950" t="s">
        <v>1326</v>
      </c>
      <c r="E32" s="2689" t="s">
        <v>1327</v>
      </c>
      <c r="F32" s="2951">
        <f ca="1">INDIRECT("'数据-取费表'!k"&amp;$G$1)</f>
        <v>20903.38</v>
      </c>
      <c r="G32" s="2928"/>
      <c r="H32" s="2947" t="s">
        <v>1324</v>
      </c>
      <c r="I32" s="2952" t="s">
        <v>1328</v>
      </c>
      <c r="J32" s="3240">
        <f ca="1">ROUND(J31*(1+F31),0)</f>
        <v>0</v>
      </c>
      <c r="K32" s="2954" t="str">
        <f>D31</f>
        <v>其他类型公式—收益价值×（1+9%）</v>
      </c>
      <c r="L32" s="2955"/>
      <c r="M32" s="3241"/>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f ca="1">1-C27/C5</f>
        <v>0.152015862524785</v>
      </c>
      <c r="G33" s="902"/>
    </row>
    <row r="34" s="427" customFormat="1" ht="18" customHeight="1" spans="1:37">
      <c r="A34" s="2958" t="s">
        <v>1251</v>
      </c>
      <c r="B34" s="2959" t="s">
        <v>1252</v>
      </c>
      <c r="C34" s="2960" t="s">
        <v>1253</v>
      </c>
      <c r="D34" s="2959" t="s">
        <v>1254</v>
      </c>
      <c r="E34" s="2961" t="s">
        <v>1255</v>
      </c>
      <c r="F34" s="2962"/>
      <c r="G34" s="2846"/>
      <c r="H34" s="2958" t="s">
        <v>1251</v>
      </c>
      <c r="I34" s="2959" t="s">
        <v>1252</v>
      </c>
      <c r="J34" s="2960" t="s">
        <v>1253</v>
      </c>
      <c r="K34" s="2959" t="s">
        <v>1254</v>
      </c>
      <c r="L34" s="2961" t="s">
        <v>1255</v>
      </c>
      <c r="M34" s="2962"/>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04" t="s">
        <v>1329</v>
      </c>
      <c r="B35" s="2933" t="s">
        <v>1330</v>
      </c>
      <c r="C35" s="2874">
        <f ca="1">SUM(C36:C41)</f>
        <v>7809</v>
      </c>
      <c r="D35" s="3239" t="s">
        <v>1331</v>
      </c>
      <c r="E35" s="652"/>
      <c r="F35" s="653"/>
      <c r="G35" s="902"/>
      <c r="H35" s="3242" t="s">
        <v>1329</v>
      </c>
      <c r="I35" s="3243" t="s">
        <v>1332</v>
      </c>
      <c r="J35" s="1306">
        <f ca="1">C51</f>
        <v>9219</v>
      </c>
      <c r="K35" s="2991" t="s">
        <v>1333</v>
      </c>
      <c r="L35" s="1299"/>
      <c r="M35" s="1300"/>
    </row>
    <row r="36" ht="18" customHeight="1" spans="1:37">
      <c r="A36" s="1334" t="s">
        <v>1043</v>
      </c>
      <c r="B36" s="2973" t="s">
        <v>1334</v>
      </c>
      <c r="C36" s="1122">
        <f ca="1">INDIRECT("'数据-取费表'!m"&amp;$G$1)+INDIRECT("'数据-取费表'!t"&amp;$G$1)</f>
        <v>6689</v>
      </c>
      <c r="D36" s="2662" t="s">
        <v>1335</v>
      </c>
      <c r="E36" s="2662"/>
      <c r="F36" s="2686"/>
      <c r="G36" s="902"/>
      <c r="H36" s="2974" t="s">
        <v>1019</v>
      </c>
      <c r="I36" s="2975" t="s">
        <v>1336</v>
      </c>
      <c r="J36" s="822">
        <f ca="1">ROUND(J35*(1-M36),0)</f>
        <v>9219</v>
      </c>
      <c r="K36" s="1320" t="s">
        <v>1337</v>
      </c>
      <c r="L36" s="1298" t="s">
        <v>1338</v>
      </c>
      <c r="M36" s="2882">
        <f ca="1">INDIRECT("'数据-取费表'!ad"&amp;$G$1)</f>
        <v>0</v>
      </c>
    </row>
    <row r="37" ht="18" customHeight="1" spans="1:37">
      <c r="A37" s="1334" t="s">
        <v>1047</v>
      </c>
      <c r="B37" s="2904" t="s">
        <v>754</v>
      </c>
      <c r="C37" s="1306">
        <f ca="1">ROUND(C36*F37,0)</f>
        <v>468</v>
      </c>
      <c r="D37" s="1320" t="s">
        <v>1339</v>
      </c>
      <c r="E37" s="1320" t="s">
        <v>1294</v>
      </c>
      <c r="F37" s="2906">
        <f>'数据-取费表'!B33</f>
        <v>0.07</v>
      </c>
      <c r="G37" s="902"/>
      <c r="H37" s="2976" t="s">
        <v>1340</v>
      </c>
      <c r="I37" s="3244" t="s">
        <v>1341</v>
      </c>
      <c r="J37" s="2978">
        <f ca="1">J35-J36</f>
        <v>0</v>
      </c>
      <c r="K37" s="2979" t="s">
        <v>1342</v>
      </c>
      <c r="L37" s="2691"/>
      <c r="M37" s="2980"/>
    </row>
    <row r="38" ht="18" customHeight="1" spans="1:37">
      <c r="A38" s="1334" t="s">
        <v>1050</v>
      </c>
      <c r="B38" s="2973" t="s">
        <v>1343</v>
      </c>
      <c r="C38" s="1306">
        <f ca="1">ROUND(INDIRECT("'数据-取费表'!m"&amp;$G$1)*F38,0)</f>
        <v>0</v>
      </c>
      <c r="D38" s="1320" t="s">
        <v>1339</v>
      </c>
      <c r="E38" s="1320" t="s">
        <v>1294</v>
      </c>
      <c r="F38" s="2906">
        <f ca="1">IF(INDIRECT("'数据-取费表'!c"&amp;$G$1)="住宅",'数据-取费表'!B34,0)</f>
        <v>0</v>
      </c>
      <c r="G38" s="902"/>
    </row>
    <row r="39" ht="18" customHeight="1" spans="1:37">
      <c r="A39" s="1334" t="s">
        <v>1344</v>
      </c>
      <c r="B39" s="2973" t="s">
        <v>1345</v>
      </c>
      <c r="C39" s="1306">
        <f ca="1">ROUND(F39*(F32+INDIRECT("'数据-取费表'!S"&amp;$G$1))/10000,0)</f>
        <v>585</v>
      </c>
      <c r="D39" s="1320" t="s">
        <v>1346</v>
      </c>
      <c r="E39" s="1320" t="s">
        <v>1347</v>
      </c>
      <c r="F39" s="2987">
        <f>'数据-取费表'!B35</f>
        <v>280</v>
      </c>
      <c r="G39" s="902"/>
    </row>
    <row r="40" ht="18" customHeight="1" spans="1:37">
      <c r="A40" s="1334" t="s">
        <v>1348</v>
      </c>
      <c r="B40" s="2904" t="s">
        <v>760</v>
      </c>
      <c r="C40" s="1306">
        <f ca="1">ROUND(C36*F40,0)</f>
        <v>67</v>
      </c>
      <c r="D40" s="1320" t="s">
        <v>1339</v>
      </c>
      <c r="E40" s="1320" t="s">
        <v>1294</v>
      </c>
      <c r="F40" s="2906">
        <f>'数据-取费表'!B36</f>
        <v>0.01</v>
      </c>
      <c r="G40" s="902"/>
      <c r="H40" s="732"/>
      <c r="I40" s="732"/>
      <c r="J40" s="732"/>
      <c r="K40" s="1356"/>
      <c r="L40" s="732"/>
      <c r="M40" s="732"/>
    </row>
    <row r="41" ht="18" customHeight="1" spans="1:37">
      <c r="A41" s="1334" t="s">
        <v>1348</v>
      </c>
      <c r="B41" s="2904" t="s">
        <v>762</v>
      </c>
      <c r="C41" s="1306">
        <f ca="1">ROUND(C36*F41,0)</f>
        <v>0</v>
      </c>
      <c r="D41" s="1320" t="s">
        <v>1339</v>
      </c>
      <c r="E41" s="1320" t="s">
        <v>1294</v>
      </c>
      <c r="F41" s="2906">
        <f>'数据-取费表'!B37</f>
        <v>0</v>
      </c>
      <c r="G41" s="902"/>
      <c r="H41" s="732"/>
      <c r="I41" s="732"/>
      <c r="J41" s="732"/>
      <c r="K41" s="1356"/>
      <c r="L41" s="732"/>
      <c r="M41" s="732"/>
    </row>
    <row r="42" ht="18" customHeight="1" spans="1:37">
      <c r="A42" s="2804" t="s">
        <v>1349</v>
      </c>
      <c r="B42" s="2933" t="s">
        <v>1350</v>
      </c>
      <c r="C42" s="2874">
        <f ca="1">ROUND(C35*F42,0)</f>
        <v>156</v>
      </c>
      <c r="D42" s="2982" t="s">
        <v>1351</v>
      </c>
      <c r="E42" s="2933" t="s">
        <v>1352</v>
      </c>
      <c r="F42" s="2882">
        <f>'数据-取费表'!B38</f>
        <v>0.02</v>
      </c>
      <c r="G42" s="902"/>
      <c r="H42" s="732"/>
      <c r="I42" s="732"/>
      <c r="J42" s="732"/>
      <c r="K42" s="1356"/>
      <c r="L42" s="732"/>
      <c r="M42" s="732"/>
    </row>
    <row r="43" ht="18" customHeight="1" spans="1:37">
      <c r="A43" s="2804" t="s">
        <v>1340</v>
      </c>
      <c r="B43" s="2933" t="s">
        <v>1353</v>
      </c>
      <c r="C43" s="2850" t="str">
        <f>F43&amp;"V建"</f>
        <v>0.02V建</v>
      </c>
      <c r="D43" s="2982" t="s">
        <v>1354</v>
      </c>
      <c r="E43" s="2933" t="s">
        <v>1352</v>
      </c>
      <c r="F43" s="2882">
        <f>'数据-取费表'!B39</f>
        <v>0.02</v>
      </c>
      <c r="G43" s="902"/>
      <c r="H43" s="732"/>
      <c r="I43" s="732"/>
      <c r="J43" s="732"/>
      <c r="K43" s="1356"/>
      <c r="L43" s="732"/>
      <c r="M43" s="732"/>
    </row>
    <row r="44" ht="18" customHeight="1" spans="1:37">
      <c r="A44" s="2804" t="s">
        <v>1355</v>
      </c>
      <c r="B44" s="2983" t="s">
        <v>1356</v>
      </c>
      <c r="C44" s="2984" t="str">
        <f ca="1">C45&amp;"+"&amp;C46&amp;"V建"</f>
        <v>249+0.0006V建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1357</v>
      </c>
      <c r="C45" s="1306">
        <f ca="1">IF('数据-取费表'!B22&lt;=1,ROUND(C35*F46*F45/2,0)+ROUND(C42*F46*F45/2,0),ROUND(C35*(POWER((1+F46),F45/2)-1),0)+ROUND(C42*(POWER((1+F46),F45/2)-1),0))</f>
        <v>249</v>
      </c>
      <c r="D45" s="1299" t="str">
        <f>IF(F45&lt;=1,"(建造成本+管理费用)×利率×(建设周期÷2)","(建造成本+管理费用)×((1+利率)^(建设周期÷2)-1)")</f>
        <v>(建造成本+管理费用)×((1+利率)^(建设周期÷2)-1)</v>
      </c>
      <c r="E45" s="1320" t="s">
        <v>1358</v>
      </c>
      <c r="F45" s="2987">
        <f>'数据-取费表'!B20</f>
        <v>2</v>
      </c>
      <c r="G45" s="902"/>
      <c r="H45" s="732"/>
      <c r="I45" s="732"/>
      <c r="J45" s="732"/>
      <c r="K45" s="1356"/>
      <c r="L45" s="732"/>
      <c r="M45" s="732"/>
    </row>
    <row r="46" ht="18" customHeight="1" spans="1:37">
      <c r="A46" s="1334" t="s">
        <v>1047</v>
      </c>
      <c r="B46" s="1320" t="s">
        <v>1359</v>
      </c>
      <c r="C46" s="2985">
        <f ca="1">ROUND(IF('数据-取费表'!B22&lt;=1,F43*F46*F45/2,F43*(POWER((1+F46),F45/2)-1)),4)</f>
        <v>0.0006</v>
      </c>
      <c r="D46" s="1299" t="str">
        <f>IF(F45&lt;=1,"销售费用×利率×(建设周期÷2)","销售费用×((1+利率)^(建设周期÷2)-1)")</f>
        <v>销售费用×((1+利率)^(建设周期÷2)-1)</v>
      </c>
      <c r="E46" s="1320" t="s">
        <v>1360</v>
      </c>
      <c r="F46" s="2986">
        <f ca="1">'数据-取费表'!B41</f>
        <v>0.0313</v>
      </c>
      <c r="G46" s="902"/>
      <c r="H46" s="732"/>
      <c r="I46" s="732"/>
      <c r="J46" s="732"/>
      <c r="K46" s="1356"/>
      <c r="L46" s="732"/>
      <c r="M46" s="732"/>
    </row>
    <row r="47" ht="18" customHeight="1" spans="1:37">
      <c r="A47" s="2804" t="s">
        <v>1361</v>
      </c>
      <c r="B47" s="2983" t="s">
        <v>1362</v>
      </c>
      <c r="C47" s="2984" t="str">
        <f ca="1">C48&amp;"+"&amp;C49&amp;"V建"</f>
        <v>797+0.002V建</v>
      </c>
      <c r="D47" s="1314" t="s">
        <v>1363</v>
      </c>
      <c r="E47" s="2619"/>
      <c r="F47" s="2987"/>
      <c r="G47" s="902"/>
      <c r="H47" s="732"/>
      <c r="I47" s="732"/>
      <c r="J47" s="732"/>
      <c r="K47" s="1356"/>
      <c r="L47" s="732"/>
      <c r="M47" s="732"/>
    </row>
    <row r="48" ht="18" customHeight="1" spans="1:37">
      <c r="A48" s="1334" t="s">
        <v>1043</v>
      </c>
      <c r="B48" s="1320" t="s">
        <v>1364</v>
      </c>
      <c r="C48" s="1306">
        <f ca="1">ROUND((C35+C42)*F48,0)</f>
        <v>797</v>
      </c>
      <c r="D48" s="2667" t="s">
        <v>1365</v>
      </c>
      <c r="E48" s="1320" t="s">
        <v>1366</v>
      </c>
      <c r="F48" s="2882">
        <f ca="1">INDIRECT("'数据-取费表'!q"&amp;$G$1)</f>
        <v>0.1</v>
      </c>
      <c r="G48" s="902"/>
      <c r="H48" s="732"/>
      <c r="I48" s="732"/>
      <c r="J48" s="732"/>
      <c r="K48" s="1356"/>
      <c r="L48" s="732"/>
      <c r="M48" s="732"/>
    </row>
    <row r="49" ht="18" customHeight="1" spans="1:18">
      <c r="A49" s="1334" t="s">
        <v>1047</v>
      </c>
      <c r="B49" s="1320" t="s">
        <v>1367</v>
      </c>
      <c r="C49" s="3245">
        <f ca="1">ROUND(F43*F48,4)</f>
        <v>0.002</v>
      </c>
      <c r="D49" s="2667" t="s">
        <v>1368</v>
      </c>
      <c r="E49" s="1320"/>
      <c r="F49" s="2906"/>
      <c r="G49" s="902"/>
      <c r="H49" s="732"/>
      <c r="I49" s="732"/>
      <c r="J49" s="732"/>
      <c r="K49" s="1356"/>
      <c r="L49" s="732"/>
      <c r="M49" s="732"/>
    </row>
    <row r="50" ht="18" customHeight="1" spans="1:18">
      <c r="A50" s="2804" t="s">
        <v>1369</v>
      </c>
      <c r="B50" s="2933" t="s">
        <v>1370</v>
      </c>
      <c r="C50" s="2874">
        <f>ROUND(F50/(1+'数据-取费表'!C43),4)</f>
        <v>0</v>
      </c>
      <c r="D50" s="2988" t="s">
        <v>1371</v>
      </c>
      <c r="E50" s="2933"/>
      <c r="F50" s="2882"/>
      <c r="G50" s="902"/>
      <c r="H50" s="732"/>
      <c r="I50" s="732"/>
      <c r="J50" s="732"/>
      <c r="K50" s="1356"/>
      <c r="L50" s="732"/>
      <c r="M50" s="732"/>
    </row>
    <row r="51" s="902" customFormat="1" ht="18" customHeight="1" spans="1:18">
      <c r="A51" s="2804" t="s">
        <v>1372</v>
      </c>
      <c r="B51" s="2933" t="s">
        <v>1373</v>
      </c>
      <c r="C51" s="2874">
        <f ca="1">ROUND((C35+C42+C45+C48)/(1-F43-C46-C49-C50),0)</f>
        <v>9219</v>
      </c>
      <c r="D51" s="2991" t="s">
        <v>1333</v>
      </c>
      <c r="E51" s="2933"/>
      <c r="F51" s="2882"/>
      <c r="K51" s="2712"/>
    </row>
    <row r="52" s="902" customFormat="1" ht="18" customHeight="1" spans="1:18">
      <c r="A52" s="2992" t="s">
        <v>1374</v>
      </c>
      <c r="B52" s="2983" t="s">
        <v>1336</v>
      </c>
      <c r="C52" s="2874">
        <f ca="1">ROUND(C51*(1-F52),0)</f>
        <v>2397</v>
      </c>
      <c r="D52" s="2933" t="s">
        <v>1375</v>
      </c>
      <c r="E52" s="2933" t="s">
        <v>1376</v>
      </c>
      <c r="F52" s="2882">
        <f ca="1">INDIRECT("'数据-取费表'!y"&amp;$G$1)</f>
        <v>0.74</v>
      </c>
      <c r="K52" s="2712"/>
    </row>
    <row r="53" s="902" customFormat="1" ht="18" customHeight="1" spans="1:18">
      <c r="A53" s="2993" t="s">
        <v>1377</v>
      </c>
      <c r="B53" s="2994" t="s">
        <v>1378</v>
      </c>
      <c r="C53" s="2978">
        <f ca="1">C51-C52</f>
        <v>6822</v>
      </c>
      <c r="D53" s="2979" t="s">
        <v>1342</v>
      </c>
      <c r="E53" s="2689"/>
      <c r="F53" s="2995"/>
      <c r="K53" s="2712"/>
    </row>
    <row r="54" s="902" customFormat="1" ht="18" customHeight="1" spans="1:18">
      <c r="A54" s="2710"/>
      <c r="B54" s="2710"/>
      <c r="C54" s="2711"/>
      <c r="D54" s="2710"/>
      <c r="E54" s="2710"/>
      <c r="F54" s="2710"/>
      <c r="I54" s="2996" t="s">
        <v>1379</v>
      </c>
      <c r="J54" s="2836"/>
      <c r="O54" s="2997" t="s">
        <v>1380</v>
      </c>
      <c r="P54" s="2709"/>
      <c r="Q54" s="2709"/>
      <c r="R54" s="2709"/>
    </row>
    <row r="55" s="902" customFormat="1" ht="13.5" spans="1:18">
      <c r="A55" s="2717" t="s">
        <v>1381</v>
      </c>
      <c r="C55" s="3246">
        <f ca="1">IF(D2="含税",C83-C31,C80-C28)</f>
        <v>-23726</v>
      </c>
      <c r="D55" s="2719" t="str">
        <f>C2</f>
        <v>万元</v>
      </c>
      <c r="E55" s="2710"/>
      <c r="F55" s="2710"/>
      <c r="I55" s="2720" t="s">
        <v>1382</v>
      </c>
      <c r="J55" s="2721"/>
      <c r="K55" s="2722"/>
      <c r="L55" s="3000">
        <f ca="1">IF(M56="住宅",0,IF(L57&gt;J60,L69,J69))</f>
        <v>561</v>
      </c>
      <c r="O55" s="3001" t="s">
        <v>953</v>
      </c>
      <c r="P55" s="3002" t="s">
        <v>1383</v>
      </c>
      <c r="Q55" s="3004" t="s">
        <v>1384</v>
      </c>
      <c r="R55" s="3004" t="s">
        <v>1385</v>
      </c>
    </row>
    <row r="56" s="902" customFormat="1" ht="13.5" spans="1:18">
      <c r="A56" s="3005" t="s">
        <v>1251</v>
      </c>
      <c r="B56" s="3006" t="s">
        <v>1252</v>
      </c>
      <c r="C56" s="2960" t="s">
        <v>1253</v>
      </c>
      <c r="D56" s="3006" t="s">
        <v>1254</v>
      </c>
      <c r="E56" s="3007" t="s">
        <v>1255</v>
      </c>
      <c r="F56" s="2730"/>
      <c r="G56" s="2731"/>
      <c r="I56" s="2732" t="s">
        <v>1386</v>
      </c>
      <c r="J56" s="2733" t="s">
        <v>1172</v>
      </c>
      <c r="K56" s="2734" t="s">
        <v>1387</v>
      </c>
      <c r="L56" s="3009">
        <f ca="1">INDIRECT("'数据-取费表'!d"&amp;$G$1)</f>
        <v>50</v>
      </c>
      <c r="M56" s="2736" t="str">
        <f>IF(ISNUMBER(FIND("住宅",C1)),"住宅","非住宅")</f>
        <v>非住宅</v>
      </c>
      <c r="O56" s="3010" t="s">
        <v>1388</v>
      </c>
      <c r="P56" s="3018" t="s">
        <v>1389</v>
      </c>
      <c r="Q56" s="3058">
        <f ca="1">C28+J31</f>
        <v>21425</v>
      </c>
      <c r="R56" s="3013" t="s">
        <v>1390</v>
      </c>
    </row>
    <row r="57" s="902" customFormat="1" ht="39" spans="1:18">
      <c r="A57" s="2769" t="s">
        <v>1391</v>
      </c>
      <c r="B57" s="2595" t="s">
        <v>1392</v>
      </c>
      <c r="C57" s="3014">
        <f ca="1">ROUND(C58+C62+C64,0)</f>
        <v>0</v>
      </c>
      <c r="D57" s="2862" t="s">
        <v>1257</v>
      </c>
      <c r="E57" s="3015"/>
      <c r="F57" s="2744"/>
      <c r="G57" s="2731"/>
      <c r="H57" s="2745"/>
      <c r="I57" s="2746" t="s">
        <v>1393</v>
      </c>
      <c r="J57" s="2747" t="s">
        <v>1394</v>
      </c>
      <c r="K57" s="2748" t="s">
        <v>1395</v>
      </c>
      <c r="L57" s="3017">
        <f ca="1">INDIRECT("'数据-取费表'!f"&amp;$G$1)</f>
        <v>26.03</v>
      </c>
      <c r="O57" s="3010" t="s">
        <v>1396</v>
      </c>
      <c r="P57" s="3018" t="s">
        <v>1397</v>
      </c>
      <c r="Q57" s="3058">
        <f ca="1">J69</f>
        <v>561</v>
      </c>
      <c r="R57" s="3013" t="s">
        <v>1398</v>
      </c>
    </row>
    <row r="58" s="902" customFormat="1" ht="15" spans="1:18">
      <c r="A58" s="3019" t="s">
        <v>1014</v>
      </c>
      <c r="B58" s="2867" t="s">
        <v>1258</v>
      </c>
      <c r="C58" s="3247">
        <f ca="1">C59-C61</f>
        <v>0</v>
      </c>
      <c r="D58" s="1298" t="s">
        <v>1259</v>
      </c>
      <c r="E58" s="3021" t="s">
        <v>1399</v>
      </c>
      <c r="F58" s="3248"/>
      <c r="G58" s="2756"/>
      <c r="H58" s="2745"/>
      <c r="I58" s="2746" t="s">
        <v>1400</v>
      </c>
      <c r="J58" s="3023">
        <v>2004</v>
      </c>
      <c r="K58" s="2748" t="s">
        <v>1401</v>
      </c>
      <c r="L58" s="3024"/>
      <c r="O58" s="2759" t="s">
        <v>1402</v>
      </c>
      <c r="P58" s="2738" t="s">
        <v>1403</v>
      </c>
      <c r="Q58" s="3063">
        <f ca="1">C51</f>
        <v>9219</v>
      </c>
      <c r="R58" s="2739" t="s">
        <v>1404</v>
      </c>
    </row>
    <row r="59" s="902" customFormat="1" ht="13.5" spans="1:18">
      <c r="A59" s="3027" t="s">
        <v>1043</v>
      </c>
      <c r="B59" s="3249" t="s">
        <v>1261</v>
      </c>
      <c r="C59" s="3227">
        <f ca="1">ROUND(F58*F60*F59/10000,2)</f>
        <v>0</v>
      </c>
      <c r="D59" s="2875" t="s">
        <v>1262</v>
      </c>
      <c r="E59" s="2764" t="s">
        <v>1263</v>
      </c>
      <c r="F59" s="3028">
        <f ca="1">F7</f>
        <v>20903.38</v>
      </c>
      <c r="H59" s="2745"/>
      <c r="I59" s="2746" t="s">
        <v>1405</v>
      </c>
      <c r="J59" s="3250">
        <f>SUMPRODUCT((I72:I74=J56)*(J71:L71=J57)*(J72:L74))</f>
        <v>60</v>
      </c>
      <c r="K59" s="2748" t="s">
        <v>1406</v>
      </c>
      <c r="L59" s="3024"/>
      <c r="M59" s="2767"/>
      <c r="O59" s="2759" t="s">
        <v>1407</v>
      </c>
      <c r="P59" s="2738" t="s">
        <v>1408</v>
      </c>
      <c r="Q59" s="3030">
        <f ca="1">J67</f>
        <v>0.4</v>
      </c>
      <c r="R59" s="2739"/>
    </row>
    <row r="60" s="902" customFormat="1" ht="13.5" spans="1:18">
      <c r="A60" s="3251"/>
      <c r="B60" s="3249"/>
      <c r="C60" s="3233"/>
      <c r="D60" s="2875"/>
      <c r="E60" s="2770" t="str">
        <f ca="1">IF(F60=1,"年",IF(F60=12,"月","天"))</f>
        <v>天</v>
      </c>
      <c r="F60" s="2880">
        <f ca="1">F8</f>
        <v>365</v>
      </c>
      <c r="I60" s="2771" t="s">
        <v>1409</v>
      </c>
      <c r="J60" s="3017">
        <f>IF(J58="",J59,J58+J59-YEAR('数据-取费表'!B2))</f>
        <v>38</v>
      </c>
      <c r="K60" s="2772" t="s">
        <v>1410</v>
      </c>
      <c r="L60" s="3033">
        <f ca="1">ROUND(-PV(INDIRECT("'数据-取费表'!h"&amp;$G$1),J60,(C27-C52*C88),0),0)</f>
        <v>18811</v>
      </c>
      <c r="M60" s="2774"/>
      <c r="O60" s="2759" t="s">
        <v>1411</v>
      </c>
      <c r="P60" s="2738" t="s">
        <v>1412</v>
      </c>
      <c r="Q60" s="3030">
        <f>J61</f>
        <v>0.075</v>
      </c>
      <c r="R60" s="2739"/>
    </row>
    <row r="61" s="902" customFormat="1" ht="13.5" spans="1:18">
      <c r="A61" s="3252" t="s">
        <v>1047</v>
      </c>
      <c r="B61" s="3249" t="s">
        <v>1264</v>
      </c>
      <c r="C61" s="3253">
        <f ca="1">ROUND(C59*F61,2)</f>
        <v>0</v>
      </c>
      <c r="D61" s="1298" t="s">
        <v>1265</v>
      </c>
      <c r="E61" s="2770" t="s">
        <v>1266</v>
      </c>
      <c r="F61" s="3036"/>
      <c r="I61" s="2776" t="s">
        <v>1413</v>
      </c>
      <c r="J61" s="3037">
        <v>0.075</v>
      </c>
      <c r="K61" s="2776" t="s">
        <v>1414</v>
      </c>
      <c r="L61" s="3037"/>
      <c r="O61" s="2759" t="s">
        <v>1415</v>
      </c>
      <c r="P61" s="2738" t="s">
        <v>1416</v>
      </c>
      <c r="Q61" s="3026">
        <f ca="1">J62</f>
        <v>26.03</v>
      </c>
      <c r="R61" s="2739" t="s">
        <v>1417</v>
      </c>
    </row>
    <row r="62" s="902" customFormat="1" ht="25.5" spans="1:18">
      <c r="A62" s="3039" t="s">
        <v>1019</v>
      </c>
      <c r="B62" s="3040" t="s">
        <v>1267</v>
      </c>
      <c r="C62" s="3225">
        <f ca="1">ROUND(IF(F62="押一",C58/12*F11,IF(F62="押二",C58/12*2*F11,IF(F62="押三",C58/12*3*F11,C63*F11))),2)</f>
        <v>0</v>
      </c>
      <c r="D62" s="2620" t="s">
        <v>1268</v>
      </c>
      <c r="E62" s="2616" t="s">
        <v>1269</v>
      </c>
      <c r="F62" s="3254"/>
      <c r="I62" s="2779" t="s">
        <v>1418</v>
      </c>
      <c r="J62" s="3042">
        <f ca="1">IF(M56="住宅",IF(D1="——",MAX(J60,L57),MAX(J60,L57-'数据-取费表'!B24)),IF(D1="——",MIN(J60,L57),MIN(J60,L57-'数据-取费表'!B24)))</f>
        <v>26.03</v>
      </c>
      <c r="K62" s="2781" t="s">
        <v>1419</v>
      </c>
      <c r="L62" s="2782"/>
      <c r="O62" s="3010" t="s">
        <v>1420</v>
      </c>
      <c r="P62" s="3011" t="s">
        <v>1421</v>
      </c>
      <c r="Q62" s="3058">
        <f ca="1">ROUND((Q56+Q57)*(1+F31),0)</f>
        <v>23965</v>
      </c>
      <c r="R62" s="3013" t="s">
        <v>1422</v>
      </c>
    </row>
    <row r="63" s="902" customFormat="1" ht="13.5" spans="1:18">
      <c r="A63" s="3255"/>
      <c r="B63" s="2889" t="str">
        <f>IF(OR(F62="自定义",F62=" "),"（自定义押金）","")</f>
        <v/>
      </c>
      <c r="C63" s="3228"/>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56"/>
      <c r="K63" s="2787"/>
      <c r="L63" s="2787"/>
      <c r="M63" s="2756"/>
      <c r="O63" s="2716" t="s">
        <v>1423</v>
      </c>
      <c r="P63" s="2788"/>
      <c r="Q63" s="2788"/>
      <c r="R63" s="2788"/>
    </row>
    <row r="64" s="902" customFormat="1" ht="13.5" spans="1:18">
      <c r="A64" s="3257" t="s">
        <v>1070</v>
      </c>
      <c r="B64" s="2630" t="s">
        <v>1272</v>
      </c>
      <c r="C64" s="3258"/>
      <c r="D64" s="2620"/>
      <c r="E64" s="2784"/>
      <c r="F64" s="2785"/>
      <c r="I64" s="2789" t="s">
        <v>1424</v>
      </c>
      <c r="J64" s="3259">
        <f ca="1">ROUND(IF(J56="钢混",J66/J59,1-(1-2%)*(J59-J66)/J59),3)</f>
        <v>0.2</v>
      </c>
      <c r="K64" s="2791" t="s">
        <v>1425</v>
      </c>
      <c r="L64" s="2792"/>
      <c r="O64" s="3001" t="s">
        <v>953</v>
      </c>
      <c r="P64" s="3002" t="s">
        <v>1383</v>
      </c>
      <c r="Q64" s="3004" t="s">
        <v>1384</v>
      </c>
      <c r="R64" s="3004" t="s">
        <v>1385</v>
      </c>
    </row>
    <row r="65" s="902" customFormat="1" ht="25.5" spans="1:18">
      <c r="A65" s="2804" t="s">
        <v>1273</v>
      </c>
      <c r="B65" s="2794" t="s">
        <v>1274</v>
      </c>
      <c r="C65" s="2874">
        <f ca="1">ROUND(C66+C74+C76+C78,0)</f>
        <v>25</v>
      </c>
      <c r="D65" s="2794" t="s">
        <v>1426</v>
      </c>
      <c r="E65" s="2806"/>
      <c r="F65" s="2744"/>
      <c r="I65" s="2796" t="s">
        <v>1427</v>
      </c>
      <c r="J65" s="3260" t="s">
        <v>1428</v>
      </c>
      <c r="K65" s="2746" t="s">
        <v>1429</v>
      </c>
      <c r="L65" s="3017" t="str">
        <f ca="1">IF(L57&lt;J60,"——",L57-J62)</f>
        <v>——</v>
      </c>
      <c r="O65" s="3010" t="s">
        <v>1388</v>
      </c>
      <c r="P65" s="3018" t="s">
        <v>1389</v>
      </c>
      <c r="Q65" s="3058">
        <f ca="1">C28+J31</f>
        <v>21425</v>
      </c>
      <c r="R65" s="3013" t="s">
        <v>1390</v>
      </c>
    </row>
    <row r="66" s="902" customFormat="1" ht="24.75" spans="1:18">
      <c r="A66" s="1301" t="s">
        <v>1014</v>
      </c>
      <c r="B66" s="1325" t="s">
        <v>1277</v>
      </c>
      <c r="C66" s="3225">
        <f ca="1">ROUND(IF(AND(项目基本情况!B11="自然人",项目基本情况!B10="北京市",M56="住宅"),C58*F66,C67+C71+C72),2)</f>
        <v>-0.25</v>
      </c>
      <c r="D66" s="2808" t="s">
        <v>1278</v>
      </c>
      <c r="E66" s="2808" t="str">
        <f>E14</f>
        <v/>
      </c>
      <c r="F66" s="2899" t="str">
        <f ca="1">IF(M56="非住宅","",IF(F58*F59*F60/12/(1+'数据-取费表'!F30)&gt;100000,4%,2.5%))</f>
        <v/>
      </c>
      <c r="I66" s="2802" t="s">
        <v>1430</v>
      </c>
      <c r="J66" s="3047">
        <f ca="1">IF(OR(M56="住宅",J60&lt;L57,J65="是"),"——",J60-L57)</f>
        <v>11.97</v>
      </c>
      <c r="K66" s="2746" t="s">
        <v>1431</v>
      </c>
      <c r="L66" s="3048" t="str">
        <f ca="1">IF(L57&lt;J60,"——",IF(L64="比较法",L58,IF(L64="基准地价",L59,L60)))</f>
        <v>——</v>
      </c>
      <c r="O66" s="3010" t="s">
        <v>1396</v>
      </c>
      <c r="P66" s="3018" t="s">
        <v>1432</v>
      </c>
      <c r="Q66" s="3012">
        <f ca="1">L69</f>
        <v>0</v>
      </c>
      <c r="R66" s="3013" t="s">
        <v>1433</v>
      </c>
    </row>
    <row r="67" s="902" customFormat="1" ht="24.75" spans="1:18">
      <c r="A67" s="2872" t="s">
        <v>1043</v>
      </c>
      <c r="B67" s="2869" t="s">
        <v>1280</v>
      </c>
      <c r="C67" s="3225">
        <f ca="1">C70</f>
        <v>-0.25</v>
      </c>
      <c r="D67" s="1123" t="s">
        <v>1281</v>
      </c>
      <c r="E67" s="2901"/>
      <c r="F67" s="2902"/>
      <c r="I67" s="2802" t="s">
        <v>1434</v>
      </c>
      <c r="J67" s="3049">
        <f ca="1">IF(J64&lt;0.4,0.4,J64)</f>
        <v>0.4</v>
      </c>
      <c r="K67" s="2772" t="s">
        <v>1435</v>
      </c>
      <c r="L67" s="3048" t="e">
        <f ca="1">ROUND(POWER(1+L61,L56-L57)*(POWER(1+L61,L57)-1)/(POWER(1+L61,L56)-1),4)</f>
        <v>#DIV/0!</v>
      </c>
      <c r="O67" s="2759" t="s">
        <v>1402</v>
      </c>
      <c r="P67" s="2738" t="s">
        <v>1436</v>
      </c>
      <c r="Q67" s="3026">
        <f>IF(L64="比较法",L58,IF(L64="基准地价",L59,0))</f>
        <v>0</v>
      </c>
      <c r="R67" s="2739" t="s">
        <v>1404</v>
      </c>
    </row>
    <row r="68" s="902" customFormat="1" ht="24.75" spans="1:18">
      <c r="A68" s="681" t="s">
        <v>1282</v>
      </c>
      <c r="B68" s="2904" t="s">
        <v>975</v>
      </c>
      <c r="C68" s="3225">
        <f ca="1">ROUND(C58*F68,2)</f>
        <v>0</v>
      </c>
      <c r="D68" s="652" t="s">
        <v>1283</v>
      </c>
      <c r="E68" s="2905" t="s">
        <v>1127</v>
      </c>
      <c r="F68" s="2906">
        <f>F16</f>
        <v>0.09</v>
      </c>
      <c r="I68" s="2802" t="s">
        <v>1437</v>
      </c>
      <c r="J68" s="3050">
        <f ca="1">IF(OR(M56="住宅",J60&lt;L57,J65="是"),"——",ROUND(C51*J67,0))</f>
        <v>3688</v>
      </c>
      <c r="K68"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1407</v>
      </c>
      <c r="P68" s="2738" t="s">
        <v>1438</v>
      </c>
      <c r="Q68" s="3030">
        <f>L61</f>
        <v>0</v>
      </c>
      <c r="R68" s="2739"/>
    </row>
    <row r="69" s="902" customFormat="1" ht="17.25" spans="1:18">
      <c r="A69" s="681" t="s">
        <v>1285</v>
      </c>
      <c r="B69" s="2904" t="s">
        <v>980</v>
      </c>
      <c r="C69" s="3225">
        <f ca="1">ROUND(C74*F68+((C76+C78)*F69),2)</f>
        <v>2.07</v>
      </c>
      <c r="D69" s="2907" t="s">
        <v>1286</v>
      </c>
      <c r="E69" s="2910"/>
      <c r="F69" s="2906">
        <f t="shared" ref="F69:F70" si="0">F17</f>
        <v>0.06</v>
      </c>
      <c r="I69" s="2810" t="s">
        <v>1439</v>
      </c>
      <c r="J69" s="3051">
        <f ca="1">IF(OR(M56="住宅",J60&lt;L57,J65="是"),"0",ROUND(J68/(1+J61)^J62,0))</f>
        <v>561</v>
      </c>
      <c r="K69" s="2812" t="s">
        <v>1440</v>
      </c>
      <c r="L69" s="3051">
        <f ca="1">IF(OR(M56="住宅",L57&lt;J60),0,ROUND(L66*(L67/L68-1),0))</f>
        <v>0</v>
      </c>
      <c r="O69" s="2759" t="s">
        <v>1411</v>
      </c>
      <c r="P69" s="2738" t="s">
        <v>1441</v>
      </c>
      <c r="Q69" s="3052" t="e">
        <f ca="1">L67</f>
        <v>#DIV/0!</v>
      </c>
      <c r="R69" s="2739" t="s">
        <v>1442</v>
      </c>
    </row>
    <row r="70" s="902" customFormat="1" ht="13.5" spans="1:18">
      <c r="A70" s="681" t="s">
        <v>1287</v>
      </c>
      <c r="B70" s="2904" t="s">
        <v>1291</v>
      </c>
      <c r="C70" s="3225">
        <f ca="1">ROUND((C68-C69)*F70,2)</f>
        <v>-0.25</v>
      </c>
      <c r="D70" s="2900" t="s">
        <v>1289</v>
      </c>
      <c r="E70" s="1320" t="s">
        <v>1290</v>
      </c>
      <c r="F70" s="2906">
        <f t="shared" si="0"/>
        <v>0.12</v>
      </c>
      <c r="I70" s="2709"/>
      <c r="J70" s="2709"/>
      <c r="K70" s="2709"/>
      <c r="L70" s="2709"/>
      <c r="O70" s="2759" t="s">
        <v>1415</v>
      </c>
      <c r="P70" s="2738" t="str">
        <f>K68</f>
        <v>建筑物剩余耐用年限下的土地年期修正系数Kn</v>
      </c>
      <c r="Q70" s="3052" t="e">
        <f ca="1">L68</f>
        <v>#DIV/0!</v>
      </c>
      <c r="R70" s="2739" t="s">
        <v>1443</v>
      </c>
    </row>
    <row r="71" s="902" customFormat="1" ht="25.5" spans="1:18">
      <c r="A71" s="3261" t="s">
        <v>1047</v>
      </c>
      <c r="B71" s="1325" t="s">
        <v>1292</v>
      </c>
      <c r="C71" s="3225">
        <f ca="1">IF(项目基本情况!B11="自然人","——",IF(D71="按不含税租金收入（有效毛租金收入）计税",ROUND(C58*F71/(1+'数据-取费表'!C43),2),IF(D71="按房产原值计税",ROUND(F74*F71*0.7,2),INDIRECT("'数据-取费表'!Aj"&amp;$G$1))))</f>
        <v>0</v>
      </c>
      <c r="D71" s="2666"/>
      <c r="E71" s="1362" t="s">
        <v>1294</v>
      </c>
      <c r="F71" s="2906">
        <f t="shared" ref="F71:F73" si="1">F19</f>
        <v>0.12</v>
      </c>
      <c r="I71" s="2815" t="s">
        <v>1444</v>
      </c>
      <c r="J71" s="2816" t="s">
        <v>1445</v>
      </c>
      <c r="K71" s="2816" t="s">
        <v>1446</v>
      </c>
      <c r="L71" s="2816" t="s">
        <v>1447</v>
      </c>
      <c r="M71" s="823" t="s">
        <v>1448</v>
      </c>
      <c r="O71" s="3010" t="s">
        <v>1420</v>
      </c>
      <c r="P71" s="3011" t="s">
        <v>1421</v>
      </c>
      <c r="Q71" s="3012">
        <f ca="1">ROUND((Q65+Q66)*(1+F31),0)</f>
        <v>23353</v>
      </c>
      <c r="R71" s="3013" t="s">
        <v>1422</v>
      </c>
    </row>
    <row r="72" s="902" customFormat="1" ht="13.5" spans="1:18">
      <c r="A72" s="2872" t="s">
        <v>1050</v>
      </c>
      <c r="B72" s="3262" t="s">
        <v>1295</v>
      </c>
      <c r="C72" s="3227">
        <f ca="1">IF(项目基本情况!B11="自然人","——",ROUND(F72*F73/10000,2))</f>
        <v>0</v>
      </c>
      <c r="D72" s="2814" t="s">
        <v>1296</v>
      </c>
      <c r="E72" s="1362" t="s">
        <v>1297</v>
      </c>
      <c r="F72" s="2870">
        <f t="shared" si="1"/>
        <v>3</v>
      </c>
      <c r="I72" s="2815" t="s">
        <v>1449</v>
      </c>
      <c r="J72" s="3055">
        <v>70</v>
      </c>
      <c r="K72" s="3055">
        <v>50</v>
      </c>
      <c r="L72" s="3055">
        <v>80</v>
      </c>
      <c r="M72" s="2819">
        <v>0.02</v>
      </c>
      <c r="O72" s="2716" t="s">
        <v>1450</v>
      </c>
      <c r="P72" s="2788"/>
      <c r="Q72" s="2788"/>
      <c r="R72" s="2788"/>
    </row>
    <row r="73" s="902" customFormat="1" ht="13.5" spans="1:18">
      <c r="A73" s="2671"/>
      <c r="B73" s="3263"/>
      <c r="C73" s="3233"/>
      <c r="D73" s="2818"/>
      <c r="E73" s="1362" t="s">
        <v>1298</v>
      </c>
      <c r="F73" s="2916">
        <f ca="1" t="shared" si="1"/>
        <v>0</v>
      </c>
      <c r="I73" s="2815" t="s">
        <v>1451</v>
      </c>
      <c r="J73" s="3055">
        <v>50</v>
      </c>
      <c r="K73" s="3055">
        <v>35</v>
      </c>
      <c r="L73" s="3055">
        <v>60</v>
      </c>
      <c r="M73" s="823">
        <v>0</v>
      </c>
      <c r="O73" s="2724" t="s">
        <v>1452</v>
      </c>
      <c r="P73" s="2725" t="s">
        <v>1453</v>
      </c>
      <c r="Q73" s="2726" t="s">
        <v>1454</v>
      </c>
      <c r="R73" s="2726" t="s">
        <v>1455</v>
      </c>
    </row>
    <row r="74" s="902" customFormat="1" ht="13.5" spans="1:18">
      <c r="A74" s="3056" t="s">
        <v>1019</v>
      </c>
      <c r="B74" s="2813" t="s">
        <v>1299</v>
      </c>
      <c r="C74" s="3234">
        <f ca="1">ROUND(F74*F75,2)</f>
        <v>18.44</v>
      </c>
      <c r="D74" s="3057" t="s">
        <v>1300</v>
      </c>
      <c r="E74" s="3264" t="s">
        <v>1456</v>
      </c>
      <c r="F74" s="3033">
        <f ca="1">C51</f>
        <v>9219</v>
      </c>
      <c r="I74" s="2815" t="s">
        <v>1457</v>
      </c>
      <c r="J74" s="3055">
        <v>40</v>
      </c>
      <c r="K74" s="3055">
        <v>30</v>
      </c>
      <c r="L74" s="3055">
        <v>50</v>
      </c>
      <c r="M74" s="2819">
        <v>0.02</v>
      </c>
      <c r="O74" s="3010" t="s">
        <v>1388</v>
      </c>
      <c r="P74" s="3018" t="s">
        <v>1389</v>
      </c>
      <c r="Q74" s="3058">
        <f ca="1">C28+J31</f>
        <v>21425</v>
      </c>
      <c r="R74" s="3013" t="s">
        <v>1390</v>
      </c>
    </row>
    <row r="75" s="902" customFormat="1" ht="17.25" spans="1:18">
      <c r="A75" s="3265"/>
      <c r="B75" s="2817"/>
      <c r="C75" s="3235"/>
      <c r="D75" s="3060"/>
      <c r="E75" s="1362" t="s">
        <v>1294</v>
      </c>
      <c r="F75" s="2882">
        <f ca="1">F22</f>
        <v>0.002</v>
      </c>
      <c r="O75" s="3010" t="s">
        <v>1396</v>
      </c>
      <c r="P75" s="3018" t="s">
        <v>1432</v>
      </c>
      <c r="Q75" s="3012">
        <f ca="1">L69</f>
        <v>0</v>
      </c>
      <c r="R75" s="3013" t="s">
        <v>1433</v>
      </c>
    </row>
    <row r="76" s="902" customFormat="1" ht="13.5" spans="1:18">
      <c r="A76" s="3056" t="s">
        <v>1070</v>
      </c>
      <c r="B76" s="2813" t="s">
        <v>1302</v>
      </c>
      <c r="C76" s="3234">
        <f ca="1">ROUND(F76*F77,2)</f>
        <v>6.82</v>
      </c>
      <c r="D76" s="3057" t="s">
        <v>1303</v>
      </c>
      <c r="E76" s="3264" t="s">
        <v>1378</v>
      </c>
      <c r="F76" s="3062">
        <f ca="1">C53</f>
        <v>6822</v>
      </c>
      <c r="O76" s="2737"/>
      <c r="P76" s="2738"/>
      <c r="Q76" s="3026"/>
      <c r="R76" s="2739"/>
    </row>
    <row r="77" s="902" customFormat="1" ht="17.25" spans="1:18">
      <c r="A77" s="3059"/>
      <c r="B77" s="2817"/>
      <c r="C77" s="3235"/>
      <c r="D77" s="3060"/>
      <c r="E77" s="1362" t="s">
        <v>1294</v>
      </c>
      <c r="F77" s="2882">
        <f ca="1">F24</f>
        <v>0.001</v>
      </c>
      <c r="O77" s="2759" t="s">
        <v>1402</v>
      </c>
      <c r="P77" s="2738" t="s">
        <v>1436</v>
      </c>
      <c r="Q77" s="3063">
        <f ca="1">L60</f>
        <v>18811</v>
      </c>
      <c r="R77" s="2739" t="s">
        <v>1458</v>
      </c>
    </row>
    <row r="78" s="902" customFormat="1" ht="13.5" spans="1:18">
      <c r="A78" s="3059" t="s">
        <v>1075</v>
      </c>
      <c r="B78" s="1362" t="s">
        <v>1306</v>
      </c>
      <c r="C78" s="3225">
        <f ca="1">ROUND(C57*F78,2)</f>
        <v>0</v>
      </c>
      <c r="D78" s="2809" t="s">
        <v>1307</v>
      </c>
      <c r="E78" s="1362" t="s">
        <v>1294</v>
      </c>
      <c r="F78" s="2882">
        <f ca="1">F26</f>
        <v>0.005</v>
      </c>
      <c r="O78" s="2759"/>
      <c r="P78" s="2738"/>
      <c r="Q78" s="3063"/>
      <c r="R78" s="2739"/>
    </row>
    <row r="79" s="902" customFormat="1" ht="17.25" spans="1:18">
      <c r="A79" s="2793" t="s">
        <v>1308</v>
      </c>
      <c r="B79" s="2820" t="s">
        <v>1309</v>
      </c>
      <c r="C79" s="2874">
        <f ca="1">C57-C65</f>
        <v>-25</v>
      </c>
      <c r="D79" s="2820" t="s">
        <v>1310</v>
      </c>
      <c r="E79" s="3064"/>
      <c r="F79" s="3065"/>
      <c r="O79" s="2759" t="s">
        <v>1407</v>
      </c>
      <c r="P79" s="2826" t="s">
        <v>1459</v>
      </c>
      <c r="Q79" s="3063">
        <f ca="1">ROUND(Q80-Q81*Q82,0)</f>
        <v>1115</v>
      </c>
      <c r="R79" s="2739" t="s">
        <v>1460</v>
      </c>
    </row>
    <row r="80" s="902" customFormat="1" ht="13.5" spans="1:18">
      <c r="A80" s="3066" t="s">
        <v>1311</v>
      </c>
      <c r="B80" s="2825" t="s">
        <v>1312</v>
      </c>
      <c r="C80" s="2884">
        <f ca="1">ROUND(C79*(1-((1+F82)/(1+F80))^F81)/(F80-F82),0)</f>
        <v>-342</v>
      </c>
      <c r="D80" s="3067" t="s">
        <v>1313</v>
      </c>
      <c r="E80" s="2794" t="s">
        <v>1314</v>
      </c>
      <c r="F80" s="2882">
        <f ca="1">F28</f>
        <v>0.055</v>
      </c>
      <c r="O80" s="2759" t="s">
        <v>1461</v>
      </c>
      <c r="P80" s="2826" t="s">
        <v>1462</v>
      </c>
      <c r="Q80" s="3063">
        <f ca="1">C27</f>
        <v>1283</v>
      </c>
      <c r="R80" s="2739" t="s">
        <v>1404</v>
      </c>
    </row>
    <row r="81" s="902" customFormat="1" ht="13.5" spans="1:18">
      <c r="A81" s="3068"/>
      <c r="B81" s="2828"/>
      <c r="C81" s="2861"/>
      <c r="D81" s="3069" t="s">
        <v>1316</v>
      </c>
      <c r="E81" s="2794" t="s">
        <v>1317</v>
      </c>
      <c r="F81" s="2938">
        <f ca="1">F29</f>
        <v>26.03</v>
      </c>
      <c r="O81" s="2759" t="s">
        <v>1463</v>
      </c>
      <c r="P81" s="2826" t="s">
        <v>1464</v>
      </c>
      <c r="Q81" s="3063">
        <f ca="1">C52</f>
        <v>2397</v>
      </c>
      <c r="R81" s="2739" t="s">
        <v>1404</v>
      </c>
    </row>
    <row r="82" s="902" customFormat="1" ht="13.5" spans="1:18">
      <c r="A82" s="3266"/>
      <c r="B82" s="3267"/>
      <c r="C82" s="3267"/>
      <c r="D82" s="3072"/>
      <c r="E82" s="2794" t="s">
        <v>1318</v>
      </c>
      <c r="F82" s="3036"/>
      <c r="O82" s="2759" t="s">
        <v>1465</v>
      </c>
      <c r="P82" s="2826" t="s">
        <v>1466</v>
      </c>
      <c r="Q82" s="3030">
        <f ca="1">C88</f>
        <v>0.07</v>
      </c>
      <c r="R82" s="2739"/>
    </row>
    <row r="83" s="902" customFormat="1" ht="13.5" spans="1:18">
      <c r="A83" s="2830" t="s">
        <v>1319</v>
      </c>
      <c r="B83" s="3073" t="s">
        <v>1467</v>
      </c>
      <c r="C83" s="2893">
        <f ca="1">ROUND(C80*(1+F31),0)</f>
        <v>-373</v>
      </c>
      <c r="D83" s="3268" t="str">
        <f>D31</f>
        <v>其他类型公式—收益价值×（1+9%）</v>
      </c>
      <c r="E83" s="2579"/>
      <c r="F83" s="3075"/>
      <c r="O83" s="2759" t="s">
        <v>1411</v>
      </c>
      <c r="P83" s="2738" t="s">
        <v>1438</v>
      </c>
      <c r="Q83" s="3030">
        <f>L61</f>
        <v>0</v>
      </c>
      <c r="R83" s="2739"/>
    </row>
    <row r="84" ht="17.25" spans="1:18">
      <c r="A84" s="2832" t="s">
        <v>1324</v>
      </c>
      <c r="B84" s="2833" t="s">
        <v>1325</v>
      </c>
      <c r="C84" s="2978">
        <f ca="1">ROUND(C83*10000/F84,0)</f>
        <v>-178</v>
      </c>
      <c r="D84" s="3076" t="s">
        <v>1326</v>
      </c>
      <c r="E84" s="2833" t="s">
        <v>1327</v>
      </c>
      <c r="F84" s="2951">
        <f ca="1">F32</f>
        <v>20903.38</v>
      </c>
      <c r="G84" s="902"/>
      <c r="H84" s="902"/>
      <c r="O84" s="2759" t="s">
        <v>1415</v>
      </c>
      <c r="P84" s="2738" t="s">
        <v>1441</v>
      </c>
      <c r="Q84" s="3269" t="e">
        <f ca="1">L67</f>
        <v>#DIV/0!</v>
      </c>
      <c r="R84" s="2739" t="s">
        <v>1442</v>
      </c>
    </row>
    <row r="85" ht="13.5" spans="1:18">
      <c r="A85" s="902"/>
      <c r="B85" s="2836"/>
      <c r="C85" s="2836"/>
      <c r="D85" s="902"/>
      <c r="E85" s="902"/>
      <c r="F85" s="902"/>
      <c r="O85" s="2759" t="s">
        <v>1468</v>
      </c>
      <c r="P85" s="2738" t="str">
        <f>K68</f>
        <v>建筑物剩余耐用年限下的土地年期修正系数Kn</v>
      </c>
      <c r="Q85" s="3269" t="e">
        <f ca="1">L68</f>
        <v>#DIV/0!</v>
      </c>
      <c r="R85" s="2739" t="s">
        <v>1443</v>
      </c>
    </row>
    <row r="86" ht="25.5" spans="1:18">
      <c r="A86" s="902"/>
      <c r="B86" s="514" t="s">
        <v>1469</v>
      </c>
      <c r="C86" s="2837"/>
      <c r="D86" s="902"/>
      <c r="E86" s="902"/>
      <c r="F86" s="902"/>
      <c r="K86" s="2712"/>
      <c r="L86" s="902"/>
      <c r="O86" s="3010" t="s">
        <v>1420</v>
      </c>
      <c r="P86" s="3011" t="s">
        <v>1421</v>
      </c>
      <c r="Q86" s="3058">
        <f ca="1">ROUND((Q74+Q75)*(1+F31),0)</f>
        <v>23353</v>
      </c>
      <c r="R86" s="3013" t="s">
        <v>1422</v>
      </c>
    </row>
    <row r="87" spans="1:18">
      <c r="A87" s="902"/>
      <c r="B87" s="2838" t="s">
        <v>1470</v>
      </c>
      <c r="C87" s="1826">
        <f ca="1">ROUND(C53*C88,0)</f>
        <v>478</v>
      </c>
      <c r="D87" s="902"/>
      <c r="E87" s="902"/>
      <c r="F87" s="902"/>
      <c r="I87" s="902"/>
      <c r="J87" s="902"/>
      <c r="K87" s="2712"/>
      <c r="L87" s="902"/>
    </row>
    <row r="88" spans="1:18">
      <c r="B88" s="856" t="s">
        <v>1471</v>
      </c>
      <c r="C88" s="3077">
        <f ca="1">INDIRECT("'数据-取费表'!j"&amp;$G$1)</f>
        <v>0.07</v>
      </c>
      <c r="I88" s="902"/>
      <c r="J88" s="902"/>
      <c r="K88" s="2712"/>
      <c r="L88" s="902"/>
    </row>
    <row r="89" spans="1:18">
      <c r="B89" s="2841" t="s">
        <v>1472</v>
      </c>
      <c r="C89" s="2842"/>
    </row>
    <row r="90" spans="1:18">
      <c r="B90" s="512" t="s">
        <v>1473</v>
      </c>
      <c r="C90" s="2843"/>
    </row>
    <row r="91" spans="1:18">
      <c r="B91" s="2838" t="s">
        <v>1474</v>
      </c>
      <c r="C91" s="3078">
        <f ca="1">1-C92</f>
        <v>0.627</v>
      </c>
    </row>
    <row r="92" spans="1:18">
      <c r="B92" s="2838" t="s">
        <v>1475</v>
      </c>
      <c r="C92" s="3078">
        <f ca="1">ROUND(C87/C27,3)</f>
        <v>0.373</v>
      </c>
    </row>
    <row r="93" spans="1:18">
      <c r="B93" s="512" t="s">
        <v>1476</v>
      </c>
      <c r="C93" s="479"/>
    </row>
    <row r="94" spans="1:18">
      <c r="B94" s="514" t="s">
        <v>1477</v>
      </c>
      <c r="C94" s="3079">
        <f ca="1">1-C95</f>
        <v>0.69</v>
      </c>
    </row>
    <row r="95" spans="1:18">
      <c r="B95" s="514" t="s">
        <v>1478</v>
      </c>
      <c r="C95" s="3078">
        <f ca="1">ROUND(C53/(C28+J31+L55),3)</f>
        <v>0.31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10" sqref="D10"/>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9">
      <c r="A1" s="432" t="s">
        <v>1479</v>
      </c>
      <c r="B1" s="621" t="s">
        <v>681</v>
      </c>
      <c r="C1" s="3088" t="s">
        <v>1123</v>
      </c>
      <c r="D1" s="434"/>
      <c r="E1" s="434"/>
      <c r="F1" s="434"/>
      <c r="G1" s="622">
        <f>MATCH(B1,'数据-取费表'!A6:A16,0)+5</f>
        <v>6</v>
      </c>
    </row>
    <row r="2" s="424" customFormat="1" ht="15.75" spans="1:9">
      <c r="A2" s="436" t="s">
        <v>1122</v>
      </c>
      <c r="B2" s="623">
        <f ca="1">IF(C1="含税",E2+C33,E2+C32)</f>
        <v>13832</v>
      </c>
      <c r="C2" s="435" t="s">
        <v>1124</v>
      </c>
      <c r="D2" s="3083" t="s">
        <v>124</v>
      </c>
      <c r="E2" s="3207">
        <f ca="1">IF(D2="——",0,SUMIF(INDIRECT("'"&amp;G2&amp;"'"&amp;"!A:A"),"承租人权益价值",INDIRECT("'"&amp;G2&amp;"'"&amp;"!c:c")))</f>
        <v>0</v>
      </c>
      <c r="F2" s="739" t="s">
        <v>1124</v>
      </c>
      <c r="G2" s="3085"/>
    </row>
    <row r="3" s="424" customFormat="1" ht="16.5" spans="1:9">
      <c r="A3" s="439" t="s">
        <v>1125</v>
      </c>
      <c r="B3" s="625">
        <f ca="1">ROUND(B2*10000/(IF(B1="",'数据-汇总表'!E3,INDIRECT("'数据-取费表'!k"&amp;$G$1))),0)</f>
        <v>6617</v>
      </c>
      <c r="C3" s="435" t="s">
        <v>1480</v>
      </c>
      <c r="D3" s="435"/>
      <c r="E3" s="624"/>
      <c r="F3" s="435"/>
      <c r="G3" s="435"/>
    </row>
    <row r="4" s="424" customFormat="1" ht="15.75" spans="1:9">
      <c r="A4" s="3091" t="s">
        <v>1004</v>
      </c>
      <c r="B4" s="3092" t="s">
        <v>1005</v>
      </c>
      <c r="C4" s="3093" t="s">
        <v>1481</v>
      </c>
      <c r="D4" s="3094" t="s">
        <v>1482</v>
      </c>
      <c r="E4" s="3095" t="s">
        <v>1483</v>
      </c>
      <c r="F4" s="3095" t="s">
        <v>1484</v>
      </c>
      <c r="G4" s="3096" t="s">
        <v>1485</v>
      </c>
    </row>
    <row r="5" s="425" customFormat="1" ht="15.75" spans="1:9">
      <c r="A5" s="3097" t="s">
        <v>1391</v>
      </c>
      <c r="B5" s="3098" t="s">
        <v>1486</v>
      </c>
      <c r="C5" s="3099">
        <f ca="1">ROUND((C6+C9+C21+C24+C25+C28)/(1-F22-C26-C29),0)</f>
        <v>15087</v>
      </c>
      <c r="D5" s="3100"/>
      <c r="E5" s="3100"/>
      <c r="F5" s="3100"/>
      <c r="G5" s="3101" t="s">
        <v>1487</v>
      </c>
    </row>
    <row r="6" s="618" customFormat="1" ht="15" spans="1:9">
      <c r="A6" s="3102" t="s">
        <v>1488</v>
      </c>
      <c r="B6" s="3103" t="s">
        <v>1489</v>
      </c>
      <c r="C6" s="3104">
        <f>C7+C8</f>
        <v>4428</v>
      </c>
      <c r="D6" s="3105"/>
      <c r="E6" s="3105"/>
      <c r="F6" s="3105"/>
      <c r="G6" s="3106"/>
    </row>
    <row r="7" s="426" customFormat="1" spans="1:9">
      <c r="A7" s="3107" t="s">
        <v>1490</v>
      </c>
      <c r="B7" s="3108" t="s">
        <v>1491</v>
      </c>
      <c r="C7" s="666">
        <f>基准地价修正!B2</f>
        <v>4297</v>
      </c>
      <c r="D7" s="3109"/>
      <c r="E7" s="668"/>
      <c r="F7" s="668"/>
      <c r="G7" s="501"/>
    </row>
    <row r="8" s="426" customFormat="1" spans="1:9">
      <c r="A8" s="3107" t="s">
        <v>1492</v>
      </c>
      <c r="B8" s="3108" t="s">
        <v>1493</v>
      </c>
      <c r="C8" s="660">
        <f>ROUND(C7*F8,0)</f>
        <v>131</v>
      </c>
      <c r="D8" s="490"/>
      <c r="E8" s="668"/>
      <c r="F8" s="663">
        <f>IF(项目基本情况!B8="出让",0,'数据-取费表'!B49+'数据-取费表'!B50)</f>
        <v>0.0305</v>
      </c>
      <c r="G8" s="501"/>
    </row>
    <row r="9" s="618" customFormat="1" ht="15" spans="1:9">
      <c r="A9" s="3110" t="s">
        <v>1494</v>
      </c>
      <c r="B9" s="3111" t="s">
        <v>1495</v>
      </c>
      <c r="C9" s="670">
        <f ca="1">C10+C11+C12+C13+C19+C20</f>
        <v>8227</v>
      </c>
      <c r="D9" s="3112"/>
      <c r="E9" s="3113"/>
      <c r="F9" s="673"/>
      <c r="G9" s="3114"/>
      <c r="I9" s="426"/>
    </row>
    <row r="10" s="426" customFormat="1" spans="1:9">
      <c r="A10" s="3115" t="s">
        <v>1490</v>
      </c>
      <c r="B10" s="3116" t="s">
        <v>1496</v>
      </c>
      <c r="C10" s="660">
        <f ca="1">IF(B1="",IF(F10=100%,'数据-取费表'!M16,'数据-取费表'!O16),IF(F10=100%,INDIRECT("'数据-取费表'!m"&amp;$G$1)+INDIRECT("'数据-取费表'!t"&amp;$G$1),INDIRECT("'数据-取费表'!o"&amp;$G$1)+INDIRECT("'数据-取费表'!aq"&amp;$G$1)))</f>
        <v>6689</v>
      </c>
      <c r="D10" s="3109"/>
      <c r="E10" s="490"/>
      <c r="F10" s="3117">
        <f ca="1">IF('数据-取费表'!B24=0,1,IF(B1="",'数据-取费表'!N16,INDIRECT("'数据-取费表'!n"&amp;$G$1)))</f>
        <v>1</v>
      </c>
      <c r="G10" s="501" t="s">
        <v>1497</v>
      </c>
    </row>
    <row r="11" s="426" customFormat="1" spans="1:9">
      <c r="A11" s="3115" t="s">
        <v>1492</v>
      </c>
      <c r="B11" s="3116" t="s">
        <v>1498</v>
      </c>
      <c r="C11" s="660">
        <f ca="1">ROUND(C10*F11,0)</f>
        <v>468</v>
      </c>
      <c r="D11" s="490"/>
      <c r="E11" s="490"/>
      <c r="F11" s="3118">
        <f>'数据-取费表'!B33</f>
        <v>0.07</v>
      </c>
      <c r="G11" s="669" t="s">
        <v>1499</v>
      </c>
    </row>
    <row r="12" s="426" customFormat="1" spans="1:9">
      <c r="A12" s="3115" t="s">
        <v>1500</v>
      </c>
      <c r="B12" s="3116" t="s">
        <v>1501</v>
      </c>
      <c r="C12" s="660">
        <f ca="1">ROUND(IF(B1="",SUMIF('数据-取费表'!C:C,"住宅",IF(F10=100%,'数据-取费表'!M:M,'数据-取费表'!O:O))*F12,IF(INDIRECT("'数据-取费表'!c"&amp;$G$1)="住宅",IF(F10=100%,INDIRECT("'数据-取费表'!m"&amp;$G$1)*F12,INDIRECT("'数据-取费表'!o"&amp;$G$1)*F12),0)),0)</f>
        <v>0</v>
      </c>
      <c r="D12" s="490"/>
      <c r="E12" s="490"/>
      <c r="F12" s="3118">
        <f>'数据-取费表'!B34</f>
        <v>0</v>
      </c>
      <c r="G12" s="3119" t="s">
        <v>1502</v>
      </c>
    </row>
    <row r="13" s="426" customFormat="1" spans="1:9">
      <c r="A13" s="3115" t="s">
        <v>1503</v>
      </c>
      <c r="B13" s="3116" t="s">
        <v>1504</v>
      </c>
      <c r="C13" s="660">
        <f ca="1">C14+C17+C18</f>
        <v>1003</v>
      </c>
      <c r="D13" s="490"/>
      <c r="E13" s="668"/>
      <c r="F13" s="663"/>
      <c r="G13" s="501"/>
    </row>
    <row r="14" s="427" customFormat="1" spans="1:9">
      <c r="A14" s="681" t="s">
        <v>1282</v>
      </c>
      <c r="B14" s="3120" t="s">
        <v>1505</v>
      </c>
      <c r="C14" s="660">
        <f ca="1">IF(G14="已包含在土地购买价格中","0",IF(B1="",'数据-取费表'!B29,IF(G15="全部缴纳",C15+C16,H15)))</f>
        <v>418</v>
      </c>
      <c r="D14" s="3121"/>
      <c r="E14" s="490"/>
      <c r="F14" s="663"/>
      <c r="G14" s="680" t="s">
        <v>1506</v>
      </c>
    </row>
    <row r="15" s="426" customFormat="1" spans="1:9">
      <c r="A15" s="3122" t="s">
        <v>1388</v>
      </c>
      <c r="B15" s="3123" t="s">
        <v>1507</v>
      </c>
      <c r="C15" s="683">
        <f ca="1">ROUND(D15*E15/10000,0)</f>
        <v>0</v>
      </c>
      <c r="D15" s="683">
        <f ca="1">IF(B1="",'数据-汇总表'!E5,IF(INDIRECT("'数据-取费表'!c"&amp;$G$1)="住宅",INDIRECT("'数据-取费表'!k"&amp;$G$1),0))</f>
        <v>0</v>
      </c>
      <c r="E15" s="683">
        <f>'数据-取费表'!B27</f>
        <v>0</v>
      </c>
      <c r="F15" s="663"/>
      <c r="G15" s="685" t="s">
        <v>1508</v>
      </c>
      <c r="H15" s="686"/>
      <c r="I15" s="687" t="s">
        <v>1509</v>
      </c>
    </row>
    <row r="16" s="426" customFormat="1" spans="1:9">
      <c r="A16" s="3122" t="s">
        <v>1396</v>
      </c>
      <c r="B16" s="3123" t="s">
        <v>1510</v>
      </c>
      <c r="C16" s="683">
        <f ca="1">ROUND(D16*E16/10000,0)</f>
        <v>418</v>
      </c>
      <c r="D16" s="683">
        <f ca="1">IF(B1="",'数据-汇总表'!E6,IF(INDIRECT("'数据-取费表'!c"&amp;$G$1)="住宅",INDIRECT("'数据-取费表'!s"&amp;$G$1),INDIRECT("'数据-取费表'!k"&amp;$G$1)+INDIRECT("'数据-取费表'!s"&amp;$G$1)))</f>
        <v>20903.38</v>
      </c>
      <c r="E16" s="683">
        <f>'数据-取费表'!B28</f>
        <v>200</v>
      </c>
      <c r="F16" s="663"/>
      <c r="G16" s="463"/>
    </row>
    <row r="17" s="426" customFormat="1" spans="1:7">
      <c r="A17" s="681" t="s">
        <v>1285</v>
      </c>
      <c r="B17" s="3124" t="s">
        <v>1511</v>
      </c>
      <c r="C17" s="660" t="str">
        <f ca="1">IF(G17="已包含在土地取得成本中","0",ROUND(D17*E17/10000,0))</f>
        <v>0</v>
      </c>
      <c r="D17" s="642">
        <f ca="1">D15+D16</f>
        <v>20903.38</v>
      </c>
      <c r="E17" s="642">
        <f>'数据-取费表'!B31</f>
        <v>280</v>
      </c>
      <c r="F17" s="3125"/>
      <c r="G17" s="680" t="s">
        <v>1512</v>
      </c>
    </row>
    <row r="18" s="426" customFormat="1" spans="1:7">
      <c r="A18" s="3126" t="s">
        <v>1287</v>
      </c>
      <c r="B18" s="3124" t="s">
        <v>1513</v>
      </c>
      <c r="C18" s="660">
        <f ca="1">ROUND(E18*D18*F10/10000,0)</f>
        <v>585</v>
      </c>
      <c r="D18" s="660">
        <f ca="1">D17</f>
        <v>20903.38</v>
      </c>
      <c r="E18" s="660">
        <f>'数据-取费表'!B35</f>
        <v>280</v>
      </c>
      <c r="F18" s="3118"/>
      <c r="G18" s="501" t="str">
        <f ca="1">IF(F10=100%,"","按工程进度计取")</f>
        <v/>
      </c>
    </row>
    <row r="19" s="426" customFormat="1" spans="1:7">
      <c r="A19" s="3115" t="s">
        <v>1514</v>
      </c>
      <c r="B19" s="3116" t="s">
        <v>1515</v>
      </c>
      <c r="C19" s="660">
        <f ca="1">ROUND(C10*F19,0)</f>
        <v>67</v>
      </c>
      <c r="D19" s="490"/>
      <c r="E19" s="490"/>
      <c r="F19" s="3118">
        <f>'数据-取费表'!B36</f>
        <v>0.01</v>
      </c>
      <c r="G19" s="501" t="s">
        <v>1516</v>
      </c>
    </row>
    <row r="20" s="426" customFormat="1" spans="1:7">
      <c r="A20" s="3115" t="s">
        <v>1517</v>
      </c>
      <c r="B20" s="3116" t="s">
        <v>1518</v>
      </c>
      <c r="C20" s="660">
        <f ca="1">ROUND(C10*F20,0)</f>
        <v>0</v>
      </c>
      <c r="D20" s="3127"/>
      <c r="E20" s="486"/>
      <c r="F20" s="3118">
        <f>'数据-取费表'!B37</f>
        <v>0</v>
      </c>
      <c r="G20" s="501" t="s">
        <v>1516</v>
      </c>
    </row>
    <row r="21" s="618" customFormat="1" ht="15" spans="1:7">
      <c r="A21" s="3102" t="s">
        <v>1519</v>
      </c>
      <c r="B21" s="3103" t="s">
        <v>1520</v>
      </c>
      <c r="C21" s="670">
        <f ca="1">ROUND((C6+C9)*F21,0)</f>
        <v>253</v>
      </c>
      <c r="D21" s="1991"/>
      <c r="E21" s="1991"/>
      <c r="F21" s="3128">
        <f>'数据-取费表'!B38</f>
        <v>0.02</v>
      </c>
      <c r="G21" s="3129" t="s">
        <v>1521</v>
      </c>
    </row>
    <row r="22" s="618" customFormat="1" ht="15" spans="1:7">
      <c r="A22" s="3102" t="s">
        <v>1522</v>
      </c>
      <c r="B22" s="3103" t="s">
        <v>1523</v>
      </c>
      <c r="C22" s="3130" t="str">
        <f>F22&amp;"V"</f>
        <v>0.02V</v>
      </c>
      <c r="D22" s="701"/>
      <c r="E22" s="1991"/>
      <c r="F22" s="3128">
        <f>'数据-取费表'!B39</f>
        <v>0.02</v>
      </c>
      <c r="G22" s="3131" t="s">
        <v>1524</v>
      </c>
    </row>
    <row r="23" s="618" customFormat="1" ht="15" spans="1:7">
      <c r="A23" s="3102" t="s">
        <v>1525</v>
      </c>
      <c r="B23" s="3111" t="s">
        <v>1356</v>
      </c>
      <c r="C23" s="699" t="str">
        <f ca="1">SUM(C24:C25)&amp;"+"&amp;C26&amp;"V"</f>
        <v>547+0.0006V</v>
      </c>
      <c r="D23" s="700"/>
      <c r="E23" s="701"/>
      <c r="F23" s="3128">
        <f ca="1">'数据-取费表'!B41</f>
        <v>0.0313</v>
      </c>
      <c r="G23" s="3129" t="str">
        <f>IF('数据-取费表'!B22&lt;=1,"单利计息","复利计息")</f>
        <v>复利计息</v>
      </c>
    </row>
    <row r="24" s="426" customFormat="1" spans="1:7">
      <c r="A24" s="645" t="s">
        <v>1490</v>
      </c>
      <c r="B24" s="3124" t="s">
        <v>1526</v>
      </c>
      <c r="C24" s="3132">
        <f ca="1">ROUND(IF('数据-取费表'!B22&lt;=1,C6*F23*'数据-取费表'!B23,C6*(POWER((1+F23),'数据-取费表'!B23)-1)),0)</f>
        <v>282</v>
      </c>
      <c r="D24" s="479"/>
      <c r="E24" s="479"/>
      <c r="F24" s="3133"/>
      <c r="G24" s="3119" t="s">
        <v>1527</v>
      </c>
    </row>
    <row r="25" s="426" customFormat="1" spans="1:7">
      <c r="A25" s="645" t="s">
        <v>1492</v>
      </c>
      <c r="B25" s="3124" t="s">
        <v>1528</v>
      </c>
      <c r="C25" s="3132">
        <f ca="1">ROUND(IF('数据-取费表'!B22&lt;=1,(C9+C21)*F23*'数据-取费表'!B23/2,(C9+C21)*(POWER((1+F23),'数据-取费表'!B23/2)-1)),0)</f>
        <v>265</v>
      </c>
      <c r="D25" s="479"/>
      <c r="E25" s="479"/>
      <c r="F25" s="3133"/>
      <c r="G25" s="3119" t="s">
        <v>1529</v>
      </c>
    </row>
    <row r="26" s="426" customFormat="1" spans="1:7">
      <c r="A26" s="645" t="s">
        <v>1530</v>
      </c>
      <c r="B26" s="3124" t="s">
        <v>1531</v>
      </c>
      <c r="C26" s="3134">
        <f ca="1">ROUND(IF('数据-取费表'!B22&lt;=1,F22*F23*'数据-取费表'!B23/2,F22*(POWER((1+F23),'数据-取费表'!B23/2)-1)),4)</f>
        <v>0.0006</v>
      </c>
      <c r="D26" s="479"/>
      <c r="E26" s="482"/>
      <c r="F26" s="3133"/>
      <c r="G26" s="3135" t="s">
        <v>1529</v>
      </c>
    </row>
    <row r="27" s="618" customFormat="1" ht="15" spans="1:7">
      <c r="A27" s="3102" t="s">
        <v>1532</v>
      </c>
      <c r="B27" s="3111" t="s">
        <v>1362</v>
      </c>
      <c r="C27" s="704" t="str">
        <f ca="1">C28&amp;"+"&amp;C29&amp;"V"</f>
        <v>1291+0.002V</v>
      </c>
      <c r="D27" s="700"/>
      <c r="E27" s="701"/>
      <c r="F27" s="3136">
        <f ca="1">IF(B1="",'数据-取费表'!Q16,INDIRECT("'数据-取费表'!q"&amp;$G$1))</f>
        <v>0.1</v>
      </c>
      <c r="G27" s="3129" t="s">
        <v>1533</v>
      </c>
    </row>
    <row r="28" s="426" customFormat="1" spans="1:7">
      <c r="A28" s="3115" t="s">
        <v>1490</v>
      </c>
      <c r="B28" s="3124" t="s">
        <v>1534</v>
      </c>
      <c r="C28" s="810">
        <f ca="1">ROUND(C6*F27*'数据-取费表'!B23/'数据-取费表'!B22+(C9+C21)*F27,0)</f>
        <v>1291</v>
      </c>
      <c r="D28" s="472"/>
      <c r="E28" s="473"/>
      <c r="F28" s="3125"/>
      <c r="G28" s="3208" t="str">
        <f ca="1">IF(F10=100%,"","其中：土地取得成本产生的利润按已建工期计算")</f>
        <v/>
      </c>
    </row>
    <row r="29" s="426" customFormat="1" spans="1:7">
      <c r="A29" s="3115" t="s">
        <v>1492</v>
      </c>
      <c r="B29" s="3124" t="s">
        <v>1535</v>
      </c>
      <c r="C29" s="3134">
        <f ca="1">ROUND(F22*F27,4)</f>
        <v>0.002</v>
      </c>
      <c r="D29" s="472"/>
      <c r="E29" s="473"/>
      <c r="F29" s="3125"/>
      <c r="G29" s="488"/>
    </row>
    <row r="30" s="618" customFormat="1" ht="15" spans="1:7">
      <c r="A30" s="3102" t="s">
        <v>1536</v>
      </c>
      <c r="B30" s="3103" t="s">
        <v>1537</v>
      </c>
      <c r="C30" s="670">
        <v>0</v>
      </c>
      <c r="D30" s="701"/>
      <c r="E30" s="3137"/>
      <c r="F30" s="3128"/>
      <c r="G30" s="3138" t="s">
        <v>1538</v>
      </c>
    </row>
    <row r="31" s="426" customFormat="1" ht="15.75" spans="1:7">
      <c r="A31" s="3139">
        <v>2</v>
      </c>
      <c r="B31" s="3140" t="s">
        <v>1336</v>
      </c>
      <c r="C31" s="637">
        <f ca="1">C57</f>
        <v>2397</v>
      </c>
      <c r="D31" s="707"/>
      <c r="E31" s="707"/>
      <c r="F31" s="3141">
        <f>IF('数据-取费表'!B24=0,'数据-取费表'!N16,1)</f>
        <v>0.74</v>
      </c>
      <c r="G31" s="709" t="s">
        <v>1539</v>
      </c>
    </row>
    <row r="32" s="426" customFormat="1" ht="15.75" spans="1:7">
      <c r="A32" s="706" t="s">
        <v>1308</v>
      </c>
      <c r="B32" s="636" t="s">
        <v>1540</v>
      </c>
      <c r="C32" s="637">
        <f ca="1">C5-C31</f>
        <v>12690</v>
      </c>
      <c r="D32" s="707"/>
      <c r="E32" s="707"/>
      <c r="F32" s="708"/>
      <c r="G32" s="3142" t="s">
        <v>1541</v>
      </c>
    </row>
    <row r="33" s="426" customFormat="1" ht="16.5" spans="1:7">
      <c r="A33" s="3143">
        <v>4</v>
      </c>
      <c r="B33" s="3144" t="s">
        <v>1542</v>
      </c>
      <c r="C33" s="3145">
        <f ca="1">ROUND(C32*(1+F33),0)</f>
        <v>13832</v>
      </c>
      <c r="D33" s="3146"/>
      <c r="E33" s="3146"/>
      <c r="F33" s="3147">
        <f>IF(G33="其他类型公式—成本价值×（1+9%）",9%,3%)</f>
        <v>0.09</v>
      </c>
      <c r="G33" s="3148" t="s">
        <v>1543</v>
      </c>
    </row>
    <row r="34" s="427" customFormat="1"/>
    <row r="35" s="426" customFormat="1"/>
    <row r="36" s="426" customFormat="1"/>
    <row r="37" s="426" customFormat="1"/>
    <row r="38" ht="15.75" spans="1:7">
      <c r="A38" s="3149" t="s">
        <v>1544</v>
      </c>
      <c r="B38" s="3150"/>
      <c r="C38" s="3150"/>
      <c r="D38" s="3150"/>
      <c r="E38" s="3150"/>
      <c r="F38" s="3150"/>
      <c r="G38" s="3151"/>
    </row>
    <row r="39" ht="14.25" spans="1:7">
      <c r="A39" s="3153" t="s">
        <v>1004</v>
      </c>
      <c r="B39" s="3209" t="s">
        <v>1005</v>
      </c>
      <c r="C39" s="3154" t="s">
        <v>1481</v>
      </c>
      <c r="D39" s="3155" t="s">
        <v>1545</v>
      </c>
      <c r="E39" s="3156" t="s">
        <v>1546</v>
      </c>
      <c r="F39" s="3156" t="s">
        <v>1547</v>
      </c>
      <c r="G39" s="3157" t="s">
        <v>1485</v>
      </c>
    </row>
    <row r="40" ht="15" spans="1:7">
      <c r="A40" s="3210" t="s">
        <v>1488</v>
      </c>
      <c r="B40" s="3211" t="s">
        <v>1548</v>
      </c>
      <c r="C40" s="3159">
        <f ca="1">SUM(C41:C46)</f>
        <v>7809</v>
      </c>
      <c r="D40" s="3160"/>
      <c r="E40" s="3160"/>
      <c r="F40" s="3160"/>
      <c r="G40" s="3161"/>
    </row>
    <row r="41" ht="15.75" spans="1:7">
      <c r="A41" s="3212" t="s">
        <v>1490</v>
      </c>
      <c r="B41" s="3213" t="str">
        <f t="shared" ref="B41:C43" si="0">B10</f>
        <v>  建安费用</v>
      </c>
      <c r="C41" s="795">
        <f ca="1" t="shared" si="0"/>
        <v>6689</v>
      </c>
      <c r="D41" s="3164"/>
      <c r="E41" s="3164"/>
      <c r="F41" s="804"/>
      <c r="G41" s="3165"/>
    </row>
    <row r="42" ht="15.75" spans="1:7">
      <c r="A42" s="3212" t="s">
        <v>1492</v>
      </c>
      <c r="B42" s="3213" t="str">
        <f t="shared" si="0"/>
        <v>  前期费用</v>
      </c>
      <c r="C42" s="795">
        <f ca="1" t="shared" si="0"/>
        <v>468</v>
      </c>
      <c r="D42" s="3164"/>
      <c r="E42" s="3164"/>
      <c r="F42" s="804"/>
      <c r="G42" s="3165"/>
    </row>
    <row r="43" ht="15.75" spans="1:7">
      <c r="A43" s="3212" t="s">
        <v>1500</v>
      </c>
      <c r="B43" s="3214" t="str">
        <f t="shared" si="0"/>
        <v>  公共配套设施费用</v>
      </c>
      <c r="C43" s="795">
        <f ca="1" t="shared" si="0"/>
        <v>0</v>
      </c>
      <c r="D43" s="3164"/>
      <c r="E43" s="3164"/>
      <c r="F43" s="804"/>
      <c r="G43" s="3165"/>
    </row>
    <row r="44" ht="15.75" spans="1:7">
      <c r="A44" s="3212" t="s">
        <v>1503</v>
      </c>
      <c r="B44" s="3214" t="str">
        <f>B18</f>
        <v>红线内市政费用</v>
      </c>
      <c r="C44" s="795">
        <f ca="1">C18</f>
        <v>585</v>
      </c>
      <c r="D44" s="3164"/>
      <c r="E44" s="3164"/>
      <c r="F44" s="804"/>
      <c r="G44" s="3165"/>
    </row>
    <row r="45" ht="15.75" spans="1:7">
      <c r="A45" s="645" t="s">
        <v>1549</v>
      </c>
      <c r="B45" s="3120" t="str">
        <f>B19</f>
        <v>  其他工程费</v>
      </c>
      <c r="C45" s="810">
        <f ca="1">C19</f>
        <v>67</v>
      </c>
      <c r="D45" s="3169"/>
      <c r="E45" s="3169"/>
      <c r="F45" s="813"/>
      <c r="G45" s="3170"/>
    </row>
    <row r="46" ht="15.75" spans="1:7">
      <c r="A46" s="645" t="s">
        <v>1550</v>
      </c>
      <c r="B46" s="3120" t="s">
        <v>762</v>
      </c>
      <c r="C46" s="810">
        <f ca="1">C20</f>
        <v>0</v>
      </c>
      <c r="D46" s="3169"/>
      <c r="E46" s="3169"/>
      <c r="F46" s="813"/>
      <c r="G46" s="3170"/>
    </row>
    <row r="47" ht="15" spans="1:7">
      <c r="A47" s="3210" t="s">
        <v>1551</v>
      </c>
      <c r="B47" s="792" t="s">
        <v>1520</v>
      </c>
      <c r="C47" s="3172">
        <f ca="1">ROUND(C40*F47,0)</f>
        <v>156</v>
      </c>
      <c r="D47" s="3173"/>
      <c r="E47" s="3173"/>
      <c r="F47" s="3174">
        <f>F21</f>
        <v>0.02</v>
      </c>
      <c r="G47" s="3175" t="s">
        <v>1552</v>
      </c>
    </row>
    <row r="48" ht="15" spans="1:7">
      <c r="A48" s="3210" t="s">
        <v>1519</v>
      </c>
      <c r="B48" s="792" t="s">
        <v>1523</v>
      </c>
      <c r="C48" s="3176" t="str">
        <f>F48&amp;"V建1"</f>
        <v>0.02V建1</v>
      </c>
      <c r="D48" s="3173"/>
      <c r="E48" s="3173"/>
      <c r="F48" s="3174">
        <f>F22</f>
        <v>0.02</v>
      </c>
      <c r="G48" s="3177" t="s">
        <v>1553</v>
      </c>
    </row>
    <row r="49" ht="15" spans="1:7">
      <c r="A49" s="3210" t="s">
        <v>1522</v>
      </c>
      <c r="B49" s="3215" t="s">
        <v>1356</v>
      </c>
      <c r="C49" s="670" t="str">
        <f ca="1">C50&amp;"+"&amp;C51&amp;"V建1"</f>
        <v>249+0.0006V建1</v>
      </c>
      <c r="D49" s="701"/>
      <c r="E49" s="701"/>
      <c r="F49" s="3194">
        <f ca="1">F23</f>
        <v>0.0313</v>
      </c>
      <c r="G49" s="3180" t="str">
        <f>IF('数据-取费表'!B22&lt;=1,"单利计息","复利计息")</f>
        <v>复利计息</v>
      </c>
    </row>
    <row r="50" spans="1:7">
      <c r="A50" s="3212" t="s">
        <v>1490</v>
      </c>
      <c r="B50" s="3216" t="s">
        <v>1554</v>
      </c>
      <c r="C50" s="822">
        <f ca="1">ROUND(IF('数据-取费表'!B22&lt;=1,(C40+C47)*F49*'数据-取费表'!B22/2,(C40+C47)*(POWER((1+F49),'数据-取费表'!B22/2)-1)),0)</f>
        <v>249</v>
      </c>
      <c r="D50" s="823"/>
      <c r="E50" s="823"/>
      <c r="F50" s="652"/>
      <c r="G50" s="503" t="str">
        <f ca="1">IF(F10=100%,"建设期均匀投入","已建工期均匀投入")</f>
        <v>建设期均匀投入</v>
      </c>
    </row>
    <row r="51" spans="1:7">
      <c r="A51" s="3212" t="s">
        <v>1492</v>
      </c>
      <c r="B51" s="3214" t="s">
        <v>1555</v>
      </c>
      <c r="C51" s="826">
        <f ca="1">ROUND(IF('数据-取费表'!B22&lt;=1,F48*F23*'数据-取费表'!B22/2,F48*(POWER((1+F23),'数据-取费表'!B22/2)-1)),4)</f>
        <v>0.0006</v>
      </c>
      <c r="D51" s="823"/>
      <c r="E51" s="823"/>
      <c r="F51" s="652"/>
      <c r="G51" s="505"/>
    </row>
    <row r="52" ht="15" spans="1:7">
      <c r="A52" s="3210" t="s">
        <v>1525</v>
      </c>
      <c r="B52" s="3217" t="s">
        <v>1362</v>
      </c>
      <c r="C52" s="3182" t="str">
        <f ca="1">C53&amp;"+"&amp;C54&amp;"V建1"</f>
        <v>797+0.002V建1</v>
      </c>
      <c r="D52" s="3183"/>
      <c r="E52" s="3173"/>
      <c r="F52" s="3184">
        <f ca="1">F27</f>
        <v>0.1</v>
      </c>
      <c r="G52" s="3185" t="s">
        <v>1556</v>
      </c>
    </row>
    <row r="53" spans="1:7">
      <c r="A53" s="3212" t="s">
        <v>1490</v>
      </c>
      <c r="B53" s="3216" t="s">
        <v>1557</v>
      </c>
      <c r="C53" s="795">
        <f ca="1">ROUND((C40+C47)*F27,0)</f>
        <v>797</v>
      </c>
      <c r="D53" s="3186"/>
      <c r="E53" s="3187"/>
      <c r="F53" s="3188"/>
      <c r="G53" s="3189"/>
    </row>
    <row r="54" spans="1:7">
      <c r="A54" s="3212" t="s">
        <v>1492</v>
      </c>
      <c r="B54" s="3216" t="s">
        <v>1558</v>
      </c>
      <c r="C54" s="3190">
        <f ca="1">ROUND(F48*F27,4)</f>
        <v>0.002</v>
      </c>
      <c r="D54" s="3186"/>
      <c r="E54" s="3187"/>
      <c r="F54" s="3188"/>
      <c r="G54" s="3189"/>
    </row>
    <row r="55" ht="15" spans="1:7">
      <c r="A55" s="3102" t="s">
        <v>1532</v>
      </c>
      <c r="B55" s="3218" t="s">
        <v>1537</v>
      </c>
      <c r="C55" s="3192">
        <v>0</v>
      </c>
      <c r="D55" s="700"/>
      <c r="E55" s="701"/>
      <c r="F55" s="3179"/>
      <c r="G55" s="3193" t="s">
        <v>1559</v>
      </c>
    </row>
    <row r="56" ht="18.75" spans="1:7">
      <c r="A56" s="3102" t="s">
        <v>1560</v>
      </c>
      <c r="B56" s="3196" t="s">
        <v>1561</v>
      </c>
      <c r="C56" s="670">
        <f ca="1">ROUND((C40+C47+C50+C53)/(1-F48-C51-C54),0)</f>
        <v>9219</v>
      </c>
      <c r="D56" s="701"/>
      <c r="E56" s="701"/>
      <c r="F56" s="3194"/>
      <c r="G56" s="3193" t="s">
        <v>1562</v>
      </c>
    </row>
    <row r="57" ht="15" spans="1:7">
      <c r="A57" s="3102" t="s">
        <v>1374</v>
      </c>
      <c r="B57" s="3219" t="s">
        <v>1336</v>
      </c>
      <c r="C57" s="670">
        <f ca="1">ROUND(C56*(1-F57),0)</f>
        <v>2397</v>
      </c>
      <c r="D57" s="701"/>
      <c r="E57" s="701"/>
      <c r="F57" s="3194">
        <f>F31</f>
        <v>0.74</v>
      </c>
      <c r="G57" s="3193" t="s">
        <v>1563</v>
      </c>
    </row>
    <row r="58" ht="18.75" spans="1:7">
      <c r="A58" s="3102" t="s">
        <v>1564</v>
      </c>
      <c r="B58" s="3196" t="s">
        <v>1565</v>
      </c>
      <c r="C58" s="670">
        <f ca="1">C56-C57</f>
        <v>6822</v>
      </c>
      <c r="D58" s="701"/>
      <c r="E58" s="701"/>
      <c r="F58" s="3194"/>
      <c r="G58" s="3193" t="s">
        <v>1566</v>
      </c>
    </row>
    <row r="59" ht="15.75" spans="1:7">
      <c r="A59" s="3220" t="s">
        <v>1567</v>
      </c>
      <c r="B59" s="3221" t="s">
        <v>1568</v>
      </c>
      <c r="C59" s="3198">
        <f ca="1">ROUND(C58*(1+F59),0)</f>
        <v>7436</v>
      </c>
      <c r="D59" s="3199"/>
      <c r="E59" s="3199"/>
      <c r="F59" s="3200">
        <f>F33</f>
        <v>0.09</v>
      </c>
      <c r="G59" s="3201" t="s">
        <v>1569</v>
      </c>
    </row>
    <row r="60" ht="14.25" spans="1:7">
      <c r="A60" s="3202"/>
      <c r="B60" s="3203"/>
    </row>
    <row r="62" ht="21" customHeight="1" spans="1:7">
      <c r="B62" s="3204" t="s">
        <v>1570</v>
      </c>
      <c r="C62" s="513"/>
    </row>
    <row r="63" ht="21" customHeight="1" spans="1:7">
      <c r="B63" s="1299" t="s">
        <v>1477</v>
      </c>
      <c r="C63" s="3205">
        <f ca="1">1-C64</f>
        <v>0.462</v>
      </c>
    </row>
    <row r="64" ht="21" customHeight="1" spans="1:7">
      <c r="B64" s="1299" t="s">
        <v>1478</v>
      </c>
      <c r="C64" s="3206">
        <f ca="1">ROUND(C58/C32,3)</f>
        <v>0.538</v>
      </c>
      <c r="D64" s="429" t="s">
        <v>1571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3" style="430" customWidth="1"/>
    <col min="8" max="9" width="9" style="430" customWidth="1"/>
    <col min="10" max="10" width="12.625" style="430" customWidth="1"/>
    <col min="11" max="254" width="9" style="430" customWidth="1"/>
    <col min="255" max="16384" width="8.375" style="430"/>
  </cols>
  <sheetData>
    <row r="1" s="424" customFormat="1" ht="20.25" spans="1:10">
      <c r="A1" s="432" t="s">
        <v>1479</v>
      </c>
      <c r="B1" s="621"/>
      <c r="C1" s="3088"/>
      <c r="D1" s="3081" t="s">
        <v>1572</v>
      </c>
      <c r="E1" s="434"/>
      <c r="F1" s="434"/>
      <c r="G1" s="622">
        <f>MATCH(B1,'数据-取费表'!A6:A16,0)+5</f>
        <v>7</v>
      </c>
      <c r="H1" s="3089" t="str">
        <f>IF(ISERROR(FIND("住宅",B1)),"非住宅","住宅")</f>
        <v>非住宅</v>
      </c>
    </row>
    <row r="2" s="424" customFormat="1" ht="15.75" spans="1:10">
      <c r="A2" s="436" t="s">
        <v>1122</v>
      </c>
      <c r="B2" s="3090">
        <f ca="1">ROUND(D3/10000,4)</f>
        <v>7513.7732</v>
      </c>
      <c r="C2" s="435" t="s">
        <v>1124</v>
      </c>
      <c r="D2" s="3083" t="s">
        <v>124</v>
      </c>
      <c r="E2" s="813">
        <f ca="1">IF(D2="——",0,SUMIF(INDIRECT("'"&amp;G2&amp;"'"&amp;"!A:A"),"承租人权益价值",INDIRECT("'"&amp;G2&amp;"'"&amp;"!c:c")))</f>
        <v>0</v>
      </c>
      <c r="F2" s="739" t="s">
        <v>1124</v>
      </c>
      <c r="G2" s="3085"/>
    </row>
    <row r="3" s="424" customFormat="1" ht="16.5" spans="1:10">
      <c r="A3" s="439" t="s">
        <v>1125</v>
      </c>
      <c r="B3" s="625">
        <f ca="1">ROUND(D3/(IF(B1="",'数据-汇总表'!E3,INDIRECT("'数据-取费表'!k"&amp;$G$1))),0)</f>
        <v>3595</v>
      </c>
      <c r="C3" s="435" t="s">
        <v>1480</v>
      </c>
      <c r="D3" s="435">
        <f ca="1">IF(C1="含税",E2+C33,E2+C32)</f>
        <v>75137732</v>
      </c>
      <c r="E3" s="624"/>
      <c r="F3" s="435"/>
      <c r="G3" s="435"/>
    </row>
    <row r="4" s="424" customFormat="1" ht="15.75" spans="1:10">
      <c r="A4" s="3091" t="s">
        <v>1004</v>
      </c>
      <c r="B4" s="3092" t="s">
        <v>1005</v>
      </c>
      <c r="C4" s="3093" t="s">
        <v>1481</v>
      </c>
      <c r="D4" s="3094" t="s">
        <v>1482</v>
      </c>
      <c r="E4" s="3095" t="s">
        <v>1483</v>
      </c>
      <c r="F4" s="3095" t="s">
        <v>1484</v>
      </c>
      <c r="G4" s="3096" t="s">
        <v>1485</v>
      </c>
    </row>
    <row r="5" s="425" customFormat="1" ht="15.75" spans="1:10">
      <c r="A5" s="3097" t="s">
        <v>1391</v>
      </c>
      <c r="B5" s="3098" t="s">
        <v>1486</v>
      </c>
      <c r="C5" s="3099">
        <f ca="1">ROUND((C6+C9+C21+C24+C25+C28)/(1-F22-C26-C29),0)</f>
        <v>99109626</v>
      </c>
      <c r="D5" s="3100"/>
      <c r="E5" s="3100"/>
      <c r="F5" s="3100"/>
      <c r="G5" s="3101" t="s">
        <v>1487</v>
      </c>
      <c r="J5" s="424"/>
    </row>
    <row r="6" s="618" customFormat="1" ht="15" spans="1:10">
      <c r="A6" s="3102" t="s">
        <v>1488</v>
      </c>
      <c r="B6" s="3103" t="s">
        <v>1489</v>
      </c>
      <c r="C6" s="3104">
        <f>C7+C8</f>
        <v>0</v>
      </c>
      <c r="D6" s="3105"/>
      <c r="E6" s="3105"/>
      <c r="F6" s="3105"/>
      <c r="G6" s="3106"/>
      <c r="J6" s="424"/>
    </row>
    <row r="7" s="426" customFormat="1" ht="15" spans="1:10">
      <c r="A7" s="3107" t="s">
        <v>1490</v>
      </c>
      <c r="B7" s="3108" t="s">
        <v>1491</v>
      </c>
      <c r="C7" s="666"/>
      <c r="D7" s="3109"/>
      <c r="E7" s="668"/>
      <c r="F7" s="668"/>
      <c r="G7" s="501"/>
      <c r="J7" s="424"/>
    </row>
    <row r="8" s="426" customFormat="1" ht="15" spans="1:10">
      <c r="A8" s="3107" t="s">
        <v>1492</v>
      </c>
      <c r="B8" s="3108" t="s">
        <v>1493</v>
      </c>
      <c r="C8" s="660">
        <f>ROUND(C7*F8,0)</f>
        <v>0</v>
      </c>
      <c r="D8" s="490"/>
      <c r="E8" s="668"/>
      <c r="F8" s="663">
        <f>IF(项目基本情况!B8="出让",0,'数据-取费表'!B49+'数据-取费表'!B50)</f>
        <v>0.0305</v>
      </c>
      <c r="G8" s="501"/>
      <c r="J8" s="424"/>
    </row>
    <row r="9" s="618" customFormat="1" ht="15" spans="1:10">
      <c r="A9" s="3110" t="s">
        <v>1494</v>
      </c>
      <c r="B9" s="3111" t="s">
        <v>1495</v>
      </c>
      <c r="C9" s="670">
        <f ca="1">C10+C11+C12+C13+C19+C20</f>
        <v>83947973</v>
      </c>
      <c r="D9" s="3112"/>
      <c r="E9" s="3113"/>
      <c r="F9" s="673"/>
      <c r="G9" s="3114"/>
      <c r="J9" s="424"/>
    </row>
    <row r="10" s="426" customFormat="1" ht="15" spans="1:10">
      <c r="A10" s="3115" t="s">
        <v>1490</v>
      </c>
      <c r="B10" s="3116" t="s">
        <v>1496</v>
      </c>
      <c r="C10" s="660">
        <f ca="1">ROUND(IF(B1="",SUMPRODUCT('数据-取费表'!K6:K14,'数据-取费表'!L6:L14),INDIRECT("'数据-取费表'!l"&amp;$G$1)*INDIRECT("'数据-取费表'!k"&amp;$G$1)+'数据-取费表'!L14*INDIRECT("'数据-取费表'!S"&amp;$G$1)),0)</f>
        <v>66890816</v>
      </c>
      <c r="D10" s="3109"/>
      <c r="E10" s="490"/>
      <c r="F10" s="3117">
        <f ca="1">IF('数据-取费表'!B24=0,1,IF(B1="",'数据-取费表'!N16,INDIRECT("'数据-取费表'!n"&amp;$G$1)))</f>
        <v>1</v>
      </c>
      <c r="G10" s="501" t="s">
        <v>1497</v>
      </c>
      <c r="J10" s="424"/>
    </row>
    <row r="11" s="426" customFormat="1" ht="15" spans="1:10">
      <c r="A11" s="3115" t="s">
        <v>1492</v>
      </c>
      <c r="B11" s="3116" t="s">
        <v>1498</v>
      </c>
      <c r="C11" s="660">
        <f ca="1">ROUND(C10*F11,0)</f>
        <v>4682357</v>
      </c>
      <c r="D11" s="490"/>
      <c r="E11" s="490"/>
      <c r="F11" s="3118">
        <f>'数据-取费表'!B33</f>
        <v>0.07</v>
      </c>
      <c r="G11" s="501" t="s">
        <v>1516</v>
      </c>
      <c r="J11" s="424"/>
    </row>
    <row r="12" s="426" customFormat="1" ht="15" spans="1:10">
      <c r="A12" s="3115" t="s">
        <v>1500</v>
      </c>
      <c r="B12" s="3116" t="s">
        <v>1501</v>
      </c>
      <c r="C12" s="660">
        <f ca="1">ROUND(IF(B1="",SUMIF('数据-取费表'!C:C,"住宅",IF(F10=100%,'数据-取费表'!M:M,'数据-取费表'!O:O))*F12,IF(INDIRECT("'数据-取费表'!c"&amp;$G$1)="住宅",IF(F10=100%,INDIRECT("'数据-取费表'!ap"&amp;$G$1)*F12,INDIRECT("'数据-取费表'!ap"&amp;$G$1)*INDIRECT("'数据-取费表'!n"&amp;$G$1)*F12),0)),0)</f>
        <v>0</v>
      </c>
      <c r="D12" s="490"/>
      <c r="E12" s="490"/>
      <c r="F12" s="3118">
        <f>'数据-取费表'!B34</f>
        <v>0</v>
      </c>
      <c r="G12" s="3119" t="s">
        <v>1573</v>
      </c>
      <c r="J12" s="424"/>
    </row>
    <row r="13" s="426" customFormat="1" ht="15" spans="1:10">
      <c r="A13" s="3115" t="s">
        <v>1503</v>
      </c>
      <c r="B13" s="3116" t="s">
        <v>1504</v>
      </c>
      <c r="C13" s="660">
        <f ca="1">C14+C17+C18</f>
        <v>11705892</v>
      </c>
      <c r="D13" s="490"/>
      <c r="E13" s="668"/>
      <c r="F13" s="663"/>
      <c r="G13" s="501"/>
      <c r="J13" s="424"/>
    </row>
    <row r="14" s="427" customFormat="1" ht="15" spans="1:10">
      <c r="A14" s="681" t="s">
        <v>1282</v>
      </c>
      <c r="B14" s="3120" t="s">
        <v>1505</v>
      </c>
      <c r="C14" s="660">
        <f ca="1">IF(G14="已包含在土地购买价格中","0",IF(B1="",'数据-取费表'!B29,IF(G15="全部缴纳",C15+C16,H15)))</f>
        <v>0</v>
      </c>
      <c r="D14" s="3121"/>
      <c r="E14" s="490"/>
      <c r="F14" s="663"/>
      <c r="G14" s="680"/>
      <c r="J14" s="424"/>
    </row>
    <row r="15" s="426" customFormat="1" ht="15" spans="1:10">
      <c r="A15" s="3122" t="s">
        <v>1388</v>
      </c>
      <c r="B15" s="3123" t="s">
        <v>1507</v>
      </c>
      <c r="C15" s="683">
        <f ca="1">ROUND(D15*E15,0)</f>
        <v>0</v>
      </c>
      <c r="D15" s="683">
        <f ca="1">IF(B1="",'数据-汇总表'!E5,IF(INDIRECT("'数据-取费表'!c"&amp;$G$1)="住宅",INDIRECT("'数据-取费表'!k"&amp;$G$1),0))</f>
        <v>0</v>
      </c>
      <c r="E15" s="683">
        <f>'数据-取费表'!B27</f>
        <v>0</v>
      </c>
      <c r="F15" s="663"/>
      <c r="G15" s="685"/>
      <c r="H15" s="686"/>
      <c r="I15" s="687" t="s">
        <v>1509</v>
      </c>
      <c r="J15" s="424"/>
    </row>
    <row r="16" s="426" customFormat="1" ht="15" spans="1:10">
      <c r="A16" s="3122" t="s">
        <v>1396</v>
      </c>
      <c r="B16" s="3123" t="s">
        <v>1510</v>
      </c>
      <c r="C16" s="683">
        <f ca="1">ROUND(D16*E16,0)</f>
        <v>4180676</v>
      </c>
      <c r="D16" s="683">
        <f ca="1">IF(B1="",'数据-汇总表'!E6,IF(INDIRECT("'数据-取费表'!c"&amp;$G$1)="住宅",INDIRECT("'数据-取费表'!s"&amp;$G$1),INDIRECT("'数据-取费表'!k"&amp;$G$1)+INDIRECT("'数据-取费表'!s"&amp;$G$1)))</f>
        <v>20903.38</v>
      </c>
      <c r="E16" s="683">
        <f>'数据-取费表'!B28</f>
        <v>200</v>
      </c>
      <c r="F16" s="663"/>
      <c r="G16" s="463"/>
      <c r="J16" s="424"/>
    </row>
    <row r="17" s="426" customFormat="1" ht="15" spans="1:10">
      <c r="A17" s="681" t="s">
        <v>1285</v>
      </c>
      <c r="B17" s="3124" t="s">
        <v>1511</v>
      </c>
      <c r="C17" s="660">
        <f ca="1">IF(G17="已包含在土地取得成本中","0",ROUND(D17*E17,0))</f>
        <v>5852946</v>
      </c>
      <c r="D17" s="642">
        <f ca="1">D15+D16</f>
        <v>20903.38</v>
      </c>
      <c r="E17" s="642">
        <f>'数据-取费表'!B31</f>
        <v>280</v>
      </c>
      <c r="F17" s="3125"/>
      <c r="G17" s="680"/>
      <c r="J17" s="424"/>
    </row>
    <row r="18" s="426" customFormat="1" ht="15" spans="1:10">
      <c r="A18" s="3126" t="s">
        <v>1287</v>
      </c>
      <c r="B18" s="3124" t="s">
        <v>1513</v>
      </c>
      <c r="C18" s="660">
        <f ca="1">ROUND(E18*D18*F10,0)</f>
        <v>5852946</v>
      </c>
      <c r="D18" s="660">
        <f ca="1">D17</f>
        <v>20903.38</v>
      </c>
      <c r="E18" s="660">
        <f>'数据-取费表'!B35</f>
        <v>280</v>
      </c>
      <c r="F18" s="3118"/>
      <c r="G18" s="501" t="str">
        <f ca="1">IF(F10=100%,"","按工程进度计取")</f>
        <v/>
      </c>
      <c r="J18" s="424"/>
    </row>
    <row r="19" s="426" customFormat="1" ht="15" spans="1:10">
      <c r="A19" s="3115" t="s">
        <v>1514</v>
      </c>
      <c r="B19" s="3116" t="s">
        <v>1515</v>
      </c>
      <c r="C19" s="660">
        <f ca="1">ROUND(C10*F19,0)</f>
        <v>668908</v>
      </c>
      <c r="D19" s="490"/>
      <c r="E19" s="490"/>
      <c r="F19" s="3118">
        <f>'数据-取费表'!B36</f>
        <v>0.01</v>
      </c>
      <c r="G19" s="501" t="s">
        <v>1516</v>
      </c>
      <c r="J19" s="424"/>
    </row>
    <row r="20" s="426" customFormat="1" ht="15" spans="1:10">
      <c r="A20" s="3115" t="s">
        <v>1517</v>
      </c>
      <c r="B20" s="3116" t="s">
        <v>1518</v>
      </c>
      <c r="C20" s="660">
        <f ca="1">ROUND(C10*F20,0)</f>
        <v>0</v>
      </c>
      <c r="D20" s="3127"/>
      <c r="E20" s="486"/>
      <c r="F20" s="3118">
        <f>'数据-取费表'!B37</f>
        <v>0</v>
      </c>
      <c r="G20" s="501" t="s">
        <v>1516</v>
      </c>
      <c r="J20" s="424"/>
    </row>
    <row r="21" s="618" customFormat="1" ht="15" spans="1:10">
      <c r="A21" s="3102" t="s">
        <v>1519</v>
      </c>
      <c r="B21" s="3103" t="s">
        <v>1520</v>
      </c>
      <c r="C21" s="670">
        <f ca="1">ROUND((C6+C9)*F21,0)</f>
        <v>1678959</v>
      </c>
      <c r="D21" s="1991"/>
      <c r="E21" s="1991"/>
      <c r="F21" s="3128">
        <f>'数据-取费表'!B38</f>
        <v>0.02</v>
      </c>
      <c r="G21" s="3129" t="s">
        <v>1521</v>
      </c>
      <c r="J21" s="424"/>
    </row>
    <row r="22" s="618" customFormat="1" ht="15" spans="1:10">
      <c r="A22" s="3102" t="s">
        <v>1522</v>
      </c>
      <c r="B22" s="3103" t="s">
        <v>1523</v>
      </c>
      <c r="C22" s="3130" t="str">
        <f>F22&amp;"V"</f>
        <v>0.02V</v>
      </c>
      <c r="D22" s="701"/>
      <c r="E22" s="1991"/>
      <c r="F22" s="3128">
        <f>'数据-取费表'!B39</f>
        <v>0.02</v>
      </c>
      <c r="G22" s="3131" t="s">
        <v>1524</v>
      </c>
      <c r="J22" s="424"/>
    </row>
    <row r="23" s="618" customFormat="1" ht="15" spans="1:10">
      <c r="A23" s="3102" t="s">
        <v>1525</v>
      </c>
      <c r="B23" s="3111" t="s">
        <v>1356</v>
      </c>
      <c r="C23" s="699" t="str">
        <f ca="1">SUM(C24:C25)&amp;"+"&amp;C26&amp;"V"</f>
        <v>2680123+0.0006V</v>
      </c>
      <c r="D23" s="700"/>
      <c r="E23" s="701"/>
      <c r="F23" s="3128">
        <f ca="1">'数据-取费表'!B41</f>
        <v>0.0313</v>
      </c>
      <c r="G23" s="3129" t="str">
        <f>IF('数据-取费表'!B22&lt;=1,"单利计息","复利计息")</f>
        <v>复利计息</v>
      </c>
      <c r="J23" s="424"/>
    </row>
    <row r="24" s="426" customFormat="1" ht="15" spans="1:10">
      <c r="A24" s="645" t="s">
        <v>1490</v>
      </c>
      <c r="B24" s="3124" t="s">
        <v>1526</v>
      </c>
      <c r="C24" s="3132">
        <f ca="1">ROUND(IF('数据-取费表'!B22&lt;=1,C6*F23*'数据-取费表'!B23,C6*(POWER((1+F23),'数据-取费表'!B23)-1)),0)</f>
        <v>0</v>
      </c>
      <c r="D24" s="479"/>
      <c r="E24" s="479"/>
      <c r="F24" s="3133"/>
      <c r="G24" s="3119" t="s">
        <v>1527</v>
      </c>
      <c r="J24" s="424"/>
    </row>
    <row r="25" s="426" customFormat="1" ht="15" spans="1:10">
      <c r="A25" s="645" t="s">
        <v>1492</v>
      </c>
      <c r="B25" s="3124" t="s">
        <v>1528</v>
      </c>
      <c r="C25" s="3132">
        <f ca="1">ROUND(IF('数据-取费表'!B22&lt;=1,(C9+C21)*F23*'数据-取费表'!B23/2,(C9+C21)*(POWER((1+F23),'数据-取费表'!B23/2)-1)),0)</f>
        <v>2680123</v>
      </c>
      <c r="D25" s="479"/>
      <c r="E25" s="479"/>
      <c r="F25" s="3133"/>
      <c r="G25" s="3119" t="s">
        <v>1529</v>
      </c>
      <c r="J25" s="424"/>
    </row>
    <row r="26" s="426" customFormat="1" ht="15" spans="1:10">
      <c r="A26" s="645" t="s">
        <v>1530</v>
      </c>
      <c r="B26" s="3124" t="s">
        <v>1531</v>
      </c>
      <c r="C26" s="3134">
        <f ca="1">ROUND(IF('数据-取费表'!B22&lt;=1,F22*F23*'数据-取费表'!B23/2,F22*(POWER((1+F23),'数据-取费表'!B23/2)-1)),4)</f>
        <v>0.0006</v>
      </c>
      <c r="D26" s="479"/>
      <c r="E26" s="482"/>
      <c r="F26" s="3133"/>
      <c r="G26" s="3135" t="s">
        <v>1529</v>
      </c>
      <c r="J26" s="424"/>
    </row>
    <row r="27" s="618" customFormat="1" ht="15" spans="1:10">
      <c r="A27" s="3102" t="s">
        <v>1532</v>
      </c>
      <c r="B27" s="3111" t="s">
        <v>1362</v>
      </c>
      <c r="C27" s="704" t="str">
        <f ca="1">C28&amp;"+"&amp;C29&amp;"V"</f>
        <v>8562693+0.002V</v>
      </c>
      <c r="D27" s="700"/>
      <c r="E27" s="701"/>
      <c r="F27" s="3136">
        <f ca="1">IF(B1="",'数据-取费表'!Q16,INDIRECT("'数据-取费表'!q"&amp;$G$1))</f>
        <v>0.1</v>
      </c>
      <c r="G27" s="3129" t="s">
        <v>1533</v>
      </c>
      <c r="J27" s="424"/>
    </row>
    <row r="28" s="426" customFormat="1" ht="15" spans="1:10">
      <c r="A28" s="3115" t="s">
        <v>1490</v>
      </c>
      <c r="B28" s="3124" t="s">
        <v>1534</v>
      </c>
      <c r="C28" s="810">
        <f ca="1">ROUND(C6*F27*'数据-取费表'!B23/'数据-取费表'!B22+(C9+C21)*F27,0)</f>
        <v>8562693</v>
      </c>
      <c r="D28" s="472"/>
      <c r="E28" s="473"/>
      <c r="F28" s="3125"/>
      <c r="G28" s="488" t="str">
        <f ca="1">IF(F10=100%,"","其中：土地取得成本产生的利润按已建工期计算")</f>
        <v/>
      </c>
      <c r="J28" s="424"/>
    </row>
    <row r="29" s="426" customFormat="1" ht="15" spans="1:10">
      <c r="A29" s="3115" t="s">
        <v>1492</v>
      </c>
      <c r="B29" s="3124" t="s">
        <v>1535</v>
      </c>
      <c r="C29" s="3134">
        <f ca="1">ROUND(F22*F27,4)</f>
        <v>0.002</v>
      </c>
      <c r="D29" s="472"/>
      <c r="E29" s="473"/>
      <c r="F29" s="3125"/>
      <c r="G29" s="488"/>
      <c r="J29" s="424"/>
    </row>
    <row r="30" s="618" customFormat="1" ht="15" spans="1:10">
      <c r="A30" s="3102" t="s">
        <v>1536</v>
      </c>
      <c r="B30" s="3103" t="s">
        <v>1537</v>
      </c>
      <c r="C30" s="670">
        <v>0</v>
      </c>
      <c r="D30" s="701"/>
      <c r="E30" s="3137"/>
      <c r="F30" s="3128"/>
      <c r="G30" s="3138" t="s">
        <v>1538</v>
      </c>
      <c r="J30" s="424"/>
    </row>
    <row r="31" s="426" customFormat="1" ht="15.75" spans="1:10">
      <c r="A31" s="3139">
        <v>2</v>
      </c>
      <c r="B31" s="3140" t="s">
        <v>1336</v>
      </c>
      <c r="C31" s="637">
        <f ca="1">C57</f>
        <v>23971894</v>
      </c>
      <c r="D31" s="707"/>
      <c r="E31" s="707"/>
      <c r="F31" s="3141">
        <f>IF('数据-取费表'!B24=0,'数据-取费表'!N16,1)</f>
        <v>0.74</v>
      </c>
      <c r="G31" s="709" t="s">
        <v>1574</v>
      </c>
      <c r="J31" s="424"/>
    </row>
    <row r="32" s="426" customFormat="1" ht="15.75" spans="1:10">
      <c r="A32" s="706" t="s">
        <v>1308</v>
      </c>
      <c r="B32" s="636" t="s">
        <v>1540</v>
      </c>
      <c r="C32" s="637">
        <f ca="1">C5-C31</f>
        <v>75137732</v>
      </c>
      <c r="D32" s="707"/>
      <c r="E32" s="707"/>
      <c r="F32" s="708"/>
      <c r="G32" s="3142" t="s">
        <v>1541</v>
      </c>
      <c r="J32" s="424"/>
    </row>
    <row r="33" s="426" customFormat="1" ht="16.5" spans="1:10">
      <c r="A33" s="3143">
        <v>4</v>
      </c>
      <c r="B33" s="3144" t="s">
        <v>1542</v>
      </c>
      <c r="C33" s="3145">
        <f ca="1">ROUND(C32*(1+F33),0)</f>
        <v>81900128</v>
      </c>
      <c r="D33" s="3146"/>
      <c r="E33" s="3146"/>
      <c r="F33" s="3147">
        <f>IF(G33="其他类型公式—成本价值×（1+9%）",9%,3%)</f>
        <v>0.09</v>
      </c>
      <c r="G33" s="3148" t="s">
        <v>1543</v>
      </c>
      <c r="J33" s="424"/>
    </row>
    <row r="34" s="427" customFormat="1" ht="15" spans="1:10">
      <c r="J34" s="424"/>
    </row>
    <row r="35" s="426" customFormat="1"/>
    <row r="36" s="426" customFormat="1"/>
    <row r="37" s="426" customFormat="1"/>
    <row r="38" ht="15.75" spans="1:10">
      <c r="A38" s="3149" t="s">
        <v>1544</v>
      </c>
      <c r="B38" s="3150"/>
      <c r="C38" s="3150"/>
      <c r="D38" s="3150"/>
      <c r="E38" s="3150"/>
      <c r="F38" s="3150"/>
      <c r="G38" s="3151"/>
    </row>
    <row r="39" ht="14.25" spans="1:10">
      <c r="A39" s="3152" t="s">
        <v>1004</v>
      </c>
      <c r="B39" s="3153" t="s">
        <v>1005</v>
      </c>
      <c r="C39" s="3154" t="s">
        <v>1481</v>
      </c>
      <c r="D39" s="3155" t="s">
        <v>1545</v>
      </c>
      <c r="E39" s="3156" t="s">
        <v>1546</v>
      </c>
      <c r="F39" s="3156" t="s">
        <v>1547</v>
      </c>
      <c r="G39" s="3157" t="s">
        <v>1485</v>
      </c>
    </row>
    <row r="40" ht="15" spans="1:10">
      <c r="A40" s="792" t="s">
        <v>1488</v>
      </c>
      <c r="B40" s="3158" t="s">
        <v>1548</v>
      </c>
      <c r="C40" s="3159">
        <f ca="1">SUM(C41:C46)</f>
        <v>78095027</v>
      </c>
      <c r="D40" s="3160"/>
      <c r="E40" s="3160"/>
      <c r="F40" s="3160"/>
      <c r="G40" s="3161"/>
    </row>
    <row r="41" ht="15.75" spans="1:10">
      <c r="A41" s="3162" t="s">
        <v>1490</v>
      </c>
      <c r="B41" s="3163" t="str">
        <f t="shared" ref="B41:C43" si="0">B10</f>
        <v>  建安费用</v>
      </c>
      <c r="C41" s="795">
        <f ca="1" t="shared" si="0"/>
        <v>66890816</v>
      </c>
      <c r="D41" s="3164"/>
      <c r="E41" s="3164"/>
      <c r="F41" s="804"/>
      <c r="G41" s="3165"/>
    </row>
    <row r="42" ht="15.75" spans="1:10">
      <c r="A42" s="3162" t="s">
        <v>1492</v>
      </c>
      <c r="B42" s="3163" t="str">
        <f t="shared" si="0"/>
        <v>  前期费用</v>
      </c>
      <c r="C42" s="795">
        <f ca="1" t="shared" si="0"/>
        <v>4682357</v>
      </c>
      <c r="D42" s="3164"/>
      <c r="E42" s="3164"/>
      <c r="F42" s="804"/>
      <c r="G42" s="3165"/>
    </row>
    <row r="43" ht="15.75" spans="1:10">
      <c r="A43" s="3162" t="s">
        <v>1500</v>
      </c>
      <c r="B43" s="3166" t="str">
        <f t="shared" si="0"/>
        <v>  公共配套设施费用</v>
      </c>
      <c r="C43" s="795">
        <f ca="1" t="shared" si="0"/>
        <v>0</v>
      </c>
      <c r="D43" s="3164"/>
      <c r="E43" s="3164"/>
      <c r="F43" s="804"/>
      <c r="G43" s="3165"/>
    </row>
    <row r="44" ht="15.75" spans="1:10">
      <c r="A44" s="3162" t="s">
        <v>1503</v>
      </c>
      <c r="B44" s="3166" t="str">
        <f>B18</f>
        <v>红线内市政费用</v>
      </c>
      <c r="C44" s="795">
        <f ca="1">C18</f>
        <v>5852946</v>
      </c>
      <c r="D44" s="3164"/>
      <c r="E44" s="3164"/>
      <c r="F44" s="804"/>
      <c r="G44" s="3165"/>
    </row>
    <row r="45" ht="15.75" spans="1:10">
      <c r="A45" s="3167" t="s">
        <v>1549</v>
      </c>
      <c r="B45" s="3168" t="str">
        <f>B19</f>
        <v>  其他工程费</v>
      </c>
      <c r="C45" s="810">
        <f ca="1">C19</f>
        <v>668908</v>
      </c>
      <c r="D45" s="3169"/>
      <c r="E45" s="3169"/>
      <c r="F45" s="813"/>
      <c r="G45" s="3170"/>
    </row>
    <row r="46" ht="15.75" spans="1:10">
      <c r="A46" s="3167" t="s">
        <v>1550</v>
      </c>
      <c r="B46" s="3168" t="s">
        <v>762</v>
      </c>
      <c r="C46" s="810">
        <f ca="1">C20</f>
        <v>0</v>
      </c>
      <c r="D46" s="3169"/>
      <c r="E46" s="3169"/>
      <c r="F46" s="813"/>
      <c r="G46" s="3170"/>
    </row>
    <row r="47" ht="15" spans="1:10">
      <c r="A47" s="3171" t="s">
        <v>1551</v>
      </c>
      <c r="B47" s="3171" t="s">
        <v>1520</v>
      </c>
      <c r="C47" s="3172">
        <f ca="1">ROUND(C40*F47,0)</f>
        <v>1561901</v>
      </c>
      <c r="D47" s="3173"/>
      <c r="E47" s="3173"/>
      <c r="F47" s="3174">
        <f>F21</f>
        <v>0.02</v>
      </c>
      <c r="G47" s="3175" t="s">
        <v>1552</v>
      </c>
    </row>
    <row r="48" ht="15" spans="1:10">
      <c r="A48" s="3171" t="s">
        <v>1519</v>
      </c>
      <c r="B48" s="3171" t="s">
        <v>1523</v>
      </c>
      <c r="C48" s="3176" t="str">
        <f>F48&amp;"V建1"</f>
        <v>0.02V建1</v>
      </c>
      <c r="D48" s="3173"/>
      <c r="E48" s="3173"/>
      <c r="F48" s="3174">
        <f>F22</f>
        <v>0.02</v>
      </c>
      <c r="G48" s="3177" t="s">
        <v>1553</v>
      </c>
    </row>
    <row r="49" ht="15" spans="1:7">
      <c r="A49" s="3171" t="s">
        <v>1522</v>
      </c>
      <c r="B49" s="3178" t="s">
        <v>1356</v>
      </c>
      <c r="C49" s="670" t="str">
        <f ca="1">C50&amp;"+"&amp;C51&amp;"V建1"</f>
        <v>2493262+0.0006V建1</v>
      </c>
      <c r="D49" s="701"/>
      <c r="E49" s="701"/>
      <c r="F49" s="3179">
        <f ca="1">F23</f>
        <v>0.0313</v>
      </c>
      <c r="G49" s="3180" t="str">
        <f>IF('数据-取费表'!B22&lt;=1,"单利计息","复利计息")</f>
        <v>复利计息</v>
      </c>
    </row>
    <row r="50" spans="1:7">
      <c r="A50" s="3162" t="s">
        <v>1490</v>
      </c>
      <c r="B50" s="3181" t="s">
        <v>1554</v>
      </c>
      <c r="C50" s="822">
        <f ca="1">ROUND(IF('数据-取费表'!B22&lt;=1,(C40+C47)*F49*'数据-取费表'!B22/2,(C40+C47)*(POWER((1+F49),'数据-取费表'!B22/2)-1)),0)</f>
        <v>2493262</v>
      </c>
      <c r="D50" s="823"/>
      <c r="E50" s="823"/>
      <c r="F50" s="652"/>
      <c r="G50" s="503" t="str">
        <f ca="1">IF(F10=100%,"建设期均匀投入","已建工期均匀投入")</f>
        <v>建设期均匀投入</v>
      </c>
    </row>
    <row r="51" spans="1:7">
      <c r="A51" s="3162" t="s">
        <v>1492</v>
      </c>
      <c r="B51" s="3166" t="s">
        <v>1555</v>
      </c>
      <c r="C51" s="826">
        <f ca="1">ROUND(IF('数据-取费表'!B22&lt;=1,F48*F23*'数据-取费表'!B22/2,F48*(POWER((1+F23),'数据-取费表'!B22/2)-1)),4)</f>
        <v>0.0006</v>
      </c>
      <c r="D51" s="823"/>
      <c r="E51" s="823"/>
      <c r="F51" s="652"/>
      <c r="G51" s="505"/>
    </row>
    <row r="52" ht="15" spans="1:7">
      <c r="A52" s="3171" t="s">
        <v>1525</v>
      </c>
      <c r="B52" s="3149" t="s">
        <v>1362</v>
      </c>
      <c r="C52" s="3182" t="str">
        <f ca="1">C53&amp;"+"&amp;C54&amp;"V建1"</f>
        <v>7965693+0.002V建1</v>
      </c>
      <c r="D52" s="3183"/>
      <c r="E52" s="3173"/>
      <c r="F52" s="3184">
        <f ca="1">F27</f>
        <v>0.1</v>
      </c>
      <c r="G52" s="3185" t="s">
        <v>1556</v>
      </c>
    </row>
    <row r="53" spans="1:7">
      <c r="A53" s="3162" t="s">
        <v>1490</v>
      </c>
      <c r="B53" s="3181" t="s">
        <v>1557</v>
      </c>
      <c r="C53" s="795">
        <f ca="1">ROUND((C40+C47)*F27,0)</f>
        <v>7965693</v>
      </c>
      <c r="D53" s="3186"/>
      <c r="E53" s="3187"/>
      <c r="F53" s="3188"/>
      <c r="G53" s="3189"/>
    </row>
    <row r="54" spans="1:7">
      <c r="A54" s="3162" t="s">
        <v>1492</v>
      </c>
      <c r="B54" s="3181" t="s">
        <v>1558</v>
      </c>
      <c r="C54" s="3190">
        <f ca="1">ROUND(F48*F27,4)</f>
        <v>0.002</v>
      </c>
      <c r="D54" s="3186"/>
      <c r="E54" s="3187"/>
      <c r="F54" s="3188"/>
      <c r="G54" s="3189"/>
    </row>
    <row r="55" ht="15" spans="1:7">
      <c r="A55" s="3191" t="s">
        <v>1532</v>
      </c>
      <c r="B55" s="3102" t="s">
        <v>1537</v>
      </c>
      <c r="C55" s="3192">
        <v>0</v>
      </c>
      <c r="D55" s="700"/>
      <c r="E55" s="701"/>
      <c r="F55" s="3179"/>
      <c r="G55" s="3193" t="s">
        <v>1559</v>
      </c>
    </row>
    <row r="56" ht="18.75" spans="1:7">
      <c r="A56" s="3191" t="s">
        <v>1560</v>
      </c>
      <c r="B56" s="3191" t="s">
        <v>1561</v>
      </c>
      <c r="C56" s="670">
        <f ca="1">ROUND((C40+C47+C50+C53)/(1-F48-C51-C54),0)</f>
        <v>92199594</v>
      </c>
      <c r="D56" s="701"/>
      <c r="E56" s="701"/>
      <c r="F56" s="3194"/>
      <c r="G56" s="3193" t="s">
        <v>1562</v>
      </c>
    </row>
    <row r="57" ht="15" spans="1:7">
      <c r="A57" s="3191" t="s">
        <v>1374</v>
      </c>
      <c r="B57" s="3195" t="s">
        <v>1336</v>
      </c>
      <c r="C57" s="670">
        <f ca="1">ROUND(C56*(1-F57),0)</f>
        <v>23971894</v>
      </c>
      <c r="D57" s="701"/>
      <c r="E57" s="701"/>
      <c r="F57" s="3194">
        <f>F31</f>
        <v>0.74</v>
      </c>
      <c r="G57" s="3193" t="s">
        <v>1563</v>
      </c>
    </row>
    <row r="58" ht="18.75" spans="1:7">
      <c r="A58" s="3191" t="s">
        <v>1564</v>
      </c>
      <c r="B58" s="3191" t="s">
        <v>1565</v>
      </c>
      <c r="C58" s="670">
        <f ca="1">C56-C57</f>
        <v>68227700</v>
      </c>
      <c r="D58" s="701"/>
      <c r="E58" s="701"/>
      <c r="F58" s="3194"/>
      <c r="G58" s="3193" t="s">
        <v>1566</v>
      </c>
    </row>
    <row r="59" ht="15.75" spans="1:7">
      <c r="A59" s="3196" t="s">
        <v>1567</v>
      </c>
      <c r="B59" s="3197" t="s">
        <v>1568</v>
      </c>
      <c r="C59" s="3198">
        <f ca="1">ROUND(C58*(1+F59),0)</f>
        <v>74368193</v>
      </c>
      <c r="D59" s="3199"/>
      <c r="E59" s="3199"/>
      <c r="F59" s="3200">
        <f>F33</f>
        <v>0.09</v>
      </c>
      <c r="G59" s="3201" t="s">
        <v>1569</v>
      </c>
    </row>
    <row r="60" ht="14.25" spans="1:7">
      <c r="A60" s="3202"/>
      <c r="B60" s="3203"/>
    </row>
    <row r="62" ht="21" customHeight="1" spans="1:7">
      <c r="B62" s="3204" t="s">
        <v>1570</v>
      </c>
      <c r="C62" s="513"/>
    </row>
    <row r="63" ht="21" customHeight="1" spans="1:7">
      <c r="B63" s="1299" t="s">
        <v>1477</v>
      </c>
      <c r="C63" s="3205">
        <f ca="1">1-C64</f>
        <v>0.092</v>
      </c>
    </row>
    <row r="64" ht="21" customHeight="1" spans="1:7">
      <c r="B64" s="1299" t="s">
        <v>1478</v>
      </c>
      <c r="C64" s="3206">
        <f ca="1">ROUND(C58/C32,3)</f>
        <v>0.908</v>
      </c>
      <c r="D64" s="429" t="s">
        <v>1571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8" width="10.75" style="430" customWidth="1"/>
    <col min="9" max="254" width="9" style="430" customWidth="1"/>
    <col min="255" max="16384" width="8.375" style="430"/>
  </cols>
  <sheetData>
    <row r="1" s="424" customFormat="1" ht="20.25" spans="1:8">
      <c r="A1" s="432" t="s">
        <v>1479</v>
      </c>
      <c r="B1" s="3080"/>
      <c r="C1" s="3081" t="s">
        <v>1572</v>
      </c>
      <c r="D1" s="434"/>
      <c r="E1" s="434"/>
      <c r="F1" s="434"/>
      <c r="G1" s="622">
        <f>MATCH(B1,'数据-取费表'!A6:A16,0)+5</f>
        <v>7</v>
      </c>
      <c r="H1" s="2185" t="str">
        <f>IF(ISERROR(FIND("住宅",B1)),"非住宅","住宅")</f>
        <v>非住宅</v>
      </c>
    </row>
    <row r="2" s="424" customFormat="1" ht="18" customHeight="1" spans="1:8">
      <c r="A2" s="436" t="s">
        <v>1122</v>
      </c>
      <c r="B2" s="3082">
        <f ca="1">ROUND(IF(D2="——",C52/10000,C52/10000-E2),4)</f>
        <v>10550.7617</v>
      </c>
      <c r="C2" s="435" t="s">
        <v>1124</v>
      </c>
      <c r="D2" s="3083" t="s">
        <v>124</v>
      </c>
      <c r="E2" s="3084" t="e">
        <f ca="1">SUMIF(INDIRECT("'"&amp;G2&amp;"'"&amp;"!A:A"),"承租人权益价值",INDIRECT("'"&amp;G2&amp;"'"&amp;"!c:c"))</f>
        <v>#REF!</v>
      </c>
      <c r="F2" s="739" t="s">
        <v>1124</v>
      </c>
      <c r="G2" s="3085"/>
    </row>
    <row r="3" s="424" customFormat="1" ht="18" customHeight="1" spans="1:8">
      <c r="A3" s="439" t="s">
        <v>1125</v>
      </c>
      <c r="B3" s="440">
        <f ca="1">ROUND(B2*10000/(IF(B1="",'数据-汇总表'!E3,INDIRECT("'数据-取费表'!k"&amp;$G$1))),0)</f>
        <v>5047</v>
      </c>
      <c r="C3" s="435" t="s">
        <v>1480</v>
      </c>
      <c r="D3" s="435"/>
      <c r="E3" s="435"/>
      <c r="F3" s="435"/>
      <c r="G3" s="435"/>
    </row>
    <row r="4" s="425" customFormat="1" ht="15.75" spans="1:8">
      <c r="A4" s="441" t="s">
        <v>1575</v>
      </c>
      <c r="B4" s="442"/>
      <c r="C4" s="442"/>
      <c r="D4" s="442"/>
      <c r="E4" s="442"/>
      <c r="F4" s="442"/>
      <c r="G4" s="443"/>
    </row>
    <row r="5" s="426" customFormat="1" ht="13.5" customHeight="1" spans="1:8">
      <c r="A5" s="444" t="s">
        <v>1576</v>
      </c>
      <c r="B5" s="445" t="s">
        <v>1577</v>
      </c>
      <c r="C5" s="446">
        <f ca="1">C6+C7+C8</f>
        <v>24811286</v>
      </c>
      <c r="D5" s="446" t="s">
        <v>1578</v>
      </c>
      <c r="E5" s="447" t="s">
        <v>1579</v>
      </c>
      <c r="F5" s="447" t="s">
        <v>1038</v>
      </c>
      <c r="G5" s="448"/>
    </row>
    <row r="6" s="426" customFormat="1" ht="13.5" customHeight="1" spans="1:8">
      <c r="A6" s="449" t="s">
        <v>1490</v>
      </c>
      <c r="B6" s="450" t="s">
        <v>1491</v>
      </c>
      <c r="C6" s="451">
        <v>20020000</v>
      </c>
      <c r="D6" s="452"/>
      <c r="E6" s="453"/>
      <c r="F6" s="453"/>
      <c r="G6" s="454"/>
    </row>
    <row r="7" s="426" customFormat="1" ht="13.5" customHeight="1" spans="1:8">
      <c r="A7" s="449" t="s">
        <v>1492</v>
      </c>
      <c r="B7" s="450" t="s">
        <v>1493</v>
      </c>
      <c r="C7" s="455">
        <f>ROUND(C6*F7,0)</f>
        <v>610610</v>
      </c>
      <c r="D7" s="455"/>
      <c r="E7" s="453"/>
      <c r="F7" s="456">
        <f>IF(项目基本情况!B8="出让",0,'数据-取费表'!B49+'数据-取费表'!B50)</f>
        <v>0.0305</v>
      </c>
      <c r="G7" s="454"/>
    </row>
    <row r="8" s="427" customFormat="1" spans="1:8">
      <c r="A8" s="449" t="s">
        <v>1500</v>
      </c>
      <c r="B8" s="450" t="s">
        <v>1580</v>
      </c>
      <c r="C8" s="455">
        <f ca="1">IF(G8="已包含在土地购买价格中",0,C9+C10)</f>
        <v>4180676</v>
      </c>
      <c r="D8" s="457"/>
      <c r="E8" s="455"/>
      <c r="F8" s="456"/>
      <c r="G8" s="680"/>
    </row>
    <row r="9" s="426" customFormat="1" ht="13.5" customHeight="1" spans="1:8">
      <c r="A9" s="459" t="s">
        <v>1388</v>
      </c>
      <c r="B9" s="460" t="s">
        <v>1507</v>
      </c>
      <c r="C9" s="461">
        <f ca="1">ROUND(D9*E9,0)</f>
        <v>0</v>
      </c>
      <c r="D9" s="462">
        <f ca="1">IF(B1="",'数据-汇总表'!E5,IF(INDIRECT("'数据-取费表'!c"&amp;$G$1)="住宅",INDIRECT("'数据-取费表'!k"&amp;$G$1),0))</f>
        <v>0</v>
      </c>
      <c r="E9" s="461">
        <f>'数据-取费表'!B27</f>
        <v>0</v>
      </c>
      <c r="F9" s="456"/>
      <c r="G9" s="463"/>
    </row>
    <row r="10" s="426" customFormat="1" ht="13.5" customHeight="1" spans="1:8">
      <c r="A10" s="459" t="s">
        <v>1396</v>
      </c>
      <c r="B10" s="460" t="s">
        <v>1510</v>
      </c>
      <c r="C10" s="461">
        <f ca="1">ROUND(D10*E10,0)</f>
        <v>4180676</v>
      </c>
      <c r="D10" s="462">
        <f ca="1">IF(B1="",'数据-汇总表'!E6,IF(INDIRECT("'数据-取费表'!c"&amp;$G$1)="住宅",INDIRECT("'数据-取费表'!s"&amp;$G$1),INDIRECT("'数据-取费表'!k"&amp;$G$1)+INDIRECT("'数据-取费表'!s"&amp;$G$1)))</f>
        <v>20903.38</v>
      </c>
      <c r="E10" s="461">
        <f>'数据-取费表'!B28</f>
        <v>200</v>
      </c>
      <c r="F10" s="456"/>
      <c r="G10" s="463"/>
    </row>
    <row r="11" s="426" customFormat="1" ht="13.5" customHeight="1" spans="1:8">
      <c r="A11" s="464" t="s">
        <v>1581</v>
      </c>
      <c r="B11" s="450" t="s">
        <v>1582</v>
      </c>
      <c r="C11" s="446"/>
      <c r="D11" s="453"/>
      <c r="E11" s="453"/>
      <c r="F11" s="453"/>
      <c r="G11" s="454"/>
    </row>
    <row r="12" s="426" customFormat="1" ht="13.5" customHeight="1" spans="1:8">
      <c r="A12" s="464" t="s">
        <v>1583</v>
      </c>
      <c r="B12" s="450" t="s">
        <v>1051</v>
      </c>
      <c r="C12" s="446">
        <v>0</v>
      </c>
      <c r="D12" s="453"/>
      <c r="E12" s="465"/>
      <c r="F12" s="456">
        <v>0.0305</v>
      </c>
      <c r="G12" s="454"/>
    </row>
    <row r="13" s="426" customFormat="1" ht="13.5" customHeight="1" spans="1:8">
      <c r="A13" s="464" t="s">
        <v>1584</v>
      </c>
      <c r="B13" s="450" t="s">
        <v>1585</v>
      </c>
      <c r="C13" s="446"/>
      <c r="D13" s="453"/>
      <c r="E13" s="453"/>
      <c r="F13" s="453"/>
      <c r="G13" s="454"/>
    </row>
    <row r="14" s="426" customFormat="1" ht="13.5" customHeight="1" spans="1:8">
      <c r="A14" s="464" t="s">
        <v>1586</v>
      </c>
      <c r="B14" s="450" t="s">
        <v>1580</v>
      </c>
      <c r="C14" s="446"/>
      <c r="D14" s="453"/>
      <c r="E14" s="453"/>
      <c r="F14" s="453"/>
      <c r="G14" s="454" t="s">
        <v>1587</v>
      </c>
    </row>
    <row r="15" s="426" customFormat="1" ht="13.5" customHeight="1" spans="1:8">
      <c r="A15" s="464" t="s">
        <v>1588</v>
      </c>
      <c r="B15" s="450" t="s">
        <v>1589</v>
      </c>
      <c r="C15" s="455"/>
      <c r="D15" s="453"/>
      <c r="E15" s="453"/>
      <c r="F15" s="453"/>
      <c r="G15" s="454" t="s">
        <v>1590</v>
      </c>
    </row>
    <row r="16" s="426" customFormat="1" ht="13.5" customHeight="1" spans="1:8">
      <c r="A16" s="464" t="s">
        <v>1591</v>
      </c>
      <c r="B16" s="450" t="s">
        <v>1580</v>
      </c>
      <c r="C16" s="455"/>
      <c r="D16" s="453"/>
      <c r="E16" s="453"/>
      <c r="F16" s="453"/>
      <c r="G16" s="454"/>
    </row>
    <row r="17" s="426" customFormat="1" ht="13.5" customHeight="1" spans="1:7">
      <c r="A17" s="464" t="s">
        <v>1592</v>
      </c>
      <c r="B17" s="450" t="s">
        <v>1593</v>
      </c>
      <c r="C17" s="466"/>
      <c r="D17" s="466"/>
      <c r="E17" s="466"/>
      <c r="F17" s="466"/>
      <c r="G17" s="454" t="s">
        <v>1590</v>
      </c>
    </row>
    <row r="18" s="426" customFormat="1" ht="13.5" customHeight="1" spans="1:7">
      <c r="A18" s="464" t="s">
        <v>1594</v>
      </c>
      <c r="B18" s="450" t="s">
        <v>1595</v>
      </c>
      <c r="C18" s="455">
        <v>0</v>
      </c>
      <c r="D18" s="453"/>
      <c r="E18" s="453"/>
      <c r="F18" s="456">
        <v>0.0305</v>
      </c>
      <c r="G18" s="454" t="s">
        <v>1596</v>
      </c>
    </row>
    <row r="19" s="427" customFormat="1" ht="13.5" customHeight="1" spans="1:7">
      <c r="A19" s="444" t="s">
        <v>1597</v>
      </c>
      <c r="B19" s="445" t="s">
        <v>1598</v>
      </c>
      <c r="C19" s="446">
        <f ca="1">IF(G19="已包含在土地取得成本中","0",ROUND(D19*E19,0))</f>
        <v>5852946</v>
      </c>
      <c r="D19" s="447">
        <f ca="1">D9+D10</f>
        <v>20903.38</v>
      </c>
      <c r="E19" s="446">
        <f>'数据-取费表'!B31</f>
        <v>280</v>
      </c>
      <c r="F19" s="468"/>
      <c r="G19" s="680"/>
    </row>
    <row r="20" s="426" customFormat="1" ht="13.5" customHeight="1" spans="1:7">
      <c r="A20" s="444" t="s">
        <v>1599</v>
      </c>
      <c r="B20" s="445" t="s">
        <v>1600</v>
      </c>
      <c r="C20" s="469">
        <f ca="1">ROUND((C5+C19)*F20,0)</f>
        <v>613285</v>
      </c>
      <c r="D20" s="469"/>
      <c r="E20" s="469"/>
      <c r="F20" s="470">
        <f>'数据-取费表'!B38</f>
        <v>0.02</v>
      </c>
      <c r="G20" s="474" t="s">
        <v>1601</v>
      </c>
    </row>
    <row r="21" s="426" customFormat="1" ht="13.5" customHeight="1" spans="1:7">
      <c r="A21" s="444" t="s">
        <v>1602</v>
      </c>
      <c r="B21" s="445" t="s">
        <v>1603</v>
      </c>
      <c r="C21" s="472">
        <f>F21</f>
        <v>0.02</v>
      </c>
      <c r="D21" s="473" t="s">
        <v>1604</v>
      </c>
      <c r="E21" s="469"/>
      <c r="F21" s="470">
        <f>'数据-取费表'!B39</f>
        <v>0.02</v>
      </c>
      <c r="G21" s="474" t="s">
        <v>1605</v>
      </c>
    </row>
    <row r="22" s="426" customFormat="1" ht="13.5" customHeight="1" spans="1:7">
      <c r="A22" s="444" t="s">
        <v>1606</v>
      </c>
      <c r="B22" s="445" t="s">
        <v>1607</v>
      </c>
      <c r="C22" s="469">
        <f ca="1">ROUND(SUM(C23:C25),0)</f>
        <v>1968818</v>
      </c>
      <c r="D22" s="472">
        <f ca="1">C26</f>
        <v>0.0006</v>
      </c>
      <c r="E22" s="473" t="s">
        <v>1604</v>
      </c>
      <c r="F22" s="476">
        <f ca="1">'数据-取费表'!B41</f>
        <v>0.0313</v>
      </c>
      <c r="G22" s="474" t="str">
        <f>IF('数据-取费表'!B22&lt;=1,"单利计息","复利计息")</f>
        <v>复利计息</v>
      </c>
    </row>
    <row r="23" s="426" customFormat="1" ht="13.5" customHeight="1" spans="1:7">
      <c r="A23" s="477" t="s">
        <v>1490</v>
      </c>
      <c r="B23" s="450" t="s">
        <v>1526</v>
      </c>
      <c r="C23" s="479">
        <f ca="1">ROUND(IF('数据-取费表'!B22&lt;=1,C5*F22*'数据-取费表'!B22,C5*(POWER((1+F22),'数据-取费表'!B22)-1)),0)</f>
        <v>1577494</v>
      </c>
      <c r="D23" s="479"/>
      <c r="E23" s="479"/>
      <c r="F23" s="480"/>
      <c r="G23" s="481" t="s">
        <v>1608</v>
      </c>
    </row>
    <row r="24" s="426" customFormat="1" ht="13.5" customHeight="1" spans="1:7">
      <c r="A24" s="477" t="s">
        <v>1492</v>
      </c>
      <c r="B24" s="450" t="s">
        <v>1609</v>
      </c>
      <c r="C24" s="479">
        <f ca="1">ROUND(IF('数据-取费表'!B22&lt;=1,C19*F22*('数据-取费表'!B19/2+'数据-取费表'!B20),C19*(POWER((1+F22),('数据-取费表'!B19/2+'数据-取费表'!B20))-1)),0)</f>
        <v>372128</v>
      </c>
      <c r="D24" s="479"/>
      <c r="E24" s="479"/>
      <c r="F24" s="480"/>
      <c r="G24" s="481" t="s">
        <v>1610</v>
      </c>
    </row>
    <row r="25" s="426" customFormat="1" ht="24" spans="1:7">
      <c r="A25" s="477" t="s">
        <v>1500</v>
      </c>
      <c r="B25" s="450" t="s">
        <v>1611</v>
      </c>
      <c r="C25" s="479">
        <f ca="1">ROUND(IF('数据-取费表'!B22&lt;=1,C20*F22*'数据-取费表'!B22/2,C20*(POWER((1+F22),'数据-取费表'!B22/2)-1)),0)</f>
        <v>19196</v>
      </c>
      <c r="D25" s="479"/>
      <c r="E25" s="482"/>
      <c r="F25" s="480"/>
      <c r="G25" s="483" t="s">
        <v>1612</v>
      </c>
    </row>
    <row r="26" s="426" customFormat="1" spans="1:7">
      <c r="A26" s="477" t="s">
        <v>1530</v>
      </c>
      <c r="B26" s="450" t="s">
        <v>1531</v>
      </c>
      <c r="C26" s="479">
        <f ca="1">ROUND(IF('数据-取费表'!B22&lt;=1,F21*F22*'数据-取费表'!B22/2,F21*(POWER((1+F22),'数据-取费表'!B22/2)-1)),4)</f>
        <v>0.0006</v>
      </c>
      <c r="D26" s="479"/>
      <c r="E26" s="482"/>
      <c r="F26" s="480"/>
      <c r="G26" s="484"/>
    </row>
    <row r="27" s="426" customFormat="1" ht="24.75" spans="1:7">
      <c r="A27" s="444" t="s">
        <v>1613</v>
      </c>
      <c r="B27" s="485" t="s">
        <v>1614</v>
      </c>
      <c r="C27" s="486">
        <f ca="1">C28</f>
        <v>3127752</v>
      </c>
      <c r="D27" s="472">
        <f ca="1">C29</f>
        <v>0.002</v>
      </c>
      <c r="E27" s="473" t="s">
        <v>1604</v>
      </c>
      <c r="F27" s="487">
        <f ca="1">IF(B1="",'数据-取费表'!Q16,INDIRECT("'数据-取费表'!q"&amp;$G$1))</f>
        <v>0.1</v>
      </c>
      <c r="G27" s="488" t="s">
        <v>1615</v>
      </c>
    </row>
    <row r="28" s="426" customFormat="1" ht="13.5" customHeight="1" spans="1:7">
      <c r="A28" s="477" t="s">
        <v>1490</v>
      </c>
      <c r="B28" s="489" t="s">
        <v>1534</v>
      </c>
      <c r="C28" s="490">
        <f ca="1">ROUND((C5+C19+C20)*F27,0)</f>
        <v>3127752</v>
      </c>
      <c r="D28" s="472"/>
      <c r="E28" s="473"/>
      <c r="F28" s="487"/>
      <c r="G28" s="488"/>
    </row>
    <row r="29" s="426" customFormat="1" ht="13.5" customHeight="1" spans="1:7">
      <c r="A29" s="477" t="s">
        <v>1492</v>
      </c>
      <c r="B29" s="489" t="s">
        <v>1535</v>
      </c>
      <c r="C29" s="479">
        <f ca="1">ROUND(C21*F27,4)</f>
        <v>0.002</v>
      </c>
      <c r="D29" s="472"/>
      <c r="E29" s="473"/>
      <c r="F29" s="487"/>
      <c r="G29" s="488"/>
    </row>
    <row r="30" s="426" customFormat="1" ht="13.5" customHeight="1" spans="1:7">
      <c r="A30" s="444" t="s">
        <v>1616</v>
      </c>
      <c r="B30" s="445" t="s">
        <v>1617</v>
      </c>
      <c r="C30" s="472">
        <f>ROUND(F30/(1+'数据-取费表'!C43),4)</f>
        <v>0.0006</v>
      </c>
      <c r="D30" s="473" t="s">
        <v>1604</v>
      </c>
      <c r="E30" s="482"/>
      <c r="F30" s="3086">
        <v>0.00056</v>
      </c>
      <c r="G30" s="474" t="s">
        <v>1618</v>
      </c>
    </row>
    <row r="31" ht="16.5" customHeight="1" spans="1:7">
      <c r="A31" s="491">
        <v>1</v>
      </c>
      <c r="B31" s="445" t="s">
        <v>1619</v>
      </c>
      <c r="C31" s="446">
        <f ca="1">ROUND((C5+C19+C20+C22+C27)/(1-C21-D22-D27-C30),0)</f>
        <v>37238009</v>
      </c>
      <c r="D31" s="492"/>
      <c r="E31" s="446"/>
      <c r="F31" s="493"/>
      <c r="G31" s="474" t="s">
        <v>1620</v>
      </c>
    </row>
    <row r="32" s="425" customFormat="1" ht="15.75" spans="1:7">
      <c r="A32" s="494" t="s">
        <v>1621</v>
      </c>
      <c r="B32" s="495"/>
      <c r="C32" s="495"/>
      <c r="D32" s="495"/>
      <c r="E32" s="495"/>
      <c r="F32" s="495"/>
      <c r="G32" s="496"/>
    </row>
    <row r="33" s="426" customFormat="1" ht="13.5" customHeight="1" spans="1:7">
      <c r="A33" s="444" t="s">
        <v>1576</v>
      </c>
      <c r="B33" s="445" t="s">
        <v>1622</v>
      </c>
      <c r="C33" s="497">
        <f ca="1">SUM(C34:C38)</f>
        <v>78095027</v>
      </c>
      <c r="D33" s="469"/>
      <c r="E33" s="447"/>
      <c r="F33" s="482"/>
      <c r="G33" s="474"/>
    </row>
    <row r="34" s="428" customFormat="1" ht="13.5" customHeight="1" spans="1:7">
      <c r="A34" s="477" t="s">
        <v>1490</v>
      </c>
      <c r="B34" s="450" t="s">
        <v>1623</v>
      </c>
      <c r="C34" s="455">
        <f ca="1">ROUND(IF(B1="",SUMPRODUCT('数据-取费表'!K6:K14,'数据-取费表'!L6:L14),INDIRECT("'数据-取费表'!l"&amp;$G$1)*INDIRECT("'数据-取费表'!k"&amp;$G$1)+'数据-取费表'!L14*INDIRECT("'数据-取费表'!S"&amp;$G$1)),0)</f>
        <v>66890816</v>
      </c>
      <c r="D34" s="452"/>
      <c r="E34" s="455"/>
      <c r="F34" s="498"/>
      <c r="G34" s="454"/>
    </row>
    <row r="35" ht="13.5" customHeight="1" spans="1:7">
      <c r="A35" s="477" t="s">
        <v>1492</v>
      </c>
      <c r="B35" s="450" t="s">
        <v>1624</v>
      </c>
      <c r="C35" s="455">
        <f ca="1">ROUND(C34*F35,0)</f>
        <v>4682357</v>
      </c>
      <c r="D35" s="455"/>
      <c r="E35" s="455"/>
      <c r="F35" s="499">
        <f>'数据-取费表'!B33</f>
        <v>0.07</v>
      </c>
      <c r="G35" s="454" t="s">
        <v>1516</v>
      </c>
    </row>
    <row r="36" ht="24" spans="1:7">
      <c r="A36" s="477" t="s">
        <v>1500</v>
      </c>
      <c r="B36" s="450" t="s">
        <v>1625</v>
      </c>
      <c r="C36" s="455">
        <f ca="1">ROUND(IF(B1="",SUM('数据-取费表'!AP6:AP13)*F36,IF(INDIRECT("'数据-取费表'!c"&amp;$G$1)="住宅",INDIRECT("'数据-取费表'!k"&amp;$G$1)*INDIRECT("'数据-取费表'!l"&amp;$G$1)*F36,0)),0)</f>
        <v>0</v>
      </c>
      <c r="D36" s="455"/>
      <c r="E36" s="455"/>
      <c r="F36" s="499">
        <f>'数据-取费表'!B34</f>
        <v>0</v>
      </c>
      <c r="G36" s="500" t="s">
        <v>1626</v>
      </c>
    </row>
    <row r="37" s="428" customFormat="1" ht="13.5" customHeight="1" spans="1:7">
      <c r="A37" s="477" t="s">
        <v>1530</v>
      </c>
      <c r="B37" s="450" t="s">
        <v>1513</v>
      </c>
      <c r="C37" s="490">
        <f ca="1">ROUND(E37*D37,0)</f>
        <v>5852946</v>
      </c>
      <c r="D37" s="452">
        <f ca="1">D19</f>
        <v>20903.38</v>
      </c>
      <c r="E37" s="490">
        <f>'数据-取费表'!B35</f>
        <v>280</v>
      </c>
      <c r="F37" s="499"/>
      <c r="G37" s="501"/>
    </row>
    <row r="38" ht="13.5" customHeight="1" spans="1:7">
      <c r="A38" s="477" t="s">
        <v>1514</v>
      </c>
      <c r="B38" s="450" t="s">
        <v>1051</v>
      </c>
      <c r="C38" s="455">
        <f ca="1">ROUND(C34*F38,0)</f>
        <v>668908</v>
      </c>
      <c r="D38" s="455"/>
      <c r="E38" s="455"/>
      <c r="F38" s="499">
        <f>'数据-取费表'!B36</f>
        <v>0.01</v>
      </c>
      <c r="G38" s="454" t="s">
        <v>1516</v>
      </c>
    </row>
    <row r="39" s="426" customFormat="1" ht="13.5" customHeight="1" spans="1:7">
      <c r="A39" s="444" t="s">
        <v>1597</v>
      </c>
      <c r="B39" s="445" t="s">
        <v>1600</v>
      </c>
      <c r="C39" s="469">
        <f ca="1">ROUND(C33*F20,0)</f>
        <v>1561901</v>
      </c>
      <c r="D39" s="469"/>
      <c r="E39" s="469"/>
      <c r="F39" s="470">
        <f>F20</f>
        <v>0.02</v>
      </c>
      <c r="G39" s="474" t="s">
        <v>1627</v>
      </c>
    </row>
    <row r="40" s="426" customFormat="1" ht="13.5" customHeight="1" spans="1:7">
      <c r="A40" s="444" t="s">
        <v>1599</v>
      </c>
      <c r="B40" s="445" t="s">
        <v>1603</v>
      </c>
      <c r="C40" s="472">
        <f>F21</f>
        <v>0.02</v>
      </c>
      <c r="D40" s="473" t="s">
        <v>1628</v>
      </c>
      <c r="E40" s="469"/>
      <c r="F40" s="470">
        <f>F21</f>
        <v>0.02</v>
      </c>
      <c r="G40" s="474" t="s">
        <v>1629</v>
      </c>
    </row>
    <row r="41" s="426" customFormat="1" ht="13.5" customHeight="1" spans="1:7">
      <c r="A41" s="444" t="s">
        <v>1602</v>
      </c>
      <c r="B41" s="445" t="s">
        <v>1607</v>
      </c>
      <c r="C41" s="469">
        <f ca="1">ROUND(SUM(C42:C43),0)</f>
        <v>2493262</v>
      </c>
      <c r="D41" s="472">
        <f ca="1">C44</f>
        <v>0.0006</v>
      </c>
      <c r="E41" s="473" t="s">
        <v>1628</v>
      </c>
      <c r="F41" s="476">
        <f ca="1">F22</f>
        <v>0.0313</v>
      </c>
      <c r="G41" s="474" t="str">
        <f>IF('数据-取费表'!B22&lt;=1,"单利计息","复利计息")</f>
        <v>复利计息</v>
      </c>
    </row>
    <row r="42" ht="13.5" customHeight="1" spans="1:7">
      <c r="A42" s="477" t="s">
        <v>1490</v>
      </c>
      <c r="B42" s="450" t="s">
        <v>1526</v>
      </c>
      <c r="C42" s="479">
        <f ca="1">ROUND(IF('数据-取费表'!B22&lt;=1,C33*F22*'数据-取费表'!B20/2,C33*(POWER((1+F22),'数据-取费表'!B20/2)-1)),0)</f>
        <v>2444374</v>
      </c>
      <c r="D42" s="479"/>
      <c r="E42" s="479"/>
      <c r="F42" s="480"/>
      <c r="G42" s="503" t="s">
        <v>1630</v>
      </c>
    </row>
    <row r="43" ht="13.5" customHeight="1" spans="1:7">
      <c r="A43" s="477" t="s">
        <v>1492</v>
      </c>
      <c r="B43" s="450" t="s">
        <v>1609</v>
      </c>
      <c r="C43" s="479">
        <f ca="1">ROUND(IF('数据-取费表'!B22&lt;=1,C39*F22*'数据-取费表'!B20/2,C39*(POWER((1+F22),'数据-取费表'!B20/2)-1)),0)</f>
        <v>48888</v>
      </c>
      <c r="D43" s="479"/>
      <c r="E43" s="479"/>
      <c r="F43" s="480"/>
      <c r="G43" s="504"/>
    </row>
    <row r="44" ht="13.5" customHeight="1" spans="1:7">
      <c r="A44" s="477" t="s">
        <v>1500</v>
      </c>
      <c r="B44" s="450" t="s">
        <v>1611</v>
      </c>
      <c r="C44" s="479">
        <f ca="1">ROUND(IF('数据-取费表'!B22&lt;=1,C40*F22*'数据-取费表'!B20/2,C40*(POWER((1+F22),'数据-取费表'!B20/2)-1)),4)</f>
        <v>0.0006</v>
      </c>
      <c r="D44" s="479"/>
      <c r="E44" s="479"/>
      <c r="F44" s="480"/>
      <c r="G44" s="505"/>
    </row>
    <row r="45" s="426" customFormat="1" ht="13.5" customHeight="1" spans="1:7">
      <c r="A45" s="444" t="s">
        <v>1606</v>
      </c>
      <c r="B45" s="485" t="s">
        <v>1614</v>
      </c>
      <c r="C45" s="486">
        <f ca="1">C46</f>
        <v>7965693</v>
      </c>
      <c r="D45" s="472">
        <f ca="1">C47</f>
        <v>0.002</v>
      </c>
      <c r="E45" s="473" t="s">
        <v>1628</v>
      </c>
      <c r="F45" s="487">
        <f ca="1">F27</f>
        <v>0.1</v>
      </c>
      <c r="G45" s="488" t="s">
        <v>1631</v>
      </c>
    </row>
    <row r="46" s="426" customFormat="1" ht="13.5" customHeight="1" spans="1:7">
      <c r="A46" s="477" t="s">
        <v>1490</v>
      </c>
      <c r="B46" s="489" t="s">
        <v>1557</v>
      </c>
      <c r="C46" s="490">
        <f ca="1">ROUND((C33+C39)*F27,0)</f>
        <v>7965693</v>
      </c>
      <c r="D46" s="506"/>
      <c r="E46" s="473"/>
      <c r="F46" s="487"/>
      <c r="G46" s="488"/>
    </row>
    <row r="47" s="426" customFormat="1" ht="13.5" customHeight="1" spans="1:7">
      <c r="A47" s="477" t="s">
        <v>1492</v>
      </c>
      <c r="B47" s="489" t="s">
        <v>1558</v>
      </c>
      <c r="C47" s="479">
        <f ca="1">ROUND(C40*F27,4)</f>
        <v>0.002</v>
      </c>
      <c r="D47" s="506"/>
      <c r="E47" s="473"/>
      <c r="F47" s="487"/>
      <c r="G47" s="488"/>
    </row>
    <row r="48" s="426" customFormat="1" ht="13.5" customHeight="1" spans="1:7">
      <c r="A48" s="444" t="s">
        <v>1613</v>
      </c>
      <c r="B48" s="445" t="s">
        <v>1617</v>
      </c>
      <c r="C48" s="502">
        <f>ROUND(F30/(1+'数据-取费表'!C43),4)</f>
        <v>0.0006</v>
      </c>
      <c r="D48" s="473" t="s">
        <v>1628</v>
      </c>
      <c r="E48" s="469"/>
      <c r="F48" s="3087">
        <f>F30</f>
        <v>0.00056</v>
      </c>
      <c r="G48" s="474" t="s">
        <v>1632</v>
      </c>
    </row>
    <row r="49" ht="16.5" customHeight="1" spans="1:7">
      <c r="A49" s="444" t="s">
        <v>1616</v>
      </c>
      <c r="B49" s="445" t="s">
        <v>1633</v>
      </c>
      <c r="C49" s="469">
        <f ca="1">ROUND((C33+C39+C41+C45)/(1-C40-D41-D45-C48),0)</f>
        <v>92256227</v>
      </c>
      <c r="D49" s="469"/>
      <c r="E49" s="469"/>
      <c r="F49" s="507"/>
      <c r="G49" s="474" t="s">
        <v>1634</v>
      </c>
    </row>
    <row r="50" s="428" customFormat="1" spans="1:7">
      <c r="A50" s="444" t="s">
        <v>1635</v>
      </c>
      <c r="B50" s="445" t="s">
        <v>1636</v>
      </c>
      <c r="C50" s="469"/>
      <c r="D50" s="469"/>
      <c r="E50" s="469"/>
      <c r="F50" s="507">
        <f>IF('数据-取费表'!B24=0,'数据-取费表'!N16,1)</f>
        <v>0.74</v>
      </c>
      <c r="G50" s="488"/>
    </row>
    <row r="51" ht="16.5" customHeight="1" spans="1:7">
      <c r="A51" s="444" t="s">
        <v>1637</v>
      </c>
      <c r="B51" s="445" t="s">
        <v>1638</v>
      </c>
      <c r="C51" s="469">
        <f ca="1">ROUND(C49*F50,0)</f>
        <v>68269608</v>
      </c>
      <c r="D51" s="469"/>
      <c r="E51" s="469"/>
      <c r="F51" s="507"/>
      <c r="G51" s="474" t="s">
        <v>1639</v>
      </c>
    </row>
    <row r="52" s="425" customFormat="1" ht="16.5" spans="1:7">
      <c r="A52" s="508" t="s">
        <v>1640</v>
      </c>
      <c r="B52" s="509"/>
      <c r="C52" s="510">
        <f ca="1">C31+C51</f>
        <v>105507617</v>
      </c>
      <c r="D52" s="509"/>
      <c r="E52" s="509"/>
      <c r="F52" s="509"/>
      <c r="G52" s="511"/>
    </row>
    <row r="55" ht="15" spans="1:7">
      <c r="B55" s="512" t="s">
        <v>1570</v>
      </c>
      <c r="C55" s="513"/>
    </row>
    <row r="56" spans="1:7">
      <c r="B56" s="514" t="s">
        <v>1477</v>
      </c>
      <c r="C56" s="516">
        <f ca="1">1-C57</f>
        <v>0.353</v>
      </c>
    </row>
    <row r="57" spans="1:7">
      <c r="B57" s="514" t="s">
        <v>1478</v>
      </c>
      <c r="C57" s="515">
        <f ca="1">ROUND(C51/C52,3)</f>
        <v>0.647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28" customWidth="1"/>
    <col min="2" max="2" width="20.625" style="2565" customWidth="1"/>
    <col min="3" max="3" width="12.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2847" customWidth="1"/>
    <col min="18" max="18" width="20.5" style="902" customWidth="1"/>
    <col min="19" max="19" width="13.25" style="902" customWidth="1"/>
    <col min="20" max="37" width="9" style="902"/>
    <col min="38" max="16384" width="9" style="428"/>
  </cols>
  <sheetData>
    <row r="1" s="2563" customFormat="1" ht="20.25" spans="1:37">
      <c r="A1" s="2567" t="s">
        <v>1244</v>
      </c>
      <c r="B1" s="1399"/>
      <c r="C1" s="2848"/>
      <c r="D1" s="2569"/>
      <c r="E1" s="2570" t="s">
        <v>1245</v>
      </c>
      <c r="F1" s="2571">
        <f ca="1">J62</f>
        <v>0</v>
      </c>
      <c r="G1" s="2572">
        <f>MATCH(C1,'数据-取费表'!A6:A16,0)+5</f>
        <v>7</v>
      </c>
      <c r="H1" s="2573"/>
      <c r="I1" s="2574"/>
      <c r="J1" s="2574"/>
      <c r="K1" s="2575"/>
      <c r="L1" s="2574"/>
      <c r="M1" s="2574"/>
      <c r="N1" s="2576"/>
      <c r="O1" s="2576"/>
      <c r="P1" s="2576"/>
      <c r="Q1" s="2849"/>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1246</v>
      </c>
      <c r="B2" s="2850" t="e">
        <f ca="1">ROUND(D3/10000,4)</f>
        <v>#DIV/0!</v>
      </c>
      <c r="C2" s="2578" t="s">
        <v>1247</v>
      </c>
      <c r="D2" s="2851"/>
      <c r="E2" s="2580"/>
      <c r="F2" s="2581"/>
      <c r="G2" s="2582"/>
      <c r="H2" s="2583"/>
      <c r="I2" s="2583"/>
      <c r="J2" s="2583"/>
      <c r="K2" s="2584"/>
      <c r="L2" s="2583"/>
      <c r="M2" s="2583"/>
    </row>
    <row r="3" ht="18" customHeight="1" spans="1:37">
      <c r="A3" s="2585" t="s">
        <v>1248</v>
      </c>
      <c r="B3" s="2586">
        <f ca="1">IF(ISERROR(D3/F32),0,ROUND(D3/F32,0))</f>
        <v>0</v>
      </c>
      <c r="C3" s="2578" t="s">
        <v>1249</v>
      </c>
      <c r="D3" s="2578" t="e">
        <f ca="1">IF(D2="含税",ROUND((C28+J31+L55)*(1+F31),0),C28+J31+L55)</f>
        <v>#DIV/0!</v>
      </c>
      <c r="E3" s="2580"/>
      <c r="F3" s="2581"/>
      <c r="G3" s="2582"/>
      <c r="H3" s="2587" t="s">
        <v>1250</v>
      </c>
      <c r="I3" s="2588"/>
      <c r="J3" s="2588"/>
      <c r="K3" s="2589"/>
      <c r="L3" s="2588"/>
      <c r="M3" s="2588"/>
    </row>
    <row r="4" s="2844" customFormat="1" ht="18" customHeight="1" spans="1:37">
      <c r="A4" s="2852" t="s">
        <v>1251</v>
      </c>
      <c r="B4" s="2853" t="s">
        <v>1252</v>
      </c>
      <c r="C4" s="2854" t="s">
        <v>1641</v>
      </c>
      <c r="D4" s="2853" t="s">
        <v>1254</v>
      </c>
      <c r="E4" s="2855" t="s">
        <v>1255</v>
      </c>
      <c r="F4" s="2856"/>
      <c r="G4" s="2857"/>
      <c r="H4" s="2852" t="s">
        <v>1251</v>
      </c>
      <c r="I4" s="2853" t="s">
        <v>1252</v>
      </c>
      <c r="J4" s="2854" t="s">
        <v>1641</v>
      </c>
      <c r="K4" s="2853" t="s">
        <v>1254</v>
      </c>
      <c r="L4" s="2858" t="s">
        <v>1255</v>
      </c>
      <c r="M4" s="2859"/>
      <c r="N4" s="2857"/>
      <c r="O4" s="2857"/>
      <c r="P4" s="2857"/>
      <c r="Q4" s="2857"/>
      <c r="R4" s="2857"/>
      <c r="S4" s="2857"/>
      <c r="T4" s="2857"/>
      <c r="U4" s="2857"/>
      <c r="V4" s="2857"/>
      <c r="W4" s="2857"/>
      <c r="X4" s="2857"/>
      <c r="Y4" s="2857"/>
      <c r="Z4" s="2857"/>
      <c r="AA4" s="2857"/>
      <c r="AB4" s="2857"/>
      <c r="AC4" s="2857"/>
      <c r="AD4" s="2857"/>
      <c r="AE4" s="2857"/>
      <c r="AF4" s="2857"/>
      <c r="AG4" s="2857"/>
      <c r="AH4" s="2857"/>
      <c r="AI4" s="2857"/>
      <c r="AJ4" s="2857"/>
      <c r="AK4" s="2857"/>
    </row>
    <row r="5" s="427" customFormat="1" ht="18" customHeight="1" spans="1:37">
      <c r="A5" s="2594">
        <v>1</v>
      </c>
      <c r="B5" s="2860" t="s">
        <v>1256</v>
      </c>
      <c r="C5" s="2861">
        <f ca="1">C6+C10+C12</f>
        <v>0</v>
      </c>
      <c r="D5" s="2862" t="s">
        <v>1257</v>
      </c>
      <c r="E5" s="2863"/>
      <c r="F5" s="2864"/>
      <c r="G5" s="2846"/>
      <c r="H5" s="2594">
        <v>1</v>
      </c>
      <c r="I5" s="2595" t="s">
        <v>1392</v>
      </c>
      <c r="J5" s="2861">
        <f ca="1">J6+J10+J12</f>
        <v>0</v>
      </c>
      <c r="K5" s="2862" t="s">
        <v>1257</v>
      </c>
      <c r="L5" s="2865"/>
      <c r="M5" s="2864"/>
      <c r="N5" s="2846"/>
      <c r="O5" s="2846"/>
      <c r="P5" s="2846"/>
      <c r="Q5" s="286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1258</v>
      </c>
      <c r="C6" s="2868">
        <f ca="1">C7-C9</f>
        <v>0</v>
      </c>
      <c r="D6" s="1298" t="s">
        <v>1259</v>
      </c>
      <c r="E6" s="2869" t="s">
        <v>1642</v>
      </c>
      <c r="F6" s="2870">
        <f ca="1">INDIRECT("'数据-取费表'!u"&amp;$G$1)</f>
        <v>0</v>
      </c>
      <c r="G6" s="902"/>
      <c r="H6" s="2600" t="s">
        <v>1014</v>
      </c>
      <c r="I6" s="2867" t="s">
        <v>1258</v>
      </c>
      <c r="J6" s="1306">
        <f ca="1">J7-J9</f>
        <v>0</v>
      </c>
      <c r="K6" s="1298" t="s">
        <v>1259</v>
      </c>
      <c r="L6" s="2869" t="s">
        <v>1642</v>
      </c>
      <c r="M6" s="2871">
        <f ca="1">INDIRECT("'数据-取费表'!z"&amp;$G$1)</f>
        <v>0</v>
      </c>
    </row>
    <row r="7" ht="18" customHeight="1" spans="1:37">
      <c r="A7" s="2872" t="s">
        <v>1043</v>
      </c>
      <c r="B7" s="2873" t="s">
        <v>1261</v>
      </c>
      <c r="C7" s="2874">
        <f ca="1">ROUND(F6*F7*F8,0)</f>
        <v>0</v>
      </c>
      <c r="D7" s="2875" t="s">
        <v>1262</v>
      </c>
      <c r="E7" s="2611" t="s">
        <v>1263</v>
      </c>
      <c r="F7" s="2876">
        <f ca="1">IF(INDIRECT("'数据-取费表'!ah"&amp;$G$1)="",INDIRECT("'数据-取费表'!k"&amp;$G$1),INDIRECT("'数据-取费表'!ah"&amp;$G$1))</f>
        <v>0</v>
      </c>
      <c r="G7" s="902"/>
      <c r="H7" s="2872" t="s">
        <v>1043</v>
      </c>
      <c r="I7" s="2873" t="s">
        <v>1261</v>
      </c>
      <c r="J7" s="2861">
        <f ca="1">ROUND(M6*M8*M7,0)</f>
        <v>0</v>
      </c>
      <c r="K7" s="2875" t="s">
        <v>1262</v>
      </c>
      <c r="L7" s="1320" t="s">
        <v>1263</v>
      </c>
      <c r="M7" s="2877">
        <f ca="1">F7</f>
        <v>0</v>
      </c>
    </row>
    <row r="8" ht="18" customHeight="1" spans="1:37">
      <c r="A8" s="2878"/>
      <c r="B8" s="2879"/>
      <c r="C8" s="2874"/>
      <c r="D8" s="2875"/>
      <c r="E8" s="1320" t="str">
        <f ca="1">IF(F8=1,"年",IF(F8=12,"月","天"))</f>
        <v>天</v>
      </c>
      <c r="F8" s="2880">
        <f ca="1">INDIRECT("'数据-取费表'!ai"&amp;$G$1)</f>
        <v>0</v>
      </c>
      <c r="G8" s="902"/>
      <c r="H8" s="2878"/>
      <c r="I8" s="2879"/>
      <c r="J8" s="2861"/>
      <c r="K8" s="2875"/>
      <c r="L8" s="1320" t="str">
        <f ca="1">IF(M8=1,"年",IF(M8=12,"月","天"))</f>
        <v>天</v>
      </c>
      <c r="M8" s="2881">
        <f ca="1">INDIRECT("'数据-取费表'!ai"&amp;$G$1)</f>
        <v>0</v>
      </c>
    </row>
    <row r="9" ht="18" customHeight="1" spans="1:37">
      <c r="A9" s="1334" t="s">
        <v>1047</v>
      </c>
      <c r="B9" s="2879" t="s">
        <v>1264</v>
      </c>
      <c r="C9" s="2861">
        <f ca="1">ROUND(C7*F9,0)</f>
        <v>0</v>
      </c>
      <c r="D9" s="1298" t="s">
        <v>1265</v>
      </c>
      <c r="E9" s="1320" t="s">
        <v>1266</v>
      </c>
      <c r="F9" s="2882">
        <f ca="1">INDIRECT("'数据-取费表'!w"&amp;$G$1)</f>
        <v>0</v>
      </c>
      <c r="G9" s="902"/>
      <c r="H9" s="1334" t="s">
        <v>1047</v>
      </c>
      <c r="I9" s="2879" t="s">
        <v>1264</v>
      </c>
      <c r="J9" s="2874">
        <f ca="1">ROUND(J7*M9,0)</f>
        <v>0</v>
      </c>
      <c r="K9" s="1298" t="s">
        <v>1265</v>
      </c>
      <c r="L9" s="2616" t="s">
        <v>1266</v>
      </c>
      <c r="M9" s="2883">
        <f ca="1">INDIRECT("'数据-取费表'!ab"&amp;$G$1)</f>
        <v>0</v>
      </c>
    </row>
    <row r="10" ht="18" customHeight="1" spans="1:37">
      <c r="A10" s="2600" t="s">
        <v>1019</v>
      </c>
      <c r="B10" s="2618" t="s">
        <v>1267</v>
      </c>
      <c r="C10" s="2874">
        <f ca="1">ROUND(IF(F10="押一",C6/12*F11,IF(F10="押二",C6/12*2*F11,IF(F10="押三",C6/12*3*F11,C11*F11))),0)</f>
        <v>0</v>
      </c>
      <c r="D10" s="2620" t="s">
        <v>1268</v>
      </c>
      <c r="E10" s="2616" t="s">
        <v>1269</v>
      </c>
      <c r="F10" s="2621"/>
      <c r="G10" s="902"/>
      <c r="H10" s="2600" t="s">
        <v>1019</v>
      </c>
      <c r="I10" s="2618" t="s">
        <v>1267</v>
      </c>
      <c r="J10" s="2884">
        <f ca="1">ROUND(IF(M10="押一",J6/12*M11,IF(M10="押二",J6/12*2*M11,IF(M10="押三",J6/12*3*M11,J11*M11))),0)</f>
        <v>0</v>
      </c>
      <c r="K10" s="2620" t="s">
        <v>1268</v>
      </c>
      <c r="L10" s="2616" t="s">
        <v>1269</v>
      </c>
      <c r="M10" s="2885"/>
    </row>
    <row r="11" ht="18" customHeight="1" spans="1:37">
      <c r="A11" s="2623"/>
      <c r="B11" s="2624" t="str">
        <f>IF(OR(F10="自定义",F10=" "),"（自定义押金）单位：元","")</f>
        <v/>
      </c>
      <c r="C11" s="2886"/>
      <c r="D11" s="2887"/>
      <c r="E11" s="2616" t="s">
        <v>1271</v>
      </c>
      <c r="F11" s="2888">
        <f ca="1">'数据-取费表'!B40</f>
        <v>0.015</v>
      </c>
      <c r="G11" s="902"/>
      <c r="H11" s="2626"/>
      <c r="I11" s="2889" t="str">
        <f>IF(OR(M10="自定义",M10=" "),"（自定义押金）单位：元","")</f>
        <v/>
      </c>
      <c r="J11" s="2890"/>
      <c r="K11" s="2627"/>
      <c r="L11" s="2616" t="s">
        <v>1271</v>
      </c>
      <c r="M11" s="2883">
        <f ca="1">'数据-取费表'!B40</f>
        <v>0.015</v>
      </c>
    </row>
    <row r="12" ht="18" customHeight="1" spans="1:37">
      <c r="A12" s="2629" t="s">
        <v>1070</v>
      </c>
      <c r="B12" s="2630" t="s">
        <v>1272</v>
      </c>
      <c r="C12" s="2891"/>
      <c r="D12" s="2632"/>
      <c r="E12" s="2633"/>
      <c r="F12" s="2634"/>
      <c r="G12" s="902"/>
      <c r="H12" s="2629" t="s">
        <v>1070</v>
      </c>
      <c r="I12" s="2630" t="s">
        <v>1272</v>
      </c>
      <c r="J12" s="2891"/>
      <c r="K12" s="2635"/>
      <c r="L12" s="2633"/>
      <c r="M12" s="2892"/>
    </row>
    <row r="13" s="427" customFormat="1" ht="18" customHeight="1" spans="1:37">
      <c r="A13" s="2637" t="s">
        <v>1273</v>
      </c>
      <c r="B13" s="2638" t="s">
        <v>1274</v>
      </c>
      <c r="C13" s="2893">
        <f ca="1">ROUND(C14+C22+C24+C26,0)</f>
        <v>0</v>
      </c>
      <c r="D13" s="2894" t="s">
        <v>1275</v>
      </c>
      <c r="E13" s="2895"/>
      <c r="F13" s="2864"/>
      <c r="G13" s="2846"/>
      <c r="H13" s="2637" t="s">
        <v>1273</v>
      </c>
      <c r="I13" s="2638" t="s">
        <v>1274</v>
      </c>
      <c r="J13" s="2893">
        <f ca="1">ROUND(J14+J22+J24+J26,0)</f>
        <v>0</v>
      </c>
      <c r="K13" s="2896" t="s">
        <v>1276</v>
      </c>
      <c r="L13" s="2897"/>
      <c r="M13" s="2898"/>
      <c r="N13" s="2846"/>
      <c r="O13" s="2846"/>
      <c r="P13" s="2846"/>
      <c r="Q13" s="286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1277</v>
      </c>
      <c r="C14" s="1306">
        <f ca="1">ROUND(IF(AND(项目基本情况!B11="自然人",项目基本情况!B10="北京市",M56="住宅"),C6*F14,C15+C19+C20),2)</f>
        <v>0</v>
      </c>
      <c r="D14" s="2647" t="s">
        <v>1278</v>
      </c>
      <c r="E14" s="2647" t="str">
        <f>IF(M56="非住宅","","综合税率")</f>
        <v/>
      </c>
      <c r="F14" s="2899" t="str">
        <f ca="1">IF(M56="非住宅","",IF(F6*F7*F8/12/(1+'数据-取费表'!F30)&gt;100000,4%,2.5%))</f>
        <v/>
      </c>
      <c r="G14" s="902"/>
      <c r="H14" s="750" t="s">
        <v>1014</v>
      </c>
      <c r="I14" s="2869" t="s">
        <v>1277</v>
      </c>
      <c r="J14" s="1306">
        <f ca="1">ROUND(IF(AND(项目基本情况!B11="自然人",项目基本情况!B10="北京市",M56="住宅"),J6*M14/(1+'数据-取费表'!C43),J15+J19+J20),0)</f>
        <v>0</v>
      </c>
      <c r="K14" s="2900" t="s">
        <v>1279</v>
      </c>
      <c r="L14" s="2647" t="str">
        <f>E14</f>
        <v/>
      </c>
      <c r="M14" s="2899" t="str">
        <f ca="1">IF(M56="非住宅","",IF(M6*M7*M8/12/(1+'数据-取费表'!F30)&gt;100000,4%,2.5%))</f>
        <v/>
      </c>
    </row>
    <row r="15" s="2564" customFormat="1" ht="18" customHeight="1" spans="1:37">
      <c r="A15" s="1334" t="s">
        <v>1043</v>
      </c>
      <c r="B15" s="2869" t="s">
        <v>1280</v>
      </c>
      <c r="C15" s="1306">
        <f ca="1">C18</f>
        <v>0</v>
      </c>
      <c r="D15" s="1123" t="s">
        <v>1281</v>
      </c>
      <c r="E15" s="2901"/>
      <c r="F15" s="2902"/>
      <c r="G15" s="2653"/>
      <c r="H15" s="1334" t="s">
        <v>1043</v>
      </c>
      <c r="I15" s="2869" t="s">
        <v>1280</v>
      </c>
      <c r="J15" s="1306">
        <f ca="1">J18</f>
        <v>0</v>
      </c>
      <c r="K15" s="1298" t="s">
        <v>1281</v>
      </c>
      <c r="L15" s="2901"/>
      <c r="M15" s="2902"/>
      <c r="N15" s="2653"/>
      <c r="O15" s="2653"/>
      <c r="P15" s="2653"/>
      <c r="Q15" s="290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1282</v>
      </c>
      <c r="B16" s="2904" t="s">
        <v>975</v>
      </c>
      <c r="C16" s="822">
        <f ca="1">ROUND(C6*F16,0)</f>
        <v>0</v>
      </c>
      <c r="D16" s="652" t="s">
        <v>1283</v>
      </c>
      <c r="E16" s="2905" t="s">
        <v>1127</v>
      </c>
      <c r="F16" s="2906">
        <v>0.09</v>
      </c>
      <c r="G16" s="902"/>
      <c r="H16" s="681" t="s">
        <v>1282</v>
      </c>
      <c r="I16" s="2904" t="s">
        <v>975</v>
      </c>
      <c r="J16" s="822">
        <f ca="1">ROUND(J6*M16,0)</f>
        <v>0</v>
      </c>
      <c r="K16" s="2907" t="s">
        <v>1643</v>
      </c>
      <c r="L16" s="2905" t="s">
        <v>1127</v>
      </c>
      <c r="M16" s="2908">
        <v>0.09</v>
      </c>
    </row>
    <row r="17" s="2564" customFormat="1" ht="18" customHeight="1" spans="1:37">
      <c r="A17" s="681" t="s">
        <v>1285</v>
      </c>
      <c r="B17" s="2904" t="s">
        <v>980</v>
      </c>
      <c r="C17" s="2909">
        <f ca="1">ROUND(C22*F16+((C24+C26)*F17),0)</f>
        <v>0</v>
      </c>
      <c r="D17" s="2907" t="s">
        <v>1286</v>
      </c>
      <c r="E17" s="2910"/>
      <c r="F17" s="2906">
        <v>0.06</v>
      </c>
      <c r="G17" s="2653"/>
      <c r="H17" s="681" t="s">
        <v>1285</v>
      </c>
      <c r="I17" s="2904" t="s">
        <v>980</v>
      </c>
      <c r="J17" s="2909">
        <f ca="1">ROUND(J22*M16+((J24+J26)*M17),0)</f>
        <v>0</v>
      </c>
      <c r="K17" s="2911" t="s">
        <v>1286</v>
      </c>
      <c r="L17" s="2910"/>
      <c r="M17" s="2908">
        <v>0.06</v>
      </c>
      <c r="N17" s="2653"/>
      <c r="O17" s="2653"/>
      <c r="P17" s="2653"/>
      <c r="Q17" s="290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1287</v>
      </c>
      <c r="B18" s="2904" t="s">
        <v>1291</v>
      </c>
      <c r="C18" s="2909">
        <f ca="1">ROUND((C16-C17)*F18,0)</f>
        <v>0</v>
      </c>
      <c r="D18" s="2900" t="s">
        <v>1289</v>
      </c>
      <c r="E18" s="1320" t="s">
        <v>1290</v>
      </c>
      <c r="F18" s="2906">
        <f>'数据-取费表'!B44</f>
        <v>0.12</v>
      </c>
      <c r="G18" s="2653"/>
      <c r="H18" s="681" t="s">
        <v>1287</v>
      </c>
      <c r="I18" s="2904" t="s">
        <v>1291</v>
      </c>
      <c r="J18" s="2909">
        <f ca="1">ROUND((J16-J17)*M18,0)</f>
        <v>0</v>
      </c>
      <c r="K18" s="2900" t="s">
        <v>1289</v>
      </c>
      <c r="L18" s="1320" t="s">
        <v>1290</v>
      </c>
      <c r="M18" s="2908">
        <f>'数据-取费表'!B44</f>
        <v>0.12</v>
      </c>
      <c r="N18" s="2653"/>
      <c r="O18" s="2653"/>
      <c r="P18" s="2653"/>
      <c r="Q18" s="290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1292</v>
      </c>
      <c r="C19" s="1306">
        <f ca="1">IF(AND(项目基本情况!B11="自然人",M56="住宅"),"——",IF(D19="按不含税租金收入（有效毛租金收入）计税",ROUND(C6*F19,0),IF(D19="按房产原值计税",ROUND(C51*F19*0.7,0),INDIRECT("'数据-取费表'!Aj"&amp;$G$1))))</f>
        <v>0</v>
      </c>
      <c r="D19" s="2912"/>
      <c r="E19" s="1320" t="s">
        <v>1294</v>
      </c>
      <c r="F19" s="2906">
        <f>IF(D19="按票据","——",IF(D19="按不含税租金收入（有效毛租金收入）计税",'数据-取费表'!B52,'数据-取费表'!B51))</f>
        <v>0.012</v>
      </c>
      <c r="G19" s="2653"/>
      <c r="H19" s="1334" t="s">
        <v>1047</v>
      </c>
      <c r="I19" s="2869" t="s">
        <v>1292</v>
      </c>
      <c r="J19" s="1306">
        <f ca="1">IF(K19="按不含税租金收入（有效毛租金收入）计税",ROUND(J6*M19,0),ROUND(C51*M19*0.7,0))</f>
        <v>0</v>
      </c>
      <c r="K19" s="2666"/>
      <c r="L19" s="1320" t="s">
        <v>1294</v>
      </c>
      <c r="M19" s="2908">
        <f>IF(K19="按不含税租金收入（有效毛租金收入）计税",'数据-取费表'!B52,'数据-取费表'!B51)</f>
        <v>0.012</v>
      </c>
      <c r="N19" s="2653"/>
      <c r="O19" s="2653"/>
      <c r="P19" s="2653"/>
      <c r="Q19" s="290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913" t="s">
        <v>1295</v>
      </c>
      <c r="C20" s="2914">
        <f ca="1">IF(AND(项目基本情况!B11="自然人",M56="住宅"),"——",ROUND(F20*F21,0))</f>
        <v>0</v>
      </c>
      <c r="D20" s="2669" t="s">
        <v>1296</v>
      </c>
      <c r="E20" s="1320" t="s">
        <v>1297</v>
      </c>
      <c r="F20" s="2870">
        <f>'数据-取费表'!B53</f>
        <v>3</v>
      </c>
      <c r="G20" s="902"/>
      <c r="H20" s="2872" t="s">
        <v>1050</v>
      </c>
      <c r="I20" s="2913" t="s">
        <v>1295</v>
      </c>
      <c r="J20" s="2914">
        <f ca="1">ROUND(M20*M21,0)</f>
        <v>0</v>
      </c>
      <c r="K20" s="2669" t="s">
        <v>1296</v>
      </c>
      <c r="L20" s="1320" t="s">
        <v>1297</v>
      </c>
      <c r="M20" s="2871">
        <f>'数据-取费表'!B53</f>
        <v>3</v>
      </c>
    </row>
    <row r="21" s="2564" customFormat="1" ht="18" customHeight="1" spans="1:37">
      <c r="A21" s="2671"/>
      <c r="B21" s="2706"/>
      <c r="C21" s="2915"/>
      <c r="D21" s="2674"/>
      <c r="E21" s="1320" t="s">
        <v>1298</v>
      </c>
      <c r="F21" s="2916">
        <f ca="1">INDIRECT("'数据-取费表'!r"&amp;$G$1)</f>
        <v>0</v>
      </c>
      <c r="G21" s="2653"/>
      <c r="H21" s="2671"/>
      <c r="I21" s="2672"/>
      <c r="J21" s="2915"/>
      <c r="K21" s="2674"/>
      <c r="L21" s="1320" t="s">
        <v>1298</v>
      </c>
      <c r="M21" s="2917">
        <f ca="1">INDIRECT("'数据-取费表'!r"&amp;$G$1)</f>
        <v>0</v>
      </c>
      <c r="N21" s="2653"/>
      <c r="O21" s="2653"/>
      <c r="P21" s="2653"/>
      <c r="Q21" s="290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1299</v>
      </c>
      <c r="C22" s="2919">
        <f ca="1">ROUND(C51*F22,0)</f>
        <v>0</v>
      </c>
      <c r="D22" s="2920" t="s">
        <v>1300</v>
      </c>
      <c r="E22" s="1320" t="s">
        <v>1294</v>
      </c>
      <c r="F22" s="2882">
        <f ca="1">INDIRECT("'数据-取费表'!Ak"&amp;$G$1)</f>
        <v>0</v>
      </c>
      <c r="G22" s="2653"/>
      <c r="H22" s="2918" t="s">
        <v>1019</v>
      </c>
      <c r="I22" s="2603" t="s">
        <v>1299</v>
      </c>
      <c r="J22" s="2919">
        <f ca="1">ROUND(J35*M22,0)</f>
        <v>0</v>
      </c>
      <c r="K22" s="2920" t="s">
        <v>1300</v>
      </c>
      <c r="L22" s="1320" t="s">
        <v>1294</v>
      </c>
      <c r="M22" s="2921">
        <f ca="1">INDIRECT("'数据-取费表'!Ak"&amp;$G$1)</f>
        <v>0</v>
      </c>
      <c r="N22" s="2653"/>
      <c r="O22" s="2653"/>
      <c r="P22" s="2653"/>
      <c r="Q22" s="290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2922"/>
      <c r="D23" s="2923"/>
      <c r="E23" s="2869" t="s">
        <v>1301</v>
      </c>
      <c r="F23" s="2880">
        <f ca="1">C51</f>
        <v>0</v>
      </c>
      <c r="G23" s="2653"/>
      <c r="H23" s="2671"/>
      <c r="I23" s="2672"/>
      <c r="J23" s="2922"/>
      <c r="K23" s="2923"/>
      <c r="L23" s="2869" t="s">
        <v>1301</v>
      </c>
      <c r="M23" s="2881">
        <f ca="1">J35</f>
        <v>0</v>
      </c>
      <c r="N23" s="2653"/>
      <c r="O23" s="2653"/>
      <c r="P23" s="2653"/>
      <c r="Q23" s="290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1302</v>
      </c>
      <c r="C24" s="2919">
        <f ca="1">ROUND(C53*F24,0)</f>
        <v>0</v>
      </c>
      <c r="D24" s="2920" t="s">
        <v>1303</v>
      </c>
      <c r="E24" s="1320" t="s">
        <v>1294</v>
      </c>
      <c r="F24" s="2882">
        <f ca="1">INDIRECT("'数据-取费表'!Al"&amp;$G$1)</f>
        <v>0</v>
      </c>
      <c r="G24" s="902"/>
      <c r="H24" s="2918" t="s">
        <v>1070</v>
      </c>
      <c r="I24" s="2603" t="s">
        <v>1302</v>
      </c>
      <c r="J24" s="2919">
        <f ca="1">ROUND(J37*M24,0)</f>
        <v>0</v>
      </c>
      <c r="K24" s="2920" t="s">
        <v>1644</v>
      </c>
      <c r="L24" s="1320" t="s">
        <v>1294</v>
      </c>
      <c r="M24" s="2921">
        <f ca="1">INDIRECT("'数据-取费表'!Al"&amp;$G$1)</f>
        <v>0</v>
      </c>
    </row>
    <row r="25" ht="18" customHeight="1" spans="1:37">
      <c r="A25" s="2671"/>
      <c r="B25" s="2672"/>
      <c r="C25" s="2922"/>
      <c r="D25" s="2923"/>
      <c r="E25" s="2913" t="s">
        <v>1305</v>
      </c>
      <c r="F25" s="2880">
        <f ca="1">C53</f>
        <v>0</v>
      </c>
      <c r="G25" s="902"/>
      <c r="H25" s="2671"/>
      <c r="I25" s="2672"/>
      <c r="J25" s="2922"/>
      <c r="K25" s="2923"/>
      <c r="L25" s="2913" t="s">
        <v>1305</v>
      </c>
      <c r="M25" s="2881">
        <f ca="1">J37</f>
        <v>0</v>
      </c>
    </row>
    <row r="26" s="2564" customFormat="1" ht="18" customHeight="1" spans="1:37">
      <c r="A26" s="2654" t="s">
        <v>1075</v>
      </c>
      <c r="B26" s="2633" t="s">
        <v>1306</v>
      </c>
      <c r="C26" s="2924">
        <f ca="1">ROUND(C5*F26,0)</f>
        <v>0</v>
      </c>
      <c r="D26" s="2679" t="s">
        <v>1307</v>
      </c>
      <c r="E26" s="2633" t="s">
        <v>1294</v>
      </c>
      <c r="F26" s="2925">
        <f ca="1">INDIRECT("'数据-取费表'!Am"&amp;$G$1)</f>
        <v>0</v>
      </c>
      <c r="G26" s="2653"/>
      <c r="H26" s="2654" t="s">
        <v>1075</v>
      </c>
      <c r="I26" s="2633" t="s">
        <v>1306</v>
      </c>
      <c r="J26" s="2924">
        <f ca="1">ROUND(J5*M26,0)</f>
        <v>0</v>
      </c>
      <c r="K26" s="2679" t="s">
        <v>1307</v>
      </c>
      <c r="L26" s="2633" t="s">
        <v>1294</v>
      </c>
      <c r="M26" s="2892">
        <f ca="1">INDIRECT("'数据-取费表'!Am"&amp;$G$1)</f>
        <v>0</v>
      </c>
      <c r="N26" s="2653"/>
      <c r="O26" s="2653"/>
      <c r="P26" s="2653"/>
      <c r="Q26" s="290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1308</v>
      </c>
      <c r="B27" s="2680" t="s">
        <v>1309</v>
      </c>
      <c r="C27" s="2893">
        <f ca="1">C5-C13</f>
        <v>0</v>
      </c>
      <c r="D27" s="2896" t="s">
        <v>1310</v>
      </c>
      <c r="E27" s="2926"/>
      <c r="F27" s="2927"/>
      <c r="G27" s="2928"/>
      <c r="H27" s="2637" t="s">
        <v>1308</v>
      </c>
      <c r="I27" s="2680" t="s">
        <v>1309</v>
      </c>
      <c r="J27" s="2893">
        <f ca="1">J5-J13</f>
        <v>0</v>
      </c>
      <c r="K27" s="2896" t="s">
        <v>1310</v>
      </c>
      <c r="L27" s="2929"/>
      <c r="M27" s="2930"/>
      <c r="N27" s="2928"/>
      <c r="O27" s="2928"/>
      <c r="P27" s="2928"/>
      <c r="Q27" s="2931"/>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1311</v>
      </c>
      <c r="B28" s="2595" t="s">
        <v>1312</v>
      </c>
      <c r="C28" s="2884" t="e">
        <f ca="1">ROUND(C27*(1-((1+F30)/(1+F28))^F29)/(F28-F30),0)</f>
        <v>#DIV/0!</v>
      </c>
      <c r="D28" s="2932" t="s">
        <v>1645</v>
      </c>
      <c r="E28" s="2933" t="s">
        <v>1314</v>
      </c>
      <c r="F28" s="2882">
        <f ca="1">INDIRECT("'数据-取费表'!I"&amp;$G$1)</f>
        <v>0</v>
      </c>
      <c r="G28" s="2846"/>
      <c r="H28" s="2594" t="s">
        <v>1311</v>
      </c>
      <c r="I28" s="2860" t="s">
        <v>1646</v>
      </c>
      <c r="J28" s="2934">
        <f ca="1">IF(J5&lt;&gt;0,ROUND(J27*(1-((1+M30)/(1+M28))^M29)/(M28-M30),0),0)</f>
        <v>0</v>
      </c>
      <c r="K28" s="2932" t="s">
        <v>1645</v>
      </c>
      <c r="L28" s="2935" t="s">
        <v>1314</v>
      </c>
      <c r="M28" s="2883">
        <f ca="1">INDIRECT("'数据-取费表'!I"&amp;$G$1)</f>
        <v>0</v>
      </c>
      <c r="N28" s="2846"/>
      <c r="O28" s="2846"/>
      <c r="P28" s="2846"/>
      <c r="Q28" s="286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18.75" customHeight="1" spans="1:37">
      <c r="A29" s="2612"/>
      <c r="B29" s="2684"/>
      <c r="C29" s="2936"/>
      <c r="D29" s="2937"/>
      <c r="E29" s="2933" t="s">
        <v>1317</v>
      </c>
      <c r="F29" s="2938">
        <f ca="1">IF(INDIRECT("'数据-取费表'!af"&amp;$G$1)=0,INDIRECT("'数据-取费表'!ae"&amp;$G$1),INDIRECT("'数据-取费表'!af"&amp;$G$1))</f>
        <v>0</v>
      </c>
      <c r="G29" s="2846"/>
      <c r="H29" s="2612"/>
      <c r="I29" s="2684"/>
      <c r="J29" s="2936"/>
      <c r="K29" s="2937"/>
      <c r="L29" s="2933" t="s">
        <v>1317</v>
      </c>
      <c r="M29" s="2939">
        <f ca="1">INDIRECT("'数据-取费表'!ag"&amp;$G$1)</f>
        <v>0</v>
      </c>
      <c r="N29" s="2846"/>
      <c r="O29" s="2846"/>
      <c r="P29" s="2846"/>
      <c r="Q29" s="286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1318</v>
      </c>
      <c r="F30" s="2882">
        <f ca="1">INDIRECT("'数据-取费表'!v"&amp;$G$1)</f>
        <v>0</v>
      </c>
      <c r="G30" s="2846"/>
      <c r="H30" s="2623"/>
      <c r="I30" s="2687"/>
      <c r="J30" s="2940"/>
      <c r="K30" s="2680"/>
      <c r="L30" s="2933" t="s">
        <v>1318</v>
      </c>
      <c r="M30" s="2921">
        <f ca="1">INDIRECT("'数据-取费表'!aa"&amp;$G$1)</f>
        <v>0</v>
      </c>
      <c r="N30" s="2846"/>
      <c r="O30" s="2846"/>
      <c r="P30" s="2846"/>
      <c r="Q30" s="286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1319</v>
      </c>
      <c r="B31" s="2942" t="s">
        <v>1320</v>
      </c>
      <c r="C31" s="2943" t="e">
        <f ca="1">ROUND(C28*(1+F31),0)</f>
        <v>#DIV/0!</v>
      </c>
      <c r="D31" s="2944" t="s">
        <v>1321</v>
      </c>
      <c r="E31" s="2945" t="str">
        <f>IF(D31="其他类型公式—收益价值×（1+9%）","销项税率","征收率")</f>
        <v>销项税率</v>
      </c>
      <c r="F31" s="2946">
        <f>IF(D31="其他类型公式—收益价值×（1+9%）",9%,3%)</f>
        <v>0.09</v>
      </c>
      <c r="G31" s="2928"/>
      <c r="H31" s="2804" t="s">
        <v>1319</v>
      </c>
      <c r="I31" s="2933" t="s">
        <v>1322</v>
      </c>
      <c r="J31" s="2874">
        <f ca="1">ROUND(J28/(1+F28)^F29,0)</f>
        <v>0</v>
      </c>
      <c r="K31" s="1314" t="s">
        <v>1647</v>
      </c>
      <c r="L31" s="2933"/>
      <c r="M31" s="2939">
        <f ca="1">INDIRECT("'数据-取费表'!k"&amp;$G$1)</f>
        <v>0</v>
      </c>
      <c r="N31" s="2928"/>
      <c r="O31" s="2928"/>
      <c r="P31" s="2928"/>
      <c r="Q31" s="2931"/>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1324</v>
      </c>
      <c r="B32" s="2948" t="s">
        <v>1325</v>
      </c>
      <c r="C32" s="2949" t="e">
        <f ca="1">ROUND(C31/F32,0)</f>
        <v>#DIV/0!</v>
      </c>
      <c r="D32" s="2950" t="s">
        <v>1326</v>
      </c>
      <c r="E32" s="2689" t="s">
        <v>1327</v>
      </c>
      <c r="F32" s="2951">
        <f ca="1">INDIRECT("'数据-取费表'!k"&amp;$G$1)</f>
        <v>0</v>
      </c>
      <c r="G32" s="2928"/>
      <c r="H32" s="2947" t="s">
        <v>1324</v>
      </c>
      <c r="I32" s="2952" t="s">
        <v>1328</v>
      </c>
      <c r="J32" s="2953">
        <f ca="1">ROUND(J31*(1+F31),0)</f>
        <v>0</v>
      </c>
      <c r="K32" s="2954" t="str">
        <f>D31</f>
        <v>其他类型公式—收益价值×（1+9%）</v>
      </c>
      <c r="L32" s="2955"/>
      <c r="M32" s="2956"/>
      <c r="N32" s="2928"/>
      <c r="O32" s="2928"/>
      <c r="P32" s="2928"/>
      <c r="Q32" s="2931"/>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t="e">
        <f ca="1">1-C27/C5</f>
        <v>#DIV/0!</v>
      </c>
      <c r="G33" s="902"/>
    </row>
    <row r="34" s="427" customFormat="1" ht="18" customHeight="1" spans="1:37">
      <c r="A34" s="2958" t="s">
        <v>1251</v>
      </c>
      <c r="B34" s="2959" t="s">
        <v>1252</v>
      </c>
      <c r="C34" s="2960" t="s">
        <v>1641</v>
      </c>
      <c r="D34" s="2959" t="s">
        <v>1254</v>
      </c>
      <c r="E34" s="2961" t="s">
        <v>1255</v>
      </c>
      <c r="F34" s="2962"/>
      <c r="G34" s="2846"/>
      <c r="H34" s="2958" t="s">
        <v>1251</v>
      </c>
      <c r="I34" s="2959" t="s">
        <v>1252</v>
      </c>
      <c r="J34" s="2960" t="s">
        <v>1641</v>
      </c>
      <c r="K34" s="2959" t="s">
        <v>1254</v>
      </c>
      <c r="L34" s="2961" t="s">
        <v>1255</v>
      </c>
      <c r="M34" s="2962"/>
      <c r="N34" s="2846"/>
      <c r="O34" s="2846"/>
      <c r="P34" s="2846"/>
      <c r="Q34" s="286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52" t="s">
        <v>1329</v>
      </c>
      <c r="B35" s="2853" t="s">
        <v>1330</v>
      </c>
      <c r="C35" s="2963">
        <f ca="1">SUM(C36:C41)</f>
        <v>0</v>
      </c>
      <c r="D35" s="2964" t="s">
        <v>1331</v>
      </c>
      <c r="E35" s="2965"/>
      <c r="F35" s="2966"/>
      <c r="G35" s="902"/>
      <c r="H35" s="2967" t="s">
        <v>1329</v>
      </c>
      <c r="I35" s="2968" t="s">
        <v>1332</v>
      </c>
      <c r="J35" s="2969">
        <f ca="1">C51</f>
        <v>0</v>
      </c>
      <c r="K35" s="2970" t="s">
        <v>1333</v>
      </c>
      <c r="L35" s="2971"/>
      <c r="M35" s="2972"/>
    </row>
    <row r="36" ht="18" customHeight="1" spans="1:37">
      <c r="A36" s="1334" t="s">
        <v>1043</v>
      </c>
      <c r="B36" s="2973" t="s">
        <v>1334</v>
      </c>
      <c r="C36" s="1122">
        <f ca="1">ROUND(INDIRECT("'数据-取费表'!l"&amp;$G$1)*F32+'数据-取费表'!L14*INDIRECT("'数据-取费表'!S"&amp;$G$1),0)</f>
        <v>0</v>
      </c>
      <c r="D36" s="2662" t="s">
        <v>1335</v>
      </c>
      <c r="E36" s="2662"/>
      <c r="F36" s="2686"/>
      <c r="G36" s="902"/>
      <c r="H36" s="2974" t="s">
        <v>1019</v>
      </c>
      <c r="I36" s="2975" t="s">
        <v>1336</v>
      </c>
      <c r="J36" s="822">
        <f ca="1">ROUND(J35*(1-M36),0)</f>
        <v>0</v>
      </c>
      <c r="K36" s="1320" t="s">
        <v>1337</v>
      </c>
      <c r="L36" s="1298" t="s">
        <v>1338</v>
      </c>
      <c r="M36" s="2882">
        <f ca="1">INDIRECT("'数据-取费表'!ad"&amp;$G$1)</f>
        <v>0</v>
      </c>
    </row>
    <row r="37" ht="18" customHeight="1" spans="1:37">
      <c r="A37" s="1334" t="s">
        <v>1047</v>
      </c>
      <c r="B37" s="2973" t="s">
        <v>1648</v>
      </c>
      <c r="C37" s="1306">
        <f ca="1">ROUND(C36*F37,0)</f>
        <v>0</v>
      </c>
      <c r="D37" s="1320" t="s">
        <v>1339</v>
      </c>
      <c r="E37" s="1320" t="s">
        <v>1294</v>
      </c>
      <c r="F37" s="2906">
        <f>'数据-取费表'!B33</f>
        <v>0.07</v>
      </c>
      <c r="G37" s="902"/>
      <c r="H37" s="2976" t="s">
        <v>1340</v>
      </c>
      <c r="I37" s="2977" t="s">
        <v>1649</v>
      </c>
      <c r="J37" s="2978">
        <f ca="1">J35-J36</f>
        <v>0</v>
      </c>
      <c r="K37" s="2979" t="s">
        <v>1342</v>
      </c>
      <c r="L37" s="2691"/>
      <c r="M37" s="2980"/>
    </row>
    <row r="38" ht="18" customHeight="1" spans="1:37">
      <c r="A38" s="1334" t="s">
        <v>1050</v>
      </c>
      <c r="B38" s="2973" t="s">
        <v>1343</v>
      </c>
      <c r="C38" s="1306">
        <f ca="1">ROUND(INDIRECT("'数据-取费表'!m"&amp;$G$1)*F38,0)</f>
        <v>0</v>
      </c>
      <c r="D38" s="1320" t="s">
        <v>1339</v>
      </c>
      <c r="E38" s="1320" t="s">
        <v>1294</v>
      </c>
      <c r="F38" s="2906">
        <f ca="1">IF(INDIRECT("'数据-取费表'!c"&amp;$G$1)="住宅",'数据-取费表'!B34,0)</f>
        <v>0</v>
      </c>
      <c r="G38" s="902"/>
    </row>
    <row r="39" ht="18" customHeight="1" spans="1:37">
      <c r="A39" s="1334" t="s">
        <v>1344</v>
      </c>
      <c r="B39" s="2973" t="s">
        <v>1345</v>
      </c>
      <c r="C39" s="1306">
        <f ca="1">ROUND(F39*(F32+INDIRECT("'数据-取费表'!S"&amp;$G$1)),0)</f>
        <v>0</v>
      </c>
      <c r="D39" s="1320" t="s">
        <v>1346</v>
      </c>
      <c r="E39" s="1320" t="s">
        <v>1347</v>
      </c>
      <c r="F39" s="2981">
        <f>'数据-取费表'!B35</f>
        <v>280</v>
      </c>
      <c r="G39" s="902"/>
    </row>
    <row r="40" ht="18" customHeight="1" spans="1:37">
      <c r="A40" s="1334" t="s">
        <v>1348</v>
      </c>
      <c r="B40" s="2904" t="s">
        <v>760</v>
      </c>
      <c r="C40" s="1306">
        <f ca="1">ROUND(C36*F40,0)</f>
        <v>0</v>
      </c>
      <c r="D40" s="1320" t="s">
        <v>1339</v>
      </c>
      <c r="E40" s="1320" t="s">
        <v>1294</v>
      </c>
      <c r="F40" s="2906">
        <f>'数据-取费表'!B36</f>
        <v>0.01</v>
      </c>
      <c r="G40" s="902"/>
      <c r="H40" s="732"/>
      <c r="I40" s="732"/>
      <c r="J40" s="732"/>
      <c r="K40" s="1356"/>
      <c r="L40" s="732"/>
      <c r="M40" s="732"/>
    </row>
    <row r="41" ht="18" customHeight="1" spans="1:37">
      <c r="A41" s="1334" t="s">
        <v>1348</v>
      </c>
      <c r="B41" s="2904" t="s">
        <v>762</v>
      </c>
      <c r="C41" s="1306">
        <f ca="1">ROUND(C36*F41,0)</f>
        <v>0</v>
      </c>
      <c r="D41" s="1320" t="s">
        <v>1339</v>
      </c>
      <c r="E41" s="1320" t="s">
        <v>1294</v>
      </c>
      <c r="F41" s="2906">
        <f>'数据-取费表'!B37</f>
        <v>0</v>
      </c>
      <c r="G41" s="902"/>
      <c r="H41" s="732"/>
      <c r="I41" s="732"/>
      <c r="J41" s="732"/>
      <c r="K41" s="1356"/>
      <c r="L41" s="732"/>
      <c r="M41" s="732"/>
    </row>
    <row r="42" ht="18" customHeight="1" spans="1:37">
      <c r="A42" s="2804" t="s">
        <v>1349</v>
      </c>
      <c r="B42" s="2933" t="s">
        <v>1350</v>
      </c>
      <c r="C42" s="2874">
        <f ca="1">ROUND(C35*F42,0)</f>
        <v>0</v>
      </c>
      <c r="D42" s="2982" t="s">
        <v>1351</v>
      </c>
      <c r="E42" s="2933" t="s">
        <v>1352</v>
      </c>
      <c r="F42" s="2882">
        <f>'数据-取费表'!B38</f>
        <v>0.02</v>
      </c>
      <c r="G42" s="902"/>
      <c r="H42" s="732"/>
      <c r="I42" s="732"/>
      <c r="J42" s="732"/>
      <c r="K42" s="1356"/>
      <c r="L42" s="732"/>
      <c r="M42" s="732"/>
    </row>
    <row r="43" ht="18" customHeight="1" spans="1:37">
      <c r="A43" s="2804" t="s">
        <v>1340</v>
      </c>
      <c r="B43" s="2933" t="s">
        <v>1353</v>
      </c>
      <c r="C43" s="2850" t="str">
        <f>F43&amp;"V建"</f>
        <v>0.02V建</v>
      </c>
      <c r="D43" s="2982" t="s">
        <v>1354</v>
      </c>
      <c r="E43" s="2933" t="s">
        <v>1650</v>
      </c>
      <c r="F43" s="2882">
        <f>'数据-取费表'!B39</f>
        <v>0.02</v>
      </c>
      <c r="G43" s="902"/>
      <c r="H43" s="732"/>
      <c r="I43" s="732"/>
      <c r="J43" s="732"/>
      <c r="K43" s="1356"/>
      <c r="L43" s="732"/>
      <c r="M43" s="732"/>
    </row>
    <row r="44" ht="18" customHeight="1" spans="1:37">
      <c r="A44" s="2804" t="s">
        <v>1355</v>
      </c>
      <c r="B44" s="2983" t="s">
        <v>1356</v>
      </c>
      <c r="C44" s="2984" t="str">
        <f ca="1">C45&amp;"+"&amp;C46&amp;"V建"</f>
        <v>0+0.0006V建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1357</v>
      </c>
      <c r="C45" s="1306">
        <f ca="1">IF('数据-取费表'!B22&lt;=1,ROUND(C35*F46*F45/2,0)+ROUND(C42*F46*F45/2,0),ROUND(C35*(POWER((1+F46),F45/2)-1),0)+ROUND(C42*(POWER((1+F46),F45/2)-1),0))</f>
        <v>0</v>
      </c>
      <c r="D45" s="1299" t="str">
        <f>IF(F45&lt;=1,"(建造成本+管理费用)×利率×(建设周期÷2)","(建造成本+管理费用)×((1+利率)^(建设周期÷2)-1)")</f>
        <v>(建造成本+管理费用)×((1+利率)^(建设周期÷2)-1)</v>
      </c>
      <c r="E45" s="1320" t="s">
        <v>1358</v>
      </c>
      <c r="F45" s="2870">
        <f>'数据-取费表'!B20</f>
        <v>2</v>
      </c>
      <c r="G45" s="902"/>
      <c r="H45" s="732"/>
      <c r="I45" s="732"/>
      <c r="J45" s="732"/>
      <c r="K45" s="1356"/>
      <c r="L45" s="732"/>
      <c r="M45" s="732"/>
    </row>
    <row r="46" ht="18" customHeight="1" spans="1:37">
      <c r="A46" s="1334" t="s">
        <v>1047</v>
      </c>
      <c r="B46" s="1320" t="s">
        <v>1359</v>
      </c>
      <c r="C46" s="2985">
        <f ca="1">ROUND(IF('数据-取费表'!B22&lt;=1,F43*F46*F45/2,F43*(POWER((1+F46),F45/2)-1)),4)</f>
        <v>0.0006</v>
      </c>
      <c r="D46" s="1299" t="str">
        <f>IF(F45&lt;=1,"销售费用×利率×(建设周期÷2)","销售费用×((1+利率)^(建设周期÷2)-1)")</f>
        <v>销售费用×((1+利率)^(建设周期÷2)-1)</v>
      </c>
      <c r="E46" s="1320" t="s">
        <v>1360</v>
      </c>
      <c r="F46" s="2986">
        <f ca="1">'数据-取费表'!B41</f>
        <v>0.0313</v>
      </c>
      <c r="G46" s="902"/>
      <c r="H46" s="732"/>
      <c r="I46" s="732"/>
      <c r="J46" s="732"/>
      <c r="K46" s="1356"/>
      <c r="L46" s="732"/>
      <c r="M46" s="732"/>
    </row>
    <row r="47" ht="18" customHeight="1" spans="1:37">
      <c r="A47" s="2804" t="s">
        <v>1361</v>
      </c>
      <c r="B47" s="2983" t="s">
        <v>1362</v>
      </c>
      <c r="C47" s="2984" t="str">
        <f ca="1">C48&amp;"+"&amp;C49&amp;"V建"</f>
        <v>0+0V建</v>
      </c>
      <c r="D47" s="1314" t="s">
        <v>1363</v>
      </c>
      <c r="E47" s="2619"/>
      <c r="F47" s="2987"/>
      <c r="G47" s="902"/>
      <c r="H47" s="732"/>
      <c r="I47" s="732"/>
      <c r="J47" s="732"/>
      <c r="K47" s="1356"/>
      <c r="L47" s="732"/>
      <c r="M47" s="732"/>
    </row>
    <row r="48" ht="18" customHeight="1" spans="1:37">
      <c r="A48" s="1334" t="s">
        <v>1043</v>
      </c>
      <c r="B48" s="1320" t="s">
        <v>1364</v>
      </c>
      <c r="C48" s="1306">
        <f ca="1">ROUND((C35+C42)*F48,0)</f>
        <v>0</v>
      </c>
      <c r="D48" s="2667" t="s">
        <v>1365</v>
      </c>
      <c r="E48" s="1320" t="s">
        <v>1366</v>
      </c>
      <c r="F48" s="2882">
        <f ca="1">INDIRECT("'数据-取费表'!q"&amp;$G$1)</f>
        <v>0</v>
      </c>
      <c r="G48" s="902"/>
      <c r="H48" s="732"/>
      <c r="I48" s="732"/>
      <c r="J48" s="732"/>
      <c r="K48" s="1356"/>
      <c r="L48" s="732"/>
      <c r="M48" s="732"/>
    </row>
    <row r="49" ht="18" customHeight="1" spans="1:37">
      <c r="A49" s="1334" t="s">
        <v>1047</v>
      </c>
      <c r="B49" s="1320" t="s">
        <v>1367</v>
      </c>
      <c r="C49" s="2985">
        <f ca="1">ROUND(F43*F48,4)</f>
        <v>0</v>
      </c>
      <c r="D49" s="2667" t="s">
        <v>1368</v>
      </c>
      <c r="E49" s="1320"/>
      <c r="F49" s="2906"/>
      <c r="G49" s="902"/>
      <c r="H49" s="732"/>
      <c r="I49" s="732"/>
      <c r="J49" s="732"/>
      <c r="K49" s="1356"/>
      <c r="L49" s="732"/>
      <c r="M49" s="732"/>
    </row>
    <row r="50" s="427" customFormat="1" ht="18" customHeight="1" spans="1:37">
      <c r="A50" s="2804" t="s">
        <v>1369</v>
      </c>
      <c r="B50" s="2933" t="s">
        <v>1370</v>
      </c>
      <c r="C50" s="2874">
        <f>ROUND(F50/(1+'数据-取费表'!C43),4)</f>
        <v>0</v>
      </c>
      <c r="D50" s="2988" t="s">
        <v>1371</v>
      </c>
      <c r="E50" s="2933"/>
      <c r="F50" s="2882"/>
      <c r="G50" s="2846"/>
      <c r="H50" s="2989"/>
      <c r="I50" s="2989"/>
      <c r="J50" s="2989"/>
      <c r="K50" s="2990"/>
      <c r="L50" s="2989"/>
      <c r="M50" s="2989"/>
      <c r="N50" s="2846"/>
      <c r="O50" s="2846"/>
      <c r="P50" s="2846"/>
      <c r="Q50" s="2866"/>
      <c r="R50" s="2846"/>
      <c r="S50" s="2846"/>
      <c r="T50" s="2846"/>
      <c r="U50" s="2846"/>
      <c r="V50" s="2846"/>
      <c r="W50" s="2846"/>
      <c r="X50" s="2846"/>
      <c r="Y50" s="2846"/>
      <c r="Z50" s="2846"/>
      <c r="AA50" s="2846"/>
      <c r="AB50" s="2846"/>
      <c r="AC50" s="2846"/>
      <c r="AD50" s="2846"/>
      <c r="AE50" s="2846"/>
      <c r="AF50" s="2846"/>
      <c r="AG50" s="2846"/>
      <c r="AH50" s="2846"/>
      <c r="AI50" s="2846"/>
      <c r="AJ50" s="2846"/>
      <c r="AK50" s="2846"/>
    </row>
    <row r="51" s="2846" customFormat="1" ht="18" customHeight="1" spans="1:37">
      <c r="A51" s="2804" t="s">
        <v>1372</v>
      </c>
      <c r="B51" s="2933" t="s">
        <v>1373</v>
      </c>
      <c r="C51" s="2874">
        <f ca="1">ROUND((C35+C42+C45+C48)/(1-F43-C46-C49-C50),0)</f>
        <v>0</v>
      </c>
      <c r="D51" s="2991" t="s">
        <v>1333</v>
      </c>
      <c r="E51" s="2933"/>
      <c r="F51" s="2882"/>
      <c r="K51" s="2857"/>
      <c r="Q51" s="2866"/>
    </row>
    <row r="52" s="2846" customFormat="1" ht="18" customHeight="1" spans="1:37">
      <c r="A52" s="2992" t="s">
        <v>1374</v>
      </c>
      <c r="B52" s="2983" t="s">
        <v>1336</v>
      </c>
      <c r="C52" s="2874">
        <f ca="1">ROUND(C51*(1-F52),0)</f>
        <v>0</v>
      </c>
      <c r="D52" s="2933" t="s">
        <v>1375</v>
      </c>
      <c r="E52" s="2933" t="s">
        <v>1376</v>
      </c>
      <c r="F52" s="2882">
        <f ca="1">INDIRECT("'数据-取费表'!y"&amp;$G$1)</f>
        <v>0</v>
      </c>
      <c r="K52" s="2857"/>
      <c r="Q52" s="2866"/>
    </row>
    <row r="53" s="2846" customFormat="1" ht="18" customHeight="1" spans="1:37">
      <c r="A53" s="2993" t="s">
        <v>1651</v>
      </c>
      <c r="B53" s="2994" t="s">
        <v>1378</v>
      </c>
      <c r="C53" s="2978">
        <f ca="1">C51-C52</f>
        <v>0</v>
      </c>
      <c r="D53" s="2979" t="s">
        <v>1342</v>
      </c>
      <c r="E53" s="2689"/>
      <c r="F53" s="2995"/>
      <c r="K53" s="2857"/>
      <c r="Q53" s="2866"/>
    </row>
    <row r="54" s="902" customFormat="1" ht="18" customHeight="1" spans="1:37">
      <c r="A54" s="2710"/>
      <c r="B54" s="2710"/>
      <c r="C54" s="2711"/>
      <c r="D54" s="2710"/>
      <c r="E54" s="2710"/>
      <c r="F54" s="2710"/>
      <c r="I54" s="2996" t="s">
        <v>1379</v>
      </c>
      <c r="J54" s="2836"/>
      <c r="O54" s="2997" t="s">
        <v>1380</v>
      </c>
      <c r="P54" s="2709"/>
      <c r="Q54" s="2998"/>
      <c r="R54" s="2709"/>
    </row>
    <row r="55" s="902" customFormat="1" ht="13.5" spans="1:37">
      <c r="A55" s="2713" t="s">
        <v>1652</v>
      </c>
      <c r="C55" s="2999" t="e">
        <f ca="1">ROUND(IF(D2="含税",C83-C31,C80-C28)/10000,4)</f>
        <v>#DIV/0!</v>
      </c>
      <c r="D55" s="2719" t="str">
        <f>C2</f>
        <v>万元</v>
      </c>
      <c r="E55" s="2710"/>
      <c r="F55" s="2710"/>
      <c r="I55" s="2720" t="s">
        <v>1382</v>
      </c>
      <c r="J55" s="2721"/>
      <c r="K55" s="2722"/>
      <c r="L55" s="3000" t="e">
        <f ca="1">IF(M56="住宅",0,IF(L57&gt;J60,L69,J69))</f>
        <v>#DIV/0!</v>
      </c>
      <c r="O55" s="3001" t="s">
        <v>953</v>
      </c>
      <c r="P55" s="3002" t="s">
        <v>1383</v>
      </c>
      <c r="Q55" s="3003" t="s">
        <v>1384</v>
      </c>
      <c r="R55" s="3004" t="s">
        <v>1385</v>
      </c>
    </row>
    <row r="56" s="902" customFormat="1" ht="13.5" spans="1:37">
      <c r="A56" s="3005" t="s">
        <v>1251</v>
      </c>
      <c r="B56" s="3006" t="s">
        <v>1252</v>
      </c>
      <c r="C56" s="2960" t="s">
        <v>1641</v>
      </c>
      <c r="D56" s="3006" t="s">
        <v>1254</v>
      </c>
      <c r="E56" s="3007" t="s">
        <v>1255</v>
      </c>
      <c r="F56" s="3008"/>
      <c r="G56" s="2731"/>
      <c r="I56" s="2732" t="s">
        <v>1386</v>
      </c>
      <c r="J56" s="2733"/>
      <c r="K56" s="2734" t="s">
        <v>1387</v>
      </c>
      <c r="L56" s="3009">
        <f ca="1">INDIRECT("'数据-取费表'!d"&amp;$G$1)</f>
        <v>0</v>
      </c>
      <c r="M56" s="2736" t="str">
        <f>IF(ISNUMBER(FIND("住宅",C1)),"住宅","非住宅")</f>
        <v>非住宅</v>
      </c>
      <c r="O56" s="3010" t="s">
        <v>1388</v>
      </c>
      <c r="P56" s="3011" t="s">
        <v>1653</v>
      </c>
      <c r="Q56" s="3012" t="e">
        <f ca="1">C28+J31</f>
        <v>#DIV/0!</v>
      </c>
      <c r="R56" s="3013" t="s">
        <v>1390</v>
      </c>
    </row>
    <row r="57" s="902" customFormat="1" ht="39" spans="1:37">
      <c r="A57" s="2760" t="s">
        <v>1391</v>
      </c>
      <c r="B57" s="2595" t="s">
        <v>1392</v>
      </c>
      <c r="C57" s="3014">
        <f ca="1">C58+C62+C64</f>
        <v>0</v>
      </c>
      <c r="D57" s="2862" t="s">
        <v>1257</v>
      </c>
      <c r="E57" s="3015"/>
      <c r="F57" s="3016"/>
      <c r="G57" s="2731"/>
      <c r="H57" s="2745"/>
      <c r="I57" s="2746" t="s">
        <v>1393</v>
      </c>
      <c r="J57" s="2747"/>
      <c r="K57" s="2748" t="s">
        <v>1395</v>
      </c>
      <c r="L57" s="3017">
        <f ca="1">INDIRECT("'数据-取费表'!f"&amp;$G$1)</f>
        <v>0</v>
      </c>
      <c r="O57" s="3010" t="s">
        <v>1396</v>
      </c>
      <c r="P57" s="3018" t="s">
        <v>1397</v>
      </c>
      <c r="Q57" s="3012" t="e">
        <f ca="1">J69</f>
        <v>#DIV/0!</v>
      </c>
      <c r="R57" s="3013" t="s">
        <v>1398</v>
      </c>
    </row>
    <row r="58" s="902" customFormat="1" ht="15" customHeight="1" spans="1:37">
      <c r="A58" s="3019" t="s">
        <v>1014</v>
      </c>
      <c r="B58" s="2867" t="s">
        <v>1258</v>
      </c>
      <c r="C58" s="3020">
        <f ca="1">C59-C61</f>
        <v>0</v>
      </c>
      <c r="D58" s="1298" t="s">
        <v>1259</v>
      </c>
      <c r="E58" s="3021" t="s">
        <v>1399</v>
      </c>
      <c r="F58" s="3022"/>
      <c r="G58" s="2756"/>
      <c r="H58" s="2745"/>
      <c r="I58" s="2746" t="s">
        <v>1400</v>
      </c>
      <c r="J58" s="3023"/>
      <c r="K58" s="2748" t="s">
        <v>1401</v>
      </c>
      <c r="L58" s="3024"/>
      <c r="O58" s="2759" t="s">
        <v>1402</v>
      </c>
      <c r="P58" s="3025" t="s">
        <v>1654</v>
      </c>
      <c r="Q58" s="3026">
        <f ca="1">C51</f>
        <v>0</v>
      </c>
      <c r="R58" s="2739" t="s">
        <v>1404</v>
      </c>
    </row>
    <row r="59" s="902" customFormat="1" ht="15" customHeight="1" spans="1:37">
      <c r="A59" s="3027" t="s">
        <v>1043</v>
      </c>
      <c r="B59" s="2873" t="s">
        <v>1261</v>
      </c>
      <c r="C59" s="2884">
        <f ca="1">ROUND(F58*F60*F59,0)</f>
        <v>0</v>
      </c>
      <c r="D59" s="2875" t="s">
        <v>1262</v>
      </c>
      <c r="E59" s="2764" t="s">
        <v>1263</v>
      </c>
      <c r="F59" s="3028">
        <f ca="1">F7</f>
        <v>0</v>
      </c>
      <c r="H59" s="2745"/>
      <c r="I59" s="2746" t="s">
        <v>1405</v>
      </c>
      <c r="J59" s="3029">
        <f>SUMPRODUCT((I72:I74=J56)*(J71:L71=J57)*(J72:L74))</f>
        <v>0</v>
      </c>
      <c r="K59" s="2748" t="s">
        <v>1406</v>
      </c>
      <c r="L59" s="3024"/>
      <c r="M59" s="2767"/>
      <c r="O59" s="2759" t="s">
        <v>1407</v>
      </c>
      <c r="P59" s="2738" t="s">
        <v>1408</v>
      </c>
      <c r="Q59" s="3030" t="e">
        <f ca="1">J67</f>
        <v>#DIV/0!</v>
      </c>
      <c r="R59" s="2739"/>
    </row>
    <row r="60" s="902" customFormat="1" ht="15" customHeight="1" spans="1:37">
      <c r="A60" s="3031"/>
      <c r="B60" s="2879"/>
      <c r="C60" s="3032"/>
      <c r="D60" s="2875"/>
      <c r="E60" s="2770" t="str">
        <f ca="1">IF(F60=1,"年",IF(F60=12,"月","天"))</f>
        <v>天</v>
      </c>
      <c r="F60" s="2876">
        <f ca="1">F8</f>
        <v>0</v>
      </c>
      <c r="I60" s="2771" t="s">
        <v>1409</v>
      </c>
      <c r="J60" s="3017">
        <f>IF(J58="",J59,J58+J59-YEAR('数据-取费表'!B2))</f>
        <v>0</v>
      </c>
      <c r="K60" s="2772" t="s">
        <v>1410</v>
      </c>
      <c r="L60" s="3033">
        <f ca="1">ROUND(-PV(INDIRECT("'数据-取费表'!h"&amp;$G$1),J60,(C27-C52*C88),0),0)</f>
        <v>0</v>
      </c>
      <c r="M60" s="2774"/>
      <c r="O60" s="2759" t="s">
        <v>1411</v>
      </c>
      <c r="P60" s="2738" t="s">
        <v>1412</v>
      </c>
      <c r="Q60" s="3030">
        <f>J61</f>
        <v>0</v>
      </c>
      <c r="R60" s="2739"/>
    </row>
    <row r="61" s="902" customFormat="1" ht="15" customHeight="1" spans="1:37">
      <c r="A61" s="3034" t="s">
        <v>1047</v>
      </c>
      <c r="B61" s="2879" t="s">
        <v>1264</v>
      </c>
      <c r="C61" s="3035">
        <f ca="1">ROUND(C59*F61,0)</f>
        <v>0</v>
      </c>
      <c r="D61" s="1298" t="s">
        <v>1265</v>
      </c>
      <c r="E61" s="2770" t="s">
        <v>1266</v>
      </c>
      <c r="F61" s="3036"/>
      <c r="I61" s="2776" t="s">
        <v>1413</v>
      </c>
      <c r="J61" s="3037"/>
      <c r="K61" s="2776" t="s">
        <v>1414</v>
      </c>
      <c r="L61" s="3038"/>
      <c r="O61" s="2759" t="s">
        <v>1415</v>
      </c>
      <c r="P61" s="2738" t="s">
        <v>1416</v>
      </c>
      <c r="Q61" s="3026">
        <f ca="1">J62</f>
        <v>0</v>
      </c>
      <c r="R61" s="2739" t="s">
        <v>1417</v>
      </c>
    </row>
    <row r="62" s="902" customFormat="1" ht="24.75" spans="1:37">
      <c r="A62" s="3039" t="s">
        <v>1019</v>
      </c>
      <c r="B62" s="3040" t="s">
        <v>1267</v>
      </c>
      <c r="C62" s="2874">
        <f ca="1">ROUND(IF(F62="押一",C58/12*F11,IF(F62="押二",C58/12*2*F11,IF(F62="押三",C58/12*3*F11,C63*F11))),0)</f>
        <v>0</v>
      </c>
      <c r="D62" s="2620" t="s">
        <v>1268</v>
      </c>
      <c r="E62" s="2616" t="s">
        <v>1269</v>
      </c>
      <c r="F62" s="3041"/>
      <c r="I62" s="2779" t="s">
        <v>1418</v>
      </c>
      <c r="J62" s="3042">
        <f ca="1">IF(M56="住宅",IF(D1="——",MAX(J60,L57),MAX(J60,L57-'数据-取费表'!B24)),IF(D1="——",MIN(J60,L57),MIN(J60,L57-'数据-取费表'!B24)))</f>
        <v>0</v>
      </c>
      <c r="K62" s="2781" t="s">
        <v>1419</v>
      </c>
      <c r="L62" s="2782"/>
      <c r="O62" s="3010" t="s">
        <v>1420</v>
      </c>
      <c r="P62" s="3011" t="s">
        <v>1655</v>
      </c>
      <c r="Q62" s="3012" t="e">
        <f ca="1">ROUND((Q56+Q57)*(1+F31),0)</f>
        <v>#DIV/0!</v>
      </c>
      <c r="R62" s="3013" t="s">
        <v>1656</v>
      </c>
    </row>
    <row r="63" s="902" customFormat="1" ht="13.5" spans="1:37">
      <c r="A63" s="3043"/>
      <c r="B63" s="2624" t="str">
        <f>IF(OR(F62="自定义",F62=" "),"（自定义押金）单位：元","")</f>
        <v/>
      </c>
      <c r="C63" s="2890"/>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87"/>
      <c r="K63" s="2787"/>
      <c r="L63" s="2787"/>
      <c r="M63" s="2756"/>
      <c r="O63" s="2716" t="s">
        <v>1423</v>
      </c>
      <c r="P63" s="2788"/>
      <c r="Q63" s="3044"/>
      <c r="R63" s="2788"/>
    </row>
    <row r="64" s="902" customFormat="1" ht="13.5" spans="1:37">
      <c r="A64" s="2629" t="s">
        <v>1070</v>
      </c>
      <c r="B64" s="2630" t="s">
        <v>1272</v>
      </c>
      <c r="C64" s="3045"/>
      <c r="D64" s="2620"/>
      <c r="E64" s="2784"/>
      <c r="F64" s="2785"/>
      <c r="I64" s="2789" t="s">
        <v>1424</v>
      </c>
      <c r="J64" s="2790" t="e">
        <f ca="1">ROUND(IF(J56="钢混",J66/J59,1-(1-2%)*(J59-J66)/J59),3)</f>
        <v>#DIV/0!</v>
      </c>
      <c r="K64" s="2791" t="s">
        <v>1425</v>
      </c>
      <c r="L64" s="2792"/>
      <c r="O64" s="3001" t="s">
        <v>953</v>
      </c>
      <c r="P64" s="3002" t="s">
        <v>1383</v>
      </c>
      <c r="Q64" s="3003" t="s">
        <v>1384</v>
      </c>
      <c r="R64" s="3004" t="s">
        <v>1385</v>
      </c>
    </row>
    <row r="65" s="902" customFormat="1" ht="25.5" spans="1:18">
      <c r="A65" s="2804" t="s">
        <v>1273</v>
      </c>
      <c r="B65" s="2794" t="s">
        <v>1274</v>
      </c>
      <c r="C65" s="2874">
        <f ca="1">ROUND(C66+C74+C76+C78,0)</f>
        <v>0</v>
      </c>
      <c r="D65" s="2794" t="s">
        <v>1426</v>
      </c>
      <c r="E65" s="3046"/>
      <c r="F65" s="2744"/>
      <c r="I65" s="2796" t="s">
        <v>1427</v>
      </c>
      <c r="J65" s="2797"/>
      <c r="K65" s="2746" t="s">
        <v>1429</v>
      </c>
      <c r="L65" s="3017">
        <f ca="1">IF(L57&lt;J60,"——",L57-J62)</f>
        <v>0</v>
      </c>
      <c r="O65" s="3010" t="s">
        <v>1388</v>
      </c>
      <c r="P65" s="3011" t="s">
        <v>1653</v>
      </c>
      <c r="Q65" s="3012" t="e">
        <f ca="1">C28+J31</f>
        <v>#DIV/0!</v>
      </c>
      <c r="R65" s="3013" t="s">
        <v>1390</v>
      </c>
    </row>
    <row r="66" s="902" customFormat="1" ht="24.75" spans="1:18">
      <c r="A66" s="1301" t="s">
        <v>1014</v>
      </c>
      <c r="B66" s="1325" t="s">
        <v>1277</v>
      </c>
      <c r="C66" s="1306">
        <f ca="1">ROUND(IF(AND(项目基本情况!B11="自然人",项目基本情况!B10="北京市",M56="住宅"),C58*F66,C67+C71+C72),0)</f>
        <v>0</v>
      </c>
      <c r="D66" s="2808" t="s">
        <v>1278</v>
      </c>
      <c r="E66" s="2808" t="str">
        <f>E14</f>
        <v/>
      </c>
      <c r="F66" s="2899" t="str">
        <f ca="1">IF(M56="非住宅","",IF(F58*F59*F60/12/(1+'数据-取费表'!F30)&gt;100000,4%,2.5%))</f>
        <v/>
      </c>
      <c r="I66" s="2802" t="s">
        <v>1430</v>
      </c>
      <c r="J66" s="3047">
        <f ca="1">IF(OR(M56="住宅",J60&lt;L57,J65="是"),"——",J60-L57)</f>
        <v>0</v>
      </c>
      <c r="K66" s="2746" t="s">
        <v>1431</v>
      </c>
      <c r="L66" s="3048">
        <f ca="1">IF(L57&lt;J60,"——",IF(L64="比较法",L58,IF(L64="基准地价",L59,L60)))</f>
        <v>0</v>
      </c>
      <c r="O66" s="3010" t="s">
        <v>1396</v>
      </c>
      <c r="P66" s="3018" t="s">
        <v>1432</v>
      </c>
      <c r="Q66" s="3012" t="e">
        <f ca="1">L69</f>
        <v>#DIV/0!</v>
      </c>
      <c r="R66" s="3013" t="s">
        <v>1433</v>
      </c>
    </row>
    <row r="67" s="902" customFormat="1" ht="24.75" spans="1:18">
      <c r="A67" s="1334" t="s">
        <v>1043</v>
      </c>
      <c r="B67" s="2869" t="s">
        <v>1280</v>
      </c>
      <c r="C67" s="1306">
        <f ca="1">C70</f>
        <v>0</v>
      </c>
      <c r="D67" s="1298" t="s">
        <v>1281</v>
      </c>
      <c r="E67" s="2901"/>
      <c r="F67" s="2902"/>
      <c r="I67" s="2802" t="s">
        <v>1434</v>
      </c>
      <c r="J67" s="3049" t="e">
        <f ca="1">IF(J64&lt;0.4,0.4,J64)</f>
        <v>#DIV/0!</v>
      </c>
      <c r="K67" s="2772" t="s">
        <v>1435</v>
      </c>
      <c r="L67" s="3048" t="e">
        <f ca="1">ROUND(POWER(1+L61,L56-L57)*(POWER(1+L61,L57)-1)/(POWER(1+L61,L56)-1),4)</f>
        <v>#DIV/0!</v>
      </c>
      <c r="O67" s="2759" t="s">
        <v>1402</v>
      </c>
      <c r="P67" s="2738" t="s">
        <v>1436</v>
      </c>
      <c r="Q67" s="3026">
        <f>IF(L64="比较法",L58,IF(L64="基准地价",L59,0))</f>
        <v>0</v>
      </c>
      <c r="R67" s="2739" t="s">
        <v>1404</v>
      </c>
    </row>
    <row r="68" s="902" customFormat="1" ht="24.75" spans="1:18">
      <c r="A68" s="681" t="s">
        <v>1282</v>
      </c>
      <c r="B68" s="2904" t="s">
        <v>975</v>
      </c>
      <c r="C68" s="1306">
        <f ca="1">ROUND(C58*F68,0)</f>
        <v>0</v>
      </c>
      <c r="D68" s="652" t="s">
        <v>1283</v>
      </c>
      <c r="E68" s="2905" t="s">
        <v>1127</v>
      </c>
      <c r="F68" s="2906">
        <f>F16</f>
        <v>0.09</v>
      </c>
      <c r="I68" s="2802" t="s">
        <v>1437</v>
      </c>
      <c r="J68" s="3050" t="e">
        <f ca="1">IF(OR(M56="住宅",J60&lt;L57,J65="是"),"——",ROUND(C51*J67,0))</f>
        <v>#DIV/0!</v>
      </c>
      <c r="K68" s="27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1407</v>
      </c>
      <c r="P68" s="2738" t="s">
        <v>1438</v>
      </c>
      <c r="Q68" s="3030">
        <f>L61</f>
        <v>0</v>
      </c>
      <c r="R68" s="2739"/>
    </row>
    <row r="69" s="902" customFormat="1" ht="17.25" spans="1:18">
      <c r="A69" s="681" t="s">
        <v>1285</v>
      </c>
      <c r="B69" s="2904" t="s">
        <v>980</v>
      </c>
      <c r="C69" s="1306">
        <f ca="1">ROUND(C74*F68+((C76+C78)*F69),0)</f>
        <v>0</v>
      </c>
      <c r="D69" s="2907" t="s">
        <v>1286</v>
      </c>
      <c r="E69" s="2910"/>
      <c r="F69" s="2906">
        <f>F17</f>
        <v>0.06</v>
      </c>
      <c r="I69" s="2810" t="s">
        <v>1439</v>
      </c>
      <c r="J69" s="3051" t="e">
        <f ca="1">IF(OR(M56="住宅",J60&lt;L57,J65="是"),"0",ROUND(J68/(1+J61)^J62,0))</f>
        <v>#DIV/0!</v>
      </c>
      <c r="K69" s="2812" t="s">
        <v>1440</v>
      </c>
      <c r="L69" s="3051" t="e">
        <f ca="1">IF(OR(M56="住宅",L57&lt;J60),0,ROUND(L66*(L67/L68-1),0))</f>
        <v>#DIV/0!</v>
      </c>
      <c r="O69" s="2759" t="s">
        <v>1411</v>
      </c>
      <c r="P69" s="2738" t="s">
        <v>1441</v>
      </c>
      <c r="Q69" s="3052" t="e">
        <f ca="1">L67</f>
        <v>#DIV/0!</v>
      </c>
      <c r="R69" s="2739" t="s">
        <v>1442</v>
      </c>
    </row>
    <row r="70" s="902" customFormat="1" ht="13.5" spans="1:18">
      <c r="A70" s="681" t="s">
        <v>1287</v>
      </c>
      <c r="B70" s="2904" t="s">
        <v>1291</v>
      </c>
      <c r="C70" s="1306">
        <f ca="1">ROUND((C68-C69)*F70,0)</f>
        <v>0</v>
      </c>
      <c r="D70" s="2900" t="s">
        <v>1289</v>
      </c>
      <c r="E70" s="1320" t="s">
        <v>1290</v>
      </c>
      <c r="F70" s="2906">
        <f>F18</f>
        <v>0.12</v>
      </c>
      <c r="I70" s="2709"/>
      <c r="J70" s="2709"/>
      <c r="K70" s="2709"/>
      <c r="L70" s="2709"/>
      <c r="O70" s="2759" t="s">
        <v>1415</v>
      </c>
      <c r="P70" s="2738" t="str">
        <f>K68</f>
        <v>建设期及建筑物耐用年限下的土地年期修正系数Kn</v>
      </c>
      <c r="Q70" s="3052" t="e">
        <f ca="1">L68</f>
        <v>#DIV/0!</v>
      </c>
      <c r="R70" s="2739" t="s">
        <v>1443</v>
      </c>
    </row>
    <row r="71" s="902" customFormat="1" ht="13.5" spans="1:18">
      <c r="A71" s="1334" t="s">
        <v>1047</v>
      </c>
      <c r="B71" s="1325" t="s">
        <v>1292</v>
      </c>
      <c r="C71" s="1306">
        <f ca="1">IF(项目基本情况!B11="自然人","——",IF(D71="按不含税租金收入（有效毛租金收入）计税",ROUND(C58*F71/(1+'数据-取费表'!C43),0),IF(D71="按房产原值计税",ROUND(F74*F71*0.7,0),INDIRECT("'数据-取费表'!Aj"&amp;$G$1))))</f>
        <v>0</v>
      </c>
      <c r="D71" s="2666"/>
      <c r="E71" s="1362" t="s">
        <v>1294</v>
      </c>
      <c r="F71" s="2906">
        <f t="shared" ref="F71:F73" si="0">F19</f>
        <v>0.012</v>
      </c>
      <c r="I71" s="2815" t="s">
        <v>1444</v>
      </c>
      <c r="J71" s="2816" t="s">
        <v>1445</v>
      </c>
      <c r="K71" s="2816" t="s">
        <v>1446</v>
      </c>
      <c r="L71" s="2816" t="s">
        <v>1447</v>
      </c>
      <c r="M71" s="823" t="s">
        <v>1448</v>
      </c>
      <c r="O71" s="3010" t="s">
        <v>1420</v>
      </c>
      <c r="P71" s="3011" t="s">
        <v>1655</v>
      </c>
      <c r="Q71" s="3012" t="e">
        <f ca="1">ROUND((Q65+Q66)*(1+F31),0)</f>
        <v>#DIV/0!</v>
      </c>
      <c r="R71" s="3013" t="s">
        <v>1656</v>
      </c>
    </row>
    <row r="72" s="902" customFormat="1" ht="13.5" spans="1:18">
      <c r="A72" s="2872" t="s">
        <v>1050</v>
      </c>
      <c r="B72" s="3053" t="s">
        <v>1295</v>
      </c>
      <c r="C72" s="2914">
        <f ca="1">IF(项目基本情况!B11="自然人","——",ROUND(F72*F73,0))</f>
        <v>0</v>
      </c>
      <c r="D72" s="2814" t="s">
        <v>1296</v>
      </c>
      <c r="E72" s="1362" t="s">
        <v>1297</v>
      </c>
      <c r="F72" s="2870">
        <f t="shared" si="0"/>
        <v>3</v>
      </c>
      <c r="I72" s="3054" t="s">
        <v>1449</v>
      </c>
      <c r="J72" s="3055">
        <v>70</v>
      </c>
      <c r="K72" s="3055">
        <v>50</v>
      </c>
      <c r="L72" s="3055">
        <v>80</v>
      </c>
      <c r="M72" s="2819">
        <v>0.02</v>
      </c>
      <c r="O72" s="2716" t="s">
        <v>1450</v>
      </c>
      <c r="P72" s="2788"/>
      <c r="Q72" s="3044"/>
      <c r="R72" s="2788"/>
    </row>
    <row r="73" s="902" customFormat="1" ht="13.5" spans="1:18">
      <c r="A73" s="2878"/>
      <c r="B73" s="2817"/>
      <c r="C73" s="2915"/>
      <c r="D73" s="2818"/>
      <c r="E73" s="1362" t="s">
        <v>1298</v>
      </c>
      <c r="F73" s="2916">
        <f ca="1" t="shared" si="0"/>
        <v>0</v>
      </c>
      <c r="I73" s="3054" t="s">
        <v>1451</v>
      </c>
      <c r="J73" s="3055">
        <v>50</v>
      </c>
      <c r="K73" s="3055">
        <v>35</v>
      </c>
      <c r="L73" s="3055">
        <v>60</v>
      </c>
      <c r="M73" s="823">
        <v>0</v>
      </c>
      <c r="O73" s="3001" t="s">
        <v>953</v>
      </c>
      <c r="P73" s="3002" t="s">
        <v>1383</v>
      </c>
      <c r="Q73" s="3003" t="s">
        <v>1384</v>
      </c>
      <c r="R73" s="3004" t="s">
        <v>1385</v>
      </c>
    </row>
    <row r="74" s="902" customFormat="1" ht="13.5" spans="1:18">
      <c r="A74" s="3056" t="s">
        <v>1019</v>
      </c>
      <c r="B74" s="2813" t="s">
        <v>1299</v>
      </c>
      <c r="C74" s="2919">
        <f ca="1">ROUND(F74*F75,0)</f>
        <v>0</v>
      </c>
      <c r="D74" s="3057" t="s">
        <v>1300</v>
      </c>
      <c r="E74" s="1325" t="s">
        <v>1456</v>
      </c>
      <c r="F74" s="3033">
        <f ca="1">C51</f>
        <v>0</v>
      </c>
      <c r="I74" s="3054" t="s">
        <v>1457</v>
      </c>
      <c r="J74" s="3055">
        <v>40</v>
      </c>
      <c r="K74" s="3055">
        <v>30</v>
      </c>
      <c r="L74" s="3055">
        <v>50</v>
      </c>
      <c r="M74" s="2819">
        <v>0.02</v>
      </c>
      <c r="O74" s="3010" t="s">
        <v>1388</v>
      </c>
      <c r="P74" s="3018" t="s">
        <v>1389</v>
      </c>
      <c r="Q74" s="3058" t="e">
        <f ca="1">C28+J31</f>
        <v>#DIV/0!</v>
      </c>
      <c r="R74" s="3013" t="s">
        <v>1390</v>
      </c>
    </row>
    <row r="75" s="902" customFormat="1" ht="17.25" spans="1:18">
      <c r="A75" s="3059"/>
      <c r="B75" s="2817"/>
      <c r="C75" s="2922"/>
      <c r="D75" s="3060"/>
      <c r="E75" s="1362" t="s">
        <v>1294</v>
      </c>
      <c r="F75" s="2882">
        <f ca="1">F22</f>
        <v>0</v>
      </c>
      <c r="O75" s="3010" t="s">
        <v>1396</v>
      </c>
      <c r="P75" s="3018" t="s">
        <v>1432</v>
      </c>
      <c r="Q75" s="3061" t="e">
        <f ca="1">L69</f>
        <v>#DIV/0!</v>
      </c>
      <c r="R75" s="3013" t="s">
        <v>1433</v>
      </c>
    </row>
    <row r="76" s="902" customFormat="1" ht="13.5" spans="1:18">
      <c r="A76" s="3056" t="s">
        <v>1070</v>
      </c>
      <c r="B76" s="2813" t="s">
        <v>1302</v>
      </c>
      <c r="C76" s="2919">
        <f ca="1">ROUND(F76*F77,0)</f>
        <v>0</v>
      </c>
      <c r="D76" s="3057" t="s">
        <v>1303</v>
      </c>
      <c r="E76" s="1325" t="s">
        <v>1378</v>
      </c>
      <c r="F76" s="3062">
        <f ca="1">C53</f>
        <v>0</v>
      </c>
      <c r="O76" s="2737"/>
      <c r="P76" s="2738"/>
      <c r="Q76" s="3052"/>
      <c r="R76" s="2739"/>
    </row>
    <row r="77" s="902" customFormat="1" ht="17.25" spans="1:18">
      <c r="A77" s="3059"/>
      <c r="B77" s="2817"/>
      <c r="C77" s="2922"/>
      <c r="D77" s="3060"/>
      <c r="E77" s="1362" t="s">
        <v>1294</v>
      </c>
      <c r="F77" s="2882">
        <f ca="1">F24</f>
        <v>0</v>
      </c>
      <c r="O77" s="2759" t="s">
        <v>1402</v>
      </c>
      <c r="P77" s="2738" t="s">
        <v>1436</v>
      </c>
      <c r="Q77" s="3063">
        <f ca="1">L60</f>
        <v>0</v>
      </c>
      <c r="R77" s="2739" t="s">
        <v>1458</v>
      </c>
    </row>
    <row r="78" s="2846" customFormat="1" ht="13.5" spans="1:18">
      <c r="A78" s="1301" t="s">
        <v>1075</v>
      </c>
      <c r="B78" s="1362" t="s">
        <v>1306</v>
      </c>
      <c r="C78" s="1306">
        <f ca="1">ROUND(C57*F78,0)</f>
        <v>0</v>
      </c>
      <c r="D78" s="2809" t="s">
        <v>1307</v>
      </c>
      <c r="E78" s="1362" t="s">
        <v>1294</v>
      </c>
      <c r="F78" s="2882">
        <f ca="1">F26</f>
        <v>0</v>
      </c>
      <c r="G78" s="902"/>
      <c r="H78" s="902"/>
      <c r="O78" s="2759"/>
      <c r="P78" s="2738"/>
      <c r="Q78" s="3063"/>
      <c r="R78" s="2739"/>
    </row>
    <row r="79" s="2846" customFormat="1" ht="17.25" spans="1:18">
      <c r="A79" s="2793" t="s">
        <v>1308</v>
      </c>
      <c r="B79" s="2820" t="s">
        <v>1309</v>
      </c>
      <c r="C79" s="2874">
        <f ca="1">C57-C65</f>
        <v>0</v>
      </c>
      <c r="D79" s="2820" t="s">
        <v>1310</v>
      </c>
      <c r="E79" s="3064"/>
      <c r="F79" s="3065"/>
      <c r="O79" s="2759" t="s">
        <v>1407</v>
      </c>
      <c r="P79" s="2826" t="s">
        <v>1459</v>
      </c>
      <c r="Q79" s="3063">
        <f ca="1">ROUND(Q80-Q81*Q82,0)</f>
        <v>0</v>
      </c>
      <c r="R79" s="2739" t="s">
        <v>1460</v>
      </c>
    </row>
    <row r="80" s="2846" customFormat="1" ht="13.5" spans="1:18">
      <c r="A80" s="3066" t="s">
        <v>1311</v>
      </c>
      <c r="B80" s="2825" t="s">
        <v>1312</v>
      </c>
      <c r="C80" s="2884" t="e">
        <f ca="1">ROUND(C79*(1-((1+F82)/(1+F80))^F81)/(F80-F82),0)</f>
        <v>#DIV/0!</v>
      </c>
      <c r="D80" s="3067" t="s">
        <v>1313</v>
      </c>
      <c r="E80" s="2794" t="s">
        <v>1314</v>
      </c>
      <c r="F80" s="2882">
        <f ca="1">F28</f>
        <v>0</v>
      </c>
      <c r="O80" s="2759" t="s">
        <v>1461</v>
      </c>
      <c r="P80" s="2826" t="s">
        <v>1462</v>
      </c>
      <c r="Q80" s="3063">
        <f ca="1">C27</f>
        <v>0</v>
      </c>
      <c r="R80" s="2739" t="s">
        <v>1404</v>
      </c>
    </row>
    <row r="81" s="2846" customFormat="1" ht="13.5" spans="1:18">
      <c r="A81" s="3068"/>
      <c r="B81" s="2828"/>
      <c r="C81" s="2861"/>
      <c r="D81" s="3069" t="s">
        <v>1316</v>
      </c>
      <c r="E81" s="2794" t="s">
        <v>1317</v>
      </c>
      <c r="F81" s="2938">
        <f ca="1">F29</f>
        <v>0</v>
      </c>
      <c r="O81" s="2759" t="s">
        <v>1463</v>
      </c>
      <c r="P81" s="2826" t="s">
        <v>1464</v>
      </c>
      <c r="Q81" s="3063">
        <f ca="1">C52</f>
        <v>0</v>
      </c>
      <c r="R81" s="2739" t="s">
        <v>1404</v>
      </c>
    </row>
    <row r="82" s="2846" customFormat="1" ht="13.5" spans="1:18">
      <c r="A82" s="3070"/>
      <c r="B82" s="3071"/>
      <c r="C82" s="3071"/>
      <c r="D82" s="3072"/>
      <c r="E82" s="2794" t="s">
        <v>1318</v>
      </c>
      <c r="F82" s="3036"/>
      <c r="O82" s="2759" t="s">
        <v>1465</v>
      </c>
      <c r="P82" s="2826" t="s">
        <v>1466</v>
      </c>
      <c r="Q82" s="3030">
        <f ca="1">C88</f>
        <v>0</v>
      </c>
      <c r="R82" s="2739"/>
    </row>
    <row r="83" s="2846" customFormat="1" ht="13.5" spans="1:18">
      <c r="A83" s="2830"/>
      <c r="B83" s="3073" t="s">
        <v>1467</v>
      </c>
      <c r="C83" s="2893" t="e">
        <f ca="1">ROUND(C80*(1+F31),0)</f>
        <v>#DIV/0!</v>
      </c>
      <c r="D83" s="3074" t="str">
        <f>D31</f>
        <v>其他类型公式—收益价值×（1+9%）</v>
      </c>
      <c r="E83" s="2579"/>
      <c r="F83" s="3075"/>
      <c r="O83" s="2759" t="s">
        <v>1411</v>
      </c>
      <c r="P83" s="2738" t="s">
        <v>1438</v>
      </c>
      <c r="Q83" s="3030">
        <f>L61</f>
        <v>0</v>
      </c>
      <c r="R83" s="2739"/>
    </row>
    <row r="84" ht="17.25" spans="1:18">
      <c r="A84" s="2832" t="s">
        <v>1319</v>
      </c>
      <c r="B84" s="2833" t="s">
        <v>1325</v>
      </c>
      <c r="C84" s="2978" t="e">
        <f ca="1">ROUND(C83/F84,0)</f>
        <v>#DIV/0!</v>
      </c>
      <c r="D84" s="3076" t="s">
        <v>1326</v>
      </c>
      <c r="E84" s="2833" t="s">
        <v>1327</v>
      </c>
      <c r="F84" s="2951">
        <f ca="1">F32</f>
        <v>0</v>
      </c>
      <c r="G84" s="2846"/>
      <c r="H84" s="2846"/>
      <c r="O84" s="2759" t="s">
        <v>1415</v>
      </c>
      <c r="P84" s="2738" t="s">
        <v>1441</v>
      </c>
      <c r="Q84" s="3052" t="e">
        <f ca="1">L67</f>
        <v>#DIV/0!</v>
      </c>
      <c r="R84" s="2739" t="s">
        <v>1442</v>
      </c>
    </row>
    <row r="85" ht="13.5" spans="1:18">
      <c r="A85" s="902"/>
      <c r="B85" s="2836"/>
      <c r="C85" s="2836"/>
      <c r="D85" s="902"/>
      <c r="E85" s="902"/>
      <c r="F85" s="902"/>
      <c r="O85" s="2759" t="s">
        <v>1468</v>
      </c>
      <c r="P85" s="2738" t="str">
        <f>K68</f>
        <v>建设期及建筑物耐用年限下的土地年期修正系数Kn</v>
      </c>
      <c r="Q85" s="3052" t="e">
        <f ca="1">L68</f>
        <v>#DIV/0!</v>
      </c>
      <c r="R85" s="2739" t="s">
        <v>1443</v>
      </c>
    </row>
    <row r="86" ht="13.5" spans="1:18">
      <c r="A86" s="902"/>
      <c r="B86" s="514" t="s">
        <v>1469</v>
      </c>
      <c r="C86" s="2837"/>
      <c r="D86" s="902"/>
      <c r="E86" s="902"/>
      <c r="F86" s="902"/>
      <c r="K86" s="2712"/>
      <c r="L86" s="902"/>
      <c r="O86" s="3010" t="s">
        <v>1420</v>
      </c>
      <c r="P86" s="3011" t="s">
        <v>1655</v>
      </c>
      <c r="Q86" s="3058" t="e">
        <f ca="1">ROUND((Q74+Q75)*(1+F31),0)</f>
        <v>#DIV/0!</v>
      </c>
      <c r="R86" s="3013" t="s">
        <v>1656</v>
      </c>
    </row>
    <row r="87" spans="1:18">
      <c r="A87" s="902"/>
      <c r="B87" s="2838" t="s">
        <v>1470</v>
      </c>
      <c r="C87" s="1826">
        <f ca="1">ROUND(C53*C88,0)</f>
        <v>0</v>
      </c>
      <c r="D87" s="902"/>
      <c r="E87" s="902"/>
      <c r="F87" s="902"/>
      <c r="I87" s="902"/>
      <c r="J87" s="902"/>
      <c r="K87" s="2712"/>
      <c r="L87" s="902"/>
    </row>
    <row r="88" spans="1:18">
      <c r="B88" s="856" t="s">
        <v>1471</v>
      </c>
      <c r="C88" s="3077">
        <f ca="1">INDIRECT("'数据-取费表'!j"&amp;$G$1)</f>
        <v>0</v>
      </c>
      <c r="I88" s="902"/>
      <c r="J88" s="902"/>
      <c r="K88" s="2712"/>
      <c r="L88" s="902"/>
    </row>
    <row r="89" spans="1:18">
      <c r="B89" s="2841" t="s">
        <v>1472</v>
      </c>
      <c r="C89" s="2842"/>
    </row>
    <row r="90" spans="1:18">
      <c r="B90" s="512" t="s">
        <v>1473</v>
      </c>
      <c r="C90" s="2843"/>
    </row>
    <row r="91" spans="1:18">
      <c r="B91" s="2838" t="s">
        <v>1474</v>
      </c>
      <c r="C91" s="3078" t="e">
        <f ca="1">1-C92</f>
        <v>#DIV/0!</v>
      </c>
    </row>
    <row r="92" spans="1:18">
      <c r="B92" s="2838" t="s">
        <v>1475</v>
      </c>
      <c r="C92" s="3078" t="e">
        <f ca="1">ROUND(C87/C27,3)</f>
        <v>#DIV/0!</v>
      </c>
    </row>
    <row r="93" spans="1:18">
      <c r="B93" s="512" t="s">
        <v>1476</v>
      </c>
      <c r="C93" s="479"/>
    </row>
    <row r="94" spans="1:18">
      <c r="B94" s="514" t="s">
        <v>1477</v>
      </c>
      <c r="C94" s="3079" t="e">
        <f ca="1">1-C95</f>
        <v>#DIV/0!</v>
      </c>
    </row>
    <row r="95" spans="1:18">
      <c r="B95" s="514" t="s">
        <v>1478</v>
      </c>
      <c r="C95" s="307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28" customWidth="1"/>
    <col min="2" max="2" width="20.625" style="2565" customWidth="1"/>
    <col min="3" max="3" width="11.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0.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1244</v>
      </c>
      <c r="B1" s="1399"/>
      <c r="C1" s="2568"/>
      <c r="D1" s="2569" t="s">
        <v>124</v>
      </c>
      <c r="E1" s="2570" t="s">
        <v>1245</v>
      </c>
      <c r="F1" s="2571">
        <f ca="1">J53</f>
        <v>0</v>
      </c>
      <c r="G1" s="2572">
        <f>MATCH(C1,'数据-取费表'!A6:A16,0)+5</f>
        <v>7</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1246</v>
      </c>
      <c r="B2" s="2577" t="e">
        <f ca="1">ROUND(D2/10000,4)</f>
        <v>#DIV/0!</v>
      </c>
      <c r="C2" s="2578" t="s">
        <v>1247</v>
      </c>
      <c r="D2" s="2579" t="e">
        <f ca="1">C40+J29+L46</f>
        <v>#DIV/0!</v>
      </c>
      <c r="E2" s="2580" t="s">
        <v>1657</v>
      </c>
      <c r="F2" s="2581"/>
      <c r="G2" s="2582"/>
      <c r="H2" s="2583"/>
      <c r="I2" s="2583"/>
      <c r="J2" s="2583"/>
      <c r="K2" s="2584"/>
      <c r="L2" s="2583"/>
      <c r="M2" s="2583"/>
    </row>
    <row r="3" ht="18" customHeight="1" spans="1:37">
      <c r="A3" s="2585" t="s">
        <v>1248</v>
      </c>
      <c r="B3" s="2586">
        <f ca="1">IF(ISERROR(D2/F43),0,ROUND(D2/F43,0))</f>
        <v>0</v>
      </c>
      <c r="C3" s="2578" t="s">
        <v>1249</v>
      </c>
      <c r="D3" s="2578"/>
      <c r="E3" s="2580"/>
      <c r="F3" s="2581"/>
      <c r="G3" s="2582"/>
      <c r="H3" s="2587" t="s">
        <v>1250</v>
      </c>
      <c r="I3" s="2588"/>
      <c r="J3" s="2588"/>
      <c r="K3" s="2589"/>
      <c r="L3" s="2588"/>
      <c r="M3" s="2588"/>
    </row>
    <row r="4" ht="18" customHeight="1" spans="1:37">
      <c r="A4" s="2590" t="s">
        <v>1658</v>
      </c>
      <c r="B4" s="2591" t="s">
        <v>1659</v>
      </c>
      <c r="C4" s="2591" t="s">
        <v>1660</v>
      </c>
      <c r="D4" s="2591" t="s">
        <v>1661</v>
      </c>
      <c r="E4" s="2592" t="s">
        <v>1662</v>
      </c>
      <c r="F4" s="2593"/>
      <c r="G4" s="902"/>
      <c r="H4" s="2590" t="s">
        <v>1658</v>
      </c>
      <c r="I4" s="2591" t="s">
        <v>1659</v>
      </c>
      <c r="J4" s="2591" t="s">
        <v>1660</v>
      </c>
      <c r="K4" s="2591" t="s">
        <v>1661</v>
      </c>
      <c r="L4" s="2592" t="s">
        <v>1662</v>
      </c>
      <c r="M4" s="2593"/>
    </row>
    <row r="5" ht="18" customHeight="1" spans="1:37">
      <c r="A5" s="2594">
        <v>1</v>
      </c>
      <c r="B5" s="2595" t="s">
        <v>1392</v>
      </c>
      <c r="C5" s="2596">
        <f ca="1">C6+C10+C12</f>
        <v>0</v>
      </c>
      <c r="D5" s="2597" t="s">
        <v>1663</v>
      </c>
      <c r="E5" s="2598"/>
      <c r="F5" s="2599"/>
      <c r="G5" s="902"/>
      <c r="H5" s="2594">
        <v>1</v>
      </c>
      <c r="I5" s="2595" t="s">
        <v>1392</v>
      </c>
      <c r="J5" s="2596">
        <f ca="1">J6+J10+J12</f>
        <v>0</v>
      </c>
      <c r="K5" s="2597" t="s">
        <v>1663</v>
      </c>
      <c r="L5" s="2598"/>
      <c r="M5" s="2599"/>
    </row>
    <row r="6" ht="18" customHeight="1" spans="1:37">
      <c r="A6" s="2600" t="s">
        <v>1014</v>
      </c>
      <c r="B6" s="2601" t="s">
        <v>1664</v>
      </c>
      <c r="C6" s="2602">
        <f ca="1">ROUND(F6*F8*F7*(1-F9),0)</f>
        <v>0</v>
      </c>
      <c r="D6" s="2603" t="s">
        <v>1665</v>
      </c>
      <c r="E6" s="1320" t="s">
        <v>1666</v>
      </c>
      <c r="F6" s="2604">
        <f ca="1">INDIRECT("'数据-取费表'!u"&amp;$G$1)</f>
        <v>0</v>
      </c>
      <c r="G6" s="902"/>
      <c r="H6" s="2600" t="s">
        <v>1014</v>
      </c>
      <c r="I6" s="2601" t="s">
        <v>1664</v>
      </c>
      <c r="J6" s="2605">
        <f ca="1">ROUND(M6*M8*M7*(1-M9),0)</f>
        <v>0</v>
      </c>
      <c r="K6" s="2606" t="s">
        <v>1667</v>
      </c>
      <c r="L6" s="1320" t="s">
        <v>1666</v>
      </c>
      <c r="M6" s="2604">
        <f ca="1">INDIRECT("'数据-取费表'!z"&amp;$G$1)</f>
        <v>0</v>
      </c>
    </row>
    <row r="7" ht="18" customHeight="1" spans="1:37">
      <c r="A7" s="2607"/>
      <c r="B7" s="2608"/>
      <c r="C7" s="2609"/>
      <c r="D7" s="2610"/>
      <c r="E7" s="2611" t="s">
        <v>1263</v>
      </c>
      <c r="F7" s="2604">
        <f ca="1">IF(INDIRECT("'数据-取费表'!ah"&amp;$G$1)="",INDIRECT("'数据-取费表'!k"&amp;$G$1),INDIRECT("'数据-取费表'!ah"&amp;$G$1))</f>
        <v>0</v>
      </c>
      <c r="G7" s="902"/>
      <c r="H7" s="2612"/>
      <c r="I7" s="2608"/>
      <c r="J7" s="2613"/>
      <c r="K7" s="2610"/>
      <c r="L7" s="1320" t="s">
        <v>1263</v>
      </c>
      <c r="M7" s="2604">
        <f ca="1">F7</f>
        <v>0</v>
      </c>
    </row>
    <row r="8" ht="18" customHeight="1" spans="1:37">
      <c r="A8" s="2612"/>
      <c r="B8" s="2608"/>
      <c r="C8" s="2613"/>
      <c r="D8" s="2610"/>
      <c r="E8" s="1320" t="s">
        <v>1668</v>
      </c>
      <c r="F8" s="2604">
        <f ca="1">INDIRECT("'数据-取费表'!ai"&amp;$G$1)</f>
        <v>0</v>
      </c>
      <c r="G8" s="902"/>
      <c r="H8" s="2612"/>
      <c r="I8" s="2608"/>
      <c r="J8" s="2613"/>
      <c r="K8" s="2610"/>
      <c r="L8" s="1320" t="s">
        <v>1668</v>
      </c>
      <c r="M8" s="2604">
        <f ca="1">INDIRECT("'数据-取费表'!ai"&amp;$G$1)</f>
        <v>0</v>
      </c>
    </row>
    <row r="9" ht="18" customHeight="1" spans="1:37">
      <c r="A9" s="2612"/>
      <c r="B9" s="2614"/>
      <c r="C9" s="2613"/>
      <c r="D9" s="2610"/>
      <c r="E9" s="1320" t="s">
        <v>1266</v>
      </c>
      <c r="F9" s="2615">
        <f ca="1">INDIRECT("'数据-取费表'!w"&amp;$G$1)</f>
        <v>0</v>
      </c>
      <c r="G9" s="902"/>
      <c r="H9" s="2612"/>
      <c r="I9" s="2614"/>
      <c r="J9" s="2613"/>
      <c r="K9" s="2610"/>
      <c r="L9" s="2616" t="s">
        <v>1266</v>
      </c>
      <c r="M9" s="2617">
        <f ca="1">INDIRECT("'数据-取费表'!ab"&amp;$G$1)</f>
        <v>0</v>
      </c>
    </row>
    <row r="10" ht="18" customHeight="1" spans="1:37">
      <c r="A10" s="2600" t="s">
        <v>1019</v>
      </c>
      <c r="B10" s="2618" t="s">
        <v>1267</v>
      </c>
      <c r="C10" s="2619">
        <f ca="1">ROUND(IF(F10="押一",C6/12*F11,IF(F10="押二",C6/12*2*F11,IF(F10="押三",C6/12*3*F11,C11*F11))),0)</f>
        <v>0</v>
      </c>
      <c r="D10" s="2620" t="s">
        <v>1268</v>
      </c>
      <c r="E10" s="2616" t="s">
        <v>1269</v>
      </c>
      <c r="F10" s="2621"/>
      <c r="G10" s="902"/>
      <c r="H10" s="2600" t="s">
        <v>1019</v>
      </c>
      <c r="I10" s="2618" t="s">
        <v>1267</v>
      </c>
      <c r="J10" s="2605">
        <f ca="1">ROUND(IF(M10="押一",J6/12*M11,IF(M10="押二",J6/12*2*M11,IF(M10="押三",J6/12*3*M11,J11*M11))),0)</f>
        <v>0</v>
      </c>
      <c r="K10" s="2622" t="s">
        <v>1669</v>
      </c>
      <c r="L10" s="2616" t="s">
        <v>1269</v>
      </c>
      <c r="M10" s="2621"/>
    </row>
    <row r="11" ht="18" customHeight="1" spans="1:37">
      <c r="A11" s="2623"/>
      <c r="B11" s="2624" t="s">
        <v>1670</v>
      </c>
      <c r="C11" s="2625"/>
      <c r="D11" s="2610"/>
      <c r="E11" s="2616" t="s">
        <v>1271</v>
      </c>
      <c r="F11" s="2617">
        <f ca="1">'数据-取费表'!B40</f>
        <v>0.015</v>
      </c>
      <c r="G11" s="902"/>
      <c r="H11" s="2626"/>
      <c r="I11" s="2624" t="s">
        <v>1671</v>
      </c>
      <c r="J11" s="2625"/>
      <c r="K11" s="2627"/>
      <c r="L11" s="2616" t="s">
        <v>1271</v>
      </c>
      <c r="M11" s="2628">
        <f ca="1">'数据-取费表'!B40</f>
        <v>0.015</v>
      </c>
    </row>
    <row r="12" ht="18" customHeight="1" spans="1:37">
      <c r="A12" s="2629" t="s">
        <v>1070</v>
      </c>
      <c r="B12" s="2630" t="s">
        <v>1272</v>
      </c>
      <c r="C12" s="2631"/>
      <c r="D12" s="2632"/>
      <c r="E12" s="2633"/>
      <c r="F12" s="2634"/>
      <c r="G12" s="902"/>
      <c r="H12" s="2629" t="s">
        <v>1070</v>
      </c>
      <c r="I12" s="2630" t="s">
        <v>1272</v>
      </c>
      <c r="J12" s="2631"/>
      <c r="K12" s="2635"/>
      <c r="L12" s="2633"/>
      <c r="M12" s="2636"/>
    </row>
    <row r="13" ht="18" customHeight="1" spans="1:37">
      <c r="A13" s="2637">
        <v>2</v>
      </c>
      <c r="B13" s="2638" t="s">
        <v>1649</v>
      </c>
      <c r="C13" s="2639">
        <f ca="1">ROUND(C29*F13,0)</f>
        <v>0</v>
      </c>
      <c r="D13" s="2640" t="s">
        <v>1672</v>
      </c>
      <c r="E13" s="2640" t="s">
        <v>1673</v>
      </c>
      <c r="F13" s="2641">
        <f ca="1">INDIRECT("'数据-取费表'!y"&amp;$G$1)</f>
        <v>0</v>
      </c>
      <c r="G13" s="902"/>
      <c r="H13" s="2637">
        <v>2</v>
      </c>
      <c r="I13" s="2638" t="s">
        <v>1649</v>
      </c>
      <c r="J13" s="2642">
        <f ca="1">ROUND(J14*J15,0)</f>
        <v>0</v>
      </c>
      <c r="K13" s="2643" t="s">
        <v>1672</v>
      </c>
      <c r="L13" s="2644"/>
      <c r="M13" s="2645"/>
    </row>
    <row r="14" ht="18" customHeight="1" spans="1:37">
      <c r="A14" s="750" t="s">
        <v>1043</v>
      </c>
      <c r="B14" s="1320" t="s">
        <v>1334</v>
      </c>
      <c r="C14" s="2646">
        <f ca="1">ROUND(INDIRECT("'数据-取费表'!l"&amp;$G$1)*F43+'数据-取费表'!L14*INDIRECT("'数据-取费表'!S"&amp;$G$1),0)</f>
        <v>0</v>
      </c>
      <c r="D14" s="2647" t="s">
        <v>1335</v>
      </c>
      <c r="E14" s="2648"/>
      <c r="F14" s="2649"/>
      <c r="G14" s="902"/>
      <c r="H14" s="750" t="s">
        <v>1014</v>
      </c>
      <c r="I14" s="1320" t="s">
        <v>1674</v>
      </c>
      <c r="J14" s="1310">
        <f ca="1">C29</f>
        <v>0</v>
      </c>
      <c r="K14" s="2650"/>
      <c r="L14" s="786"/>
      <c r="M14" s="787"/>
    </row>
    <row r="15" s="2564" customFormat="1" ht="18" customHeight="1" spans="1:37">
      <c r="A15" s="750" t="s">
        <v>1047</v>
      </c>
      <c r="B15" s="1320" t="s">
        <v>1648</v>
      </c>
      <c r="C15" s="1310">
        <f ca="1">ROUND(C14*F15,0)</f>
        <v>0</v>
      </c>
      <c r="D15" s="2651" t="s">
        <v>1339</v>
      </c>
      <c r="E15" s="2651" t="s">
        <v>1294</v>
      </c>
      <c r="F15" s="2652">
        <f>'数据-取费表'!B33</f>
        <v>0.07</v>
      </c>
      <c r="G15" s="2653"/>
      <c r="H15" s="2654" t="s">
        <v>1019</v>
      </c>
      <c r="I15" s="2633" t="s">
        <v>1673</v>
      </c>
      <c r="J15" s="2636">
        <f ca="1">INDIRECT("'数据-取费表'!ad"&amp;$G$1)</f>
        <v>0</v>
      </c>
      <c r="K15" s="2655"/>
      <c r="L15" s="2656"/>
      <c r="M15" s="2657"/>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750" t="s">
        <v>1050</v>
      </c>
      <c r="B16" s="1320" t="s">
        <v>1343</v>
      </c>
      <c r="C16" s="1310">
        <f ca="1">ROUND(INDIRECT("'数据-取费表'!l"&amp;$G$1)*F43*F16,0)</f>
        <v>0</v>
      </c>
      <c r="D16" s="1320" t="s">
        <v>1339</v>
      </c>
      <c r="E16" s="1320" t="s">
        <v>1294</v>
      </c>
      <c r="F16" s="2658">
        <f ca="1">IF(INDIRECT("'数据-取费表'!c"&amp;$G$1)="住宅",'数据-取费表'!B34,0)</f>
        <v>0</v>
      </c>
      <c r="G16" s="902"/>
      <c r="H16" s="2637" t="s">
        <v>1308</v>
      </c>
      <c r="I16" s="2638" t="s">
        <v>1274</v>
      </c>
      <c r="J16" s="2639">
        <f ca="1">ROUND(J17+J22+J23+J24,0)</f>
        <v>0</v>
      </c>
      <c r="K16" s="2643" t="s">
        <v>1675</v>
      </c>
      <c r="L16" s="2659"/>
      <c r="M16" s="2599"/>
    </row>
    <row r="17" s="2564" customFormat="1" ht="18" customHeight="1" spans="1:37">
      <c r="A17" s="750" t="s">
        <v>1344</v>
      </c>
      <c r="B17" s="1320" t="s">
        <v>1345</v>
      </c>
      <c r="C17" s="1310">
        <f ca="1">ROUND(F17*(F43+INDIRECT("'数据-取费表'!S"&amp;$G$1)),0)</f>
        <v>0</v>
      </c>
      <c r="D17" s="1320" t="s">
        <v>1346</v>
      </c>
      <c r="E17" s="1320" t="s">
        <v>1676</v>
      </c>
      <c r="F17" s="2660">
        <f>'数据-取费表'!B35</f>
        <v>280</v>
      </c>
      <c r="G17" s="2653"/>
      <c r="H17" s="750" t="s">
        <v>1014</v>
      </c>
      <c r="I17" s="1320" t="s">
        <v>1677</v>
      </c>
      <c r="J17" s="2661">
        <f ca="1">ROUND(IF(AND(项目基本情况!B11="自然人",项目基本情况!B10="北京市"),J6*M17/(1+'数据-取费表'!C43),J18+J19+J20),0)</f>
        <v>0</v>
      </c>
      <c r="K17" s="2647" t="s">
        <v>1678</v>
      </c>
      <c r="L17" s="2662" t="s">
        <v>1679</v>
      </c>
      <c r="M17" s="2663" t="str">
        <f ca="1">IF(项目基本情况!B11="企业","",IF('数据-取费表'!B10="住宅",IF(M6*M7*M8/12/(1+'数据-取费表'!F30)&gt;100000,4%,2.5%),IF(M6*M7*M8/12/(1+'数据-取费表'!F30)&gt;100000,12%,7%)))</f>
        <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750" t="s">
        <v>1348</v>
      </c>
      <c r="B18" s="1320" t="s">
        <v>1680</v>
      </c>
      <c r="C18" s="1310">
        <f ca="1">ROUND(C14*F18,0)</f>
        <v>0</v>
      </c>
      <c r="D18" s="1320" t="s">
        <v>1339</v>
      </c>
      <c r="E18" s="1320" t="s">
        <v>1294</v>
      </c>
      <c r="F18" s="2658">
        <f>'数据-取费表'!B36</f>
        <v>0.01</v>
      </c>
      <c r="G18" s="2653"/>
      <c r="H18" s="750" t="s">
        <v>1043</v>
      </c>
      <c r="I18" s="1320" t="s">
        <v>1681</v>
      </c>
      <c r="J18" s="1310">
        <f ca="1">ROUND(J6*M18/(1+'数据-取费表'!C43),0)</f>
        <v>0</v>
      </c>
      <c r="K18" s="2662" t="s">
        <v>1682</v>
      </c>
      <c r="L18" s="1320" t="s">
        <v>1294</v>
      </c>
      <c r="M18" s="2658">
        <f>'数据-取费表'!B42</f>
        <v>0</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ht="18" customHeight="1" spans="1:37">
      <c r="A19" s="750" t="s">
        <v>1014</v>
      </c>
      <c r="B19" s="1320" t="s">
        <v>1683</v>
      </c>
      <c r="C19" s="1310">
        <f ca="1">SUM(C14:C18)</f>
        <v>0</v>
      </c>
      <c r="D19" s="2664" t="s">
        <v>1684</v>
      </c>
      <c r="E19" s="2665"/>
      <c r="F19" s="2660"/>
      <c r="G19" s="902"/>
      <c r="H19" s="750" t="s">
        <v>1047</v>
      </c>
      <c r="I19" s="1320" t="s">
        <v>1685</v>
      </c>
      <c r="J19" s="1310">
        <f ca="1">IF(K19="按租金收入计税",ROUND(J6*M19/(1+'数据-取费表'!C43),0),ROUND(C29*M19*0.7,0))</f>
        <v>0</v>
      </c>
      <c r="K19" s="2666" t="s">
        <v>1686</v>
      </c>
      <c r="L19" s="1320" t="s">
        <v>1294</v>
      </c>
      <c r="M19" s="2658">
        <f>IF(K19="按租金收入计税",'数据-取费表'!B52,'数据-取费表'!B51)</f>
        <v>0.12</v>
      </c>
    </row>
    <row r="20" s="2564" customFormat="1" ht="18" customHeight="1" spans="1:37">
      <c r="A20" s="750" t="s">
        <v>1019</v>
      </c>
      <c r="B20" s="1320" t="s">
        <v>1306</v>
      </c>
      <c r="C20" s="1310">
        <f ca="1">ROUND(C19*F20,0)</f>
        <v>0</v>
      </c>
      <c r="D20" s="2667" t="s">
        <v>1687</v>
      </c>
      <c r="E20" s="1320" t="s">
        <v>1294</v>
      </c>
      <c r="F20" s="2658">
        <f>'数据-取费表'!B38</f>
        <v>0.02</v>
      </c>
      <c r="G20" s="2653"/>
      <c r="H20" s="750" t="s">
        <v>1050</v>
      </c>
      <c r="I20" s="2603" t="s">
        <v>1688</v>
      </c>
      <c r="J20" s="2668">
        <f ca="1">ROUND(M20*M21,0)</f>
        <v>0</v>
      </c>
      <c r="K20" s="2669" t="s">
        <v>1296</v>
      </c>
      <c r="L20" s="1320" t="s">
        <v>1297</v>
      </c>
      <c r="M20" s="2670">
        <f>'数据-取费表'!B53</f>
        <v>3</v>
      </c>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row>
    <row r="21" s="2564" customFormat="1" ht="18" customHeight="1" spans="1:37">
      <c r="A21" s="750" t="s">
        <v>1070</v>
      </c>
      <c r="B21" s="1320" t="s">
        <v>1689</v>
      </c>
      <c r="C21" s="1310" t="s">
        <v>124</v>
      </c>
      <c r="D21" s="2667" t="s">
        <v>1690</v>
      </c>
      <c r="E21" s="1320" t="s">
        <v>1691</v>
      </c>
      <c r="F21" s="2658">
        <f>'数据-取费表'!B39</f>
        <v>0.02</v>
      </c>
      <c r="G21" s="2653"/>
      <c r="H21" s="2671"/>
      <c r="I21" s="2672"/>
      <c r="J21" s="2673"/>
      <c r="K21" s="2674"/>
      <c r="L21" s="1320" t="s">
        <v>1298</v>
      </c>
      <c r="M21" s="2604">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ht="18" customHeight="1" spans="1:37">
      <c r="A22" s="750" t="s">
        <v>1075</v>
      </c>
      <c r="B22" s="1320" t="s">
        <v>1692</v>
      </c>
      <c r="C22" s="1310"/>
      <c r="D22" s="2664" t="str">
        <f>IF(F23&lt;=1,"单利计息。","复利计息。")&amp;"建造成本、管理费用、销售费用产生的利息。"</f>
        <v>复利计息。建造成本、管理费用、销售费用产生的利息。</v>
      </c>
      <c r="E22" s="2665"/>
      <c r="F22" s="2660"/>
      <c r="G22" s="902"/>
      <c r="H22" s="750" t="s">
        <v>1019</v>
      </c>
      <c r="I22" s="1320" t="s">
        <v>1299</v>
      </c>
      <c r="J22" s="1310">
        <f ca="1">ROUND(J14*M22,0)</f>
        <v>0</v>
      </c>
      <c r="K22" s="2662" t="s">
        <v>1300</v>
      </c>
      <c r="L22" s="1320" t="s">
        <v>1294</v>
      </c>
      <c r="M22" s="2675">
        <f ca="1">INDIRECT("'数据-取费表'!Ak"&amp;$G$1)</f>
        <v>0</v>
      </c>
    </row>
    <row r="23" s="2564" customFormat="1" ht="18" customHeight="1" spans="1:37">
      <c r="A23" s="750" t="s">
        <v>1043</v>
      </c>
      <c r="B23" s="1320" t="s">
        <v>1357</v>
      </c>
      <c r="C23" s="1310">
        <f ca="1">IF('数据-取费表'!B22&lt;=1,ROUND(C19*F24*F23/2,0)+ROUND(C20*F24*F23/2,0),ROUND(C19*(POWER((1+F24),F23/2)-1),0)+ROUND(C20*(POWER((1+F24),F23/2)-1),0))</f>
        <v>0</v>
      </c>
      <c r="D23" s="1299" t="str">
        <f>IF(F23&lt;=1,"(建造成本+管理费用)×利率×(建设周期÷2)","(建造成本+管理费用)×((1+利率)^(建设周期÷2)-1)")</f>
        <v>(建造成本+管理费用)×((1+利率)^(建设周期÷2)-1)</v>
      </c>
      <c r="E23" s="1320" t="s">
        <v>1358</v>
      </c>
      <c r="F23" s="2670">
        <f>'数据-取费表'!B20</f>
        <v>2</v>
      </c>
      <c r="G23" s="2653"/>
      <c r="H23" s="750" t="s">
        <v>1070</v>
      </c>
      <c r="I23" s="1320" t="s">
        <v>1302</v>
      </c>
      <c r="J23" s="1310">
        <f ca="1">ROUND(J13*M23,0)</f>
        <v>0</v>
      </c>
      <c r="K23" s="2662" t="s">
        <v>1644</v>
      </c>
      <c r="L23" s="1320" t="s">
        <v>1294</v>
      </c>
      <c r="M23" s="2676">
        <f ca="1">INDIRECT("'数据-取费表'!Al"&amp;$G$1)</f>
        <v>0</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s="2564" customFormat="1" ht="18" customHeight="1" spans="1:37">
      <c r="A24" s="750" t="s">
        <v>1047</v>
      </c>
      <c r="B24" s="1320" t="s">
        <v>1359</v>
      </c>
      <c r="C24" s="1310">
        <f ca="1">ROUND(IF('数据-取费表'!B22&lt;=1,F21*F24*F23/2,F21*(POWER((1+F24),F23/2)-1)),4)</f>
        <v>0.0006</v>
      </c>
      <c r="D24" s="1299" t="str">
        <f>IF(F23&lt;=1,"销售费用×利率×(建设周期÷2)","销售费用×((1+利率)^(建设周期÷2)-1)")</f>
        <v>销售费用×((1+利率)^(建设周期÷2)-1)</v>
      </c>
      <c r="E24" s="1320" t="s">
        <v>1360</v>
      </c>
      <c r="F24" s="2677">
        <f ca="1">'数据-取费表'!B41</f>
        <v>0.0313</v>
      </c>
      <c r="G24" s="2653"/>
      <c r="H24" s="2654" t="s">
        <v>1075</v>
      </c>
      <c r="I24" s="2633" t="s">
        <v>1306</v>
      </c>
      <c r="J24" s="2678">
        <f ca="1">ROUND(J5*M24,0)</f>
        <v>0</v>
      </c>
      <c r="K24" s="2679" t="s">
        <v>1693</v>
      </c>
      <c r="L24" s="2633" t="s">
        <v>1294</v>
      </c>
      <c r="M24" s="2634">
        <f ca="1">INDIRECT("'数据-取费表'!Am"&amp;$G$1)</f>
        <v>0</v>
      </c>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653"/>
    </row>
    <row r="25" ht="18" customHeight="1" spans="1:37">
      <c r="A25" s="750" t="s">
        <v>1079</v>
      </c>
      <c r="B25" s="1320" t="s">
        <v>1694</v>
      </c>
      <c r="C25" s="1310"/>
      <c r="D25" s="2664" t="s">
        <v>1695</v>
      </c>
      <c r="E25" s="2665"/>
      <c r="F25" s="2660"/>
      <c r="G25" s="902"/>
      <c r="H25" s="2637" t="s">
        <v>1311</v>
      </c>
      <c r="I25" s="2680" t="s">
        <v>1309</v>
      </c>
      <c r="J25" s="2639">
        <f ca="1">J5-J16</f>
        <v>0</v>
      </c>
      <c r="K25" s="2681" t="s">
        <v>1696</v>
      </c>
      <c r="L25" s="2682"/>
      <c r="M25" s="2683"/>
    </row>
    <row r="26" ht="18" customHeight="1" spans="1:37">
      <c r="A26" s="750" t="s">
        <v>1043</v>
      </c>
      <c r="B26" s="1320" t="s">
        <v>1364</v>
      </c>
      <c r="C26" s="1310">
        <f ca="1">ROUND((C19+C20)*F26,0)</f>
        <v>0</v>
      </c>
      <c r="D26" s="2667" t="s">
        <v>1365</v>
      </c>
      <c r="E26" s="2616" t="s">
        <v>1366</v>
      </c>
      <c r="F26" s="2615">
        <f ca="1">INDIRECT("'数据-取费表'!q"&amp;$G$1)</f>
        <v>0</v>
      </c>
      <c r="G26" s="902"/>
      <c r="H26" s="2594" t="s">
        <v>1319</v>
      </c>
      <c r="I26" s="2595" t="s">
        <v>1315</v>
      </c>
      <c r="J26" s="2605">
        <f ca="1">IF(J5&lt;&gt;0,ROUND(J25*(1-((1+M28)/(1+M26))^M27)/(M26-M28),0),0)</f>
        <v>0</v>
      </c>
      <c r="K26" s="2669" t="s">
        <v>1697</v>
      </c>
      <c r="L26" s="1320" t="s">
        <v>1698</v>
      </c>
      <c r="M26" s="2615">
        <f ca="1">INDIRECT("'数据-取费表'!I"&amp;$G$1)</f>
        <v>0</v>
      </c>
    </row>
    <row r="27" ht="18" customHeight="1" spans="1:37">
      <c r="A27" s="750" t="s">
        <v>1047</v>
      </c>
      <c r="B27" s="1320" t="s">
        <v>1367</v>
      </c>
      <c r="C27" s="1310">
        <f ca="1">ROUND(F21*F26,4)</f>
        <v>0</v>
      </c>
      <c r="D27" s="2667" t="s">
        <v>1368</v>
      </c>
      <c r="E27" s="2651"/>
      <c r="F27" s="2652"/>
      <c r="G27" s="902"/>
      <c r="H27" s="2612"/>
      <c r="I27" s="2684"/>
      <c r="J27" s="2613"/>
      <c r="K27" s="2685" t="s">
        <v>1699</v>
      </c>
      <c r="L27" s="1320" t="s">
        <v>1700</v>
      </c>
      <c r="M27" s="2686">
        <f ca="1">INDIRECT("'数据-取费表'!ag"&amp;$G$1)</f>
        <v>0</v>
      </c>
    </row>
    <row r="28" s="2564" customFormat="1" ht="18" customHeight="1" spans="1:37">
      <c r="A28" s="750" t="s">
        <v>1081</v>
      </c>
      <c r="B28" s="1320" t="s">
        <v>1701</v>
      </c>
      <c r="C28" s="1310">
        <f>ROUND(F28/(1+'数据-取费表'!C43),4)</f>
        <v>0</v>
      </c>
      <c r="D28" s="2667" t="s">
        <v>1702</v>
      </c>
      <c r="E28" s="1320" t="s">
        <v>1294</v>
      </c>
      <c r="F28" s="2658">
        <f>'数据-取费表'!B42</f>
        <v>0</v>
      </c>
      <c r="G28" s="2653"/>
      <c r="H28" s="2623"/>
      <c r="I28" s="2687"/>
      <c r="J28" s="2639"/>
      <c r="K28" s="2674"/>
      <c r="L28" s="1320" t="s">
        <v>1703</v>
      </c>
      <c r="M28" s="2615">
        <f ca="1">INDIRECT("'数据-取费表'!aa"&amp;$G$1)</f>
        <v>0</v>
      </c>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row>
    <row r="29" s="2564" customFormat="1" ht="18" customHeight="1" spans="1:37">
      <c r="A29" s="2654" t="s">
        <v>1704</v>
      </c>
      <c r="B29" s="2633" t="s">
        <v>1705</v>
      </c>
      <c r="C29" s="2678">
        <f ca="1">ROUND((C19+C20+C23+C26)/(1-F21-C24-C27-C28),0)</f>
        <v>0</v>
      </c>
      <c r="D29" s="2679"/>
      <c r="E29" s="2633"/>
      <c r="F29" s="2688"/>
      <c r="G29" s="2653"/>
      <c r="H29" s="757" t="s">
        <v>1324</v>
      </c>
      <c r="I29" s="2689" t="s">
        <v>1322</v>
      </c>
      <c r="J29" s="2690">
        <f ca="1">ROUND(J26/(1+F40)^F41,0)</f>
        <v>0</v>
      </c>
      <c r="K29" s="2691" t="s">
        <v>1706</v>
      </c>
      <c r="L29" s="2692"/>
      <c r="M29" s="2693">
        <f ca="1">INDIRECT("'数据-取费表'!k"&amp;$G$1)</f>
        <v>0</v>
      </c>
      <c r="N29" s="2653"/>
      <c r="O29" s="2653"/>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row>
    <row r="30" ht="18" customHeight="1" spans="1:37">
      <c r="A30" s="2637" t="s">
        <v>1308</v>
      </c>
      <c r="B30" s="2638" t="s">
        <v>1274</v>
      </c>
      <c r="C30" s="2639">
        <f ca="1">ROUND(C31+C36+C37+C38,0)</f>
        <v>0</v>
      </c>
      <c r="D30" s="2643" t="s">
        <v>1675</v>
      </c>
      <c r="E30" s="2659"/>
      <c r="F30" s="2599"/>
      <c r="G30" s="902"/>
      <c r="H30" s="2694"/>
      <c r="I30" s="2695"/>
      <c r="J30" s="2696"/>
      <c r="K30" s="2697"/>
      <c r="L30" s="2698"/>
      <c r="M30" s="2699"/>
    </row>
    <row r="31" ht="18" customHeight="1" spans="1:37">
      <c r="A31" s="750" t="s">
        <v>1014</v>
      </c>
      <c r="B31" s="1320" t="s">
        <v>1677</v>
      </c>
      <c r="C31" s="2661">
        <f ca="1">ROUND(IF(AND(项目基本情况!B11="自然人",项目基本情况!B10="北京市"),C6*F31/(1+'数据-取费表'!C43),C32+C33+C34),0)</f>
        <v>0</v>
      </c>
      <c r="D31" s="2647" t="s">
        <v>1678</v>
      </c>
      <c r="E31" s="2662" t="s">
        <v>1679</v>
      </c>
      <c r="F31" s="2663" t="str">
        <f ca="1">IF(项目基本情况!B11="企业","——",IF(M47="住宅",IF(F6*F7*F8/12/(1+'数据-取费表'!F30)&gt;100000,4%,2.5%),IF(F6*F7*F8/12/(1+'数据-取费表'!F30)&gt;100000,12%,7%)))</f>
        <v>——</v>
      </c>
      <c r="G31" s="902"/>
      <c r="H31" s="2700" t="s">
        <v>1707</v>
      </c>
      <c r="I31" s="2695"/>
      <c r="J31" s="2696"/>
      <c r="K31" s="2697"/>
      <c r="L31" s="2698"/>
      <c r="M31" s="2699"/>
    </row>
    <row r="32" ht="18" customHeight="1" spans="1:37">
      <c r="A32" s="750" t="s">
        <v>1043</v>
      </c>
      <c r="B32" s="1320" t="s">
        <v>1681</v>
      </c>
      <c r="C32" s="1310">
        <f ca="1">IF(项目基本情况!B11="自然人","——",ROUND(C6*F32/(1+'数据-取费表'!C43),0))</f>
        <v>0</v>
      </c>
      <c r="D32" s="2662" t="s">
        <v>1682</v>
      </c>
      <c r="E32" s="1320" t="s">
        <v>1294</v>
      </c>
      <c r="F32" s="2677">
        <f>'数据-取费表'!B42</f>
        <v>0</v>
      </c>
      <c r="G32" s="902"/>
      <c r="H32" s="2694"/>
      <c r="I32" s="2695"/>
      <c r="J32" s="2696"/>
      <c r="K32" s="2697"/>
      <c r="L32" s="2698"/>
      <c r="M32" s="2699"/>
    </row>
    <row r="33" ht="18" customHeight="1" spans="1:18">
      <c r="A33" s="750" t="s">
        <v>1047</v>
      </c>
      <c r="B33" s="1320" t="s">
        <v>1685</v>
      </c>
      <c r="C33" s="1310">
        <f ca="1">IF(项目基本情况!B11="自然人","——",IF(D33="按租金收入计税",ROUND(C6*F33/(1+'数据-取费表'!C43),0),IF(D33="按房产原值计税",ROUND(C29*F33*0.7,0),INDIRECT("'数据-取费表'!Aj"&amp;$G$1))))</f>
        <v>0</v>
      </c>
      <c r="D33" s="2666" t="s">
        <v>1686</v>
      </c>
      <c r="E33" s="1320" t="s">
        <v>1294</v>
      </c>
      <c r="F33" s="2658">
        <f>IF(D33="按票据","——",IF(D33="按租金收入计税",'数据-取费表'!B52,'数据-取费表'!B51))</f>
        <v>0.12</v>
      </c>
      <c r="G33" s="902"/>
      <c r="H33" s="2701"/>
      <c r="I33" s="2695"/>
      <c r="J33" s="2696"/>
      <c r="K33" s="2702"/>
      <c r="L33" s="2701"/>
      <c r="M33" s="2701"/>
    </row>
    <row r="34" ht="18" customHeight="1" spans="1:18">
      <c r="A34" s="2600" t="s">
        <v>1050</v>
      </c>
      <c r="B34" s="2603" t="s">
        <v>1688</v>
      </c>
      <c r="C34" s="2668">
        <f ca="1">IF(项目基本情况!B11="自然人","——",ROUND(F34*F35,0))</f>
        <v>0</v>
      </c>
      <c r="D34" s="2669" t="s">
        <v>1296</v>
      </c>
      <c r="E34" s="1320" t="s">
        <v>1297</v>
      </c>
      <c r="F34" s="2670">
        <f>'数据-取费表'!B53</f>
        <v>3</v>
      </c>
      <c r="G34" s="902"/>
      <c r="H34" s="2694"/>
      <c r="I34" s="2695"/>
      <c r="J34" s="2696"/>
      <c r="K34" s="2703"/>
      <c r="L34" s="2704"/>
      <c r="M34" s="2704"/>
    </row>
    <row r="35" ht="18" customHeight="1" spans="1:18">
      <c r="A35" s="2705"/>
      <c r="B35" s="2706"/>
      <c r="C35" s="2673"/>
      <c r="D35" s="2674"/>
      <c r="E35" s="1320" t="s">
        <v>1298</v>
      </c>
      <c r="F35" s="2604">
        <f ca="1">INDIRECT("'数据-取费表'!r"&amp;$G$1)</f>
        <v>0</v>
      </c>
      <c r="G35" s="902"/>
      <c r="H35" s="2694"/>
      <c r="I35" s="2695"/>
      <c r="J35" s="2696"/>
      <c r="K35" s="2702"/>
      <c r="L35" s="2701"/>
      <c r="M35" s="2701"/>
    </row>
    <row r="36" ht="18" customHeight="1" spans="1:18">
      <c r="A36" s="2707" t="s">
        <v>1019</v>
      </c>
      <c r="B36" s="1320" t="s">
        <v>1299</v>
      </c>
      <c r="C36" s="1310">
        <f ca="1">ROUND(C29*F36,0)</f>
        <v>0</v>
      </c>
      <c r="D36" s="2662" t="s">
        <v>1708</v>
      </c>
      <c r="E36" s="1320" t="s">
        <v>1294</v>
      </c>
      <c r="F36" s="2675">
        <f ca="1">INDIRECT("'数据-取费表'!Ak"&amp;$G$1)</f>
        <v>0</v>
      </c>
      <c r="G36" s="902"/>
      <c r="H36" s="2701"/>
      <c r="I36" s="2695"/>
      <c r="J36" s="2696"/>
      <c r="K36" s="1356"/>
      <c r="L36" s="2701"/>
      <c r="M36" s="2701"/>
    </row>
    <row r="37" ht="18" customHeight="1" spans="1:18">
      <c r="A37" s="750" t="s">
        <v>1070</v>
      </c>
      <c r="B37" s="1320" t="s">
        <v>1302</v>
      </c>
      <c r="C37" s="1310">
        <f ca="1">ROUND(C13*F37,0)</f>
        <v>0</v>
      </c>
      <c r="D37" s="2662" t="s">
        <v>1644</v>
      </c>
      <c r="E37" s="1320" t="s">
        <v>1294</v>
      </c>
      <c r="F37" s="2676">
        <f ca="1">INDIRECT("'数据-取费表'!Al"&amp;$G$1)</f>
        <v>0</v>
      </c>
      <c r="G37" s="902"/>
      <c r="H37" s="2701"/>
      <c r="I37" s="2695"/>
      <c r="J37" s="2696"/>
      <c r="K37" s="1356"/>
      <c r="L37" s="2701"/>
      <c r="M37" s="2701"/>
    </row>
    <row r="38" ht="18" customHeight="1" spans="1:18">
      <c r="A38" s="2654" t="s">
        <v>1075</v>
      </c>
      <c r="B38" s="2633" t="s">
        <v>1306</v>
      </c>
      <c r="C38" s="2678">
        <f ca="1">ROUND(C5*F38,0)</f>
        <v>0</v>
      </c>
      <c r="D38" s="2679" t="s">
        <v>1693</v>
      </c>
      <c r="E38" s="2633" t="s">
        <v>1294</v>
      </c>
      <c r="F38" s="2634">
        <f ca="1">INDIRECT("'数据-取费表'!Am"&amp;$G$1)</f>
        <v>0</v>
      </c>
      <c r="G38" s="902"/>
      <c r="H38" s="2701"/>
      <c r="I38" s="2695"/>
      <c r="J38" s="2696"/>
      <c r="K38" s="2708"/>
      <c r="L38" s="2701"/>
      <c r="M38" s="2701"/>
    </row>
    <row r="39" ht="24.6" customHeight="1" spans="1:18">
      <c r="A39" s="2637" t="s">
        <v>1311</v>
      </c>
      <c r="B39" s="2680" t="s">
        <v>1309</v>
      </c>
      <c r="C39" s="2639">
        <f ca="1">C5-C30</f>
        <v>0</v>
      </c>
      <c r="D39" s="2681" t="s">
        <v>1696</v>
      </c>
      <c r="E39" s="2682"/>
      <c r="F39" s="2683"/>
      <c r="G39" s="902"/>
      <c r="H39" s="2701"/>
      <c r="I39" s="2695"/>
      <c r="J39" s="2696"/>
      <c r="K39" s="2708"/>
      <c r="L39" s="2701"/>
      <c r="M39" s="2701"/>
    </row>
    <row r="40" ht="18" customHeight="1" spans="1:18">
      <c r="A40" s="2594" t="s">
        <v>1319</v>
      </c>
      <c r="B40" s="2595" t="s">
        <v>1312</v>
      </c>
      <c r="C40" s="2605" t="e">
        <f ca="1">ROUND(C39*(1-((1+F42)/(1+F40))^F41)/(F40-F42),0)</f>
        <v>#DIV/0!</v>
      </c>
      <c r="D40" s="2669" t="s">
        <v>1697</v>
      </c>
      <c r="E40" s="1320" t="s">
        <v>1698</v>
      </c>
      <c r="F40" s="2615">
        <f ca="1">INDIRECT("'数据-取费表'!I"&amp;$G$1)</f>
        <v>0</v>
      </c>
      <c r="G40" s="902"/>
      <c r="H40" s="2709"/>
      <c r="I40" s="2695"/>
      <c r="J40" s="2696"/>
      <c r="K40" s="2708"/>
      <c r="L40" s="2709"/>
      <c r="M40" s="2709"/>
    </row>
    <row r="41" ht="18" customHeight="1" spans="1:18">
      <c r="A41" s="2612"/>
      <c r="B41" s="2684"/>
      <c r="C41" s="2613"/>
      <c r="D41" s="2685" t="s">
        <v>1699</v>
      </c>
      <c r="E41" s="1320" t="s">
        <v>1700</v>
      </c>
      <c r="F41" s="2686">
        <f ca="1">IF(INDIRECT("'数据-取费表'!af"&amp;$G$1)=0,INDIRECT("'数据-取费表'!ae"&amp;$G$1),INDIRECT("'数据-取费表'!af"&amp;$G$1))</f>
        <v>0</v>
      </c>
      <c r="G41" s="902"/>
      <c r="H41" s="732"/>
      <c r="I41" s="2695"/>
      <c r="J41" s="2696"/>
      <c r="K41" s="1356"/>
      <c r="L41" s="732"/>
      <c r="M41" s="732"/>
    </row>
    <row r="42" ht="18" customHeight="1" spans="1:18">
      <c r="A42" s="2623"/>
      <c r="B42" s="2687"/>
      <c r="C42" s="2639"/>
      <c r="D42" s="2674"/>
      <c r="E42" s="1320" t="s">
        <v>1703</v>
      </c>
      <c r="F42" s="2615">
        <f ca="1">INDIRECT("'数据-取费表'!v"&amp;$G$1)</f>
        <v>0</v>
      </c>
      <c r="G42" s="902"/>
      <c r="H42" s="732"/>
      <c r="I42" s="2695"/>
      <c r="J42" s="2696"/>
      <c r="K42" s="1356"/>
      <c r="L42" s="732"/>
      <c r="M42" s="732"/>
    </row>
    <row r="43" ht="18" customHeight="1" spans="1:18">
      <c r="A43" s="757" t="s">
        <v>1324</v>
      </c>
      <c r="B43" s="2689" t="s">
        <v>1325</v>
      </c>
      <c r="C43" s="2690" t="e">
        <f ca="1">ROUND(C40/F43,0)</f>
        <v>#DIV/0!</v>
      </c>
      <c r="D43" s="2691" t="s">
        <v>1709</v>
      </c>
      <c r="E43" s="2692" t="s">
        <v>1710</v>
      </c>
      <c r="F43" s="2693">
        <f ca="1">INDIRECT("'数据-取费表'!k"&amp;$G$1)</f>
        <v>0</v>
      </c>
      <c r="G43" s="902"/>
      <c r="H43" s="732"/>
      <c r="I43" s="732"/>
      <c r="J43" s="732"/>
      <c r="K43" s="1356"/>
      <c r="L43" s="732"/>
      <c r="M43" s="732"/>
    </row>
    <row r="44" s="902" customFormat="1" ht="18" customHeight="1" spans="1:18">
      <c r="A44" s="2710"/>
      <c r="B44" s="2710"/>
      <c r="C44" s="2711"/>
      <c r="D44" s="2710"/>
      <c r="E44" s="2710"/>
      <c r="F44" s="2710"/>
      <c r="K44" s="2712"/>
    </row>
    <row r="45" s="902" customFormat="1" ht="18" customHeight="1" spans="1:18">
      <c r="A45" s="2713" t="s">
        <v>1652</v>
      </c>
      <c r="B45" s="2710"/>
      <c r="C45" s="2714" t="e">
        <f ca="1">ROUND((C68-C40)/10000,4)</f>
        <v>#DIV/0!</v>
      </c>
      <c r="D45" s="2715" t="s">
        <v>1711</v>
      </c>
      <c r="E45" s="2710"/>
      <c r="F45" s="2710"/>
      <c r="O45" s="2716" t="s">
        <v>1380</v>
      </c>
      <c r="P45" s="2709"/>
      <c r="Q45" s="2709"/>
      <c r="R45" s="2709"/>
    </row>
    <row r="46" s="902" customFormat="1" ht="13.5" spans="1:18">
      <c r="A46" s="2717" t="s">
        <v>1381</v>
      </c>
      <c r="C46" s="2718" t="e">
        <f ca="1">ROUND(C45,0)</f>
        <v>#DIV/0!</v>
      </c>
      <c r="D46" s="2719" t="str">
        <f>C2</f>
        <v>万元</v>
      </c>
      <c r="I46" s="2720" t="s">
        <v>1382</v>
      </c>
      <c r="J46" s="2721"/>
      <c r="K46" s="2722"/>
      <c r="L46" s="2723" t="e">
        <f ca="1">IF(M47="住宅",0,IF(L48&gt;J51,L60,J60))</f>
        <v>#DIV/0!</v>
      </c>
      <c r="O46" s="2724" t="s">
        <v>1452</v>
      </c>
      <c r="P46" s="2725" t="s">
        <v>1453</v>
      </c>
      <c r="Q46" s="2726" t="s">
        <v>1454</v>
      </c>
      <c r="R46" s="2726" t="s">
        <v>1455</v>
      </c>
    </row>
    <row r="47" s="902" customFormat="1" ht="13.5" spans="1:18">
      <c r="A47" s="2727" t="s">
        <v>1658</v>
      </c>
      <c r="B47" s="2728" t="s">
        <v>1659</v>
      </c>
      <c r="C47" s="2728" t="s">
        <v>1660</v>
      </c>
      <c r="D47" s="2728" t="s">
        <v>1661</v>
      </c>
      <c r="E47" s="2729" t="s">
        <v>1662</v>
      </c>
      <c r="F47" s="2730"/>
      <c r="G47" s="2731"/>
      <c r="I47" s="2732" t="s">
        <v>1386</v>
      </c>
      <c r="J47" s="2733"/>
      <c r="K47" s="2734" t="s">
        <v>1387</v>
      </c>
      <c r="L47" s="2735">
        <f ca="1">INDIRECT("'数据-取费表'!d"&amp;$G$1)</f>
        <v>0</v>
      </c>
      <c r="M47" s="2736" t="str">
        <f>IF(ISNUMBER(FIND("住宅",C1)),"住宅","非住宅")</f>
        <v>非住宅</v>
      </c>
      <c r="O47" s="2737" t="s">
        <v>1388</v>
      </c>
      <c r="P47" s="2738" t="s">
        <v>1712</v>
      </c>
      <c r="Q47" s="2739" t="e">
        <f ca="1">C40+J29</f>
        <v>#DIV/0!</v>
      </c>
      <c r="R47" s="2739" t="s">
        <v>1404</v>
      </c>
    </row>
    <row r="48" s="902" customFormat="1" ht="26.25" spans="1:18">
      <c r="A48" s="2740" t="s">
        <v>1391</v>
      </c>
      <c r="B48" s="2595" t="s">
        <v>1392</v>
      </c>
      <c r="C48" s="2741">
        <f ca="1">C49+C53+C55</f>
        <v>0</v>
      </c>
      <c r="D48" s="2742"/>
      <c r="E48" s="2743"/>
      <c r="F48" s="2744"/>
      <c r="G48" s="2731"/>
      <c r="H48" s="2745"/>
      <c r="I48" s="2746" t="s">
        <v>1393</v>
      </c>
      <c r="J48" s="2747"/>
      <c r="K48" s="2748" t="s">
        <v>1395</v>
      </c>
      <c r="L48" s="2749">
        <f ca="1">INDIRECT("'数据-取费表'!f"&amp;$G$1)</f>
        <v>0</v>
      </c>
      <c r="O48" s="2737" t="s">
        <v>1396</v>
      </c>
      <c r="P48" s="2738" t="s">
        <v>1713</v>
      </c>
      <c r="Q48" s="2739" t="e">
        <f ca="1">J60</f>
        <v>#DIV/0!</v>
      </c>
      <c r="R48" s="2739" t="s">
        <v>1714</v>
      </c>
    </row>
    <row r="49" s="902" customFormat="1" ht="13.5" spans="1:18">
      <c r="A49" s="2750" t="s">
        <v>1329</v>
      </c>
      <c r="B49" s="2751" t="s">
        <v>1715</v>
      </c>
      <c r="C49" s="2752">
        <f ca="1">ROUND(F49*F51*F50*(1-F52),0)</f>
        <v>0</v>
      </c>
      <c r="D49" s="2753" t="s">
        <v>1716</v>
      </c>
      <c r="E49" s="2754" t="s">
        <v>1717</v>
      </c>
      <c r="F49" s="2755"/>
      <c r="G49" s="2756"/>
      <c r="H49" s="2745"/>
      <c r="I49" s="2746" t="s">
        <v>1400</v>
      </c>
      <c r="J49" s="2757"/>
      <c r="K49" s="2748" t="s">
        <v>1401</v>
      </c>
      <c r="L49" s="2758"/>
      <c r="O49" s="2759" t="s">
        <v>1402</v>
      </c>
      <c r="P49" s="2738" t="s">
        <v>1403</v>
      </c>
      <c r="Q49" s="2739">
        <f ca="1">C29</f>
        <v>0</v>
      </c>
      <c r="R49" s="2739" t="s">
        <v>1404</v>
      </c>
    </row>
    <row r="50" s="902" customFormat="1" ht="13.5" spans="1:18">
      <c r="A50" s="2760"/>
      <c r="B50" s="2761"/>
      <c r="C50" s="2762"/>
      <c r="D50" s="2763"/>
      <c r="E50" s="2764" t="s">
        <v>1263</v>
      </c>
      <c r="F50" s="2765">
        <f ca="1">F7</f>
        <v>0</v>
      </c>
      <c r="H50" s="2745"/>
      <c r="I50" s="2746" t="s">
        <v>1405</v>
      </c>
      <c r="J50" s="2766">
        <f>SUMPRODUCT((I63:I65=J47)*(J62:L62=J48)*(J63:L65))</f>
        <v>0</v>
      </c>
      <c r="K50" s="2748" t="s">
        <v>1406</v>
      </c>
      <c r="L50" s="2758"/>
      <c r="M50" s="2767"/>
      <c r="O50" s="2759" t="s">
        <v>1407</v>
      </c>
      <c r="P50" s="2738" t="s">
        <v>1408</v>
      </c>
      <c r="Q50" s="2768" t="e">
        <f ca="1">J58</f>
        <v>#DIV/0!</v>
      </c>
      <c r="R50" s="2739"/>
    </row>
    <row r="51" s="902" customFormat="1" ht="13.5" spans="1:18">
      <c r="A51" s="2769"/>
      <c r="B51" s="2761"/>
      <c r="C51" s="2762"/>
      <c r="D51" s="2763"/>
      <c r="E51" s="2770" t="s">
        <v>1668</v>
      </c>
      <c r="F51" s="2604">
        <f ca="1">F8</f>
        <v>0</v>
      </c>
      <c r="I51" s="2771" t="s">
        <v>1409</v>
      </c>
      <c r="J51" s="2749">
        <f>IF(J49="",J50,J49+J50-YEAR('数据-取费表'!B2))</f>
        <v>0</v>
      </c>
      <c r="K51" s="2772" t="s">
        <v>1410</v>
      </c>
      <c r="L51" s="2773">
        <f ca="1">ROUND(-PV(INDIRECT("'数据-取费表'!h"&amp;$G$1),J51,(C39-C13*C76),0),0)</f>
        <v>0</v>
      </c>
      <c r="M51" s="2774"/>
      <c r="O51" s="2759" t="s">
        <v>1411</v>
      </c>
      <c r="P51" s="2738" t="s">
        <v>1412</v>
      </c>
      <c r="Q51" s="2768">
        <f>J52</f>
        <v>0</v>
      </c>
      <c r="R51" s="2739"/>
    </row>
    <row r="52" s="902" customFormat="1" ht="13.5" spans="1:18">
      <c r="A52" s="2769"/>
      <c r="B52" s="2761"/>
      <c r="C52" s="2762"/>
      <c r="D52" s="2763"/>
      <c r="E52" s="2770" t="s">
        <v>1266</v>
      </c>
      <c r="F52" s="2775"/>
      <c r="I52" s="2776" t="s">
        <v>1413</v>
      </c>
      <c r="J52" s="2777"/>
      <c r="K52" s="2776" t="s">
        <v>1414</v>
      </c>
      <c r="L52" s="2777"/>
      <c r="O52" s="2759" t="s">
        <v>1415</v>
      </c>
      <c r="P52" s="2738" t="s">
        <v>1416</v>
      </c>
      <c r="Q52" s="2739">
        <f ca="1">J53</f>
        <v>0</v>
      </c>
      <c r="R52" s="2739" t="s">
        <v>1417</v>
      </c>
    </row>
    <row r="53" s="902" customFormat="1" ht="30.75" customHeight="1" spans="1:18">
      <c r="A53" s="2778" t="s">
        <v>1349</v>
      </c>
      <c r="B53" s="2667" t="s">
        <v>1267</v>
      </c>
      <c r="C53" s="2619">
        <f ca="1">ROUND(IF(F53="押一",C49/12*F11,IF(F53="押二",C49/12*2*F11,IF(F53="押三",C49/12*3*F11,C54*F11))),0)</f>
        <v>0</v>
      </c>
      <c r="D53" s="2620" t="s">
        <v>1718</v>
      </c>
      <c r="E53" s="2616" t="s">
        <v>1269</v>
      </c>
      <c r="F53" s="2621"/>
      <c r="I53" s="2779" t="s">
        <v>1418</v>
      </c>
      <c r="J53" s="2780">
        <f ca="1">IF(M47="住宅",IF(D1="——",MAX(J51,L48),MAX(J51,L48-'数据-取费表'!B24)),IF(D1="——",MIN(J51,L48),MIN(J51,L48-'数据-取费表'!B24)))</f>
        <v>0</v>
      </c>
      <c r="K53" s="2781" t="s">
        <v>1419</v>
      </c>
      <c r="L53" s="2782"/>
      <c r="O53" s="2737" t="s">
        <v>1420</v>
      </c>
      <c r="P53" s="2738" t="s">
        <v>1719</v>
      </c>
      <c r="Q53" s="2739" t="e">
        <f ca="1">Q47+Q48</f>
        <v>#DIV/0!</v>
      </c>
      <c r="R53" s="2739" t="s">
        <v>1720</v>
      </c>
    </row>
    <row r="54" s="902" customFormat="1" ht="13.5" spans="1:18">
      <c r="A54" s="2750"/>
      <c r="B54" s="2783" t="s">
        <v>1671</v>
      </c>
      <c r="C54" s="2625"/>
      <c r="D54" s="2620"/>
      <c r="E54" s="2784"/>
      <c r="F54" s="2785"/>
      <c r="I54" s="27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7"/>
      <c r="K54" s="2787"/>
      <c r="L54" s="2787"/>
      <c r="M54" s="2756"/>
      <c r="O54" s="2716" t="s">
        <v>1423</v>
      </c>
      <c r="P54" s="2788"/>
      <c r="Q54" s="2788"/>
      <c r="R54" s="2788"/>
    </row>
    <row r="55" s="902" customFormat="1" ht="13.5" spans="1:18">
      <c r="A55" s="2629" t="s">
        <v>1070</v>
      </c>
      <c r="B55" s="2630" t="s">
        <v>1272</v>
      </c>
      <c r="C55" s="2631"/>
      <c r="D55" s="2620"/>
      <c r="E55" s="2784"/>
      <c r="F55" s="2785"/>
      <c r="I55" s="2789" t="s">
        <v>1424</v>
      </c>
      <c r="J55" s="2790" t="e">
        <f ca="1">ROUND(IF(J47="钢混",J57/J50,1-(1-2%)*(J50-J57)/J50),3)</f>
        <v>#DIV/0!</v>
      </c>
      <c r="K55" s="2791" t="s">
        <v>1425</v>
      </c>
      <c r="L55" s="2792"/>
      <c r="O55" s="2724" t="s">
        <v>1452</v>
      </c>
      <c r="P55" s="2725" t="s">
        <v>1453</v>
      </c>
      <c r="Q55" s="2726" t="s">
        <v>1454</v>
      </c>
      <c r="R55" s="2726" t="s">
        <v>1455</v>
      </c>
    </row>
    <row r="56" s="902" customFormat="1" ht="36" customHeight="1" spans="1:18">
      <c r="A56" s="2793">
        <v>2</v>
      </c>
      <c r="B56" s="2794" t="s">
        <v>1649</v>
      </c>
      <c r="C56" s="469">
        <f ca="1">C13</f>
        <v>0</v>
      </c>
      <c r="D56" s="652"/>
      <c r="E56" s="2795"/>
      <c r="F56" s="2785"/>
      <c r="I56" s="2796" t="s">
        <v>1427</v>
      </c>
      <c r="J56" s="2797"/>
      <c r="K56" s="2746" t="s">
        <v>1429</v>
      </c>
      <c r="L56" s="2749">
        <f ca="1">IF(L48&lt;J51,"——",L48-J51)</f>
        <v>0</v>
      </c>
      <c r="O56" s="2737" t="s">
        <v>1388</v>
      </c>
      <c r="P56" s="2738" t="s">
        <v>1712</v>
      </c>
      <c r="Q56" s="2739" t="e">
        <f ca="1">C40+J29</f>
        <v>#DIV/0!</v>
      </c>
      <c r="R56" s="2739" t="s">
        <v>1404</v>
      </c>
    </row>
    <row r="57" s="902" customFormat="1" ht="24.75" spans="1:18">
      <c r="A57" s="2798"/>
      <c r="B57" s="1362" t="s">
        <v>1705</v>
      </c>
      <c r="C57" s="479">
        <f ca="1">C29</f>
        <v>0</v>
      </c>
      <c r="D57" s="2799"/>
      <c r="E57" s="2800"/>
      <c r="F57" s="2801"/>
      <c r="I57" s="2802" t="s">
        <v>1430</v>
      </c>
      <c r="J57" s="2803">
        <f ca="1">IF(OR(M47="住宅",J51&lt;L48,J56="是"),"——",J51-L48)</f>
        <v>0</v>
      </c>
      <c r="K57" s="2746" t="s">
        <v>1721</v>
      </c>
      <c r="L57" s="2749">
        <f ca="1">IF(L48&lt;J51,"——",IF(L55="比较法",L49,IF(L55="基准地价",L50,L51)))</f>
        <v>0</v>
      </c>
      <c r="O57" s="2737" t="s">
        <v>1396</v>
      </c>
      <c r="P57" s="2738" t="s">
        <v>1722</v>
      </c>
      <c r="Q57" s="2739" t="e">
        <f ca="1">L60</f>
        <v>#DIV/0!</v>
      </c>
      <c r="R57" s="2739" t="s">
        <v>1723</v>
      </c>
    </row>
    <row r="58" s="902" customFormat="1" ht="24.75" spans="1:18">
      <c r="A58" s="2804" t="s">
        <v>1308</v>
      </c>
      <c r="B58" s="2794" t="s">
        <v>1274</v>
      </c>
      <c r="C58" s="2619">
        <f ca="1">ROUND(C59+C64+C65+C66,0)</f>
        <v>0</v>
      </c>
      <c r="D58" s="2805" t="s">
        <v>1675</v>
      </c>
      <c r="E58" s="2806"/>
      <c r="F58" s="2744"/>
      <c r="I58" s="2802" t="s">
        <v>1434</v>
      </c>
      <c r="J58" s="2807" t="e">
        <f ca="1">IF(J55&lt;0.4,0.4,J55)</f>
        <v>#DIV/0!</v>
      </c>
      <c r="K58" s="2772" t="s">
        <v>1724</v>
      </c>
      <c r="L58" s="2749" t="e">
        <f ca="1">ROUND(POWER(1+L52,L47-L48)*(POWER(1+L52,L48)-1)/(POWER(1+L52,L47)-1),4)</f>
        <v>#DIV/0!</v>
      </c>
      <c r="O58" s="2759" t="s">
        <v>1402</v>
      </c>
      <c r="P58" s="2738" t="s">
        <v>1436</v>
      </c>
      <c r="Q58" s="2739">
        <f>IF(L55="比较法",L49,IF(L55="基准地价",L50,0))</f>
        <v>0</v>
      </c>
      <c r="R58" s="2739" t="s">
        <v>1404</v>
      </c>
    </row>
    <row r="59" s="902" customFormat="1" ht="24.75" spans="1:18">
      <c r="A59" s="750" t="s">
        <v>1014</v>
      </c>
      <c r="B59" s="1362" t="s">
        <v>1677</v>
      </c>
      <c r="C59" s="2661">
        <f ca="1">ROUND(IF(AND(项目基本情况!B11="自然人",项目基本情况!B10="北京市"),C49*F59/(1+'数据-取费表'!C43),C60+C61+C62),0)</f>
        <v>0</v>
      </c>
      <c r="D59" s="2808" t="s">
        <v>1678</v>
      </c>
      <c r="E59" s="2809" t="s">
        <v>1679</v>
      </c>
      <c r="F59" s="2663" t="str">
        <f ca="1">IF(项目基本情况!B11="企业","——",IF('数据-取费表'!B10="住宅",IF(F49*F50*F51/12/(1+'数据-取费表'!F30)&gt;100000,4%,2.5%),IF(F49*F50*F51/12/(1+'数据-取费表'!F30)&gt;100000,12%,7%)))</f>
        <v>——</v>
      </c>
      <c r="I59" s="2802" t="s">
        <v>1437</v>
      </c>
      <c r="J59" s="2803" t="e">
        <f ca="1">IF(OR(M47="住宅",J51&lt;L48,J56="是"),"——",ROUND(C29*J58,0))</f>
        <v>#DIV/0!</v>
      </c>
      <c r="K59"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9" t="e">
        <f ca="1">ROUND(IF(D1="在建（套用方法）",M59,IF(D1="土地（套用方法）",N59,POWER(1+L52,L47-J51)*(POWER(1+L52,J51)-1)/(POWER(1+L52,L47)-1))),4)</f>
        <v>#DIV/0!</v>
      </c>
      <c r="M59" s="2788" t="e">
        <f ca="1">ROUND(POWER(1+L52,L47-(J51+'数据-取费表'!B24))*(POWER(1+L52,(J51+'数据-取费表'!B24))-1)/(POWER(1+L52,L47)-1),4)</f>
        <v>#DIV/0!</v>
      </c>
      <c r="N59" s="2788" t="e">
        <f ca="1">ROUND(POWER(1+L52,L47-(J51+'数据-取费表'!B20))*(POWER(1+L52,(J51+'数据-取费表'!B20))-1)/(POWER(1+L52,L47)-1),4)</f>
        <v>#DIV/0!</v>
      </c>
      <c r="O59" s="2759" t="s">
        <v>1407</v>
      </c>
      <c r="P59" s="2738" t="s">
        <v>1438</v>
      </c>
      <c r="Q59" s="2768">
        <f>L52</f>
        <v>0</v>
      </c>
      <c r="R59" s="2739"/>
    </row>
    <row r="60" s="902" customFormat="1" ht="17.25" spans="1:18">
      <c r="A60" s="750" t="s">
        <v>1043</v>
      </c>
      <c r="B60" s="1362" t="s">
        <v>1681</v>
      </c>
      <c r="C60" s="1310">
        <f ca="1">IF(项目基本情况!B11="自然人","——",ROUND(C48*F60/(1+'数据-取费表'!C43),0))</f>
        <v>0</v>
      </c>
      <c r="D60" s="2809" t="s">
        <v>1682</v>
      </c>
      <c r="E60" s="1362" t="s">
        <v>1294</v>
      </c>
      <c r="F60" s="2677">
        <f t="shared" ref="F60:F66" si="0">F32</f>
        <v>0</v>
      </c>
      <c r="I60" s="2810" t="s">
        <v>1439</v>
      </c>
      <c r="J60" s="2811" t="e">
        <f ca="1">IF(OR(M47="住宅",J51&lt;L48,J56="是"),"0",ROUND(J59/(1+J52)^J53,0))</f>
        <v>#DIV/0!</v>
      </c>
      <c r="K60" s="2812" t="s">
        <v>1440</v>
      </c>
      <c r="L60" s="2811" t="e">
        <f ca="1">IF(OR(M47="住宅",L48&lt;J51),0,ROUND(L57*(L58/L59-1),0))</f>
        <v>#DIV/0!</v>
      </c>
      <c r="O60" s="2759" t="s">
        <v>1411</v>
      </c>
      <c r="P60" s="2738" t="s">
        <v>1441</v>
      </c>
      <c r="Q60" s="2739" t="e">
        <f ca="1">L58</f>
        <v>#DIV/0!</v>
      </c>
      <c r="R60" s="2739" t="s">
        <v>1442</v>
      </c>
    </row>
    <row r="61" s="902" customFormat="1" ht="13.5" spans="1:18">
      <c r="A61" s="750" t="s">
        <v>1047</v>
      </c>
      <c r="B61" s="1362" t="s">
        <v>1685</v>
      </c>
      <c r="C61" s="1310">
        <f ca="1">IF(项目基本情况!B11="自然人","——",IF(D61="按租金收入计税",ROUND(C49*F61/(1+'数据-取费表'!C43),0),IF(D61="按房产原值计税",ROUND(C57*F61*0.7,0),INDIRECT("'数据-取费表'!Aj"&amp;$G$1))))</f>
        <v>0</v>
      </c>
      <c r="D61" s="2666" t="s">
        <v>1686</v>
      </c>
      <c r="E61" s="1362" t="s">
        <v>1294</v>
      </c>
      <c r="F61" s="2658">
        <f t="shared" si="0"/>
        <v>0.12</v>
      </c>
      <c r="I61" s="2709"/>
      <c r="J61" s="2709"/>
      <c r="K61" s="2709"/>
      <c r="L61" s="2709"/>
      <c r="O61" s="2759" t="s">
        <v>1415</v>
      </c>
      <c r="P61" s="2738" t="str">
        <f>K59</f>
        <v>建筑物剩余耐用年限下的土地年期修正系数Kn</v>
      </c>
      <c r="Q61" s="2739" t="e">
        <f ca="1">L59</f>
        <v>#DIV/0!</v>
      </c>
      <c r="R61" s="2739" t="s">
        <v>1443</v>
      </c>
    </row>
    <row r="62" s="902" customFormat="1" ht="13.5" spans="1:18">
      <c r="A62" s="750" t="s">
        <v>1050</v>
      </c>
      <c r="B62" s="2813" t="s">
        <v>1688</v>
      </c>
      <c r="C62" s="2668">
        <f ca="1">IF(项目基本情况!B11="自然人","——",ROUND(F62*F63,0))</f>
        <v>0</v>
      </c>
      <c r="D62" s="2814" t="s">
        <v>1296</v>
      </c>
      <c r="E62" s="1362" t="s">
        <v>1297</v>
      </c>
      <c r="F62" s="2670">
        <f t="shared" si="0"/>
        <v>3</v>
      </c>
      <c r="I62" s="2815" t="s">
        <v>1444</v>
      </c>
      <c r="J62" s="2816" t="s">
        <v>1445</v>
      </c>
      <c r="K62" s="2816" t="s">
        <v>1446</v>
      </c>
      <c r="L62" s="2816" t="s">
        <v>1447</v>
      </c>
      <c r="M62" s="823" t="s">
        <v>1448</v>
      </c>
      <c r="O62" s="2737" t="s">
        <v>1420</v>
      </c>
      <c r="P62" s="2738" t="s">
        <v>1719</v>
      </c>
      <c r="Q62" s="2739" t="e">
        <f ca="1">Q56+Q57</f>
        <v>#DIV/0!</v>
      </c>
      <c r="R62" s="2739" t="s">
        <v>1720</v>
      </c>
    </row>
    <row r="63" s="902" customFormat="1" ht="13.5" spans="1:18">
      <c r="A63" s="2671"/>
      <c r="B63" s="2817"/>
      <c r="C63" s="2673"/>
      <c r="D63" s="2818"/>
      <c r="E63" s="1362" t="s">
        <v>1298</v>
      </c>
      <c r="F63" s="2604">
        <f ca="1" t="shared" si="0"/>
        <v>0</v>
      </c>
      <c r="I63" s="2815" t="s">
        <v>1449</v>
      </c>
      <c r="J63" s="2816">
        <v>70</v>
      </c>
      <c r="K63" s="2816">
        <v>50</v>
      </c>
      <c r="L63" s="2816">
        <v>80</v>
      </c>
      <c r="M63" s="2819">
        <v>0.02</v>
      </c>
      <c r="O63" s="2716" t="s">
        <v>1450</v>
      </c>
      <c r="P63" s="2788"/>
      <c r="Q63" s="2788"/>
      <c r="R63" s="2788"/>
    </row>
    <row r="64" s="902" customFormat="1" ht="13.5" spans="1:18">
      <c r="A64" s="750" t="s">
        <v>1019</v>
      </c>
      <c r="B64" s="1362" t="s">
        <v>1299</v>
      </c>
      <c r="C64" s="1310">
        <f ca="1">ROUND(C57*F64,0)</f>
        <v>0</v>
      </c>
      <c r="D64" s="2809" t="s">
        <v>1708</v>
      </c>
      <c r="E64" s="1362" t="s">
        <v>1294</v>
      </c>
      <c r="F64" s="2675">
        <f ca="1" t="shared" si="0"/>
        <v>0</v>
      </c>
      <c r="I64" s="2815" t="s">
        <v>1451</v>
      </c>
      <c r="J64" s="2816">
        <v>50</v>
      </c>
      <c r="K64" s="2816">
        <v>35</v>
      </c>
      <c r="L64" s="2816">
        <v>60</v>
      </c>
      <c r="M64" s="823">
        <v>0</v>
      </c>
      <c r="O64" s="2724" t="s">
        <v>1452</v>
      </c>
      <c r="P64" s="2725" t="s">
        <v>1453</v>
      </c>
      <c r="Q64" s="2726" t="s">
        <v>1454</v>
      </c>
      <c r="R64" s="2726" t="s">
        <v>1455</v>
      </c>
    </row>
    <row r="65" s="902" customFormat="1" ht="13.5" spans="1:18">
      <c r="A65" s="750" t="s">
        <v>1070</v>
      </c>
      <c r="B65" s="1362" t="s">
        <v>1302</v>
      </c>
      <c r="C65" s="1310">
        <f ca="1">ROUND(C56*F65,0)</f>
        <v>0</v>
      </c>
      <c r="D65" s="2809" t="s">
        <v>1644</v>
      </c>
      <c r="E65" s="1362" t="s">
        <v>1294</v>
      </c>
      <c r="F65" s="2676">
        <f ca="1" t="shared" si="0"/>
        <v>0</v>
      </c>
      <c r="I65" s="2815" t="s">
        <v>1457</v>
      </c>
      <c r="J65" s="2816">
        <v>40</v>
      </c>
      <c r="K65" s="2816">
        <v>30</v>
      </c>
      <c r="L65" s="2816">
        <v>50</v>
      </c>
      <c r="M65" s="2819">
        <v>0.02</v>
      </c>
      <c r="O65" s="2737" t="s">
        <v>1388</v>
      </c>
      <c r="P65" s="2738" t="s">
        <v>1712</v>
      </c>
      <c r="Q65" s="2739" t="e">
        <f ca="1">C40+J29</f>
        <v>#DIV/0!</v>
      </c>
      <c r="R65" s="2739" t="s">
        <v>1404</v>
      </c>
    </row>
    <row r="66" s="902" customFormat="1" ht="17.25" spans="1:18">
      <c r="A66" s="750" t="s">
        <v>1075</v>
      </c>
      <c r="B66" s="1362" t="s">
        <v>1306</v>
      </c>
      <c r="C66" s="1310">
        <f ca="1">ROUND(C48*F66,0)</f>
        <v>0</v>
      </c>
      <c r="D66" s="2809" t="s">
        <v>1693</v>
      </c>
      <c r="E66" s="1362" t="s">
        <v>1294</v>
      </c>
      <c r="F66" s="2615">
        <f ca="1" t="shared" si="0"/>
        <v>0</v>
      </c>
      <c r="O66" s="2737" t="s">
        <v>1396</v>
      </c>
      <c r="P66" s="2738" t="s">
        <v>1722</v>
      </c>
      <c r="Q66" s="2739" t="e">
        <f ca="1">L60</f>
        <v>#DIV/0!</v>
      </c>
      <c r="R66" s="2739" t="s">
        <v>1723</v>
      </c>
    </row>
    <row r="67" s="902" customFormat="1" ht="17.25" spans="1:18">
      <c r="A67" s="2793" t="s">
        <v>1311</v>
      </c>
      <c r="B67" s="2820" t="s">
        <v>1309</v>
      </c>
      <c r="C67" s="2619">
        <f ca="1">C48-C58</f>
        <v>0</v>
      </c>
      <c r="D67" s="2808" t="s">
        <v>1696</v>
      </c>
      <c r="E67" s="2821"/>
      <c r="F67" s="2822"/>
      <c r="O67" s="2759" t="s">
        <v>1402</v>
      </c>
      <c r="P67" s="2738" t="s">
        <v>1436</v>
      </c>
      <c r="Q67" s="2823">
        <f ca="1">L51</f>
        <v>0</v>
      </c>
      <c r="R67" s="2739" t="s">
        <v>1458</v>
      </c>
    </row>
    <row r="68" s="902" customFormat="1" ht="17.25" spans="1:18">
      <c r="A68" s="2824" t="s">
        <v>1319</v>
      </c>
      <c r="B68" s="2825" t="s">
        <v>1312</v>
      </c>
      <c r="C68" s="2605" t="e">
        <f ca="1">ROUND(C67*(1-((1+F70)/(1+F68))^F69)/(F68-F70),0)</f>
        <v>#DIV/0!</v>
      </c>
      <c r="D68" s="2814" t="s">
        <v>1697</v>
      </c>
      <c r="E68" s="1362" t="s">
        <v>1698</v>
      </c>
      <c r="F68" s="2615">
        <f ca="1">F40</f>
        <v>0</v>
      </c>
      <c r="O68" s="2759" t="s">
        <v>1407</v>
      </c>
      <c r="P68" s="2826" t="s">
        <v>1459</v>
      </c>
      <c r="Q68" s="2739">
        <f ca="1">ROUND(Q69-Q70*Q71,0)</f>
        <v>0</v>
      </c>
      <c r="R68" s="2739" t="s">
        <v>1460</v>
      </c>
    </row>
    <row r="69" s="902" customFormat="1" ht="13.5" spans="1:18">
      <c r="A69" s="2827"/>
      <c r="B69" s="2828"/>
      <c r="C69" s="2613"/>
      <c r="D69" s="2829" t="s">
        <v>1699</v>
      </c>
      <c r="E69" s="1362" t="s">
        <v>1700</v>
      </c>
      <c r="F69" s="2686">
        <f ca="1">F41</f>
        <v>0</v>
      </c>
      <c r="O69" s="2759" t="s">
        <v>1461</v>
      </c>
      <c r="P69" s="2826" t="s">
        <v>1462</v>
      </c>
      <c r="Q69" s="2739">
        <f ca="1">C39</f>
        <v>0</v>
      </c>
      <c r="R69" s="2739" t="s">
        <v>1404</v>
      </c>
    </row>
    <row r="70" s="902" customFormat="1" ht="13.5" spans="1:18">
      <c r="A70" s="2830"/>
      <c r="B70" s="2831"/>
      <c r="C70" s="2639"/>
      <c r="D70" s="2818"/>
      <c r="E70" s="1362" t="s">
        <v>1703</v>
      </c>
      <c r="F70" s="2775"/>
      <c r="O70" s="2759" t="s">
        <v>1463</v>
      </c>
      <c r="P70" s="2826" t="s">
        <v>1464</v>
      </c>
      <c r="Q70" s="2739">
        <f ca="1">C13</f>
        <v>0</v>
      </c>
      <c r="R70" s="2739" t="s">
        <v>1404</v>
      </c>
    </row>
    <row r="71" s="902" customFormat="1" ht="13.5" spans="1:18">
      <c r="A71" s="2832" t="s">
        <v>1324</v>
      </c>
      <c r="B71" s="2833" t="s">
        <v>1325</v>
      </c>
      <c r="C71" s="2690" t="e">
        <f ca="1">ROUND(C68/F71,0)</f>
        <v>#DIV/0!</v>
      </c>
      <c r="D71" s="2834" t="s">
        <v>1709</v>
      </c>
      <c r="E71" s="2835" t="s">
        <v>1710</v>
      </c>
      <c r="F71" s="2693">
        <f ca="1">F43</f>
        <v>0</v>
      </c>
      <c r="O71" s="2759" t="s">
        <v>1465</v>
      </c>
      <c r="P71" s="2826" t="s">
        <v>1466</v>
      </c>
      <c r="Q71" s="2768">
        <f ca="1">C76</f>
        <v>0</v>
      </c>
      <c r="R71" s="2739"/>
    </row>
    <row r="72" s="902" customFormat="1" ht="13.5" spans="1:18">
      <c r="B72" s="2836"/>
      <c r="C72" s="2836"/>
      <c r="O72" s="2759" t="s">
        <v>1411</v>
      </c>
      <c r="P72" s="2738" t="s">
        <v>1438</v>
      </c>
      <c r="Q72" s="2768">
        <f>L52</f>
        <v>0</v>
      </c>
      <c r="R72" s="2739"/>
    </row>
    <row r="73" ht="17.25" spans="1:18">
      <c r="A73" s="902"/>
      <c r="B73" s="2836"/>
      <c r="C73" s="2836"/>
      <c r="D73" s="902"/>
      <c r="E73" s="902"/>
      <c r="F73" s="902"/>
      <c r="O73" s="2759" t="s">
        <v>1415</v>
      </c>
      <c r="P73" s="2738" t="s">
        <v>1441</v>
      </c>
      <c r="Q73" s="2739" t="e">
        <f ca="1">L58</f>
        <v>#DIV/0!</v>
      </c>
      <c r="R73" s="2739" t="s">
        <v>1442</v>
      </c>
    </row>
    <row r="74" ht="13.5" spans="1:18">
      <c r="A74" s="902"/>
      <c r="B74" s="514" t="s">
        <v>1469</v>
      </c>
      <c r="C74" s="2837"/>
      <c r="D74" s="902"/>
      <c r="E74" s="902"/>
      <c r="F74" s="902"/>
      <c r="O74" s="2759" t="s">
        <v>1468</v>
      </c>
      <c r="P74" s="2738" t="str">
        <f>K59</f>
        <v>建筑物剩余耐用年限下的土地年期修正系数Kn</v>
      </c>
      <c r="Q74" s="2739" t="e">
        <f ca="1">L59</f>
        <v>#DIV/0!</v>
      </c>
      <c r="R74" s="2739" t="s">
        <v>1443</v>
      </c>
    </row>
    <row r="75" ht="13.5" spans="1:18">
      <c r="A75" s="902"/>
      <c r="B75" s="2838" t="s">
        <v>1470</v>
      </c>
      <c r="C75" s="2839">
        <f ca="1">ROUND(C13*C76,0)</f>
        <v>0</v>
      </c>
      <c r="D75" s="902"/>
      <c r="E75" s="902"/>
      <c r="F75" s="902"/>
      <c r="K75" s="2712"/>
      <c r="L75" s="902"/>
      <c r="O75" s="2737" t="s">
        <v>1420</v>
      </c>
      <c r="P75" s="2738" t="s">
        <v>1719</v>
      </c>
      <c r="Q75" s="2739" t="e">
        <f ca="1">Q65+Q66</f>
        <v>#DIV/0!</v>
      </c>
      <c r="R75" s="2739" t="s">
        <v>1720</v>
      </c>
    </row>
    <row r="76" spans="1:18">
      <c r="B76" s="856" t="s">
        <v>1471</v>
      </c>
      <c r="C76" s="2840">
        <f ca="1">INDIRECT("'数据-取费表'!j"&amp;$G$1)</f>
        <v>0</v>
      </c>
      <c r="I76" s="902"/>
      <c r="J76" s="902"/>
      <c r="K76" s="2712"/>
      <c r="L76" s="902"/>
    </row>
    <row r="77" spans="1:18">
      <c r="B77" s="2841" t="s">
        <v>1472</v>
      </c>
      <c r="C77" s="2842"/>
      <c r="I77" s="902"/>
      <c r="J77" s="902"/>
      <c r="K77" s="2712"/>
      <c r="L77" s="902"/>
    </row>
    <row r="78" spans="1:18">
      <c r="B78" s="512" t="s">
        <v>1473</v>
      </c>
      <c r="C78" s="2843"/>
    </row>
    <row r="79" spans="1:18">
      <c r="B79" s="2838" t="s">
        <v>1474</v>
      </c>
      <c r="C79" s="515" t="e">
        <f ca="1">1-C80</f>
        <v>#DIV/0!</v>
      </c>
    </row>
    <row r="80" spans="1:18">
      <c r="B80" s="2838" t="s">
        <v>1475</v>
      </c>
      <c r="C80" s="515" t="e">
        <f ca="1">ROUND(C75/C39,3)</f>
        <v>#DIV/0!</v>
      </c>
    </row>
    <row r="81" spans="2:3">
      <c r="B81" s="512" t="s">
        <v>1476</v>
      </c>
      <c r="C81" s="479"/>
    </row>
    <row r="82" spans="2:3">
      <c r="B82" s="514" t="s">
        <v>1477</v>
      </c>
      <c r="C82" s="516" t="e">
        <f ca="1">1-C83</f>
        <v>#DIV/0!</v>
      </c>
    </row>
    <row r="83" spans="2:3">
      <c r="B83" s="514" t="s">
        <v>1478</v>
      </c>
      <c r="C83" s="51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297" customWidth="1"/>
    <col min="2" max="2" width="8.875" style="2297"/>
    <col min="3" max="5" width="12.875" style="2297" customWidth="1"/>
    <col min="6" max="6" width="47.5" style="2297" customWidth="1"/>
    <col min="7" max="7" width="13" style="2298" customWidth="1"/>
    <col min="8" max="8" width="8.875" style="2299"/>
    <col min="9" max="9" width="8.875" style="2300"/>
    <col min="10" max="10" width="5.75" style="2301" customWidth="1"/>
    <col min="11" max="11" width="11.75" style="2301" customWidth="1"/>
    <col min="12" max="13" width="10.75" style="2301" customWidth="1"/>
    <col min="14" max="14" width="10" style="2301" customWidth="1"/>
    <col min="15" max="16" width="10.5" style="2301" customWidth="1"/>
    <col min="17" max="17" width="10" style="2301" customWidth="1"/>
    <col min="18" max="18" width="10.125" style="2301" customWidth="1"/>
    <col min="19" max="19" width="10" style="2301" customWidth="1"/>
    <col min="20" max="20" width="26.125" style="2301" customWidth="1"/>
    <col min="21" max="21" width="8.875" style="2301"/>
    <col min="22" max="22" width="8.875" style="2300"/>
    <col min="23" max="256" width="8.875" style="2297"/>
    <col min="257" max="257" width="9.5" style="2297" customWidth="1"/>
    <col min="258" max="258" width="8.875" style="2297"/>
    <col min="259" max="261" width="12.875" style="2297" customWidth="1"/>
    <col min="262" max="262" width="47.5" style="2297" customWidth="1"/>
    <col min="263" max="263" width="13" style="2297" customWidth="1"/>
    <col min="264" max="265" width="8.875" style="2297"/>
    <col min="266" max="266" width="5.75" style="2297" customWidth="1"/>
    <col min="267" max="267" width="11.75" style="2297" customWidth="1"/>
    <col min="268" max="269" width="10.75" style="2297" customWidth="1"/>
    <col min="270" max="270" width="10" style="2297" customWidth="1"/>
    <col min="271" max="272" width="10.5" style="2297" customWidth="1"/>
    <col min="273" max="273" width="10" style="2297" customWidth="1"/>
    <col min="274" max="274" width="10.125" style="2297" customWidth="1"/>
    <col min="275" max="275" width="10" style="2297" customWidth="1"/>
    <col min="276" max="276" width="26.125" style="2297" customWidth="1"/>
    <col min="277" max="512" width="8.875" style="2297"/>
    <col min="513" max="513" width="9.5" style="2297" customWidth="1"/>
    <col min="514" max="514" width="8.875" style="2297"/>
    <col min="515" max="517" width="12.875" style="2297" customWidth="1"/>
    <col min="518" max="518" width="47.5" style="2297" customWidth="1"/>
    <col min="519" max="519" width="13" style="2297" customWidth="1"/>
    <col min="520" max="521" width="8.875" style="2297"/>
    <col min="522" max="522" width="5.75" style="2297" customWidth="1"/>
    <col min="523" max="523" width="11.75" style="2297" customWidth="1"/>
    <col min="524" max="525" width="10.75" style="2297" customWidth="1"/>
    <col min="526" max="526" width="10" style="2297" customWidth="1"/>
    <col min="527" max="528" width="10.5" style="2297" customWidth="1"/>
    <col min="529" max="529" width="10" style="2297" customWidth="1"/>
    <col min="530" max="530" width="10.125" style="2297" customWidth="1"/>
    <col min="531" max="531" width="10" style="2297" customWidth="1"/>
    <col min="532" max="532" width="26.125" style="2297" customWidth="1"/>
    <col min="533" max="768" width="8.875" style="2297"/>
    <col min="769" max="769" width="9.5" style="2297" customWidth="1"/>
    <col min="770" max="770" width="8.875" style="2297"/>
    <col min="771" max="773" width="12.875" style="2297" customWidth="1"/>
    <col min="774" max="774" width="47.5" style="2297" customWidth="1"/>
    <col min="775" max="775" width="13" style="2297" customWidth="1"/>
    <col min="776" max="777" width="8.875" style="2297"/>
    <col min="778" max="778" width="5.75" style="2297" customWidth="1"/>
    <col min="779" max="779" width="11.75" style="2297" customWidth="1"/>
    <col min="780" max="781" width="10.75" style="2297" customWidth="1"/>
    <col min="782" max="782" width="10" style="2297" customWidth="1"/>
    <col min="783" max="784" width="10.5" style="2297" customWidth="1"/>
    <col min="785" max="785" width="10" style="2297" customWidth="1"/>
    <col min="786" max="786" width="10.125" style="2297" customWidth="1"/>
    <col min="787" max="787" width="10" style="2297" customWidth="1"/>
    <col min="788" max="788" width="26.125" style="2297" customWidth="1"/>
    <col min="789" max="1024" width="8.875" style="2297"/>
    <col min="1025" max="1025" width="9.5" style="2297" customWidth="1"/>
    <col min="1026" max="1026" width="8.875" style="2297"/>
    <col min="1027" max="1029" width="12.875" style="2297" customWidth="1"/>
    <col min="1030" max="1030" width="47.5" style="2297" customWidth="1"/>
    <col min="1031" max="1031" width="13" style="2297" customWidth="1"/>
    <col min="1032" max="1033" width="8.875" style="2297"/>
    <col min="1034" max="1034" width="5.75" style="2297" customWidth="1"/>
    <col min="1035" max="1035" width="11.75" style="2297" customWidth="1"/>
    <col min="1036" max="1037" width="10.75" style="2297" customWidth="1"/>
    <col min="1038" max="1038" width="10" style="2297" customWidth="1"/>
    <col min="1039" max="1040" width="10.5" style="2297" customWidth="1"/>
    <col min="1041" max="1041" width="10" style="2297" customWidth="1"/>
    <col min="1042" max="1042" width="10.125" style="2297" customWidth="1"/>
    <col min="1043" max="1043" width="10" style="2297" customWidth="1"/>
    <col min="1044" max="1044" width="26.125" style="2297" customWidth="1"/>
    <col min="1045" max="1280" width="8.875" style="2297"/>
    <col min="1281" max="1281" width="9.5" style="2297" customWidth="1"/>
    <col min="1282" max="1282" width="8.875" style="2297"/>
    <col min="1283" max="1285" width="12.875" style="2297" customWidth="1"/>
    <col min="1286" max="1286" width="47.5" style="2297" customWidth="1"/>
    <col min="1287" max="1287" width="13" style="2297" customWidth="1"/>
    <col min="1288" max="1289" width="8.875" style="2297"/>
    <col min="1290" max="1290" width="5.75" style="2297" customWidth="1"/>
    <col min="1291" max="1291" width="11.75" style="2297" customWidth="1"/>
    <col min="1292" max="1293" width="10.75" style="2297" customWidth="1"/>
    <col min="1294" max="1294" width="10" style="2297" customWidth="1"/>
    <col min="1295" max="1296" width="10.5" style="2297" customWidth="1"/>
    <col min="1297" max="1297" width="10" style="2297" customWidth="1"/>
    <col min="1298" max="1298" width="10.125" style="2297" customWidth="1"/>
    <col min="1299" max="1299" width="10" style="2297" customWidth="1"/>
    <col min="1300" max="1300" width="26.125" style="2297" customWidth="1"/>
    <col min="1301" max="1536" width="8.875" style="2297"/>
    <col min="1537" max="1537" width="9.5" style="2297" customWidth="1"/>
    <col min="1538" max="1538" width="8.875" style="2297"/>
    <col min="1539" max="1541" width="12.875" style="2297" customWidth="1"/>
    <col min="1542" max="1542" width="47.5" style="2297" customWidth="1"/>
    <col min="1543" max="1543" width="13" style="2297" customWidth="1"/>
    <col min="1544" max="1545" width="8.875" style="2297"/>
    <col min="1546" max="1546" width="5.75" style="2297" customWidth="1"/>
    <col min="1547" max="1547" width="11.75" style="2297" customWidth="1"/>
    <col min="1548" max="1549" width="10.75" style="2297" customWidth="1"/>
    <col min="1550" max="1550" width="10" style="2297" customWidth="1"/>
    <col min="1551" max="1552" width="10.5" style="2297" customWidth="1"/>
    <col min="1553" max="1553" width="10" style="2297" customWidth="1"/>
    <col min="1554" max="1554" width="10.125" style="2297" customWidth="1"/>
    <col min="1555" max="1555" width="10" style="2297" customWidth="1"/>
    <col min="1556" max="1556" width="26.125" style="2297" customWidth="1"/>
    <col min="1557" max="1792" width="8.875" style="2297"/>
    <col min="1793" max="1793" width="9.5" style="2297" customWidth="1"/>
    <col min="1794" max="1794" width="8.875" style="2297"/>
    <col min="1795" max="1797" width="12.875" style="2297" customWidth="1"/>
    <col min="1798" max="1798" width="47.5" style="2297" customWidth="1"/>
    <col min="1799" max="1799" width="13" style="2297" customWidth="1"/>
    <col min="1800" max="1801" width="8.875" style="2297"/>
    <col min="1802" max="1802" width="5.75" style="2297" customWidth="1"/>
    <col min="1803" max="1803" width="11.75" style="2297" customWidth="1"/>
    <col min="1804" max="1805" width="10.75" style="2297" customWidth="1"/>
    <col min="1806" max="1806" width="10" style="2297" customWidth="1"/>
    <col min="1807" max="1808" width="10.5" style="2297" customWidth="1"/>
    <col min="1809" max="1809" width="10" style="2297" customWidth="1"/>
    <col min="1810" max="1810" width="10.125" style="2297" customWidth="1"/>
    <col min="1811" max="1811" width="10" style="2297" customWidth="1"/>
    <col min="1812" max="1812" width="26.125" style="2297" customWidth="1"/>
    <col min="1813" max="2048" width="8.875" style="2297"/>
    <col min="2049" max="2049" width="9.5" style="2297" customWidth="1"/>
    <col min="2050" max="2050" width="8.875" style="2297"/>
    <col min="2051" max="2053" width="12.875" style="2297" customWidth="1"/>
    <col min="2054" max="2054" width="47.5" style="2297" customWidth="1"/>
    <col min="2055" max="2055" width="13" style="2297" customWidth="1"/>
    <col min="2056" max="2057" width="8.875" style="2297"/>
    <col min="2058" max="2058" width="5.75" style="2297" customWidth="1"/>
    <col min="2059" max="2059" width="11.75" style="2297" customWidth="1"/>
    <col min="2060" max="2061" width="10.75" style="2297" customWidth="1"/>
    <col min="2062" max="2062" width="10" style="2297" customWidth="1"/>
    <col min="2063" max="2064" width="10.5" style="2297" customWidth="1"/>
    <col min="2065" max="2065" width="10" style="2297" customWidth="1"/>
    <col min="2066" max="2066" width="10.125" style="2297" customWidth="1"/>
    <col min="2067" max="2067" width="10" style="2297" customWidth="1"/>
    <col min="2068" max="2068" width="26.125" style="2297" customWidth="1"/>
    <col min="2069" max="2304" width="8.875" style="2297"/>
    <col min="2305" max="2305" width="9.5" style="2297" customWidth="1"/>
    <col min="2306" max="2306" width="8.875" style="2297"/>
    <col min="2307" max="2309" width="12.875" style="2297" customWidth="1"/>
    <col min="2310" max="2310" width="47.5" style="2297" customWidth="1"/>
    <col min="2311" max="2311" width="13" style="2297" customWidth="1"/>
    <col min="2312" max="2313" width="8.875" style="2297"/>
    <col min="2314" max="2314" width="5.75" style="2297" customWidth="1"/>
    <col min="2315" max="2315" width="11.75" style="2297" customWidth="1"/>
    <col min="2316" max="2317" width="10.75" style="2297" customWidth="1"/>
    <col min="2318" max="2318" width="10" style="2297" customWidth="1"/>
    <col min="2319" max="2320" width="10.5" style="2297" customWidth="1"/>
    <col min="2321" max="2321" width="10" style="2297" customWidth="1"/>
    <col min="2322" max="2322" width="10.125" style="2297" customWidth="1"/>
    <col min="2323" max="2323" width="10" style="2297" customWidth="1"/>
    <col min="2324" max="2324" width="26.125" style="2297" customWidth="1"/>
    <col min="2325" max="2560" width="8.875" style="2297"/>
    <col min="2561" max="2561" width="9.5" style="2297" customWidth="1"/>
    <col min="2562" max="2562" width="8.875" style="2297"/>
    <col min="2563" max="2565" width="12.875" style="2297" customWidth="1"/>
    <col min="2566" max="2566" width="47.5" style="2297" customWidth="1"/>
    <col min="2567" max="2567" width="13" style="2297" customWidth="1"/>
    <col min="2568" max="2569" width="8.875" style="2297"/>
    <col min="2570" max="2570" width="5.75" style="2297" customWidth="1"/>
    <col min="2571" max="2571" width="11.75" style="2297" customWidth="1"/>
    <col min="2572" max="2573" width="10.75" style="2297" customWidth="1"/>
    <col min="2574" max="2574" width="10" style="2297" customWidth="1"/>
    <col min="2575" max="2576" width="10.5" style="2297" customWidth="1"/>
    <col min="2577" max="2577" width="10" style="2297" customWidth="1"/>
    <col min="2578" max="2578" width="10.125" style="2297" customWidth="1"/>
    <col min="2579" max="2579" width="10" style="2297" customWidth="1"/>
    <col min="2580" max="2580" width="26.125" style="2297" customWidth="1"/>
    <col min="2581" max="2816" width="8.875" style="2297"/>
    <col min="2817" max="2817" width="9.5" style="2297" customWidth="1"/>
    <col min="2818" max="2818" width="8.875" style="2297"/>
    <col min="2819" max="2821" width="12.875" style="2297" customWidth="1"/>
    <col min="2822" max="2822" width="47.5" style="2297" customWidth="1"/>
    <col min="2823" max="2823" width="13" style="2297" customWidth="1"/>
    <col min="2824" max="2825" width="8.875" style="2297"/>
    <col min="2826" max="2826" width="5.75" style="2297" customWidth="1"/>
    <col min="2827" max="2827" width="11.75" style="2297" customWidth="1"/>
    <col min="2828" max="2829" width="10.75" style="2297" customWidth="1"/>
    <col min="2830" max="2830" width="10" style="2297" customWidth="1"/>
    <col min="2831" max="2832" width="10.5" style="2297" customWidth="1"/>
    <col min="2833" max="2833" width="10" style="2297" customWidth="1"/>
    <col min="2834" max="2834" width="10.125" style="2297" customWidth="1"/>
    <col min="2835" max="2835" width="10" style="2297" customWidth="1"/>
    <col min="2836" max="2836" width="26.125" style="2297" customWidth="1"/>
    <col min="2837" max="3072" width="8.875" style="2297"/>
    <col min="3073" max="3073" width="9.5" style="2297" customWidth="1"/>
    <col min="3074" max="3074" width="8.875" style="2297"/>
    <col min="3075" max="3077" width="12.875" style="2297" customWidth="1"/>
    <col min="3078" max="3078" width="47.5" style="2297" customWidth="1"/>
    <col min="3079" max="3079" width="13" style="2297" customWidth="1"/>
    <col min="3080" max="3081" width="8.875" style="2297"/>
    <col min="3082" max="3082" width="5.75" style="2297" customWidth="1"/>
    <col min="3083" max="3083" width="11.75" style="2297" customWidth="1"/>
    <col min="3084" max="3085" width="10.75" style="2297" customWidth="1"/>
    <col min="3086" max="3086" width="10" style="2297" customWidth="1"/>
    <col min="3087" max="3088" width="10.5" style="2297" customWidth="1"/>
    <col min="3089" max="3089" width="10" style="2297" customWidth="1"/>
    <col min="3090" max="3090" width="10.125" style="2297" customWidth="1"/>
    <col min="3091" max="3091" width="10" style="2297" customWidth="1"/>
    <col min="3092" max="3092" width="26.125" style="2297" customWidth="1"/>
    <col min="3093" max="3328" width="8.875" style="2297"/>
    <col min="3329" max="3329" width="9.5" style="2297" customWidth="1"/>
    <col min="3330" max="3330" width="8.875" style="2297"/>
    <col min="3331" max="3333" width="12.875" style="2297" customWidth="1"/>
    <col min="3334" max="3334" width="47.5" style="2297" customWidth="1"/>
    <col min="3335" max="3335" width="13" style="2297" customWidth="1"/>
    <col min="3336" max="3337" width="8.875" style="2297"/>
    <col min="3338" max="3338" width="5.75" style="2297" customWidth="1"/>
    <col min="3339" max="3339" width="11.75" style="2297" customWidth="1"/>
    <col min="3340" max="3341" width="10.75" style="2297" customWidth="1"/>
    <col min="3342" max="3342" width="10" style="2297" customWidth="1"/>
    <col min="3343" max="3344" width="10.5" style="2297" customWidth="1"/>
    <col min="3345" max="3345" width="10" style="2297" customWidth="1"/>
    <col min="3346" max="3346" width="10.125" style="2297" customWidth="1"/>
    <col min="3347" max="3347" width="10" style="2297" customWidth="1"/>
    <col min="3348" max="3348" width="26.125" style="2297" customWidth="1"/>
    <col min="3349" max="3584" width="8.875" style="2297"/>
    <col min="3585" max="3585" width="9.5" style="2297" customWidth="1"/>
    <col min="3586" max="3586" width="8.875" style="2297"/>
    <col min="3587" max="3589" width="12.875" style="2297" customWidth="1"/>
    <col min="3590" max="3590" width="47.5" style="2297" customWidth="1"/>
    <col min="3591" max="3591" width="13" style="2297" customWidth="1"/>
    <col min="3592" max="3593" width="8.875" style="2297"/>
    <col min="3594" max="3594" width="5.75" style="2297" customWidth="1"/>
    <col min="3595" max="3595" width="11.75" style="2297" customWidth="1"/>
    <col min="3596" max="3597" width="10.75" style="2297" customWidth="1"/>
    <col min="3598" max="3598" width="10" style="2297" customWidth="1"/>
    <col min="3599" max="3600" width="10.5" style="2297" customWidth="1"/>
    <col min="3601" max="3601" width="10" style="2297" customWidth="1"/>
    <col min="3602" max="3602" width="10.125" style="2297" customWidth="1"/>
    <col min="3603" max="3603" width="10" style="2297" customWidth="1"/>
    <col min="3604" max="3604" width="26.125" style="2297" customWidth="1"/>
    <col min="3605" max="3840" width="8.875" style="2297"/>
    <col min="3841" max="3841" width="9.5" style="2297" customWidth="1"/>
    <col min="3842" max="3842" width="8.875" style="2297"/>
    <col min="3843" max="3845" width="12.875" style="2297" customWidth="1"/>
    <col min="3846" max="3846" width="47.5" style="2297" customWidth="1"/>
    <col min="3847" max="3847" width="13" style="2297" customWidth="1"/>
    <col min="3848" max="3849" width="8.875" style="2297"/>
    <col min="3850" max="3850" width="5.75" style="2297" customWidth="1"/>
    <col min="3851" max="3851" width="11.75" style="2297" customWidth="1"/>
    <col min="3852" max="3853" width="10.75" style="2297" customWidth="1"/>
    <col min="3854" max="3854" width="10" style="2297" customWidth="1"/>
    <col min="3855" max="3856" width="10.5" style="2297" customWidth="1"/>
    <col min="3857" max="3857" width="10" style="2297" customWidth="1"/>
    <col min="3858" max="3858" width="10.125" style="2297" customWidth="1"/>
    <col min="3859" max="3859" width="10" style="2297" customWidth="1"/>
    <col min="3860" max="3860" width="26.125" style="2297" customWidth="1"/>
    <col min="3861" max="4096" width="8.875" style="2297"/>
    <col min="4097" max="4097" width="9.5" style="2297" customWidth="1"/>
    <col min="4098" max="4098" width="8.875" style="2297"/>
    <col min="4099" max="4101" width="12.875" style="2297" customWidth="1"/>
    <col min="4102" max="4102" width="47.5" style="2297" customWidth="1"/>
    <col min="4103" max="4103" width="13" style="2297" customWidth="1"/>
    <col min="4104" max="4105" width="8.875" style="2297"/>
    <col min="4106" max="4106" width="5.75" style="2297" customWidth="1"/>
    <col min="4107" max="4107" width="11.75" style="2297" customWidth="1"/>
    <col min="4108" max="4109" width="10.75" style="2297" customWidth="1"/>
    <col min="4110" max="4110" width="10" style="2297" customWidth="1"/>
    <col min="4111" max="4112" width="10.5" style="2297" customWidth="1"/>
    <col min="4113" max="4113" width="10" style="2297" customWidth="1"/>
    <col min="4114" max="4114" width="10.125" style="2297" customWidth="1"/>
    <col min="4115" max="4115" width="10" style="2297" customWidth="1"/>
    <col min="4116" max="4116" width="26.125" style="2297" customWidth="1"/>
    <col min="4117" max="4352" width="8.875" style="2297"/>
    <col min="4353" max="4353" width="9.5" style="2297" customWidth="1"/>
    <col min="4354" max="4354" width="8.875" style="2297"/>
    <col min="4355" max="4357" width="12.875" style="2297" customWidth="1"/>
    <col min="4358" max="4358" width="47.5" style="2297" customWidth="1"/>
    <col min="4359" max="4359" width="13" style="2297" customWidth="1"/>
    <col min="4360" max="4361" width="8.875" style="2297"/>
    <col min="4362" max="4362" width="5.75" style="2297" customWidth="1"/>
    <col min="4363" max="4363" width="11.75" style="2297" customWidth="1"/>
    <col min="4364" max="4365" width="10.75" style="2297" customWidth="1"/>
    <col min="4366" max="4366" width="10" style="2297" customWidth="1"/>
    <col min="4367" max="4368" width="10.5" style="2297" customWidth="1"/>
    <col min="4369" max="4369" width="10" style="2297" customWidth="1"/>
    <col min="4370" max="4370" width="10.125" style="2297" customWidth="1"/>
    <col min="4371" max="4371" width="10" style="2297" customWidth="1"/>
    <col min="4372" max="4372" width="26.125" style="2297" customWidth="1"/>
    <col min="4373" max="4608" width="8.875" style="2297"/>
    <col min="4609" max="4609" width="9.5" style="2297" customWidth="1"/>
    <col min="4610" max="4610" width="8.875" style="2297"/>
    <col min="4611" max="4613" width="12.875" style="2297" customWidth="1"/>
    <col min="4614" max="4614" width="47.5" style="2297" customWidth="1"/>
    <col min="4615" max="4615" width="13" style="2297" customWidth="1"/>
    <col min="4616" max="4617" width="8.875" style="2297"/>
    <col min="4618" max="4618" width="5.75" style="2297" customWidth="1"/>
    <col min="4619" max="4619" width="11.75" style="2297" customWidth="1"/>
    <col min="4620" max="4621" width="10.75" style="2297" customWidth="1"/>
    <col min="4622" max="4622" width="10" style="2297" customWidth="1"/>
    <col min="4623" max="4624" width="10.5" style="2297" customWidth="1"/>
    <col min="4625" max="4625" width="10" style="2297" customWidth="1"/>
    <col min="4626" max="4626" width="10.125" style="2297" customWidth="1"/>
    <col min="4627" max="4627" width="10" style="2297" customWidth="1"/>
    <col min="4628" max="4628" width="26.125" style="2297" customWidth="1"/>
    <col min="4629" max="4864" width="8.875" style="2297"/>
    <col min="4865" max="4865" width="9.5" style="2297" customWidth="1"/>
    <col min="4866" max="4866" width="8.875" style="2297"/>
    <col min="4867" max="4869" width="12.875" style="2297" customWidth="1"/>
    <col min="4870" max="4870" width="47.5" style="2297" customWidth="1"/>
    <col min="4871" max="4871" width="13" style="2297" customWidth="1"/>
    <col min="4872" max="4873" width="8.875" style="2297"/>
    <col min="4874" max="4874" width="5.75" style="2297" customWidth="1"/>
    <col min="4875" max="4875" width="11.75" style="2297" customWidth="1"/>
    <col min="4876" max="4877" width="10.75" style="2297" customWidth="1"/>
    <col min="4878" max="4878" width="10" style="2297" customWidth="1"/>
    <col min="4879" max="4880" width="10.5" style="2297" customWidth="1"/>
    <col min="4881" max="4881" width="10" style="2297" customWidth="1"/>
    <col min="4882" max="4882" width="10.125" style="2297" customWidth="1"/>
    <col min="4883" max="4883" width="10" style="2297" customWidth="1"/>
    <col min="4884" max="4884" width="26.125" style="2297" customWidth="1"/>
    <col min="4885" max="5120" width="8.875" style="2297"/>
    <col min="5121" max="5121" width="9.5" style="2297" customWidth="1"/>
    <col min="5122" max="5122" width="8.875" style="2297"/>
    <col min="5123" max="5125" width="12.875" style="2297" customWidth="1"/>
    <col min="5126" max="5126" width="47.5" style="2297" customWidth="1"/>
    <col min="5127" max="5127" width="13" style="2297" customWidth="1"/>
    <col min="5128" max="5129" width="8.875" style="2297"/>
    <col min="5130" max="5130" width="5.75" style="2297" customWidth="1"/>
    <col min="5131" max="5131" width="11.75" style="2297" customWidth="1"/>
    <col min="5132" max="5133" width="10.75" style="2297" customWidth="1"/>
    <col min="5134" max="5134" width="10" style="2297" customWidth="1"/>
    <col min="5135" max="5136" width="10.5" style="2297" customWidth="1"/>
    <col min="5137" max="5137" width="10" style="2297" customWidth="1"/>
    <col min="5138" max="5138" width="10.125" style="2297" customWidth="1"/>
    <col min="5139" max="5139" width="10" style="2297" customWidth="1"/>
    <col min="5140" max="5140" width="26.125" style="2297" customWidth="1"/>
    <col min="5141" max="5376" width="8.875" style="2297"/>
    <col min="5377" max="5377" width="9.5" style="2297" customWidth="1"/>
    <col min="5378" max="5378" width="8.875" style="2297"/>
    <col min="5379" max="5381" width="12.875" style="2297" customWidth="1"/>
    <col min="5382" max="5382" width="47.5" style="2297" customWidth="1"/>
    <col min="5383" max="5383" width="13" style="2297" customWidth="1"/>
    <col min="5384" max="5385" width="8.875" style="2297"/>
    <col min="5386" max="5386" width="5.75" style="2297" customWidth="1"/>
    <col min="5387" max="5387" width="11.75" style="2297" customWidth="1"/>
    <col min="5388" max="5389" width="10.75" style="2297" customWidth="1"/>
    <col min="5390" max="5390" width="10" style="2297" customWidth="1"/>
    <col min="5391" max="5392" width="10.5" style="2297" customWidth="1"/>
    <col min="5393" max="5393" width="10" style="2297" customWidth="1"/>
    <col min="5394" max="5394" width="10.125" style="2297" customWidth="1"/>
    <col min="5395" max="5395" width="10" style="2297" customWidth="1"/>
    <col min="5396" max="5396" width="26.125" style="2297" customWidth="1"/>
    <col min="5397" max="5632" width="8.875" style="2297"/>
    <col min="5633" max="5633" width="9.5" style="2297" customWidth="1"/>
    <col min="5634" max="5634" width="8.875" style="2297"/>
    <col min="5635" max="5637" width="12.875" style="2297" customWidth="1"/>
    <col min="5638" max="5638" width="47.5" style="2297" customWidth="1"/>
    <col min="5639" max="5639" width="13" style="2297" customWidth="1"/>
    <col min="5640" max="5641" width="8.875" style="2297"/>
    <col min="5642" max="5642" width="5.75" style="2297" customWidth="1"/>
    <col min="5643" max="5643" width="11.75" style="2297" customWidth="1"/>
    <col min="5644" max="5645" width="10.75" style="2297" customWidth="1"/>
    <col min="5646" max="5646" width="10" style="2297" customWidth="1"/>
    <col min="5647" max="5648" width="10.5" style="2297" customWidth="1"/>
    <col min="5649" max="5649" width="10" style="2297" customWidth="1"/>
    <col min="5650" max="5650" width="10.125" style="2297" customWidth="1"/>
    <col min="5651" max="5651" width="10" style="2297" customWidth="1"/>
    <col min="5652" max="5652" width="26.125" style="2297" customWidth="1"/>
    <col min="5653" max="5888" width="8.875" style="2297"/>
    <col min="5889" max="5889" width="9.5" style="2297" customWidth="1"/>
    <col min="5890" max="5890" width="8.875" style="2297"/>
    <col min="5891" max="5893" width="12.875" style="2297" customWidth="1"/>
    <col min="5894" max="5894" width="47.5" style="2297" customWidth="1"/>
    <col min="5895" max="5895" width="13" style="2297" customWidth="1"/>
    <col min="5896" max="5897" width="8.875" style="2297"/>
    <col min="5898" max="5898" width="5.75" style="2297" customWidth="1"/>
    <col min="5899" max="5899" width="11.75" style="2297" customWidth="1"/>
    <col min="5900" max="5901" width="10.75" style="2297" customWidth="1"/>
    <col min="5902" max="5902" width="10" style="2297" customWidth="1"/>
    <col min="5903" max="5904" width="10.5" style="2297" customWidth="1"/>
    <col min="5905" max="5905" width="10" style="2297" customWidth="1"/>
    <col min="5906" max="5906" width="10.125" style="2297" customWidth="1"/>
    <col min="5907" max="5907" width="10" style="2297" customWidth="1"/>
    <col min="5908" max="5908" width="26.125" style="2297" customWidth="1"/>
    <col min="5909" max="6144" width="8.875" style="2297"/>
    <col min="6145" max="6145" width="9.5" style="2297" customWidth="1"/>
    <col min="6146" max="6146" width="8.875" style="2297"/>
    <col min="6147" max="6149" width="12.875" style="2297" customWidth="1"/>
    <col min="6150" max="6150" width="47.5" style="2297" customWidth="1"/>
    <col min="6151" max="6151" width="13" style="2297" customWidth="1"/>
    <col min="6152" max="6153" width="8.875" style="2297"/>
    <col min="6154" max="6154" width="5.75" style="2297" customWidth="1"/>
    <col min="6155" max="6155" width="11.75" style="2297" customWidth="1"/>
    <col min="6156" max="6157" width="10.75" style="2297" customWidth="1"/>
    <col min="6158" max="6158" width="10" style="2297" customWidth="1"/>
    <col min="6159" max="6160" width="10.5" style="2297" customWidth="1"/>
    <col min="6161" max="6161" width="10" style="2297" customWidth="1"/>
    <col min="6162" max="6162" width="10.125" style="2297" customWidth="1"/>
    <col min="6163" max="6163" width="10" style="2297" customWidth="1"/>
    <col min="6164" max="6164" width="26.125" style="2297" customWidth="1"/>
    <col min="6165" max="6400" width="8.875" style="2297"/>
    <col min="6401" max="6401" width="9.5" style="2297" customWidth="1"/>
    <col min="6402" max="6402" width="8.875" style="2297"/>
    <col min="6403" max="6405" width="12.875" style="2297" customWidth="1"/>
    <col min="6406" max="6406" width="47.5" style="2297" customWidth="1"/>
    <col min="6407" max="6407" width="13" style="2297" customWidth="1"/>
    <col min="6408" max="6409" width="8.875" style="2297"/>
    <col min="6410" max="6410" width="5.75" style="2297" customWidth="1"/>
    <col min="6411" max="6411" width="11.75" style="2297" customWidth="1"/>
    <col min="6412" max="6413" width="10.75" style="2297" customWidth="1"/>
    <col min="6414" max="6414" width="10" style="2297" customWidth="1"/>
    <col min="6415" max="6416" width="10.5" style="2297" customWidth="1"/>
    <col min="6417" max="6417" width="10" style="2297" customWidth="1"/>
    <col min="6418" max="6418" width="10.125" style="2297" customWidth="1"/>
    <col min="6419" max="6419" width="10" style="2297" customWidth="1"/>
    <col min="6420" max="6420" width="26.125" style="2297" customWidth="1"/>
    <col min="6421" max="6656" width="8.875" style="2297"/>
    <col min="6657" max="6657" width="9.5" style="2297" customWidth="1"/>
    <col min="6658" max="6658" width="8.875" style="2297"/>
    <col min="6659" max="6661" width="12.875" style="2297" customWidth="1"/>
    <col min="6662" max="6662" width="47.5" style="2297" customWidth="1"/>
    <col min="6663" max="6663" width="13" style="2297" customWidth="1"/>
    <col min="6664" max="6665" width="8.875" style="2297"/>
    <col min="6666" max="6666" width="5.75" style="2297" customWidth="1"/>
    <col min="6667" max="6667" width="11.75" style="2297" customWidth="1"/>
    <col min="6668" max="6669" width="10.75" style="2297" customWidth="1"/>
    <col min="6670" max="6670" width="10" style="2297" customWidth="1"/>
    <col min="6671" max="6672" width="10.5" style="2297" customWidth="1"/>
    <col min="6673" max="6673" width="10" style="2297" customWidth="1"/>
    <col min="6674" max="6674" width="10.125" style="2297" customWidth="1"/>
    <col min="6675" max="6675" width="10" style="2297" customWidth="1"/>
    <col min="6676" max="6676" width="26.125" style="2297" customWidth="1"/>
    <col min="6677" max="6912" width="8.875" style="2297"/>
    <col min="6913" max="6913" width="9.5" style="2297" customWidth="1"/>
    <col min="6914" max="6914" width="8.875" style="2297"/>
    <col min="6915" max="6917" width="12.875" style="2297" customWidth="1"/>
    <col min="6918" max="6918" width="47.5" style="2297" customWidth="1"/>
    <col min="6919" max="6919" width="13" style="2297" customWidth="1"/>
    <col min="6920" max="6921" width="8.875" style="2297"/>
    <col min="6922" max="6922" width="5.75" style="2297" customWidth="1"/>
    <col min="6923" max="6923" width="11.75" style="2297" customWidth="1"/>
    <col min="6924" max="6925" width="10.75" style="2297" customWidth="1"/>
    <col min="6926" max="6926" width="10" style="2297" customWidth="1"/>
    <col min="6927" max="6928" width="10.5" style="2297" customWidth="1"/>
    <col min="6929" max="6929" width="10" style="2297" customWidth="1"/>
    <col min="6930" max="6930" width="10.125" style="2297" customWidth="1"/>
    <col min="6931" max="6931" width="10" style="2297" customWidth="1"/>
    <col min="6932" max="6932" width="26.125" style="2297" customWidth="1"/>
    <col min="6933" max="7168" width="8.875" style="2297"/>
    <col min="7169" max="7169" width="9.5" style="2297" customWidth="1"/>
    <col min="7170" max="7170" width="8.875" style="2297"/>
    <col min="7171" max="7173" width="12.875" style="2297" customWidth="1"/>
    <col min="7174" max="7174" width="47.5" style="2297" customWidth="1"/>
    <col min="7175" max="7175" width="13" style="2297" customWidth="1"/>
    <col min="7176" max="7177" width="8.875" style="2297"/>
    <col min="7178" max="7178" width="5.75" style="2297" customWidth="1"/>
    <col min="7179" max="7179" width="11.75" style="2297" customWidth="1"/>
    <col min="7180" max="7181" width="10.75" style="2297" customWidth="1"/>
    <col min="7182" max="7182" width="10" style="2297" customWidth="1"/>
    <col min="7183" max="7184" width="10.5" style="2297" customWidth="1"/>
    <col min="7185" max="7185" width="10" style="2297" customWidth="1"/>
    <col min="7186" max="7186" width="10.125" style="2297" customWidth="1"/>
    <col min="7187" max="7187" width="10" style="2297" customWidth="1"/>
    <col min="7188" max="7188" width="26.125" style="2297" customWidth="1"/>
    <col min="7189" max="7424" width="8.875" style="2297"/>
    <col min="7425" max="7425" width="9.5" style="2297" customWidth="1"/>
    <col min="7426" max="7426" width="8.875" style="2297"/>
    <col min="7427" max="7429" width="12.875" style="2297" customWidth="1"/>
    <col min="7430" max="7430" width="47.5" style="2297" customWidth="1"/>
    <col min="7431" max="7431" width="13" style="2297" customWidth="1"/>
    <col min="7432" max="7433" width="8.875" style="2297"/>
    <col min="7434" max="7434" width="5.75" style="2297" customWidth="1"/>
    <col min="7435" max="7435" width="11.75" style="2297" customWidth="1"/>
    <col min="7436" max="7437" width="10.75" style="2297" customWidth="1"/>
    <col min="7438" max="7438" width="10" style="2297" customWidth="1"/>
    <col min="7439" max="7440" width="10.5" style="2297" customWidth="1"/>
    <col min="7441" max="7441" width="10" style="2297" customWidth="1"/>
    <col min="7442" max="7442" width="10.125" style="2297" customWidth="1"/>
    <col min="7443" max="7443" width="10" style="2297" customWidth="1"/>
    <col min="7444" max="7444" width="26.125" style="2297" customWidth="1"/>
    <col min="7445" max="7680" width="8.875" style="2297"/>
    <col min="7681" max="7681" width="9.5" style="2297" customWidth="1"/>
    <col min="7682" max="7682" width="8.875" style="2297"/>
    <col min="7683" max="7685" width="12.875" style="2297" customWidth="1"/>
    <col min="7686" max="7686" width="47.5" style="2297" customWidth="1"/>
    <col min="7687" max="7687" width="13" style="2297" customWidth="1"/>
    <col min="7688" max="7689" width="8.875" style="2297"/>
    <col min="7690" max="7690" width="5.75" style="2297" customWidth="1"/>
    <col min="7691" max="7691" width="11.75" style="2297" customWidth="1"/>
    <col min="7692" max="7693" width="10.75" style="2297" customWidth="1"/>
    <col min="7694" max="7694" width="10" style="2297" customWidth="1"/>
    <col min="7695" max="7696" width="10.5" style="2297" customWidth="1"/>
    <col min="7697" max="7697" width="10" style="2297" customWidth="1"/>
    <col min="7698" max="7698" width="10.125" style="2297" customWidth="1"/>
    <col min="7699" max="7699" width="10" style="2297" customWidth="1"/>
    <col min="7700" max="7700" width="26.125" style="2297" customWidth="1"/>
    <col min="7701" max="7936" width="8.875" style="2297"/>
    <col min="7937" max="7937" width="9.5" style="2297" customWidth="1"/>
    <col min="7938" max="7938" width="8.875" style="2297"/>
    <col min="7939" max="7941" width="12.875" style="2297" customWidth="1"/>
    <col min="7942" max="7942" width="47.5" style="2297" customWidth="1"/>
    <col min="7943" max="7943" width="13" style="2297" customWidth="1"/>
    <col min="7944" max="7945" width="8.875" style="2297"/>
    <col min="7946" max="7946" width="5.75" style="2297" customWidth="1"/>
    <col min="7947" max="7947" width="11.75" style="2297" customWidth="1"/>
    <col min="7948" max="7949" width="10.75" style="2297" customWidth="1"/>
    <col min="7950" max="7950" width="10" style="2297" customWidth="1"/>
    <col min="7951" max="7952" width="10.5" style="2297" customWidth="1"/>
    <col min="7953" max="7953" width="10" style="2297" customWidth="1"/>
    <col min="7954" max="7954" width="10.125" style="2297" customWidth="1"/>
    <col min="7955" max="7955" width="10" style="2297" customWidth="1"/>
    <col min="7956" max="7956" width="26.125" style="2297" customWidth="1"/>
    <col min="7957" max="8192" width="8.875" style="2297"/>
    <col min="8193" max="8193" width="9.5" style="2297" customWidth="1"/>
    <col min="8194" max="8194" width="8.875" style="2297"/>
    <col min="8195" max="8197" width="12.875" style="2297" customWidth="1"/>
    <col min="8198" max="8198" width="47.5" style="2297" customWidth="1"/>
    <col min="8199" max="8199" width="13" style="2297" customWidth="1"/>
    <col min="8200" max="8201" width="8.875" style="2297"/>
    <col min="8202" max="8202" width="5.75" style="2297" customWidth="1"/>
    <col min="8203" max="8203" width="11.75" style="2297" customWidth="1"/>
    <col min="8204" max="8205" width="10.75" style="2297" customWidth="1"/>
    <col min="8206" max="8206" width="10" style="2297" customWidth="1"/>
    <col min="8207" max="8208" width="10.5" style="2297" customWidth="1"/>
    <col min="8209" max="8209" width="10" style="2297" customWidth="1"/>
    <col min="8210" max="8210" width="10.125" style="2297" customWidth="1"/>
    <col min="8211" max="8211" width="10" style="2297" customWidth="1"/>
    <col min="8212" max="8212" width="26.125" style="2297" customWidth="1"/>
    <col min="8213" max="8448" width="8.875" style="2297"/>
    <col min="8449" max="8449" width="9.5" style="2297" customWidth="1"/>
    <col min="8450" max="8450" width="8.875" style="2297"/>
    <col min="8451" max="8453" width="12.875" style="2297" customWidth="1"/>
    <col min="8454" max="8454" width="47.5" style="2297" customWidth="1"/>
    <col min="8455" max="8455" width="13" style="2297" customWidth="1"/>
    <col min="8456" max="8457" width="8.875" style="2297"/>
    <col min="8458" max="8458" width="5.75" style="2297" customWidth="1"/>
    <col min="8459" max="8459" width="11.75" style="2297" customWidth="1"/>
    <col min="8460" max="8461" width="10.75" style="2297" customWidth="1"/>
    <col min="8462" max="8462" width="10" style="2297" customWidth="1"/>
    <col min="8463" max="8464" width="10.5" style="2297" customWidth="1"/>
    <col min="8465" max="8465" width="10" style="2297" customWidth="1"/>
    <col min="8466" max="8466" width="10.125" style="2297" customWidth="1"/>
    <col min="8467" max="8467" width="10" style="2297" customWidth="1"/>
    <col min="8468" max="8468" width="26.125" style="2297" customWidth="1"/>
    <col min="8469" max="8704" width="8.875" style="2297"/>
    <col min="8705" max="8705" width="9.5" style="2297" customWidth="1"/>
    <col min="8706" max="8706" width="8.875" style="2297"/>
    <col min="8707" max="8709" width="12.875" style="2297" customWidth="1"/>
    <col min="8710" max="8710" width="47.5" style="2297" customWidth="1"/>
    <col min="8711" max="8711" width="13" style="2297" customWidth="1"/>
    <col min="8712" max="8713" width="8.875" style="2297"/>
    <col min="8714" max="8714" width="5.75" style="2297" customWidth="1"/>
    <col min="8715" max="8715" width="11.75" style="2297" customWidth="1"/>
    <col min="8716" max="8717" width="10.75" style="2297" customWidth="1"/>
    <col min="8718" max="8718" width="10" style="2297" customWidth="1"/>
    <col min="8719" max="8720" width="10.5" style="2297" customWidth="1"/>
    <col min="8721" max="8721" width="10" style="2297" customWidth="1"/>
    <col min="8722" max="8722" width="10.125" style="2297" customWidth="1"/>
    <col min="8723" max="8723" width="10" style="2297" customWidth="1"/>
    <col min="8724" max="8724" width="26.125" style="2297" customWidth="1"/>
    <col min="8725" max="8960" width="8.875" style="2297"/>
    <col min="8961" max="8961" width="9.5" style="2297" customWidth="1"/>
    <col min="8962" max="8962" width="8.875" style="2297"/>
    <col min="8963" max="8965" width="12.875" style="2297" customWidth="1"/>
    <col min="8966" max="8966" width="47.5" style="2297" customWidth="1"/>
    <col min="8967" max="8967" width="13" style="2297" customWidth="1"/>
    <col min="8968" max="8969" width="8.875" style="2297"/>
    <col min="8970" max="8970" width="5.75" style="2297" customWidth="1"/>
    <col min="8971" max="8971" width="11.75" style="2297" customWidth="1"/>
    <col min="8972" max="8973" width="10.75" style="2297" customWidth="1"/>
    <col min="8974" max="8974" width="10" style="2297" customWidth="1"/>
    <col min="8975" max="8976" width="10.5" style="2297" customWidth="1"/>
    <col min="8977" max="8977" width="10" style="2297" customWidth="1"/>
    <col min="8978" max="8978" width="10.125" style="2297" customWidth="1"/>
    <col min="8979" max="8979" width="10" style="2297" customWidth="1"/>
    <col min="8980" max="8980" width="26.125" style="2297" customWidth="1"/>
    <col min="8981" max="9216" width="8.875" style="2297"/>
    <col min="9217" max="9217" width="9.5" style="2297" customWidth="1"/>
    <col min="9218" max="9218" width="8.875" style="2297"/>
    <col min="9219" max="9221" width="12.875" style="2297" customWidth="1"/>
    <col min="9222" max="9222" width="47.5" style="2297" customWidth="1"/>
    <col min="9223" max="9223" width="13" style="2297" customWidth="1"/>
    <col min="9224" max="9225" width="8.875" style="2297"/>
    <col min="9226" max="9226" width="5.75" style="2297" customWidth="1"/>
    <col min="9227" max="9227" width="11.75" style="2297" customWidth="1"/>
    <col min="9228" max="9229" width="10.75" style="2297" customWidth="1"/>
    <col min="9230" max="9230" width="10" style="2297" customWidth="1"/>
    <col min="9231" max="9232" width="10.5" style="2297" customWidth="1"/>
    <col min="9233" max="9233" width="10" style="2297" customWidth="1"/>
    <col min="9234" max="9234" width="10.125" style="2297" customWidth="1"/>
    <col min="9235" max="9235" width="10" style="2297" customWidth="1"/>
    <col min="9236" max="9236" width="26.125" style="2297" customWidth="1"/>
    <col min="9237" max="9472" width="8.875" style="2297"/>
    <col min="9473" max="9473" width="9.5" style="2297" customWidth="1"/>
    <col min="9474" max="9474" width="8.875" style="2297"/>
    <col min="9475" max="9477" width="12.875" style="2297" customWidth="1"/>
    <col min="9478" max="9478" width="47.5" style="2297" customWidth="1"/>
    <col min="9479" max="9479" width="13" style="2297" customWidth="1"/>
    <col min="9480" max="9481" width="8.875" style="2297"/>
    <col min="9482" max="9482" width="5.75" style="2297" customWidth="1"/>
    <col min="9483" max="9483" width="11.75" style="2297" customWidth="1"/>
    <col min="9484" max="9485" width="10.75" style="2297" customWidth="1"/>
    <col min="9486" max="9486" width="10" style="2297" customWidth="1"/>
    <col min="9487" max="9488" width="10.5" style="2297" customWidth="1"/>
    <col min="9489" max="9489" width="10" style="2297" customWidth="1"/>
    <col min="9490" max="9490" width="10.125" style="2297" customWidth="1"/>
    <col min="9491" max="9491" width="10" style="2297" customWidth="1"/>
    <col min="9492" max="9492" width="26.125" style="2297" customWidth="1"/>
    <col min="9493" max="9728" width="8.875" style="2297"/>
    <col min="9729" max="9729" width="9.5" style="2297" customWidth="1"/>
    <col min="9730" max="9730" width="8.875" style="2297"/>
    <col min="9731" max="9733" width="12.875" style="2297" customWidth="1"/>
    <col min="9734" max="9734" width="47.5" style="2297" customWidth="1"/>
    <col min="9735" max="9735" width="13" style="2297" customWidth="1"/>
    <col min="9736" max="9737" width="8.875" style="2297"/>
    <col min="9738" max="9738" width="5.75" style="2297" customWidth="1"/>
    <col min="9739" max="9739" width="11.75" style="2297" customWidth="1"/>
    <col min="9740" max="9741" width="10.75" style="2297" customWidth="1"/>
    <col min="9742" max="9742" width="10" style="2297" customWidth="1"/>
    <col min="9743" max="9744" width="10.5" style="2297" customWidth="1"/>
    <col min="9745" max="9745" width="10" style="2297" customWidth="1"/>
    <col min="9746" max="9746" width="10.125" style="2297" customWidth="1"/>
    <col min="9747" max="9747" width="10" style="2297" customWidth="1"/>
    <col min="9748" max="9748" width="26.125" style="2297" customWidth="1"/>
    <col min="9749" max="9984" width="8.875" style="2297"/>
    <col min="9985" max="9985" width="9.5" style="2297" customWidth="1"/>
    <col min="9986" max="9986" width="8.875" style="2297"/>
    <col min="9987" max="9989" width="12.875" style="2297" customWidth="1"/>
    <col min="9990" max="9990" width="47.5" style="2297" customWidth="1"/>
    <col min="9991" max="9991" width="13" style="2297" customWidth="1"/>
    <col min="9992" max="9993" width="8.875" style="2297"/>
    <col min="9994" max="9994" width="5.75" style="2297" customWidth="1"/>
    <col min="9995" max="9995" width="11.75" style="2297" customWidth="1"/>
    <col min="9996" max="9997" width="10.75" style="2297" customWidth="1"/>
    <col min="9998" max="9998" width="10" style="2297" customWidth="1"/>
    <col min="9999" max="10000" width="10.5" style="2297" customWidth="1"/>
    <col min="10001" max="10001" width="10" style="2297" customWidth="1"/>
    <col min="10002" max="10002" width="10.125" style="2297" customWidth="1"/>
    <col min="10003" max="10003" width="10" style="2297" customWidth="1"/>
    <col min="10004" max="10004" width="26.125" style="2297" customWidth="1"/>
    <col min="10005" max="10240" width="8.875" style="2297"/>
    <col min="10241" max="10241" width="9.5" style="2297" customWidth="1"/>
    <col min="10242" max="10242" width="8.875" style="2297"/>
    <col min="10243" max="10245" width="12.875" style="2297" customWidth="1"/>
    <col min="10246" max="10246" width="47.5" style="2297" customWidth="1"/>
    <col min="10247" max="10247" width="13" style="2297" customWidth="1"/>
    <col min="10248" max="10249" width="8.875" style="2297"/>
    <col min="10250" max="10250" width="5.75" style="2297" customWidth="1"/>
    <col min="10251" max="10251" width="11.75" style="2297" customWidth="1"/>
    <col min="10252" max="10253" width="10.75" style="2297" customWidth="1"/>
    <col min="10254" max="10254" width="10" style="2297" customWidth="1"/>
    <col min="10255" max="10256" width="10.5" style="2297" customWidth="1"/>
    <col min="10257" max="10257" width="10" style="2297" customWidth="1"/>
    <col min="10258" max="10258" width="10.125" style="2297" customWidth="1"/>
    <col min="10259" max="10259" width="10" style="2297" customWidth="1"/>
    <col min="10260" max="10260" width="26.125" style="2297" customWidth="1"/>
    <col min="10261" max="10496" width="8.875" style="2297"/>
    <col min="10497" max="10497" width="9.5" style="2297" customWidth="1"/>
    <col min="10498" max="10498" width="8.875" style="2297"/>
    <col min="10499" max="10501" width="12.875" style="2297" customWidth="1"/>
    <col min="10502" max="10502" width="47.5" style="2297" customWidth="1"/>
    <col min="10503" max="10503" width="13" style="2297" customWidth="1"/>
    <col min="10504" max="10505" width="8.875" style="2297"/>
    <col min="10506" max="10506" width="5.75" style="2297" customWidth="1"/>
    <col min="10507" max="10507" width="11.75" style="2297" customWidth="1"/>
    <col min="10508" max="10509" width="10.75" style="2297" customWidth="1"/>
    <col min="10510" max="10510" width="10" style="2297" customWidth="1"/>
    <col min="10511" max="10512" width="10.5" style="2297" customWidth="1"/>
    <col min="10513" max="10513" width="10" style="2297" customWidth="1"/>
    <col min="10514" max="10514" width="10.125" style="2297" customWidth="1"/>
    <col min="10515" max="10515" width="10" style="2297" customWidth="1"/>
    <col min="10516" max="10516" width="26.125" style="2297" customWidth="1"/>
    <col min="10517" max="10752" width="8.875" style="2297"/>
    <col min="10753" max="10753" width="9.5" style="2297" customWidth="1"/>
    <col min="10754" max="10754" width="8.875" style="2297"/>
    <col min="10755" max="10757" width="12.875" style="2297" customWidth="1"/>
    <col min="10758" max="10758" width="47.5" style="2297" customWidth="1"/>
    <col min="10759" max="10759" width="13" style="2297" customWidth="1"/>
    <col min="10760" max="10761" width="8.875" style="2297"/>
    <col min="10762" max="10762" width="5.75" style="2297" customWidth="1"/>
    <col min="10763" max="10763" width="11.75" style="2297" customWidth="1"/>
    <col min="10764" max="10765" width="10.75" style="2297" customWidth="1"/>
    <col min="10766" max="10766" width="10" style="2297" customWidth="1"/>
    <col min="10767" max="10768" width="10.5" style="2297" customWidth="1"/>
    <col min="10769" max="10769" width="10" style="2297" customWidth="1"/>
    <col min="10770" max="10770" width="10.125" style="2297" customWidth="1"/>
    <col min="10771" max="10771" width="10" style="2297" customWidth="1"/>
    <col min="10772" max="10772" width="26.125" style="2297" customWidth="1"/>
    <col min="10773" max="11008" width="8.875" style="2297"/>
    <col min="11009" max="11009" width="9.5" style="2297" customWidth="1"/>
    <col min="11010" max="11010" width="8.875" style="2297"/>
    <col min="11011" max="11013" width="12.875" style="2297" customWidth="1"/>
    <col min="11014" max="11014" width="47.5" style="2297" customWidth="1"/>
    <col min="11015" max="11015" width="13" style="2297" customWidth="1"/>
    <col min="11016" max="11017" width="8.875" style="2297"/>
    <col min="11018" max="11018" width="5.75" style="2297" customWidth="1"/>
    <col min="11019" max="11019" width="11.75" style="2297" customWidth="1"/>
    <col min="11020" max="11021" width="10.75" style="2297" customWidth="1"/>
    <col min="11022" max="11022" width="10" style="2297" customWidth="1"/>
    <col min="11023" max="11024" width="10.5" style="2297" customWidth="1"/>
    <col min="11025" max="11025" width="10" style="2297" customWidth="1"/>
    <col min="11026" max="11026" width="10.125" style="2297" customWidth="1"/>
    <col min="11027" max="11027" width="10" style="2297" customWidth="1"/>
    <col min="11028" max="11028" width="26.125" style="2297" customWidth="1"/>
    <col min="11029" max="11264" width="8.875" style="2297"/>
    <col min="11265" max="11265" width="9.5" style="2297" customWidth="1"/>
    <col min="11266" max="11266" width="8.875" style="2297"/>
    <col min="11267" max="11269" width="12.875" style="2297" customWidth="1"/>
    <col min="11270" max="11270" width="47.5" style="2297" customWidth="1"/>
    <col min="11271" max="11271" width="13" style="2297" customWidth="1"/>
    <col min="11272" max="11273" width="8.875" style="2297"/>
    <col min="11274" max="11274" width="5.75" style="2297" customWidth="1"/>
    <col min="11275" max="11275" width="11.75" style="2297" customWidth="1"/>
    <col min="11276" max="11277" width="10.75" style="2297" customWidth="1"/>
    <col min="11278" max="11278" width="10" style="2297" customWidth="1"/>
    <col min="11279" max="11280" width="10.5" style="2297" customWidth="1"/>
    <col min="11281" max="11281" width="10" style="2297" customWidth="1"/>
    <col min="11282" max="11282" width="10.125" style="2297" customWidth="1"/>
    <col min="11283" max="11283" width="10" style="2297" customWidth="1"/>
    <col min="11284" max="11284" width="26.125" style="2297" customWidth="1"/>
    <col min="11285" max="11520" width="8.875" style="2297"/>
    <col min="11521" max="11521" width="9.5" style="2297" customWidth="1"/>
    <col min="11522" max="11522" width="8.875" style="2297"/>
    <col min="11523" max="11525" width="12.875" style="2297" customWidth="1"/>
    <col min="11526" max="11526" width="47.5" style="2297" customWidth="1"/>
    <col min="11527" max="11527" width="13" style="2297" customWidth="1"/>
    <col min="11528" max="11529" width="8.875" style="2297"/>
    <col min="11530" max="11530" width="5.75" style="2297" customWidth="1"/>
    <col min="11531" max="11531" width="11.75" style="2297" customWidth="1"/>
    <col min="11532" max="11533" width="10.75" style="2297" customWidth="1"/>
    <col min="11534" max="11534" width="10" style="2297" customWidth="1"/>
    <col min="11535" max="11536" width="10.5" style="2297" customWidth="1"/>
    <col min="11537" max="11537" width="10" style="2297" customWidth="1"/>
    <col min="11538" max="11538" width="10.125" style="2297" customWidth="1"/>
    <col min="11539" max="11539" width="10" style="2297" customWidth="1"/>
    <col min="11540" max="11540" width="26.125" style="2297" customWidth="1"/>
    <col min="11541" max="11776" width="8.875" style="2297"/>
    <col min="11777" max="11777" width="9.5" style="2297" customWidth="1"/>
    <col min="11778" max="11778" width="8.875" style="2297"/>
    <col min="11779" max="11781" width="12.875" style="2297" customWidth="1"/>
    <col min="11782" max="11782" width="47.5" style="2297" customWidth="1"/>
    <col min="11783" max="11783" width="13" style="2297" customWidth="1"/>
    <col min="11784" max="11785" width="8.875" style="2297"/>
    <col min="11786" max="11786" width="5.75" style="2297" customWidth="1"/>
    <col min="11787" max="11787" width="11.75" style="2297" customWidth="1"/>
    <col min="11788" max="11789" width="10.75" style="2297" customWidth="1"/>
    <col min="11790" max="11790" width="10" style="2297" customWidth="1"/>
    <col min="11791" max="11792" width="10.5" style="2297" customWidth="1"/>
    <col min="11793" max="11793" width="10" style="2297" customWidth="1"/>
    <col min="11794" max="11794" width="10.125" style="2297" customWidth="1"/>
    <col min="11795" max="11795" width="10" style="2297" customWidth="1"/>
    <col min="11796" max="11796" width="26.125" style="2297" customWidth="1"/>
    <col min="11797" max="12032" width="8.875" style="2297"/>
    <col min="12033" max="12033" width="9.5" style="2297" customWidth="1"/>
    <col min="12034" max="12034" width="8.875" style="2297"/>
    <col min="12035" max="12037" width="12.875" style="2297" customWidth="1"/>
    <col min="12038" max="12038" width="47.5" style="2297" customWidth="1"/>
    <col min="12039" max="12039" width="13" style="2297" customWidth="1"/>
    <col min="12040" max="12041" width="8.875" style="2297"/>
    <col min="12042" max="12042" width="5.75" style="2297" customWidth="1"/>
    <col min="12043" max="12043" width="11.75" style="2297" customWidth="1"/>
    <col min="12044" max="12045" width="10.75" style="2297" customWidth="1"/>
    <col min="12046" max="12046" width="10" style="2297" customWidth="1"/>
    <col min="12047" max="12048" width="10.5" style="2297" customWidth="1"/>
    <col min="12049" max="12049" width="10" style="2297" customWidth="1"/>
    <col min="12050" max="12050" width="10.125" style="2297" customWidth="1"/>
    <col min="12051" max="12051" width="10" style="2297" customWidth="1"/>
    <col min="12052" max="12052" width="26.125" style="2297" customWidth="1"/>
    <col min="12053" max="12288" width="8.875" style="2297"/>
    <col min="12289" max="12289" width="9.5" style="2297" customWidth="1"/>
    <col min="12290" max="12290" width="8.875" style="2297"/>
    <col min="12291" max="12293" width="12.875" style="2297" customWidth="1"/>
    <col min="12294" max="12294" width="47.5" style="2297" customWidth="1"/>
    <col min="12295" max="12295" width="13" style="2297" customWidth="1"/>
    <col min="12296" max="12297" width="8.875" style="2297"/>
    <col min="12298" max="12298" width="5.75" style="2297" customWidth="1"/>
    <col min="12299" max="12299" width="11.75" style="2297" customWidth="1"/>
    <col min="12300" max="12301" width="10.75" style="2297" customWidth="1"/>
    <col min="12302" max="12302" width="10" style="2297" customWidth="1"/>
    <col min="12303" max="12304" width="10.5" style="2297" customWidth="1"/>
    <col min="12305" max="12305" width="10" style="2297" customWidth="1"/>
    <col min="12306" max="12306" width="10.125" style="2297" customWidth="1"/>
    <col min="12307" max="12307" width="10" style="2297" customWidth="1"/>
    <col min="12308" max="12308" width="26.125" style="2297" customWidth="1"/>
    <col min="12309" max="12544" width="8.875" style="2297"/>
    <col min="12545" max="12545" width="9.5" style="2297" customWidth="1"/>
    <col min="12546" max="12546" width="8.875" style="2297"/>
    <col min="12547" max="12549" width="12.875" style="2297" customWidth="1"/>
    <col min="12550" max="12550" width="47.5" style="2297" customWidth="1"/>
    <col min="12551" max="12551" width="13" style="2297" customWidth="1"/>
    <col min="12552" max="12553" width="8.875" style="2297"/>
    <col min="12554" max="12554" width="5.75" style="2297" customWidth="1"/>
    <col min="12555" max="12555" width="11.75" style="2297" customWidth="1"/>
    <col min="12556" max="12557" width="10.75" style="2297" customWidth="1"/>
    <col min="12558" max="12558" width="10" style="2297" customWidth="1"/>
    <col min="12559" max="12560" width="10.5" style="2297" customWidth="1"/>
    <col min="12561" max="12561" width="10" style="2297" customWidth="1"/>
    <col min="12562" max="12562" width="10.125" style="2297" customWidth="1"/>
    <col min="12563" max="12563" width="10" style="2297" customWidth="1"/>
    <col min="12564" max="12564" width="26.125" style="2297" customWidth="1"/>
    <col min="12565" max="12800" width="8.875" style="2297"/>
    <col min="12801" max="12801" width="9.5" style="2297" customWidth="1"/>
    <col min="12802" max="12802" width="8.875" style="2297"/>
    <col min="12803" max="12805" width="12.875" style="2297" customWidth="1"/>
    <col min="12806" max="12806" width="47.5" style="2297" customWidth="1"/>
    <col min="12807" max="12807" width="13" style="2297" customWidth="1"/>
    <col min="12808" max="12809" width="8.875" style="2297"/>
    <col min="12810" max="12810" width="5.75" style="2297" customWidth="1"/>
    <col min="12811" max="12811" width="11.75" style="2297" customWidth="1"/>
    <col min="12812" max="12813" width="10.75" style="2297" customWidth="1"/>
    <col min="12814" max="12814" width="10" style="2297" customWidth="1"/>
    <col min="12815" max="12816" width="10.5" style="2297" customWidth="1"/>
    <col min="12817" max="12817" width="10" style="2297" customWidth="1"/>
    <col min="12818" max="12818" width="10.125" style="2297" customWidth="1"/>
    <col min="12819" max="12819" width="10" style="2297" customWidth="1"/>
    <col min="12820" max="12820" width="26.125" style="2297" customWidth="1"/>
    <col min="12821" max="13056" width="8.875" style="2297"/>
    <col min="13057" max="13057" width="9.5" style="2297" customWidth="1"/>
    <col min="13058" max="13058" width="8.875" style="2297"/>
    <col min="13059" max="13061" width="12.875" style="2297" customWidth="1"/>
    <col min="13062" max="13062" width="47.5" style="2297" customWidth="1"/>
    <col min="13063" max="13063" width="13" style="2297" customWidth="1"/>
    <col min="13064" max="13065" width="8.875" style="2297"/>
    <col min="13066" max="13066" width="5.75" style="2297" customWidth="1"/>
    <col min="13067" max="13067" width="11.75" style="2297" customWidth="1"/>
    <col min="13068" max="13069" width="10.75" style="2297" customWidth="1"/>
    <col min="13070" max="13070" width="10" style="2297" customWidth="1"/>
    <col min="13071" max="13072" width="10.5" style="2297" customWidth="1"/>
    <col min="13073" max="13073" width="10" style="2297" customWidth="1"/>
    <col min="13074" max="13074" width="10.125" style="2297" customWidth="1"/>
    <col min="13075" max="13075" width="10" style="2297" customWidth="1"/>
    <col min="13076" max="13076" width="26.125" style="2297" customWidth="1"/>
    <col min="13077" max="13312" width="8.875" style="2297"/>
    <col min="13313" max="13313" width="9.5" style="2297" customWidth="1"/>
    <col min="13314" max="13314" width="8.875" style="2297"/>
    <col min="13315" max="13317" width="12.875" style="2297" customWidth="1"/>
    <col min="13318" max="13318" width="47.5" style="2297" customWidth="1"/>
    <col min="13319" max="13319" width="13" style="2297" customWidth="1"/>
    <col min="13320" max="13321" width="8.875" style="2297"/>
    <col min="13322" max="13322" width="5.75" style="2297" customWidth="1"/>
    <col min="13323" max="13323" width="11.75" style="2297" customWidth="1"/>
    <col min="13324" max="13325" width="10.75" style="2297" customWidth="1"/>
    <col min="13326" max="13326" width="10" style="2297" customWidth="1"/>
    <col min="13327" max="13328" width="10.5" style="2297" customWidth="1"/>
    <col min="13329" max="13329" width="10" style="2297" customWidth="1"/>
    <col min="13330" max="13330" width="10.125" style="2297" customWidth="1"/>
    <col min="13331" max="13331" width="10" style="2297" customWidth="1"/>
    <col min="13332" max="13332" width="26.125" style="2297" customWidth="1"/>
    <col min="13333" max="13568" width="8.875" style="2297"/>
    <col min="13569" max="13569" width="9.5" style="2297" customWidth="1"/>
    <col min="13570" max="13570" width="8.875" style="2297"/>
    <col min="13571" max="13573" width="12.875" style="2297" customWidth="1"/>
    <col min="13574" max="13574" width="47.5" style="2297" customWidth="1"/>
    <col min="13575" max="13575" width="13" style="2297" customWidth="1"/>
    <col min="13576" max="13577" width="8.875" style="2297"/>
    <col min="13578" max="13578" width="5.75" style="2297" customWidth="1"/>
    <col min="13579" max="13579" width="11.75" style="2297" customWidth="1"/>
    <col min="13580" max="13581" width="10.75" style="2297" customWidth="1"/>
    <col min="13582" max="13582" width="10" style="2297" customWidth="1"/>
    <col min="13583" max="13584" width="10.5" style="2297" customWidth="1"/>
    <col min="13585" max="13585" width="10" style="2297" customWidth="1"/>
    <col min="13586" max="13586" width="10.125" style="2297" customWidth="1"/>
    <col min="13587" max="13587" width="10" style="2297" customWidth="1"/>
    <col min="13588" max="13588" width="26.125" style="2297" customWidth="1"/>
    <col min="13589" max="13824" width="8.875" style="2297"/>
    <col min="13825" max="13825" width="9.5" style="2297" customWidth="1"/>
    <col min="13826" max="13826" width="8.875" style="2297"/>
    <col min="13827" max="13829" width="12.875" style="2297" customWidth="1"/>
    <col min="13830" max="13830" width="47.5" style="2297" customWidth="1"/>
    <col min="13831" max="13831" width="13" style="2297" customWidth="1"/>
    <col min="13832" max="13833" width="8.875" style="2297"/>
    <col min="13834" max="13834" width="5.75" style="2297" customWidth="1"/>
    <col min="13835" max="13835" width="11.75" style="2297" customWidth="1"/>
    <col min="13836" max="13837" width="10.75" style="2297" customWidth="1"/>
    <col min="13838" max="13838" width="10" style="2297" customWidth="1"/>
    <col min="13839" max="13840" width="10.5" style="2297" customWidth="1"/>
    <col min="13841" max="13841" width="10" style="2297" customWidth="1"/>
    <col min="13842" max="13842" width="10.125" style="2297" customWidth="1"/>
    <col min="13843" max="13843" width="10" style="2297" customWidth="1"/>
    <col min="13844" max="13844" width="26.125" style="2297" customWidth="1"/>
    <col min="13845" max="14080" width="8.875" style="2297"/>
    <col min="14081" max="14081" width="9.5" style="2297" customWidth="1"/>
    <col min="14082" max="14082" width="8.875" style="2297"/>
    <col min="14083" max="14085" width="12.875" style="2297" customWidth="1"/>
    <col min="14086" max="14086" width="47.5" style="2297" customWidth="1"/>
    <col min="14087" max="14087" width="13" style="2297" customWidth="1"/>
    <col min="14088" max="14089" width="8.875" style="2297"/>
    <col min="14090" max="14090" width="5.75" style="2297" customWidth="1"/>
    <col min="14091" max="14091" width="11.75" style="2297" customWidth="1"/>
    <col min="14092" max="14093" width="10.75" style="2297" customWidth="1"/>
    <col min="14094" max="14094" width="10" style="2297" customWidth="1"/>
    <col min="14095" max="14096" width="10.5" style="2297" customWidth="1"/>
    <col min="14097" max="14097" width="10" style="2297" customWidth="1"/>
    <col min="14098" max="14098" width="10.125" style="2297" customWidth="1"/>
    <col min="14099" max="14099" width="10" style="2297" customWidth="1"/>
    <col min="14100" max="14100" width="26.125" style="2297" customWidth="1"/>
    <col min="14101" max="14336" width="8.875" style="2297"/>
    <col min="14337" max="14337" width="9.5" style="2297" customWidth="1"/>
    <col min="14338" max="14338" width="8.875" style="2297"/>
    <col min="14339" max="14341" width="12.875" style="2297" customWidth="1"/>
    <col min="14342" max="14342" width="47.5" style="2297" customWidth="1"/>
    <col min="14343" max="14343" width="13" style="2297" customWidth="1"/>
    <col min="14344" max="14345" width="8.875" style="2297"/>
    <col min="14346" max="14346" width="5.75" style="2297" customWidth="1"/>
    <col min="14347" max="14347" width="11.75" style="2297" customWidth="1"/>
    <col min="14348" max="14349" width="10.75" style="2297" customWidth="1"/>
    <col min="14350" max="14350" width="10" style="2297" customWidth="1"/>
    <col min="14351" max="14352" width="10.5" style="2297" customWidth="1"/>
    <col min="14353" max="14353" width="10" style="2297" customWidth="1"/>
    <col min="14354" max="14354" width="10.125" style="2297" customWidth="1"/>
    <col min="14355" max="14355" width="10" style="2297" customWidth="1"/>
    <col min="14356" max="14356" width="26.125" style="2297" customWidth="1"/>
    <col min="14357" max="14592" width="8.875" style="2297"/>
    <col min="14593" max="14593" width="9.5" style="2297" customWidth="1"/>
    <col min="14594" max="14594" width="8.875" style="2297"/>
    <col min="14595" max="14597" width="12.875" style="2297" customWidth="1"/>
    <col min="14598" max="14598" width="47.5" style="2297" customWidth="1"/>
    <col min="14599" max="14599" width="13" style="2297" customWidth="1"/>
    <col min="14600" max="14601" width="8.875" style="2297"/>
    <col min="14602" max="14602" width="5.75" style="2297" customWidth="1"/>
    <col min="14603" max="14603" width="11.75" style="2297" customWidth="1"/>
    <col min="14604" max="14605" width="10.75" style="2297" customWidth="1"/>
    <col min="14606" max="14606" width="10" style="2297" customWidth="1"/>
    <col min="14607" max="14608" width="10.5" style="2297" customWidth="1"/>
    <col min="14609" max="14609" width="10" style="2297" customWidth="1"/>
    <col min="14610" max="14610" width="10.125" style="2297" customWidth="1"/>
    <col min="14611" max="14611" width="10" style="2297" customWidth="1"/>
    <col min="14612" max="14612" width="26.125" style="2297" customWidth="1"/>
    <col min="14613" max="14848" width="8.875" style="2297"/>
    <col min="14849" max="14849" width="9.5" style="2297" customWidth="1"/>
    <col min="14850" max="14850" width="8.875" style="2297"/>
    <col min="14851" max="14853" width="12.875" style="2297" customWidth="1"/>
    <col min="14854" max="14854" width="47.5" style="2297" customWidth="1"/>
    <col min="14855" max="14855" width="13" style="2297" customWidth="1"/>
    <col min="14856" max="14857" width="8.875" style="2297"/>
    <col min="14858" max="14858" width="5.75" style="2297" customWidth="1"/>
    <col min="14859" max="14859" width="11.75" style="2297" customWidth="1"/>
    <col min="14860" max="14861" width="10.75" style="2297" customWidth="1"/>
    <col min="14862" max="14862" width="10" style="2297" customWidth="1"/>
    <col min="14863" max="14864" width="10.5" style="2297" customWidth="1"/>
    <col min="14865" max="14865" width="10" style="2297" customWidth="1"/>
    <col min="14866" max="14866" width="10.125" style="2297" customWidth="1"/>
    <col min="14867" max="14867" width="10" style="2297" customWidth="1"/>
    <col min="14868" max="14868" width="26.125" style="2297" customWidth="1"/>
    <col min="14869" max="15104" width="8.875" style="2297"/>
    <col min="15105" max="15105" width="9.5" style="2297" customWidth="1"/>
    <col min="15106" max="15106" width="8.875" style="2297"/>
    <col min="15107" max="15109" width="12.875" style="2297" customWidth="1"/>
    <col min="15110" max="15110" width="47.5" style="2297" customWidth="1"/>
    <col min="15111" max="15111" width="13" style="2297" customWidth="1"/>
    <col min="15112" max="15113" width="8.875" style="2297"/>
    <col min="15114" max="15114" width="5.75" style="2297" customWidth="1"/>
    <col min="15115" max="15115" width="11.75" style="2297" customWidth="1"/>
    <col min="15116" max="15117" width="10.75" style="2297" customWidth="1"/>
    <col min="15118" max="15118" width="10" style="2297" customWidth="1"/>
    <col min="15119" max="15120" width="10.5" style="2297" customWidth="1"/>
    <col min="15121" max="15121" width="10" style="2297" customWidth="1"/>
    <col min="15122" max="15122" width="10.125" style="2297" customWidth="1"/>
    <col min="15123" max="15123" width="10" style="2297" customWidth="1"/>
    <col min="15124" max="15124" width="26.125" style="2297" customWidth="1"/>
    <col min="15125" max="15360" width="8.875" style="2297"/>
    <col min="15361" max="15361" width="9.5" style="2297" customWidth="1"/>
    <col min="15362" max="15362" width="8.875" style="2297"/>
    <col min="15363" max="15365" width="12.875" style="2297" customWidth="1"/>
    <col min="15366" max="15366" width="47.5" style="2297" customWidth="1"/>
    <col min="15367" max="15367" width="13" style="2297" customWidth="1"/>
    <col min="15368" max="15369" width="8.875" style="2297"/>
    <col min="15370" max="15370" width="5.75" style="2297" customWidth="1"/>
    <col min="15371" max="15371" width="11.75" style="2297" customWidth="1"/>
    <col min="15372" max="15373" width="10.75" style="2297" customWidth="1"/>
    <col min="15374" max="15374" width="10" style="2297" customWidth="1"/>
    <col min="15375" max="15376" width="10.5" style="2297" customWidth="1"/>
    <col min="15377" max="15377" width="10" style="2297" customWidth="1"/>
    <col min="15378" max="15378" width="10.125" style="2297" customWidth="1"/>
    <col min="15379" max="15379" width="10" style="2297" customWidth="1"/>
    <col min="15380" max="15380" width="26.125" style="2297" customWidth="1"/>
    <col min="15381" max="15616" width="8.875" style="2297"/>
    <col min="15617" max="15617" width="9.5" style="2297" customWidth="1"/>
    <col min="15618" max="15618" width="8.875" style="2297"/>
    <col min="15619" max="15621" width="12.875" style="2297" customWidth="1"/>
    <col min="15622" max="15622" width="47.5" style="2297" customWidth="1"/>
    <col min="15623" max="15623" width="13" style="2297" customWidth="1"/>
    <col min="15624" max="15625" width="8.875" style="2297"/>
    <col min="15626" max="15626" width="5.75" style="2297" customWidth="1"/>
    <col min="15627" max="15627" width="11.75" style="2297" customWidth="1"/>
    <col min="15628" max="15629" width="10.75" style="2297" customWidth="1"/>
    <col min="15630" max="15630" width="10" style="2297" customWidth="1"/>
    <col min="15631" max="15632" width="10.5" style="2297" customWidth="1"/>
    <col min="15633" max="15633" width="10" style="2297" customWidth="1"/>
    <col min="15634" max="15634" width="10.125" style="2297" customWidth="1"/>
    <col min="15635" max="15635" width="10" style="2297" customWidth="1"/>
    <col min="15636" max="15636" width="26.125" style="2297" customWidth="1"/>
    <col min="15637" max="15872" width="8.875" style="2297"/>
    <col min="15873" max="15873" width="9.5" style="2297" customWidth="1"/>
    <col min="15874" max="15874" width="8.875" style="2297"/>
    <col min="15875" max="15877" width="12.875" style="2297" customWidth="1"/>
    <col min="15878" max="15878" width="47.5" style="2297" customWidth="1"/>
    <col min="15879" max="15879" width="13" style="2297" customWidth="1"/>
    <col min="15880" max="15881" width="8.875" style="2297"/>
    <col min="15882" max="15882" width="5.75" style="2297" customWidth="1"/>
    <col min="15883" max="15883" width="11.75" style="2297" customWidth="1"/>
    <col min="15884" max="15885" width="10.75" style="2297" customWidth="1"/>
    <col min="15886" max="15886" width="10" style="2297" customWidth="1"/>
    <col min="15887" max="15888" width="10.5" style="2297" customWidth="1"/>
    <col min="15889" max="15889" width="10" style="2297" customWidth="1"/>
    <col min="15890" max="15890" width="10.125" style="2297" customWidth="1"/>
    <col min="15891" max="15891" width="10" style="2297" customWidth="1"/>
    <col min="15892" max="15892" width="26.125" style="2297" customWidth="1"/>
    <col min="15893" max="16128" width="8.875" style="2297"/>
    <col min="16129" max="16129" width="9.5" style="2297" customWidth="1"/>
    <col min="16130" max="16130" width="8.875" style="2297"/>
    <col min="16131" max="16133" width="12.875" style="2297" customWidth="1"/>
    <col min="16134" max="16134" width="47.5" style="2297" customWidth="1"/>
    <col min="16135" max="16135" width="13" style="2297" customWidth="1"/>
    <col min="16136" max="16137" width="8.875" style="2297"/>
    <col min="16138" max="16138" width="5.75" style="2297" customWidth="1"/>
    <col min="16139" max="16139" width="11.75" style="2297" customWidth="1"/>
    <col min="16140" max="16141" width="10.75" style="2297" customWidth="1"/>
    <col min="16142" max="16142" width="10" style="2297" customWidth="1"/>
    <col min="16143" max="16144" width="10.5" style="2297" customWidth="1"/>
    <col min="16145" max="16145" width="10" style="2297" customWidth="1"/>
    <col min="16146" max="16146" width="10.125" style="2297" customWidth="1"/>
    <col min="16147" max="16147" width="10" style="2297" customWidth="1"/>
    <col min="16148" max="16148" width="26.125" style="2297" customWidth="1"/>
    <col min="16149" max="16384" width="8.875" style="2297"/>
  </cols>
  <sheetData>
    <row r="1" ht="21" customHeight="1" spans="1:22">
      <c r="A1" s="2302" t="s">
        <v>1725</v>
      </c>
      <c r="B1" s="2303"/>
      <c r="C1" s="2304"/>
      <c r="D1" s="2304"/>
      <c r="E1" s="2305"/>
      <c r="F1" s="2306"/>
      <c r="G1" s="2307"/>
      <c r="J1" s="2308" t="s">
        <v>1726</v>
      </c>
      <c r="K1" s="2309"/>
      <c r="L1" s="2309"/>
      <c r="M1" s="2309"/>
      <c r="N1" s="2309"/>
      <c r="O1" s="2309"/>
      <c r="P1" s="2309"/>
      <c r="Q1" s="2309"/>
      <c r="R1" s="2310"/>
      <c r="S1" s="2311"/>
      <c r="T1" s="2311"/>
      <c r="U1" s="2311"/>
    </row>
    <row r="2" s="2295" customFormat="1" customHeight="1" spans="1:22">
      <c r="A2" s="2312" t="s">
        <v>1246</v>
      </c>
      <c r="B2" s="2313" t="e">
        <f>IF(D2="——",C40,C40+E2)</f>
        <v>#DIV/0!</v>
      </c>
      <c r="C2" s="2304" t="s">
        <v>1247</v>
      </c>
      <c r="D2" s="2314" t="s">
        <v>1727</v>
      </c>
      <c r="E2" s="2315"/>
      <c r="F2" s="2316"/>
      <c r="G2" s="2317"/>
      <c r="H2" s="2318"/>
      <c r="I2" s="2319"/>
      <c r="J2" s="2320" t="s">
        <v>1728</v>
      </c>
      <c r="K2" s="2321"/>
      <c r="L2" s="2322" t="s">
        <v>1729</v>
      </c>
      <c r="M2" s="2322" t="s">
        <v>1730</v>
      </c>
      <c r="N2" s="2322" t="s">
        <v>1731</v>
      </c>
      <c r="O2" s="2322" t="s">
        <v>1732</v>
      </c>
      <c r="P2" s="2322" t="s">
        <v>1733</v>
      </c>
      <c r="Q2" s="2323" t="s">
        <v>1734</v>
      </c>
      <c r="R2" s="2324" t="s">
        <v>1735</v>
      </c>
      <c r="S2" s="2311"/>
      <c r="T2" s="2311"/>
      <c r="U2" s="2311"/>
      <c r="V2" s="2319"/>
    </row>
    <row r="3" s="2295" customFormat="1" customHeight="1" spans="1:22">
      <c r="A3" s="2325" t="s">
        <v>1248</v>
      </c>
      <c r="B3" s="2326" t="e">
        <f>ROUND(B2*10000/B4,0)</f>
        <v>#DIV/0!</v>
      </c>
      <c r="C3" s="2304" t="s">
        <v>1249</v>
      </c>
      <c r="D3" s="2304"/>
      <c r="E3" s="2327"/>
      <c r="F3" s="2316"/>
      <c r="G3" s="2317"/>
      <c r="H3" s="2318"/>
      <c r="I3" s="2319"/>
      <c r="J3" s="2328" t="s">
        <v>1736</v>
      </c>
      <c r="K3" s="2329"/>
      <c r="L3" s="2330"/>
      <c r="M3" s="2330"/>
      <c r="N3" s="2330"/>
      <c r="O3" s="2330"/>
      <c r="P3" s="2330"/>
      <c r="Q3" s="2331"/>
      <c r="R3" s="2332">
        <f>SUM(L3:Q3)</f>
        <v>0</v>
      </c>
      <c r="S3" s="2311"/>
      <c r="T3" s="2311"/>
      <c r="U3" s="2311"/>
      <c r="V3" s="2319"/>
    </row>
    <row r="4" s="2295" customFormat="1" customHeight="1" spans="1:22">
      <c r="A4" s="2333" t="s">
        <v>1737</v>
      </c>
      <c r="B4" s="2334"/>
      <c r="C4" s="2304"/>
      <c r="D4" s="2304"/>
      <c r="E4" s="2327"/>
      <c r="F4" s="2316"/>
      <c r="G4" s="2317"/>
      <c r="H4" s="2318"/>
      <c r="I4" s="2319"/>
      <c r="J4" s="2328" t="s">
        <v>1738</v>
      </c>
      <c r="K4" s="2329"/>
      <c r="L4" s="2335"/>
      <c r="M4" s="2335"/>
      <c r="N4" s="2335"/>
      <c r="O4" s="2335"/>
      <c r="P4" s="2335"/>
      <c r="Q4" s="2336"/>
      <c r="R4" s="2337">
        <f>SUM(L4:Q4)</f>
        <v>0</v>
      </c>
      <c r="S4" s="2311"/>
      <c r="T4" s="2311"/>
      <c r="U4" s="2311"/>
      <c r="V4" s="2319"/>
    </row>
    <row r="5" s="2295" customFormat="1" customHeight="1" spans="1:22">
      <c r="A5" s="2338" t="s">
        <v>1739</v>
      </c>
      <c r="B5" s="2339"/>
      <c r="C5" s="2304"/>
      <c r="D5" s="2340"/>
      <c r="E5" s="2316"/>
      <c r="F5" s="2316"/>
      <c r="G5" s="2317"/>
      <c r="H5" s="2318"/>
      <c r="I5" s="2319"/>
      <c r="J5" s="2341" t="s">
        <v>1740</v>
      </c>
      <c r="K5" s="2342"/>
      <c r="L5" s="2342"/>
      <c r="M5" s="2343"/>
      <c r="N5" s="2343"/>
      <c r="O5" s="2343"/>
      <c r="P5" s="2343"/>
      <c r="Q5" s="2343"/>
      <c r="R5" s="2324">
        <f>SUM(R14,R19,R24,R25,R27,R28)</f>
        <v>0</v>
      </c>
      <c r="S5" s="2311"/>
      <c r="T5" s="2311" t="s">
        <v>1741</v>
      </c>
      <c r="U5" s="2311" t="e">
        <f>ROUND(R5*10000/365/R3,1)</f>
        <v>#DIV/0!</v>
      </c>
      <c r="V5" s="2319"/>
    </row>
    <row r="6" s="2295" customFormat="1" customHeight="1" spans="1:22">
      <c r="A6" s="2344" t="s">
        <v>1742</v>
      </c>
      <c r="B6" s="2345"/>
      <c r="C6" s="2346"/>
      <c r="D6" s="2347"/>
      <c r="E6" s="2348"/>
      <c r="F6" s="2349"/>
      <c r="G6" s="2350"/>
      <c r="H6" s="2318"/>
      <c r="I6" s="2319"/>
      <c r="J6" s="2351">
        <v>1</v>
      </c>
      <c r="K6" s="2352" t="s">
        <v>1743</v>
      </c>
      <c r="L6" s="2353" t="s">
        <v>1744</v>
      </c>
      <c r="M6" s="2354" t="s">
        <v>1745</v>
      </c>
      <c r="N6" s="2354" t="s">
        <v>1746</v>
      </c>
      <c r="O6" s="2354" t="s">
        <v>1747</v>
      </c>
      <c r="P6" s="2354" t="s">
        <v>1748</v>
      </c>
      <c r="Q6" s="2354" t="s">
        <v>1749</v>
      </c>
      <c r="R6" s="2332" t="s">
        <v>1750</v>
      </c>
      <c r="S6" s="2311"/>
      <c r="T6" s="2311" t="s">
        <v>1751</v>
      </c>
      <c r="U6" s="2311"/>
      <c r="V6" s="2319"/>
    </row>
    <row r="7" s="2295" customFormat="1" customHeight="1" spans="1:22">
      <c r="A7" s="2355" t="s">
        <v>1752</v>
      </c>
      <c r="B7" s="2356"/>
      <c r="C7" s="2357"/>
      <c r="D7" s="2358">
        <f>SUM(D9,D10,D11,D17,0)</f>
        <v>0</v>
      </c>
      <c r="E7" s="2359" t="e">
        <f>E9+E10+E11+E17</f>
        <v>#DIV/0!</v>
      </c>
      <c r="F7" s="2360"/>
      <c r="G7" s="2361"/>
      <c r="H7" s="2318"/>
      <c r="I7" s="2319"/>
      <c r="J7" s="2351"/>
      <c r="K7" s="2362"/>
      <c r="L7" s="2363" t="s">
        <v>1753</v>
      </c>
      <c r="M7" s="2364"/>
      <c r="N7" s="2365"/>
      <c r="O7" s="2366"/>
      <c r="P7" s="2366"/>
      <c r="Q7" s="2365">
        <v>365</v>
      </c>
      <c r="R7" s="2367">
        <f>ROUND(M7*N7*O7*P7*Q7/10000,0)</f>
        <v>0</v>
      </c>
      <c r="S7" s="2311"/>
      <c r="T7" s="2311" t="s">
        <v>1754</v>
      </c>
      <c r="U7" s="2311"/>
      <c r="V7" s="2319"/>
    </row>
    <row r="8" s="2295" customFormat="1" customHeight="1" spans="1:22">
      <c r="A8" s="2368" t="s">
        <v>1755</v>
      </c>
      <c r="B8" s="2369" t="s">
        <v>1756</v>
      </c>
      <c r="C8" s="2370"/>
      <c r="D8" s="2371" t="s">
        <v>1481</v>
      </c>
      <c r="E8" s="2372" t="s">
        <v>1757</v>
      </c>
      <c r="F8" s="2373" t="s">
        <v>1758</v>
      </c>
      <c r="G8" s="2374"/>
      <c r="H8" s="2318"/>
      <c r="I8" s="2319"/>
      <c r="J8" s="2351"/>
      <c r="K8" s="2362"/>
      <c r="L8" s="2363" t="s">
        <v>1759</v>
      </c>
      <c r="M8" s="2364"/>
      <c r="N8" s="2365"/>
      <c r="O8" s="2366"/>
      <c r="P8" s="2366"/>
      <c r="Q8" s="2365">
        <v>365</v>
      </c>
      <c r="R8" s="2367">
        <f t="shared" ref="R8:R13" si="0">ROUND(M8*N8*O8*P8*Q8/10000,0)</f>
        <v>0</v>
      </c>
      <c r="S8" s="2311"/>
      <c r="T8" s="2311" t="s">
        <v>1760</v>
      </c>
      <c r="U8" s="2311"/>
      <c r="V8" s="2319"/>
    </row>
    <row r="9" s="2295" customFormat="1" customHeight="1" spans="1:22">
      <c r="A9" s="2368">
        <v>1</v>
      </c>
      <c r="B9" s="2369" t="s">
        <v>1761</v>
      </c>
      <c r="C9" s="2370"/>
      <c r="D9" s="2375">
        <f>ROUND(D6*E9,0)</f>
        <v>0</v>
      </c>
      <c r="E9" s="2376"/>
      <c r="F9" s="2377" t="s">
        <v>1762</v>
      </c>
      <c r="G9" s="2350"/>
      <c r="H9" s="2318"/>
      <c r="I9" s="2319"/>
      <c r="J9" s="2351"/>
      <c r="K9" s="2362"/>
      <c r="L9" s="2363" t="s">
        <v>1763</v>
      </c>
      <c r="M9" s="2364"/>
      <c r="N9" s="2365"/>
      <c r="O9" s="2366"/>
      <c r="P9" s="2366"/>
      <c r="Q9" s="2365">
        <v>365</v>
      </c>
      <c r="R9" s="2367">
        <f t="shared" si="0"/>
        <v>0</v>
      </c>
      <c r="S9" s="2311"/>
      <c r="T9" s="2311"/>
      <c r="U9" s="2311"/>
      <c r="V9" s="2319"/>
    </row>
    <row r="10" s="2295" customFormat="1" customHeight="1" spans="1:22">
      <c r="A10" s="2368">
        <v>2</v>
      </c>
      <c r="B10" s="2369" t="s">
        <v>1764</v>
      </c>
      <c r="C10" s="2370"/>
      <c r="D10" s="2375">
        <f>ROUND(D6*E10,0)</f>
        <v>0</v>
      </c>
      <c r="E10" s="2376"/>
      <c r="F10" s="2378" t="s">
        <v>1765</v>
      </c>
      <c r="G10" s="2350"/>
      <c r="H10" s="2318"/>
      <c r="I10" s="2319"/>
      <c r="J10" s="2351"/>
      <c r="K10" s="2362"/>
      <c r="L10" s="2363" t="s">
        <v>1766</v>
      </c>
      <c r="M10" s="2364"/>
      <c r="N10" s="2365"/>
      <c r="O10" s="2366"/>
      <c r="P10" s="2366"/>
      <c r="Q10" s="2365">
        <v>365</v>
      </c>
      <c r="R10" s="2367">
        <f t="shared" si="0"/>
        <v>0</v>
      </c>
      <c r="S10" s="2311"/>
      <c r="T10" s="2311"/>
      <c r="U10" s="2311"/>
      <c r="V10" s="2319"/>
    </row>
    <row r="11" s="2295" customFormat="1" customHeight="1" spans="1:22">
      <c r="A11" s="2368">
        <v>3</v>
      </c>
      <c r="B11" s="2369" t="s">
        <v>1767</v>
      </c>
      <c r="C11" s="2370"/>
      <c r="D11" s="2375">
        <f>D12+D14+D15+D16</f>
        <v>0</v>
      </c>
      <c r="E11" s="2379" t="e">
        <f>D11/D6</f>
        <v>#DIV/0!</v>
      </c>
      <c r="F11" s="2373"/>
      <c r="G11" s="2374"/>
      <c r="H11" s="2318"/>
      <c r="I11" s="2319"/>
      <c r="J11" s="2351"/>
      <c r="K11" s="2362"/>
      <c r="L11" s="2363" t="s">
        <v>1768</v>
      </c>
      <c r="M11" s="2364"/>
      <c r="N11" s="2365"/>
      <c r="O11" s="2366"/>
      <c r="P11" s="2366"/>
      <c r="Q11" s="2365">
        <v>365</v>
      </c>
      <c r="R11" s="2367">
        <f t="shared" si="0"/>
        <v>0</v>
      </c>
      <c r="S11" s="2311"/>
      <c r="T11" s="2311"/>
      <c r="U11" s="2311"/>
      <c r="V11" s="2319"/>
    </row>
    <row r="12" s="2295" customFormat="1" customHeight="1" spans="1:22">
      <c r="A12" s="2380" t="s">
        <v>1769</v>
      </c>
      <c r="B12" s="2381" t="s">
        <v>1770</v>
      </c>
      <c r="C12" s="2382"/>
      <c r="D12" s="2383">
        <f>ROUND(D13*1.2%*(1-30%),0)</f>
        <v>0</v>
      </c>
      <c r="E12" s="2384">
        <v>0.012</v>
      </c>
      <c r="F12" s="2373" t="s">
        <v>1771</v>
      </c>
      <c r="G12" s="2374"/>
      <c r="H12" s="2318"/>
      <c r="I12" s="2319"/>
      <c r="J12" s="2351"/>
      <c r="K12" s="2362"/>
      <c r="L12" s="2363" t="s">
        <v>1772</v>
      </c>
      <c r="M12" s="2364"/>
      <c r="N12" s="2365"/>
      <c r="O12" s="2366"/>
      <c r="P12" s="2366"/>
      <c r="Q12" s="2365">
        <v>365</v>
      </c>
      <c r="R12" s="2367">
        <f t="shared" si="0"/>
        <v>0</v>
      </c>
      <c r="S12" s="2311"/>
      <c r="T12" s="2311"/>
      <c r="U12" s="2311"/>
      <c r="V12" s="2319"/>
    </row>
    <row r="13" s="2295" customFormat="1" customHeight="1" spans="1:22">
      <c r="A13" s="2380"/>
      <c r="B13" s="2381"/>
      <c r="C13" s="2385" t="s">
        <v>1773</v>
      </c>
      <c r="D13" s="2386"/>
      <c r="E13" s="2387"/>
      <c r="F13" s="2373"/>
      <c r="G13" s="2374"/>
      <c r="H13" s="2318"/>
      <c r="I13" s="2319"/>
      <c r="J13" s="2351"/>
      <c r="K13" s="2362"/>
      <c r="L13" s="2363" t="s">
        <v>1774</v>
      </c>
      <c r="M13" s="2364"/>
      <c r="N13" s="2365"/>
      <c r="O13" s="2366"/>
      <c r="P13" s="2366"/>
      <c r="Q13" s="2365">
        <v>365</v>
      </c>
      <c r="R13" s="2367">
        <f t="shared" si="0"/>
        <v>0</v>
      </c>
      <c r="S13" s="2311"/>
      <c r="T13" s="2311"/>
      <c r="U13" s="2311"/>
      <c r="V13" s="2319"/>
    </row>
    <row r="14" s="2295" customFormat="1" customHeight="1" spans="1:22">
      <c r="A14" s="2380" t="s">
        <v>1775</v>
      </c>
      <c r="B14" s="2381" t="s">
        <v>1776</v>
      </c>
      <c r="C14" s="2382"/>
      <c r="D14" s="2383">
        <f>ROUND(E14*B5/10000,0)</f>
        <v>0</v>
      </c>
      <c r="E14" s="2388"/>
      <c r="F14" s="2373" t="s">
        <v>1777</v>
      </c>
      <c r="G14" s="2374"/>
      <c r="H14" s="2318"/>
      <c r="I14" s="2319"/>
      <c r="J14" s="2351"/>
      <c r="K14" s="2389"/>
      <c r="L14" s="2390" t="s">
        <v>1778</v>
      </c>
      <c r="M14" s="2391">
        <f>SUM(M7:M13)</f>
        <v>0</v>
      </c>
      <c r="N14" s="2391" t="e">
        <f>ROUND((N7*M7+N8*M8+N9*M9+N10*M10+N11*M11+N12*M12+N13*M13)/M14,0)</f>
        <v>#DIV/0!</v>
      </c>
      <c r="O14" s="2392"/>
      <c r="P14" s="2392"/>
      <c r="Q14" s="2393"/>
      <c r="R14" s="2324">
        <f>SUM(R7:R13)</f>
        <v>0</v>
      </c>
      <c r="S14" s="2311"/>
      <c r="T14" s="2311"/>
      <c r="U14" s="2311"/>
      <c r="V14" s="2319"/>
    </row>
    <row r="15" s="2295" customFormat="1" customHeight="1" spans="1:22">
      <c r="A15" s="2380" t="s">
        <v>1779</v>
      </c>
      <c r="B15" s="2394" t="s">
        <v>770</v>
      </c>
      <c r="C15" s="2382"/>
      <c r="D15" s="2383">
        <f>IF(F15="酒店",E48*(1+E15),IF(F15="购物中心",E67*(1+E15),IF(F15="按比例计算-酒店",E46,E65)))</f>
        <v>0</v>
      </c>
      <c r="E15" s="2384">
        <f>'数据-取费表'!B44</f>
        <v>0.12</v>
      </c>
      <c r="F15" s="2395" t="s">
        <v>1780</v>
      </c>
      <c r="G15" s="2396"/>
      <c r="H15" s="2318"/>
      <c r="I15" s="2319"/>
      <c r="J15" s="2351">
        <v>2</v>
      </c>
      <c r="K15" s="2352" t="s">
        <v>1781</v>
      </c>
      <c r="L15" s="2363" t="s">
        <v>1782</v>
      </c>
      <c r="M15" s="2397" t="s">
        <v>1783</v>
      </c>
      <c r="N15" s="2397" t="s">
        <v>1784</v>
      </c>
      <c r="O15" s="2398" t="s">
        <v>1785</v>
      </c>
      <c r="P15" s="2398" t="s">
        <v>1749</v>
      </c>
      <c r="Q15" s="2399" t="s">
        <v>124</v>
      </c>
      <c r="R15" s="2400" t="s">
        <v>1750</v>
      </c>
      <c r="S15" s="2311"/>
      <c r="T15" s="2311"/>
      <c r="U15" s="2311"/>
      <c r="V15" s="2319"/>
    </row>
    <row r="16" s="2295" customFormat="1" customHeight="1" spans="1:22">
      <c r="A16" s="2380" t="s">
        <v>1786</v>
      </c>
      <c r="B16" s="2381" t="s">
        <v>1787</v>
      </c>
      <c r="C16" s="2382"/>
      <c r="D16" s="2401">
        <f>D6*E16</f>
        <v>0</v>
      </c>
      <c r="E16" s="2402"/>
      <c r="F16" s="2377" t="s">
        <v>1788</v>
      </c>
      <c r="G16" s="2350"/>
      <c r="H16" s="2318"/>
      <c r="I16" s="2319"/>
      <c r="J16" s="2351"/>
      <c r="K16" s="2362"/>
      <c r="L16" s="2363" t="s">
        <v>1789</v>
      </c>
      <c r="M16" s="2364"/>
      <c r="N16" s="2364"/>
      <c r="O16" s="2403"/>
      <c r="P16" s="2365">
        <v>365</v>
      </c>
      <c r="Q16" s="2365"/>
      <c r="R16" s="2367">
        <f>ROUND(M16*N16*O16*P16/10000,0)</f>
        <v>0</v>
      </c>
      <c r="S16" s="2311"/>
      <c r="T16" s="2311"/>
      <c r="U16" s="2311"/>
      <c r="V16" s="2319"/>
    </row>
    <row r="17" s="2295" customFormat="1" customHeight="1" spans="1:22">
      <c r="A17" s="2404">
        <v>4</v>
      </c>
      <c r="B17" s="2405" t="s">
        <v>1790</v>
      </c>
      <c r="C17" s="2406"/>
      <c r="D17" s="2407">
        <f>ROUND(D6*E17,0)</f>
        <v>0</v>
      </c>
      <c r="E17" s="2408"/>
      <c r="F17" s="2409" t="s">
        <v>1791</v>
      </c>
      <c r="G17" s="2350"/>
      <c r="H17" s="2318"/>
      <c r="I17" s="2319"/>
      <c r="J17" s="2351"/>
      <c r="K17" s="2362"/>
      <c r="L17" s="2363" t="s">
        <v>1792</v>
      </c>
      <c r="M17" s="2364"/>
      <c r="N17" s="2364"/>
      <c r="O17" s="2403"/>
      <c r="P17" s="2365">
        <v>365</v>
      </c>
      <c r="Q17" s="2365"/>
      <c r="R17" s="2367">
        <f>ROUND(M17*N17*O17*P17/10000,0)</f>
        <v>0</v>
      </c>
      <c r="S17" s="2311"/>
      <c r="T17" s="2311"/>
      <c r="U17" s="2311"/>
      <c r="V17" s="2319"/>
    </row>
    <row r="18" s="2295" customFormat="1" customHeight="1" spans="1:22">
      <c r="A18" s="2355" t="s">
        <v>1793</v>
      </c>
      <c r="B18" s="2356"/>
      <c r="C18" s="2356"/>
      <c r="D18" s="2410">
        <f>ROUND(D6*E18,0)</f>
        <v>0</v>
      </c>
      <c r="E18" s="2411"/>
      <c r="F18" s="2412" t="s">
        <v>1794</v>
      </c>
      <c r="G18" s="2350"/>
      <c r="H18" s="2318"/>
      <c r="I18" s="2319"/>
      <c r="J18" s="2351"/>
      <c r="K18" s="2362"/>
      <c r="L18" s="2363" t="s">
        <v>1795</v>
      </c>
      <c r="M18" s="2364"/>
      <c r="N18" s="2364"/>
      <c r="O18" s="2403"/>
      <c r="P18" s="2365">
        <v>365</v>
      </c>
      <c r="Q18" s="2365"/>
      <c r="R18" s="2367">
        <f>ROUND(M18*N18*O18*P18/10000,0)</f>
        <v>0</v>
      </c>
      <c r="S18" s="2311"/>
      <c r="T18" s="2311"/>
      <c r="U18" s="2311"/>
      <c r="V18" s="2319"/>
    </row>
    <row r="19" s="2295" customFormat="1" customHeight="1" spans="1:22">
      <c r="A19" s="2413" t="s">
        <v>1796</v>
      </c>
      <c r="B19" s="2414"/>
      <c r="C19" s="2414"/>
      <c r="D19" s="2414"/>
      <c r="E19" s="2414"/>
      <c r="F19" s="2349"/>
      <c r="G19" s="2374"/>
      <c r="H19" s="2318"/>
      <c r="I19" s="2319"/>
      <c r="J19" s="2351"/>
      <c r="K19" s="2389"/>
      <c r="L19" s="2390" t="s">
        <v>1778</v>
      </c>
      <c r="M19" s="2391"/>
      <c r="N19" s="2391">
        <f>SUM(N16:N18)</f>
        <v>0</v>
      </c>
      <c r="O19" s="2392"/>
      <c r="P19" s="2415" t="s">
        <v>1797</v>
      </c>
      <c r="Q19" s="2398">
        <v>0</v>
      </c>
      <c r="R19" s="2416">
        <f>ROUND(IF(P19="按比例",R14*Q19,SUM(R16:R18)),0)</f>
        <v>0</v>
      </c>
      <c r="S19" s="2311"/>
      <c r="T19" s="2311"/>
      <c r="U19" s="2311"/>
      <c r="V19" s="2319"/>
    </row>
    <row r="20" s="2295" customFormat="1" customHeight="1" spans="1:22">
      <c r="A20" s="2355"/>
      <c r="B20" s="2356"/>
      <c r="C20" s="2356"/>
      <c r="D20" s="2356"/>
      <c r="E20" s="2356"/>
      <c r="F20" s="2417"/>
      <c r="G20" s="2374"/>
      <c r="H20" s="2318"/>
      <c r="I20" s="2319"/>
      <c r="J20" s="2351">
        <v>3</v>
      </c>
      <c r="K20" s="2352" t="s">
        <v>1798</v>
      </c>
      <c r="L20" s="2363" t="s">
        <v>1799</v>
      </c>
      <c r="M20" s="2397" t="s">
        <v>1800</v>
      </c>
      <c r="N20" s="2418" t="s">
        <v>1801</v>
      </c>
      <c r="O20" s="2398" t="s">
        <v>1802</v>
      </c>
      <c r="P20" s="2419" t="s">
        <v>1749</v>
      </c>
      <c r="Q20" s="2399" t="s">
        <v>124</v>
      </c>
      <c r="R20" s="2400" t="s">
        <v>1750</v>
      </c>
      <c r="S20" s="2420"/>
      <c r="T20" s="2420"/>
      <c r="U20" s="2420"/>
      <c r="V20" s="2319"/>
    </row>
    <row r="21" s="2295" customFormat="1" customHeight="1" spans="1:22">
      <c r="A21" s="2355"/>
      <c r="B21" s="2356"/>
      <c r="C21" s="2369" t="s">
        <v>1803</v>
      </c>
      <c r="D21" s="2421" t="s">
        <v>1804</v>
      </c>
      <c r="E21" s="2370" t="s">
        <v>1805</v>
      </c>
      <c r="F21" s="2417"/>
      <c r="G21" s="2374"/>
      <c r="H21" s="2318"/>
      <c r="I21" s="2319"/>
      <c r="J21" s="2351"/>
      <c r="K21" s="2362"/>
      <c r="L21" s="2363" t="s">
        <v>1806</v>
      </c>
      <c r="M21" s="2364"/>
      <c r="N21" s="2364"/>
      <c r="O21" s="2422"/>
      <c r="P21" s="2365">
        <v>365</v>
      </c>
      <c r="Q21" s="2365"/>
      <c r="R21" s="2423">
        <f>ROUND(M21*N21*O21*P21/10000,0)</f>
        <v>0</v>
      </c>
      <c r="S21" s="2420"/>
      <c r="T21" s="2420"/>
      <c r="U21" s="2420"/>
      <c r="V21" s="2319"/>
    </row>
    <row r="22" s="2295" customFormat="1" customHeight="1" spans="1:22">
      <c r="A22" s="2355"/>
      <c r="B22" s="2356"/>
      <c r="C22" s="2424" t="s">
        <v>1807</v>
      </c>
      <c r="D22" s="2425" t="s">
        <v>1808</v>
      </c>
      <c r="E22" s="2426" t="s">
        <v>1809</v>
      </c>
      <c r="F22" s="2417"/>
      <c r="G22" s="2427"/>
      <c r="H22" s="2318"/>
      <c r="I22" s="2319"/>
      <c r="J22" s="2351"/>
      <c r="K22" s="2362"/>
      <c r="L22" s="2363" t="s">
        <v>1810</v>
      </c>
      <c r="M22" s="2364"/>
      <c r="N22" s="2364"/>
      <c r="O22" s="2422"/>
      <c r="P22" s="2365">
        <v>365</v>
      </c>
      <c r="Q22" s="2365"/>
      <c r="R22" s="2423">
        <f>ROUND(M22*N22*O22*P22/10000,0)</f>
        <v>0</v>
      </c>
      <c r="S22" s="2420"/>
      <c r="T22" s="2420"/>
      <c r="U22" s="2420"/>
      <c r="V22" s="2319"/>
    </row>
    <row r="23" s="2295" customFormat="1" customHeight="1" spans="1:22">
      <c r="A23" s="2428">
        <v>1</v>
      </c>
      <c r="B23" s="2429" t="s">
        <v>1811</v>
      </c>
      <c r="C23" s="2430">
        <f>D6</f>
        <v>0</v>
      </c>
      <c r="D23" s="2431">
        <f>C23*(1+D24)</f>
        <v>0</v>
      </c>
      <c r="E23" s="2432">
        <f>D23*(1+E24)</f>
        <v>0</v>
      </c>
      <c r="F23" s="2433"/>
      <c r="G23" s="2434"/>
      <c r="H23" s="2318"/>
      <c r="I23" s="2319"/>
      <c r="J23" s="2351"/>
      <c r="K23" s="2362"/>
      <c r="L23" s="2363" t="s">
        <v>1812</v>
      </c>
      <c r="M23" s="2364"/>
      <c r="N23" s="2364"/>
      <c r="O23" s="2422"/>
      <c r="P23" s="2365">
        <v>365</v>
      </c>
      <c r="Q23" s="2365"/>
      <c r="R23" s="2423">
        <f>ROUND(M23*N23*O23*P23/10000,0)</f>
        <v>0</v>
      </c>
      <c r="S23" s="2311"/>
      <c r="T23" s="2311"/>
      <c r="U23" s="2311"/>
      <c r="V23" s="2319"/>
    </row>
    <row r="24" s="2295" customFormat="1" customHeight="1" spans="1:22">
      <c r="A24" s="2435"/>
      <c r="B24" s="2436" t="s">
        <v>1813</v>
      </c>
      <c r="C24" s="2430"/>
      <c r="D24" s="2437"/>
      <c r="E24" s="2438"/>
      <c r="F24" s="2439"/>
      <c r="G24" s="2434"/>
      <c r="H24" s="2318"/>
      <c r="I24" s="2319"/>
      <c r="J24" s="2351"/>
      <c r="K24" s="2389"/>
      <c r="L24" s="2390" t="s">
        <v>1778</v>
      </c>
      <c r="M24" s="2391">
        <f>SUM(M21:M23)</f>
        <v>0</v>
      </c>
      <c r="N24" s="2391"/>
      <c r="O24" s="2392"/>
      <c r="P24" s="2415" t="s">
        <v>1797</v>
      </c>
      <c r="Q24" s="2398">
        <v>0</v>
      </c>
      <c r="R24" s="2440">
        <f>ROUND(IF(P24="按比例",R14*Q24,SUM(R21:R23)),0)</f>
        <v>0</v>
      </c>
      <c r="S24" s="2311"/>
      <c r="T24" s="2311"/>
      <c r="U24" s="2311"/>
      <c r="V24" s="2319"/>
    </row>
    <row r="25" s="2296" customFormat="1" customHeight="1" spans="1:22">
      <c r="A25" s="2435"/>
      <c r="B25" s="2436"/>
      <c r="C25" s="2430"/>
      <c r="D25" s="2437"/>
      <c r="E25" s="2438"/>
      <c r="F25" s="2439"/>
      <c r="G25" s="2427"/>
      <c r="H25" s="2318"/>
      <c r="I25" s="2319"/>
      <c r="J25" s="2351">
        <v>4</v>
      </c>
      <c r="K25" s="2441" t="s">
        <v>1814</v>
      </c>
      <c r="L25" s="2442"/>
      <c r="M25" s="2442"/>
      <c r="N25" s="2442"/>
      <c r="O25" s="2442"/>
      <c r="P25" s="2443"/>
      <c r="Q25" s="2444">
        <v>0</v>
      </c>
      <c r="R25" s="2440">
        <f>ROUND(R14*Q25,0)</f>
        <v>0</v>
      </c>
      <c r="S25" s="2311"/>
      <c r="T25" s="2311"/>
      <c r="U25" s="2311"/>
      <c r="V25" s="2445"/>
    </row>
    <row r="26" s="2296" customFormat="1" customHeight="1" spans="1:22">
      <c r="A26" s="2428">
        <v>2</v>
      </c>
      <c r="B26" s="2429" t="s">
        <v>1815</v>
      </c>
      <c r="C26" s="2430">
        <f>D7</f>
        <v>0</v>
      </c>
      <c r="D26" s="2446">
        <f>D23*D27</f>
        <v>0</v>
      </c>
      <c r="E26" s="2447">
        <f>E23*E27</f>
        <v>0</v>
      </c>
      <c r="F26" s="2433"/>
      <c r="G26" s="2434"/>
      <c r="H26" s="2318"/>
      <c r="I26" s="2319"/>
      <c r="J26" s="2448">
        <v>5</v>
      </c>
      <c r="K26" s="2449" t="s">
        <v>1816</v>
      </c>
      <c r="L26" s="2450"/>
      <c r="M26" s="2451"/>
      <c r="N26" s="2452" t="s">
        <v>540</v>
      </c>
      <c r="O26" s="2452" t="s">
        <v>1817</v>
      </c>
      <c r="P26" s="2453" t="s">
        <v>1818</v>
      </c>
      <c r="Q26" s="2453" t="s">
        <v>1819</v>
      </c>
      <c r="R26" s="2332" t="s">
        <v>1750</v>
      </c>
      <c r="S26" s="2454"/>
      <c r="T26" s="2454"/>
      <c r="U26" s="2454"/>
      <c r="V26" s="2445"/>
    </row>
    <row r="27" s="2295" customFormat="1" customHeight="1" spans="1:22">
      <c r="A27" s="2435"/>
      <c r="B27" s="2436" t="s">
        <v>1820</v>
      </c>
      <c r="C27" s="2455" t="e">
        <f>E7</f>
        <v>#DIV/0!</v>
      </c>
      <c r="D27" s="2437"/>
      <c r="E27" s="2438"/>
      <c r="F27" s="2439"/>
      <c r="G27" s="2434"/>
      <c r="H27" s="2456"/>
      <c r="I27" s="2445"/>
      <c r="J27" s="2457"/>
      <c r="K27" s="2458"/>
      <c r="L27" s="2459"/>
      <c r="M27" s="2460"/>
      <c r="N27" s="2461"/>
      <c r="O27" s="2461"/>
      <c r="P27" s="2461"/>
      <c r="Q27" s="2462"/>
      <c r="R27" s="2440">
        <f>ROUND(O27*N27*P27*(1-Q27)/10000,0)</f>
        <v>0</v>
      </c>
      <c r="S27" s="2311"/>
      <c r="T27" s="2311"/>
      <c r="U27" s="2311"/>
      <c r="V27" s="2319"/>
    </row>
    <row r="28" s="2296" customFormat="1" customHeight="1" spans="1:22">
      <c r="A28" s="2435"/>
      <c r="B28" s="2436"/>
      <c r="C28" s="2455"/>
      <c r="D28" s="2437"/>
      <c r="E28" s="2438" t="s">
        <v>1821</v>
      </c>
      <c r="F28" s="2439"/>
      <c r="G28" s="2427"/>
      <c r="H28" s="2456"/>
      <c r="I28" s="2445"/>
      <c r="J28" s="2463">
        <v>6</v>
      </c>
      <c r="K28" s="2464" t="s">
        <v>1822</v>
      </c>
      <c r="L28" s="2465" t="s">
        <v>1823</v>
      </c>
      <c r="M28" s="2466"/>
      <c r="N28" s="2465" t="s">
        <v>1824</v>
      </c>
      <c r="O28" s="2467"/>
      <c r="P28" s="2465" t="s">
        <v>1825</v>
      </c>
      <c r="Q28" s="2468">
        <v>0.015</v>
      </c>
      <c r="R28" s="2469"/>
      <c r="S28" s="2420"/>
      <c r="T28" s="2420"/>
      <c r="U28" s="2420"/>
      <c r="V28" s="2445"/>
    </row>
    <row r="29" s="2296" customFormat="1" customHeight="1" spans="1:22">
      <c r="A29" s="2428">
        <v>3</v>
      </c>
      <c r="B29" s="2429" t="s">
        <v>1826</v>
      </c>
      <c r="C29" s="2430">
        <f>C23*C30</f>
        <v>0</v>
      </c>
      <c r="D29" s="2446">
        <f>D23*C30</f>
        <v>0</v>
      </c>
      <c r="E29" s="2447">
        <f>E23*C30</f>
        <v>0</v>
      </c>
      <c r="F29" s="2433"/>
      <c r="G29" s="2434"/>
      <c r="H29" s="2318"/>
      <c r="I29" s="2319"/>
      <c r="J29" s="2420"/>
      <c r="K29" s="2420"/>
      <c r="L29" s="2420"/>
      <c r="M29" s="2420"/>
      <c r="N29" s="2420"/>
      <c r="O29" s="2420"/>
      <c r="P29" s="2420"/>
      <c r="Q29" s="2420"/>
      <c r="R29" s="2420"/>
      <c r="S29" s="2420"/>
      <c r="T29" s="2420"/>
      <c r="U29" s="2420"/>
      <c r="V29" s="2445"/>
    </row>
    <row r="30" s="2295" customFormat="1" customHeight="1" spans="1:22">
      <c r="A30" s="2435"/>
      <c r="B30" s="2436" t="s">
        <v>1820</v>
      </c>
      <c r="C30" s="2455">
        <f>E18</f>
        <v>0</v>
      </c>
      <c r="D30" s="2470"/>
      <c r="E30" s="2387"/>
      <c r="F30" s="2439"/>
      <c r="G30" s="2434"/>
      <c r="H30" s="2456"/>
      <c r="I30" s="2445"/>
      <c r="J30" s="2420"/>
      <c r="K30" s="2420"/>
      <c r="L30" s="2420"/>
      <c r="M30" s="2420"/>
      <c r="N30" s="2420"/>
      <c r="O30" s="2420"/>
      <c r="P30" s="2420"/>
      <c r="Q30" s="2420"/>
      <c r="R30" s="2420"/>
      <c r="S30" s="2420"/>
      <c r="T30" s="2420"/>
      <c r="U30" s="2311"/>
      <c r="V30" s="2319"/>
    </row>
    <row r="31" s="2296" customFormat="1" customHeight="1" spans="1:22">
      <c r="A31" s="2435"/>
      <c r="B31" s="2436"/>
      <c r="C31" s="2471"/>
      <c r="D31" s="2470"/>
      <c r="E31" s="2387"/>
      <c r="F31" s="2439"/>
      <c r="G31" s="2427"/>
      <c r="H31" s="2456"/>
      <c r="I31" s="2445"/>
      <c r="J31" s="2308" t="s">
        <v>1827</v>
      </c>
      <c r="K31" s="2309"/>
      <c r="L31" s="2309"/>
      <c r="M31" s="2309"/>
      <c r="N31" s="2309"/>
      <c r="O31" s="2309"/>
      <c r="P31" s="2309"/>
      <c r="Q31" s="2309"/>
      <c r="R31" s="2310"/>
      <c r="S31" s="2420"/>
      <c r="T31" s="2311"/>
      <c r="U31" s="2311"/>
      <c r="V31" s="2445"/>
    </row>
    <row r="32" s="2296" customFormat="1" customHeight="1" spans="1:22">
      <c r="A32" s="2428">
        <v>4</v>
      </c>
      <c r="B32" s="2429" t="s">
        <v>1828</v>
      </c>
      <c r="C32" s="2430">
        <f>C23-C26-C29</f>
        <v>0</v>
      </c>
      <c r="D32" s="2446">
        <f>D23-D26-D29</f>
        <v>0</v>
      </c>
      <c r="E32" s="2447">
        <f>E23-E26-E29</f>
        <v>0</v>
      </c>
      <c r="F32" s="2433"/>
      <c r="G32" s="2427"/>
      <c r="H32" s="2318"/>
      <c r="I32" s="2319"/>
      <c r="J32" s="2320" t="s">
        <v>1728</v>
      </c>
      <c r="K32" s="2321"/>
      <c r="L32" s="2322" t="s">
        <v>1729</v>
      </c>
      <c r="M32" s="2322" t="s">
        <v>1730</v>
      </c>
      <c r="N32" s="2322" t="s">
        <v>1731</v>
      </c>
      <c r="O32" s="2322" t="s">
        <v>1732</v>
      </c>
      <c r="P32" s="2322" t="s">
        <v>1733</v>
      </c>
      <c r="Q32" s="2323" t="s">
        <v>1734</v>
      </c>
      <c r="R32" s="2472" t="s">
        <v>1735</v>
      </c>
      <c r="S32" s="2420"/>
      <c r="T32" s="2311"/>
      <c r="U32" s="2311"/>
      <c r="V32" s="2445"/>
    </row>
    <row r="33" s="2295" customFormat="1" customHeight="1" spans="1:23">
      <c r="A33" s="2428"/>
      <c r="B33" s="2429"/>
      <c r="C33" s="2430"/>
      <c r="D33" s="2473"/>
      <c r="E33" s="2474"/>
      <c r="F33" s="2433"/>
      <c r="G33" s="2427"/>
      <c r="H33" s="2456"/>
      <c r="I33" s="2445"/>
      <c r="J33" s="2328" t="s">
        <v>1736</v>
      </c>
      <c r="K33" s="2329"/>
      <c r="L33" s="2475"/>
      <c r="M33" s="2475"/>
      <c r="N33" s="2475"/>
      <c r="O33" s="2475"/>
      <c r="P33" s="2475"/>
      <c r="Q33" s="2476"/>
      <c r="R33" s="2477">
        <f>SUM(L33:Q33)</f>
        <v>0</v>
      </c>
      <c r="S33" s="2420"/>
      <c r="T33" s="2311"/>
      <c r="U33" s="2311"/>
      <c r="V33" s="2319"/>
    </row>
    <row r="34" s="2295" customFormat="1" customHeight="1" spans="1:23">
      <c r="A34" s="2428">
        <v>5</v>
      </c>
      <c r="B34" s="2429" t="s">
        <v>1829</v>
      </c>
      <c r="C34" s="2478"/>
      <c r="D34" s="2479"/>
      <c r="E34" s="2480"/>
      <c r="F34" s="2433"/>
      <c r="G34" s="2427"/>
      <c r="H34" s="2456"/>
      <c r="I34" s="2445"/>
      <c r="J34" s="2328" t="s">
        <v>1738</v>
      </c>
      <c r="K34" s="2329"/>
      <c r="L34" s="2481"/>
      <c r="M34" s="2481"/>
      <c r="N34" s="2481"/>
      <c r="O34" s="2481"/>
      <c r="P34" s="2481"/>
      <c r="Q34" s="2482"/>
      <c r="R34" s="2483">
        <f>SUM(L34:Q34)</f>
        <v>0</v>
      </c>
      <c r="S34" s="2420"/>
      <c r="T34" s="2311"/>
      <c r="U34" s="2311" t="e">
        <f>ROUND(R35*10000/365/R33,1)</f>
        <v>#DIV/0!</v>
      </c>
      <c r="V34" s="2319"/>
    </row>
    <row r="35" s="2295" customFormat="1" customHeight="1" spans="1:23">
      <c r="A35" s="2428">
        <v>6</v>
      </c>
      <c r="B35" s="2429" t="s">
        <v>1830</v>
      </c>
      <c r="C35" s="2471"/>
      <c r="D35" s="2437"/>
      <c r="E35" s="2438"/>
      <c r="F35" s="2433"/>
      <c r="G35" s="2484"/>
      <c r="H35" s="2318"/>
      <c r="I35" s="2445"/>
      <c r="J35" s="2341" t="s">
        <v>1740</v>
      </c>
      <c r="K35" s="2342"/>
      <c r="L35" s="2342"/>
      <c r="M35" s="2343"/>
      <c r="N35" s="2343"/>
      <c r="O35" s="2343"/>
      <c r="P35" s="2343"/>
      <c r="Q35" s="2343"/>
      <c r="R35" s="2485">
        <f>R40+R41+R43</f>
        <v>0</v>
      </c>
      <c r="S35" s="2420"/>
      <c r="T35" s="2311" t="s">
        <v>1741</v>
      </c>
      <c r="U35" s="2311"/>
      <c r="V35" s="2319"/>
    </row>
    <row r="36" s="2295" customFormat="1" customHeight="1" spans="1:23">
      <c r="A36" s="2428">
        <v>7</v>
      </c>
      <c r="B36" s="2486" t="s">
        <v>1831</v>
      </c>
      <c r="C36" s="2487"/>
      <c r="D36" s="2488"/>
      <c r="E36" s="2489"/>
      <c r="F36" s="2490">
        <f>C36+D36+E36</f>
        <v>0</v>
      </c>
      <c r="G36" s="2427"/>
      <c r="H36" s="2318"/>
      <c r="I36" s="2319"/>
      <c r="J36" s="2351">
        <v>1</v>
      </c>
      <c r="K36" s="2352" t="s">
        <v>1832</v>
      </c>
      <c r="L36" s="2353"/>
      <c r="M36" s="2354"/>
      <c r="N36" s="2354"/>
      <c r="O36" s="2354"/>
      <c r="P36" s="2354"/>
      <c r="Q36" s="2354"/>
      <c r="R36" s="2332" t="s">
        <v>1750</v>
      </c>
      <c r="S36" s="2420"/>
      <c r="T36" s="2311" t="s">
        <v>1751</v>
      </c>
      <c r="U36" s="2311"/>
      <c r="V36" s="2319"/>
    </row>
    <row r="37" s="2295" customFormat="1" customHeight="1" spans="1:23">
      <c r="A37" s="2428"/>
      <c r="B37" s="2429"/>
      <c r="C37" s="2436"/>
      <c r="D37" s="2436"/>
      <c r="E37" s="2436"/>
      <c r="F37" s="2433"/>
      <c r="G37" s="2427"/>
      <c r="H37" s="2318"/>
      <c r="I37" s="2319"/>
      <c r="J37" s="2351"/>
      <c r="K37" s="2362"/>
      <c r="L37" s="2491"/>
      <c r="M37" s="2492"/>
      <c r="N37" s="2334"/>
      <c r="O37" s="2334"/>
      <c r="P37" s="2334"/>
      <c r="Q37" s="2334"/>
      <c r="R37" s="2493"/>
      <c r="S37" s="2420"/>
      <c r="T37" s="2311" t="s">
        <v>1754</v>
      </c>
      <c r="U37" s="2311"/>
      <c r="V37" s="2319"/>
    </row>
    <row r="38" s="2295" customFormat="1" customHeight="1" spans="1:23">
      <c r="A38" s="2428">
        <v>8</v>
      </c>
      <c r="B38" s="2429"/>
      <c r="C38" s="2375" t="e">
        <f>ROUND(C32*(1-((1+C35)/(1+C34))^C36)/(C34-C35),0)</f>
        <v>#DIV/0!</v>
      </c>
      <c r="D38" s="2375">
        <f>IF(D23=0,0,ROUND(D32*(1-((1+D35)/(1+D34))^D36)/(D34-D35),0))</f>
        <v>0</v>
      </c>
      <c r="E38" s="2375">
        <f>IF(E23=0,0,ROUND(E32*(1-((1+E35)/(1+E34))^E36)/(E34-E35),0))</f>
        <v>0</v>
      </c>
      <c r="F38" s="2433"/>
      <c r="G38" s="2427"/>
      <c r="H38" s="2318"/>
      <c r="I38" s="2319"/>
      <c r="J38" s="2351"/>
      <c r="K38" s="2362"/>
      <c r="L38" s="2491"/>
      <c r="M38" s="2492"/>
      <c r="N38" s="2334"/>
      <c r="O38" s="2334"/>
      <c r="P38" s="2334"/>
      <c r="Q38" s="2334"/>
      <c r="R38" s="2493"/>
      <c r="S38" s="2420"/>
      <c r="T38" s="2311" t="s">
        <v>1760</v>
      </c>
      <c r="U38" s="2311"/>
      <c r="V38" s="2319"/>
    </row>
    <row r="39" s="2295" customFormat="1" customHeight="1" spans="1:23">
      <c r="A39" s="2428">
        <v>9</v>
      </c>
      <c r="B39" s="2429" t="s">
        <v>1833</v>
      </c>
      <c r="C39" s="2383" t="e">
        <f>C38</f>
        <v>#DIV/0!</v>
      </c>
      <c r="D39" s="2383">
        <f>IF(D23=0,0,D38/(1+D34)^C36)</f>
        <v>0</v>
      </c>
      <c r="E39" s="2383">
        <f>IF(E23=0,0,E38/(1+E34)^(C36+D36))</f>
        <v>0</v>
      </c>
      <c r="F39" s="2433"/>
      <c r="G39" s="2494"/>
      <c r="H39" s="2318"/>
      <c r="I39" s="2319"/>
      <c r="J39" s="2351"/>
      <c r="K39" s="2362"/>
      <c r="L39" s="2491"/>
      <c r="M39" s="2492"/>
      <c r="N39" s="2334"/>
      <c r="O39" s="2334"/>
      <c r="P39" s="2334"/>
      <c r="Q39" s="2334"/>
      <c r="R39" s="2493"/>
      <c r="S39" s="2420"/>
      <c r="T39" s="2311"/>
      <c r="U39" s="2311"/>
      <c r="V39" s="2319"/>
    </row>
    <row r="40" s="2295" customFormat="1" customHeight="1" spans="1:23">
      <c r="A40" s="2495">
        <v>10</v>
      </c>
      <c r="B40" s="2429" t="s">
        <v>1834</v>
      </c>
      <c r="C40" s="2496" t="e">
        <f>C39+D39+E39</f>
        <v>#DIV/0!</v>
      </c>
      <c r="D40" s="2497"/>
      <c r="E40" s="2497"/>
      <c r="F40" s="2498"/>
      <c r="G40" s="2427"/>
      <c r="H40" s="2318"/>
      <c r="I40" s="2319"/>
      <c r="J40" s="2351"/>
      <c r="K40" s="2389"/>
      <c r="L40" s="2390" t="s">
        <v>1778</v>
      </c>
      <c r="M40" s="2391"/>
      <c r="N40" s="2391"/>
      <c r="O40" s="2392"/>
      <c r="P40" s="2392"/>
      <c r="Q40" s="2499"/>
      <c r="R40" s="2500">
        <f>SUM(R37:R39)</f>
        <v>0</v>
      </c>
      <c r="S40" s="2420"/>
      <c r="T40" s="2311"/>
      <c r="U40" s="2311"/>
      <c r="V40" s="2319"/>
    </row>
    <row r="41" s="2295" customFormat="1" customHeight="1" spans="1:23">
      <c r="A41" s="2501">
        <v>11</v>
      </c>
      <c r="B41" s="2502" t="s">
        <v>1835</v>
      </c>
      <c r="C41" s="2503" t="e">
        <f>ROUND(C40*10000/B4,0)</f>
        <v>#DIV/0!</v>
      </c>
      <c r="D41" s="2504"/>
      <c r="E41" s="2504"/>
      <c r="F41" s="2505"/>
      <c r="G41" s="2506"/>
      <c r="H41" s="2318"/>
      <c r="I41" s="2319"/>
      <c r="J41" s="2351">
        <v>2</v>
      </c>
      <c r="K41" s="2441" t="s">
        <v>1814</v>
      </c>
      <c r="L41" s="2442"/>
      <c r="M41" s="2442"/>
      <c r="N41" s="2442"/>
      <c r="O41" s="2442"/>
      <c r="P41" s="2443"/>
      <c r="Q41" s="2492"/>
      <c r="R41" s="2440">
        <f>ROUND(R40*Q41,0)</f>
        <v>0</v>
      </c>
      <c r="S41" s="2420"/>
      <c r="T41" s="2311"/>
      <c r="U41" s="2454"/>
      <c r="V41" s="2319"/>
    </row>
    <row r="42" s="2295" customFormat="1" customHeight="1" spans="1:23">
      <c r="G42" s="2506"/>
      <c r="H42" s="2318"/>
      <c r="I42" s="2319"/>
      <c r="J42" s="2448">
        <v>3</v>
      </c>
      <c r="K42" s="2449" t="s">
        <v>1816</v>
      </c>
      <c r="L42" s="2450"/>
      <c r="M42" s="2451"/>
      <c r="N42" s="2452" t="s">
        <v>540</v>
      </c>
      <c r="O42" s="2452" t="s">
        <v>1817</v>
      </c>
      <c r="P42" s="2453" t="s">
        <v>1818</v>
      </c>
      <c r="Q42" s="2453" t="s">
        <v>1819</v>
      </c>
      <c r="R42" s="2332" t="s">
        <v>1750</v>
      </c>
      <c r="S42" s="2454"/>
      <c r="T42" s="2454"/>
      <c r="U42" s="2311"/>
      <c r="V42" s="2319"/>
    </row>
    <row r="43" customHeight="1" spans="1:23">
      <c r="A43" s="2295"/>
      <c r="B43" s="2295"/>
      <c r="C43" s="2295"/>
      <c r="D43" s="2295"/>
      <c r="E43" s="2295"/>
      <c r="F43" s="2295"/>
      <c r="G43" s="2506"/>
      <c r="H43" s="2318"/>
      <c r="I43" s="2299"/>
      <c r="J43" s="2457"/>
      <c r="K43" s="2458"/>
      <c r="L43" s="2459"/>
      <c r="M43" s="2460"/>
      <c r="N43" s="2492"/>
      <c r="O43" s="2492"/>
      <c r="P43" s="2492"/>
      <c r="Q43" s="2492"/>
      <c r="R43" s="2440">
        <f>ROUND(O43*N43*P43*(1-Q43)/10000,0)</f>
        <v>0</v>
      </c>
      <c r="S43" s="2420"/>
      <c r="T43" s="2311"/>
      <c r="V43" s="2301"/>
      <c r="W43" s="2507"/>
    </row>
    <row r="44" customHeight="1" spans="1:23">
      <c r="A44" s="2295"/>
      <c r="B44" s="2295"/>
      <c r="C44" s="2295"/>
      <c r="D44" s="2295"/>
      <c r="E44" s="2295"/>
      <c r="F44" s="2295"/>
      <c r="G44" s="2506"/>
      <c r="H44" s="2318"/>
      <c r="J44" s="2463">
        <v>6</v>
      </c>
      <c r="K44" s="2464" t="s">
        <v>1822</v>
      </c>
      <c r="L44" s="2508" t="s">
        <v>1823</v>
      </c>
      <c r="M44" s="2466"/>
      <c r="N44" s="2508" t="s">
        <v>1824</v>
      </c>
      <c r="O44" s="2509"/>
      <c r="P44" s="2508" t="s">
        <v>1825</v>
      </c>
      <c r="Q44" s="2468">
        <v>0.015</v>
      </c>
      <c r="R44" s="2469"/>
    </row>
    <row r="45" customHeight="1" spans="1:23">
      <c r="A45" s="2295"/>
      <c r="B45" s="2295"/>
      <c r="C45" s="2295"/>
      <c r="D45" s="2295"/>
      <c r="E45" s="2295"/>
      <c r="F45" s="2295"/>
      <c r="G45" s="2506"/>
      <c r="H45" s="2318"/>
    </row>
    <row r="46" ht="13.5" spans="1:23">
      <c r="A46" s="2510"/>
      <c r="B46" s="2510"/>
      <c r="C46" s="2511" t="s">
        <v>1836</v>
      </c>
      <c r="D46" s="2512" t="s">
        <v>1837</v>
      </c>
      <c r="E46" s="2513">
        <f>ROUND(D6*G46,0)</f>
        <v>0</v>
      </c>
      <c r="F46" s="2514" t="s">
        <v>1838</v>
      </c>
      <c r="G46" s="2515">
        <v>0.05</v>
      </c>
      <c r="H46" s="2510"/>
      <c r="I46" s="2516"/>
    </row>
    <row r="47" customHeight="1" spans="1:23">
      <c r="A47" s="2510"/>
      <c r="B47" s="2510"/>
      <c r="C47" s="2517" t="s">
        <v>1755</v>
      </c>
      <c r="D47" s="2518" t="s">
        <v>1839</v>
      </c>
      <c r="E47" s="2519" t="s">
        <v>1840</v>
      </c>
      <c r="F47" s="2520" t="s">
        <v>1758</v>
      </c>
      <c r="G47" s="2521" t="s">
        <v>1841</v>
      </c>
      <c r="H47" s="2522"/>
      <c r="I47" s="2516"/>
    </row>
    <row r="48" customHeight="1" spans="1:23">
      <c r="A48" s="2522"/>
      <c r="B48" s="2522"/>
      <c r="C48" s="2523">
        <v>1</v>
      </c>
      <c r="D48" s="2518" t="s">
        <v>1842</v>
      </c>
      <c r="E48" s="2524">
        <f>E49-E54</f>
        <v>0</v>
      </c>
      <c r="F48" s="2518"/>
      <c r="G48" s="2521"/>
      <c r="H48" s="2522"/>
      <c r="I48" s="2516"/>
    </row>
    <row r="49" customHeight="1" spans="1:9">
      <c r="A49" s="2522"/>
      <c r="B49" s="2522"/>
      <c r="C49" s="2523">
        <v>2</v>
      </c>
      <c r="D49" s="2518" t="s">
        <v>1843</v>
      </c>
      <c r="E49" s="2524">
        <f>SUM(E50:E53)</f>
        <v>0</v>
      </c>
      <c r="F49" s="2518"/>
      <c r="G49" s="2525"/>
      <c r="H49" s="2522"/>
      <c r="I49" s="2516"/>
    </row>
    <row r="50" customHeight="1" spans="1:9">
      <c r="A50" s="2522"/>
      <c r="B50" s="2522"/>
      <c r="C50" s="2526" t="s">
        <v>1844</v>
      </c>
      <c r="D50" s="2527" t="s">
        <v>1845</v>
      </c>
      <c r="E50" s="2528">
        <f>R14*G50/(1+G50)</f>
        <v>0</v>
      </c>
      <c r="F50" s="2529" t="s">
        <v>1846</v>
      </c>
      <c r="G50" s="2530">
        <v>0.06</v>
      </c>
      <c r="H50" s="2522"/>
      <c r="I50" s="2516"/>
    </row>
    <row r="51" customHeight="1" spans="1:9">
      <c r="A51" s="2522"/>
      <c r="B51" s="2522"/>
      <c r="C51" s="2526" t="s">
        <v>1847</v>
      </c>
      <c r="D51" s="2527" t="s">
        <v>1848</v>
      </c>
      <c r="E51" s="2528">
        <f>R19*G51/(1+G51)</f>
        <v>0</v>
      </c>
      <c r="F51" s="2529" t="s">
        <v>1849</v>
      </c>
      <c r="G51" s="2530">
        <v>0.06</v>
      </c>
      <c r="H51" s="2522"/>
      <c r="I51" s="2516"/>
    </row>
    <row r="52" customHeight="1" spans="1:9">
      <c r="A52" s="2522"/>
      <c r="B52" s="2522"/>
      <c r="C52" s="2526" t="s">
        <v>1850</v>
      </c>
      <c r="D52" s="2527" t="s">
        <v>1851</v>
      </c>
      <c r="E52" s="2528">
        <f>R24*G52/(1+R24)</f>
        <v>0</v>
      </c>
      <c r="F52" s="2529" t="s">
        <v>1852</v>
      </c>
      <c r="G52" s="2530">
        <v>0.09</v>
      </c>
      <c r="H52" s="2522"/>
      <c r="I52" s="2516"/>
    </row>
    <row r="53" customHeight="1" spans="1:9">
      <c r="A53" s="2522"/>
      <c r="B53" s="2522"/>
      <c r="C53" s="2526" t="s">
        <v>1853</v>
      </c>
      <c r="D53" s="2527" t="s">
        <v>1854</v>
      </c>
      <c r="E53" s="2528">
        <f>R27*G53/(1+G53)</f>
        <v>0</v>
      </c>
      <c r="F53" s="2529" t="s">
        <v>1852</v>
      </c>
      <c r="G53" s="2530">
        <v>0.09</v>
      </c>
      <c r="H53" s="2522"/>
      <c r="I53" s="2516"/>
    </row>
    <row r="54" customHeight="1" spans="1:9">
      <c r="A54" s="2522" t="s">
        <v>1855</v>
      </c>
      <c r="B54" s="2516"/>
      <c r="C54" s="2523">
        <v>3</v>
      </c>
      <c r="D54" s="2518" t="s">
        <v>1856</v>
      </c>
      <c r="E54" s="2524">
        <f>E55+E56+E60</f>
        <v>0</v>
      </c>
      <c r="F54" s="2518"/>
      <c r="G54" s="2525"/>
      <c r="H54" s="2522"/>
      <c r="I54" s="2516"/>
    </row>
    <row r="55" customHeight="1" spans="1:9">
      <c r="A55" s="2531">
        <v>0.05</v>
      </c>
      <c r="B55" s="2532" t="s">
        <v>1857</v>
      </c>
      <c r="C55" s="2526" t="s">
        <v>1844</v>
      </c>
      <c r="D55" s="2527" t="s">
        <v>1858</v>
      </c>
      <c r="E55" s="2528">
        <f>D9*G55/(1+G55)</f>
        <v>0</v>
      </c>
      <c r="F55" s="2533" t="s">
        <v>1859</v>
      </c>
      <c r="G55" s="2530">
        <v>0.13</v>
      </c>
      <c r="H55" s="2522"/>
      <c r="I55" s="2516"/>
    </row>
    <row r="56" customHeight="1" spans="1:9">
      <c r="A56" s="2531">
        <f>SUM(A57:A59)</f>
        <v>0.39</v>
      </c>
      <c r="B56" s="2532"/>
      <c r="C56" s="2526" t="s">
        <v>1847</v>
      </c>
      <c r="D56" s="2527" t="s">
        <v>1860</v>
      </c>
      <c r="E56" s="2528">
        <f>SUM(E57:E59)</f>
        <v>0</v>
      </c>
      <c r="F56" s="2529"/>
      <c r="G56" s="2534"/>
      <c r="H56" s="2522" t="s">
        <v>1861</v>
      </c>
      <c r="I56" s="2522" t="s">
        <v>1862</v>
      </c>
    </row>
    <row r="57" customHeight="1" spans="1:9">
      <c r="A57" s="2531">
        <v>0.25</v>
      </c>
      <c r="B57" s="2532" t="s">
        <v>1863</v>
      </c>
      <c r="C57" s="2535" t="s">
        <v>1864</v>
      </c>
      <c r="D57" s="2536" t="s">
        <v>1865</v>
      </c>
      <c r="E57" s="2537">
        <v>0</v>
      </c>
      <c r="F57" s="2538"/>
      <c r="G57" s="2539" t="s">
        <v>1866</v>
      </c>
      <c r="H57" s="2540">
        <v>0.65</v>
      </c>
      <c r="I57" s="2541">
        <f>A57/SUM(A57:A59)</f>
        <v>0.641025641025641</v>
      </c>
    </row>
    <row r="58" customHeight="1" spans="1:9">
      <c r="A58" s="2531">
        <v>0.06</v>
      </c>
      <c r="B58" s="2532" t="s">
        <v>1867</v>
      </c>
      <c r="C58" s="2535" t="s">
        <v>1868</v>
      </c>
      <c r="D58" s="2542" t="s">
        <v>1869</v>
      </c>
      <c r="E58" s="2537">
        <f>D10*H58*G58/(1+G58)</f>
        <v>0</v>
      </c>
      <c r="F58" s="2538" t="s">
        <v>1870</v>
      </c>
      <c r="G58" s="2543">
        <v>0.09</v>
      </c>
      <c r="H58" s="2540">
        <v>0.15</v>
      </c>
      <c r="I58" s="2541">
        <f>A58/SUM(A57:A59)</f>
        <v>0.153846153846154</v>
      </c>
    </row>
    <row r="59" customHeight="1" spans="1:9">
      <c r="A59" s="2531">
        <v>0.08</v>
      </c>
      <c r="B59" s="2532" t="s">
        <v>1871</v>
      </c>
      <c r="C59" s="2535" t="s">
        <v>1872</v>
      </c>
      <c r="D59" s="2536" t="s">
        <v>1873</v>
      </c>
      <c r="E59" s="2537">
        <f>D10*H59*G59/(1+G59)</f>
        <v>0</v>
      </c>
      <c r="F59" s="2538" t="s">
        <v>1874</v>
      </c>
      <c r="G59" s="2543">
        <v>0.06</v>
      </c>
      <c r="H59" s="2540">
        <v>0.2</v>
      </c>
      <c r="I59" s="2541">
        <f>1-I57-I58</f>
        <v>0.205128205128205</v>
      </c>
    </row>
    <row r="60" customHeight="1" spans="1:9">
      <c r="A60" s="2531">
        <f>SUM(A61:A62)</f>
        <v>0.1</v>
      </c>
      <c r="B60" s="2532"/>
      <c r="C60" s="2526" t="s">
        <v>1850</v>
      </c>
      <c r="D60" s="2527" t="s">
        <v>1875</v>
      </c>
      <c r="E60" s="2528">
        <f>SUM(E61:E62)</f>
        <v>0</v>
      </c>
      <c r="F60" s="2529"/>
      <c r="G60" s="2544"/>
      <c r="I60" s="2516"/>
    </row>
    <row r="61" customHeight="1" spans="1:9">
      <c r="A61" s="2531">
        <v>0.05</v>
      </c>
      <c r="B61" s="2532" t="s">
        <v>1857</v>
      </c>
      <c r="C61" s="2535" t="s">
        <v>1864</v>
      </c>
      <c r="D61" s="2536" t="s">
        <v>1876</v>
      </c>
      <c r="E61" s="2537">
        <f>D17*H61*G61/(1+G61)</f>
        <v>0</v>
      </c>
      <c r="F61" s="2538" t="s">
        <v>1874</v>
      </c>
      <c r="G61" s="2543">
        <v>0.06</v>
      </c>
      <c r="H61" s="2540">
        <v>0.5</v>
      </c>
      <c r="I61" s="2516"/>
    </row>
    <row r="62" customHeight="1" spans="1:9">
      <c r="A62" s="2531">
        <v>0.05</v>
      </c>
      <c r="B62" s="2532" t="s">
        <v>1838</v>
      </c>
      <c r="C62" s="2545" t="s">
        <v>1868</v>
      </c>
      <c r="D62" s="2546" t="s">
        <v>1877</v>
      </c>
      <c r="E62" s="2547">
        <f>D17*H62*G62/(1+G62)</f>
        <v>0</v>
      </c>
      <c r="F62" s="2548" t="s">
        <v>1878</v>
      </c>
      <c r="G62" s="2549">
        <v>0.09</v>
      </c>
      <c r="H62" s="2540">
        <v>0.5</v>
      </c>
      <c r="I62" s="2516"/>
    </row>
    <row r="63" customHeight="1" spans="1:9">
      <c r="A63" s="2531">
        <f>A55+A56+A60</f>
        <v>0.54</v>
      </c>
      <c r="B63" s="2532"/>
      <c r="C63" s="2516"/>
      <c r="D63" s="2550"/>
      <c r="E63" s="2550"/>
      <c r="F63" s="2551"/>
      <c r="G63" s="2552"/>
      <c r="H63" s="2522"/>
      <c r="I63" s="2522"/>
    </row>
    <row r="64" customHeight="1" spans="1:9">
      <c r="A64" s="2522"/>
      <c r="B64" s="2522"/>
      <c r="C64" s="2516"/>
      <c r="D64" s="2516"/>
      <c r="E64" s="2516"/>
      <c r="F64" s="2516"/>
      <c r="G64" s="2553"/>
      <c r="H64" s="2522"/>
      <c r="I64" s="2516"/>
    </row>
    <row r="65" ht="13.5" spans="1:9">
      <c r="A65" s="2522"/>
      <c r="B65" s="2522"/>
      <c r="C65" s="2511" t="s">
        <v>1879</v>
      </c>
      <c r="D65" s="2512" t="s">
        <v>1837</v>
      </c>
      <c r="E65" s="2513">
        <f>ROUND(D6*G65,0)</f>
        <v>0</v>
      </c>
      <c r="F65" s="2514" t="s">
        <v>1880</v>
      </c>
      <c r="G65" s="2515">
        <v>0.03</v>
      </c>
      <c r="H65" s="2522"/>
      <c r="I65" s="2516"/>
    </row>
    <row r="66" spans="1:9">
      <c r="A66" s="2522"/>
      <c r="B66" s="2522"/>
      <c r="C66" s="2517" t="s">
        <v>1755</v>
      </c>
      <c r="D66" s="2518" t="s">
        <v>1839</v>
      </c>
      <c r="E66" s="2519" t="s">
        <v>1840</v>
      </c>
      <c r="F66" s="2520" t="s">
        <v>1758</v>
      </c>
      <c r="G66" s="2521" t="s">
        <v>1841</v>
      </c>
      <c r="H66" s="2522"/>
      <c r="I66" s="2516"/>
    </row>
    <row r="67" spans="1:9">
      <c r="A67" s="2522"/>
      <c r="B67" s="2522"/>
      <c r="C67" s="2523">
        <v>1</v>
      </c>
      <c r="D67" s="2518" t="s">
        <v>1842</v>
      </c>
      <c r="E67" s="2554">
        <f>E68-E73</f>
        <v>0</v>
      </c>
      <c r="F67" s="2518"/>
      <c r="G67" s="2521"/>
      <c r="H67" s="2522"/>
      <c r="I67" s="2516"/>
    </row>
    <row r="68" customHeight="1" spans="1:9">
      <c r="A68" s="2522"/>
      <c r="B68" s="2522"/>
      <c r="C68" s="2555">
        <v>2</v>
      </c>
      <c r="D68" s="2518" t="s">
        <v>1843</v>
      </c>
      <c r="E68" s="2554">
        <f>SUM(E69:E70)</f>
        <v>0</v>
      </c>
      <c r="F68" s="2518"/>
      <c r="G68" s="2521"/>
      <c r="H68" s="2522"/>
      <c r="I68" s="2516"/>
    </row>
    <row r="69" customHeight="1" spans="1:9">
      <c r="A69" s="2522"/>
      <c r="B69" s="2522"/>
      <c r="C69" s="2526" t="s">
        <v>1844</v>
      </c>
      <c r="D69" s="2527" t="s">
        <v>1881</v>
      </c>
      <c r="E69" s="2527"/>
      <c r="F69" s="2529" t="s">
        <v>1852</v>
      </c>
      <c r="G69" s="2556">
        <v>0.09</v>
      </c>
      <c r="H69" s="2522"/>
      <c r="I69" s="2516"/>
    </row>
    <row r="70" customHeight="1" spans="1:9">
      <c r="A70" s="2522"/>
      <c r="B70" s="2522"/>
      <c r="C70" s="2526" t="s">
        <v>1847</v>
      </c>
      <c r="D70" s="2527" t="s">
        <v>1882</v>
      </c>
      <c r="E70" s="2527"/>
      <c r="F70" s="2529" t="s">
        <v>1883</v>
      </c>
      <c r="G70" s="2556">
        <v>0.06</v>
      </c>
      <c r="H70" s="2522"/>
      <c r="I70" s="2516"/>
    </row>
    <row r="71" customHeight="1" spans="1:9">
      <c r="A71" s="2522" t="s">
        <v>1855</v>
      </c>
      <c r="B71" s="2522"/>
      <c r="C71" s="2555">
        <v>3</v>
      </c>
      <c r="D71" s="2518" t="s">
        <v>1856</v>
      </c>
      <c r="E71" s="2554">
        <f>E72+E77</f>
        <v>0</v>
      </c>
      <c r="F71" s="2518"/>
      <c r="G71" s="2521"/>
      <c r="H71" s="2522"/>
      <c r="I71" s="2516"/>
    </row>
    <row r="72" customHeight="1" spans="1:9">
      <c r="A72" s="2531">
        <v>0.05</v>
      </c>
      <c r="B72" s="2557"/>
      <c r="C72" s="2526" t="s">
        <v>1844</v>
      </c>
      <c r="D72" s="2527" t="s">
        <v>1858</v>
      </c>
      <c r="E72" s="2527">
        <f>D9*G72/(1+G72)</f>
        <v>0</v>
      </c>
      <c r="F72" s="2533" t="s">
        <v>1859</v>
      </c>
      <c r="G72" s="2556">
        <v>0.13</v>
      </c>
      <c r="H72" s="2522"/>
      <c r="I72" s="2516"/>
    </row>
    <row r="73" customHeight="1" spans="1:9">
      <c r="A73" s="2531">
        <f>SUM(A74:A76)</f>
        <v>0.2</v>
      </c>
      <c r="B73" s="2557"/>
      <c r="C73" s="2526" t="s">
        <v>1847</v>
      </c>
      <c r="D73" s="2527" t="s">
        <v>1860</v>
      </c>
      <c r="E73" s="2527">
        <f>SUM(E74:E76)</f>
        <v>0</v>
      </c>
      <c r="F73" s="2529"/>
      <c r="G73" s="2534"/>
      <c r="H73" s="2522" t="s">
        <v>1861</v>
      </c>
      <c r="I73" s="2522" t="s">
        <v>1862</v>
      </c>
    </row>
    <row r="74" customHeight="1" spans="1:9">
      <c r="A74" s="2531">
        <v>0.05</v>
      </c>
      <c r="B74" s="2557" t="s">
        <v>1884</v>
      </c>
      <c r="C74" s="2558" t="s">
        <v>1885</v>
      </c>
      <c r="D74" s="2536" t="s">
        <v>1865</v>
      </c>
      <c r="E74" s="2536">
        <v>0</v>
      </c>
      <c r="F74" s="2538"/>
      <c r="G74" s="2539" t="s">
        <v>1866</v>
      </c>
      <c r="H74" s="2540">
        <v>0.25</v>
      </c>
      <c r="I74" s="2541">
        <f>A74/SUM(A74:A76)</f>
        <v>0.25</v>
      </c>
    </row>
    <row r="75" customHeight="1" spans="1:9">
      <c r="A75" s="2531">
        <v>0.1</v>
      </c>
      <c r="B75" s="2557" t="s">
        <v>1886</v>
      </c>
      <c r="C75" s="2558" t="s">
        <v>1887</v>
      </c>
      <c r="D75" s="2542" t="s">
        <v>1869</v>
      </c>
      <c r="E75" s="2536">
        <f>D10*H75*G75/(1+G75)</f>
        <v>0</v>
      </c>
      <c r="F75" s="2538" t="s">
        <v>1870</v>
      </c>
      <c r="G75" s="2559">
        <v>0.09</v>
      </c>
      <c r="H75" s="2540">
        <v>0.5</v>
      </c>
      <c r="I75" s="2541">
        <f>A75/SUM(A74:A76)</f>
        <v>0.5</v>
      </c>
    </row>
    <row r="76" customHeight="1" spans="1:9">
      <c r="A76" s="2531">
        <v>0.05</v>
      </c>
      <c r="B76" s="2557" t="s">
        <v>1888</v>
      </c>
      <c r="C76" s="2558" t="s">
        <v>1889</v>
      </c>
      <c r="D76" s="2536" t="s">
        <v>1873</v>
      </c>
      <c r="E76" s="2536">
        <f>D10*H76*G76/(1+G76)</f>
        <v>0</v>
      </c>
      <c r="F76" s="2538" t="s">
        <v>1874</v>
      </c>
      <c r="G76" s="2559">
        <v>0.06</v>
      </c>
      <c r="H76" s="2540">
        <v>0.25</v>
      </c>
      <c r="I76" s="2541">
        <f>1-I74-I75</f>
        <v>0.25</v>
      </c>
    </row>
    <row r="77" customHeight="1" spans="1:9">
      <c r="A77" s="2531">
        <f>SUM(A78:A79)</f>
        <v>0.1</v>
      </c>
      <c r="B77" s="2557"/>
      <c r="C77" s="2526" t="s">
        <v>1850</v>
      </c>
      <c r="D77" s="2527" t="s">
        <v>1875</v>
      </c>
      <c r="E77" s="2527">
        <f>SUM(E78:E79)</f>
        <v>0</v>
      </c>
      <c r="F77" s="2529"/>
      <c r="G77" s="2534"/>
      <c r="I77" s="2516"/>
    </row>
    <row r="78" customHeight="1" spans="1:9">
      <c r="A78" s="2531">
        <v>0.05</v>
      </c>
      <c r="B78" s="2557" t="s">
        <v>1867</v>
      </c>
      <c r="C78" s="2558" t="s">
        <v>1885</v>
      </c>
      <c r="D78" s="2536" t="s">
        <v>1876</v>
      </c>
      <c r="E78" s="2536">
        <f>D17*H78*G78/(1+G78)</f>
        <v>0</v>
      </c>
      <c r="F78" s="2538" t="s">
        <v>1874</v>
      </c>
      <c r="G78" s="2559">
        <v>0.06</v>
      </c>
      <c r="H78" s="2540">
        <v>0.5</v>
      </c>
      <c r="I78" s="2516"/>
    </row>
    <row r="79" customHeight="1" spans="1:9">
      <c r="A79" s="2531">
        <v>0.05</v>
      </c>
      <c r="B79" s="2557" t="s">
        <v>1890</v>
      </c>
      <c r="C79" s="2560" t="s">
        <v>1887</v>
      </c>
      <c r="D79" s="2546" t="s">
        <v>1877</v>
      </c>
      <c r="E79" s="2546">
        <f>D17*H79*G79/(1+G79)</f>
        <v>0</v>
      </c>
      <c r="F79" s="2548" t="s">
        <v>1878</v>
      </c>
      <c r="G79" s="2561">
        <v>0.09</v>
      </c>
      <c r="H79" s="2540">
        <v>0.5</v>
      </c>
      <c r="I79" s="2516"/>
    </row>
    <row r="80" customHeight="1" spans="1:9">
      <c r="A80" s="2531">
        <f>A72+A73+A77</f>
        <v>0.35</v>
      </c>
      <c r="B80" s="2557"/>
      <c r="C80" s="2522"/>
      <c r="D80" s="2522"/>
      <c r="E80" s="2522"/>
      <c r="F80" s="2522"/>
      <c r="G80" s="2562"/>
      <c r="H80" s="2522"/>
      <c r="I80" s="2516"/>
    </row>
    <row r="81" customHeight="1" spans="1:9">
      <c r="A81" s="2522"/>
      <c r="B81" s="2522"/>
      <c r="C81" s="2522"/>
      <c r="D81" s="2522"/>
      <c r="E81" s="2522"/>
      <c r="F81" s="2522"/>
      <c r="G81" s="2562"/>
      <c r="H81" s="2522"/>
      <c r="I81" s="251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63" customWidth="1"/>
    <col min="2" max="2" width="12" style="1263" customWidth="1"/>
    <col min="3" max="3" width="9" style="1263"/>
    <col min="4" max="4" width="14.125" style="1263" customWidth="1"/>
    <col min="5" max="5" width="9.625" style="1263" customWidth="1"/>
    <col min="6" max="6" width="12.875" style="1263" customWidth="1"/>
    <col min="7" max="16384" width="9" style="1263"/>
  </cols>
  <sheetData>
    <row r="1" ht="20.25" spans="1:22">
      <c r="A1" s="1264" t="s">
        <v>1891</v>
      </c>
      <c r="B1" s="2269"/>
      <c r="C1" s="2269"/>
      <c r="D1" s="2269"/>
      <c r="E1" s="2270"/>
      <c r="F1" s="2271"/>
      <c r="G1" s="2272"/>
      <c r="H1" s="2272"/>
      <c r="I1" s="2272"/>
      <c r="J1" s="2272"/>
      <c r="K1" s="2272"/>
      <c r="L1" s="2272"/>
      <c r="M1" s="2272"/>
      <c r="N1" s="2272"/>
      <c r="O1" s="2272"/>
      <c r="P1" s="2272"/>
      <c r="Q1" s="2272"/>
      <c r="R1" s="2272"/>
      <c r="S1" s="2272"/>
    </row>
    <row r="2" spans="1:22">
      <c r="A2" s="2273" t="s">
        <v>1122</v>
      </c>
      <c r="B2" s="2274">
        <f ca="1">SUMIF(B6:B13,"&lt;&gt;#ref!",B6:B13)</f>
        <v>23965</v>
      </c>
      <c r="C2" s="2275" t="s">
        <v>1892</v>
      </c>
      <c r="D2" s="2276" t="s">
        <v>1893</v>
      </c>
      <c r="E2" s="2277">
        <f>SUM(E6:E13)</f>
        <v>20903.38</v>
      </c>
      <c r="F2" s="2271"/>
      <c r="G2" s="2272"/>
      <c r="H2" s="2272"/>
      <c r="I2" s="2272"/>
      <c r="J2" s="2272"/>
      <c r="K2" s="2272"/>
      <c r="L2" s="2272"/>
      <c r="M2" s="2272"/>
      <c r="N2" s="2272"/>
      <c r="O2" s="2272"/>
      <c r="P2" s="2272"/>
      <c r="Q2" s="2272"/>
      <c r="R2" s="2272"/>
      <c r="S2" s="2272"/>
    </row>
    <row r="3" spans="1:22">
      <c r="A3" s="2273" t="s">
        <v>1125</v>
      </c>
      <c r="B3" s="2278">
        <f ca="1">ROUND(B2*10000/E2,0)</f>
        <v>11465</v>
      </c>
      <c r="C3" s="2275" t="s">
        <v>1894</v>
      </c>
      <c r="D3" s="2279"/>
      <c r="E3" s="2280"/>
      <c r="F3" s="2271"/>
      <c r="G3" s="2272"/>
      <c r="H3" s="2272"/>
      <c r="I3" s="2272"/>
      <c r="J3" s="2272"/>
      <c r="K3" s="2272"/>
      <c r="L3" s="2272"/>
      <c r="M3" s="2272"/>
      <c r="N3" s="2272"/>
      <c r="O3" s="2272"/>
      <c r="P3" s="2272"/>
      <c r="Q3" s="2272"/>
      <c r="R3" s="2272"/>
      <c r="S3" s="2272"/>
    </row>
    <row r="4" ht="15.75" spans="1:22">
      <c r="A4" s="2281"/>
      <c r="B4" s="2279"/>
      <c r="C4" s="2279"/>
      <c r="D4" s="2279"/>
      <c r="E4" s="2280"/>
      <c r="F4" s="2271"/>
      <c r="G4" s="2272"/>
      <c r="H4" s="2272"/>
      <c r="I4" s="2272"/>
      <c r="J4" s="2272"/>
      <c r="K4" s="2272"/>
      <c r="L4" s="2272"/>
      <c r="M4" s="2272"/>
      <c r="N4" s="2272"/>
      <c r="O4" s="2272"/>
      <c r="P4" s="2272"/>
      <c r="Q4" s="2272"/>
      <c r="R4" s="2272"/>
      <c r="S4" s="2272"/>
    </row>
    <row r="5" ht="15" spans="1:22">
      <c r="A5" s="2282" t="s">
        <v>1895</v>
      </c>
      <c r="B5" s="2283" t="s">
        <v>1896</v>
      </c>
      <c r="C5" s="2284"/>
      <c r="D5" s="2285"/>
      <c r="E5" s="2286" t="s">
        <v>1897</v>
      </c>
      <c r="F5" s="2287" t="s">
        <v>1898</v>
      </c>
      <c r="G5" s="2272"/>
      <c r="H5" s="2272"/>
      <c r="I5" s="2272"/>
      <c r="J5" s="2272"/>
      <c r="K5" s="2272"/>
      <c r="L5" s="2272"/>
      <c r="M5" s="2272"/>
      <c r="N5" s="2272"/>
      <c r="O5" s="2272"/>
      <c r="P5" s="2272"/>
      <c r="Q5" s="2272"/>
      <c r="R5" s="2272"/>
      <c r="S5" s="2272"/>
    </row>
    <row r="6" spans="1:22">
      <c r="A6" s="2288" t="str">
        <f>'数据-取费表'!AN6</f>
        <v>收益法</v>
      </c>
      <c r="B6" s="2289">
        <f ca="1">IF(F6="是",'数据-取费表'!AO6,0)</f>
        <v>23965</v>
      </c>
      <c r="C6" s="2275" t="s">
        <v>1892</v>
      </c>
      <c r="D6" s="2279"/>
      <c r="E6" s="2290">
        <f>IF(OR(A6=0,F6="否"),0,'数据-取费表'!K6+'数据-取费表'!S6)</f>
        <v>20903.38</v>
      </c>
      <c r="F6" s="2291" t="s">
        <v>1899</v>
      </c>
      <c r="G6" s="2272"/>
      <c r="H6" s="2272"/>
      <c r="I6" s="2272"/>
      <c r="J6" s="2272"/>
      <c r="K6" s="2272"/>
      <c r="L6" s="2272"/>
      <c r="M6" s="2272"/>
      <c r="N6" s="2272"/>
      <c r="O6" s="2272"/>
      <c r="P6" s="2272"/>
      <c r="Q6" s="2272"/>
      <c r="R6" s="2272"/>
      <c r="S6" s="2272"/>
    </row>
    <row r="7" spans="1:22">
      <c r="A7" s="2288">
        <f>'数据-取费表'!AN7</f>
        <v>0</v>
      </c>
      <c r="B7" s="2289" t="e">
        <f ca="1">IF(F7="是",'数据-取费表'!AO7,0)</f>
        <v>#REF!</v>
      </c>
      <c r="C7" s="2275" t="s">
        <v>1892</v>
      </c>
      <c r="D7" s="2279"/>
      <c r="E7" s="2290">
        <f>IF(OR(A7=0,F7="否"),0,'数据-取费表'!K7+'数据-取费表'!S7)</f>
        <v>0</v>
      </c>
      <c r="F7" s="2291" t="s">
        <v>1899</v>
      </c>
      <c r="G7" s="2272"/>
      <c r="H7" s="2272"/>
      <c r="I7" s="2272"/>
      <c r="J7" s="2272"/>
      <c r="K7" s="2272"/>
      <c r="L7" s="2272"/>
      <c r="M7" s="2272"/>
      <c r="N7" s="2272"/>
      <c r="O7" s="2272"/>
      <c r="P7" s="2272"/>
      <c r="Q7" s="2272"/>
      <c r="R7" s="2272"/>
      <c r="S7" s="2272"/>
    </row>
    <row r="8" spans="1:22">
      <c r="A8" s="2288">
        <f>'数据-取费表'!AN8</f>
        <v>0</v>
      </c>
      <c r="B8" s="2289" t="e">
        <f ca="1">IF(F8="是",'数据-取费表'!AO8,0)</f>
        <v>#REF!</v>
      </c>
      <c r="C8" s="2275" t="s">
        <v>1892</v>
      </c>
      <c r="D8" s="2279"/>
      <c r="E8" s="2290">
        <f>IF(OR(A8=0,F8="否"),0,'数据-取费表'!K8+'数据-取费表'!S8)</f>
        <v>0</v>
      </c>
      <c r="F8" s="2291" t="s">
        <v>1899</v>
      </c>
      <c r="G8" s="2272"/>
      <c r="H8" s="2272"/>
      <c r="I8" s="2272"/>
      <c r="J8" s="2272"/>
      <c r="K8" s="2272"/>
      <c r="L8" s="2272"/>
      <c r="M8" s="2272"/>
      <c r="N8" s="2272"/>
      <c r="O8" s="2272"/>
      <c r="P8" s="2272"/>
      <c r="Q8" s="2272"/>
      <c r="R8" s="2272"/>
      <c r="S8" s="2272"/>
    </row>
    <row r="9" spans="1:22">
      <c r="A9" s="2288">
        <f>'数据-取费表'!AN9</f>
        <v>0</v>
      </c>
      <c r="B9" s="2289" t="e">
        <f ca="1">IF(F9="是",'数据-取费表'!AO9,0)</f>
        <v>#REF!</v>
      </c>
      <c r="C9" s="2275" t="s">
        <v>1892</v>
      </c>
      <c r="D9" s="2279"/>
      <c r="E9" s="2290">
        <f>IF(OR(A9=0,F9="否"),0,'数据-取费表'!K9+'数据-取费表'!S9)</f>
        <v>0</v>
      </c>
      <c r="F9" s="2291" t="s">
        <v>1899</v>
      </c>
      <c r="G9" s="2272"/>
      <c r="H9" s="2272"/>
      <c r="I9" s="2272"/>
      <c r="J9" s="2272"/>
      <c r="K9" s="2272"/>
      <c r="L9" s="2272"/>
      <c r="M9" s="2272"/>
      <c r="N9" s="2272"/>
      <c r="O9" s="2272"/>
      <c r="P9" s="2272"/>
      <c r="Q9" s="2272"/>
      <c r="R9" s="2272"/>
      <c r="S9" s="2272"/>
    </row>
    <row r="10" spans="1:22">
      <c r="A10" s="2288">
        <f>'数据-取费表'!AN10</f>
        <v>0</v>
      </c>
      <c r="B10" s="2289" t="e">
        <f ca="1">IF(F10="是",'数据-取费表'!AO10,0)</f>
        <v>#REF!</v>
      </c>
      <c r="C10" s="2275" t="s">
        <v>1892</v>
      </c>
      <c r="D10" s="2279"/>
      <c r="E10" s="2290">
        <f>IF(OR(A10=0,F10="否"),0,'数据-取费表'!K10+'数据-取费表'!S10)</f>
        <v>0</v>
      </c>
      <c r="F10" s="2291" t="s">
        <v>1899</v>
      </c>
      <c r="G10" s="2272"/>
      <c r="H10" s="2272"/>
      <c r="I10" s="2272"/>
      <c r="J10" s="2272"/>
      <c r="K10" s="2272"/>
      <c r="L10" s="2272"/>
      <c r="M10" s="2272"/>
      <c r="N10" s="2272"/>
      <c r="O10" s="2272"/>
      <c r="P10" s="2272"/>
      <c r="Q10" s="2272"/>
      <c r="R10" s="2272"/>
      <c r="S10" s="2272"/>
    </row>
    <row r="11" spans="1:22">
      <c r="A11" s="2288">
        <f>'数据-取费表'!AN11</f>
        <v>0</v>
      </c>
      <c r="B11" s="2289" t="e">
        <f ca="1">IF(F11="是",'数据-取费表'!AO11,0)</f>
        <v>#REF!</v>
      </c>
      <c r="C11" s="2275" t="s">
        <v>1892</v>
      </c>
      <c r="D11" s="2279"/>
      <c r="E11" s="2290">
        <f>IF(OR(A11=0,F11="否"),0,'数据-取费表'!K11+'数据-取费表'!S11)</f>
        <v>0</v>
      </c>
      <c r="F11" s="2291" t="s">
        <v>1899</v>
      </c>
      <c r="G11" s="2272"/>
      <c r="H11" s="2272"/>
      <c r="I11" s="2272"/>
      <c r="J11" s="2272"/>
      <c r="K11" s="2272"/>
      <c r="L11" s="2272"/>
      <c r="M11" s="2272"/>
      <c r="N11" s="2272"/>
      <c r="O11" s="2272"/>
      <c r="P11" s="2272"/>
      <c r="Q11" s="2272"/>
      <c r="R11" s="2272"/>
      <c r="S11" s="2272"/>
    </row>
    <row r="12" spans="1:22">
      <c r="A12" s="2288">
        <f>'数据-取费表'!AN12</f>
        <v>0</v>
      </c>
      <c r="B12" s="2289" t="e">
        <f ca="1">IF(F12="是",'数据-取费表'!AO12,0)</f>
        <v>#REF!</v>
      </c>
      <c r="C12" s="2275" t="s">
        <v>1892</v>
      </c>
      <c r="D12" s="2279"/>
      <c r="E12" s="2290">
        <f>IF(OR(A12=0,F12="否"),0,'数据-取费表'!K12+'数据-取费表'!S12)</f>
        <v>0</v>
      </c>
      <c r="F12" s="2291" t="s">
        <v>1899</v>
      </c>
      <c r="G12" s="2272"/>
      <c r="H12" s="2272"/>
      <c r="I12" s="2272"/>
      <c r="J12" s="2272"/>
      <c r="K12" s="2272"/>
      <c r="L12" s="2272"/>
      <c r="M12" s="2272"/>
      <c r="N12" s="2272"/>
      <c r="O12" s="2272"/>
      <c r="P12" s="2272"/>
      <c r="Q12" s="2272"/>
      <c r="R12" s="2272"/>
      <c r="S12" s="2272"/>
    </row>
    <row r="13" ht="15" spans="1:22">
      <c r="A13" s="2292">
        <f>'数据-取费表'!AN13</f>
        <v>0</v>
      </c>
      <c r="B13" s="2289" t="e">
        <f ca="1">IF(F13="是",'数据-取费表'!AO13,0)</f>
        <v>#REF!</v>
      </c>
      <c r="C13" s="2293" t="s">
        <v>1892</v>
      </c>
      <c r="D13" s="2294"/>
      <c r="E13" s="2290">
        <f>IF(OR(A13=0,F13="否"),0,'数据-取费表'!K13+'数据-取费表'!S13)</f>
        <v>0</v>
      </c>
      <c r="F13" s="2291" t="s">
        <v>1899</v>
      </c>
      <c r="G13" s="2272"/>
      <c r="H13" s="2272"/>
      <c r="I13" s="2272"/>
      <c r="J13" s="2272"/>
      <c r="K13" s="2272"/>
      <c r="L13" s="2272"/>
      <c r="M13" s="2272"/>
      <c r="N13" s="2272"/>
      <c r="O13" s="2272"/>
      <c r="P13" s="2272"/>
      <c r="Q13" s="2272"/>
      <c r="R13" s="2272"/>
      <c r="S13" s="2272"/>
    </row>
    <row r="14" spans="1:22">
      <c r="A14" s="2272"/>
      <c r="B14" s="2272"/>
      <c r="C14" s="2272"/>
      <c r="D14" s="2272"/>
      <c r="E14" s="2272"/>
      <c r="F14" s="2272"/>
      <c r="G14" s="2272"/>
      <c r="H14" s="2272"/>
      <c r="I14" s="2272"/>
      <c r="J14" s="2272"/>
      <c r="K14" s="2272"/>
      <c r="L14" s="2272"/>
      <c r="M14" s="2272"/>
      <c r="N14" s="2272"/>
      <c r="O14" s="2272"/>
      <c r="P14" s="2272"/>
      <c r="Q14" s="2272"/>
      <c r="R14" s="2272"/>
      <c r="S14" s="2272"/>
      <c r="T14" s="2272"/>
      <c r="U14" s="2272"/>
      <c r="V14" s="2272"/>
    </row>
    <row r="15" spans="1:22">
      <c r="A15" s="2272"/>
      <c r="B15" s="2272"/>
      <c r="C15" s="2272"/>
      <c r="D15" s="2272"/>
      <c r="E15" s="2272"/>
      <c r="F15" s="2272"/>
      <c r="G15" s="2272"/>
      <c r="H15" s="2272"/>
      <c r="I15" s="2272"/>
      <c r="J15" s="2272"/>
      <c r="K15" s="2272"/>
      <c r="L15" s="2272"/>
      <c r="M15" s="2272"/>
      <c r="N15" s="2272"/>
      <c r="O15" s="2272"/>
      <c r="P15" s="2272"/>
      <c r="Q15" s="2272"/>
      <c r="R15" s="2272"/>
      <c r="S15" s="2272"/>
      <c r="T15" s="2272"/>
      <c r="U15" s="2272"/>
      <c r="V15" s="2272"/>
    </row>
    <row r="16" spans="1:22">
      <c r="A16" s="2272"/>
      <c r="B16" s="2272"/>
      <c r="C16" s="2272"/>
      <c r="D16" s="2272"/>
      <c r="E16" s="2272"/>
      <c r="F16" s="2272"/>
      <c r="G16" s="2272"/>
      <c r="H16" s="2272"/>
      <c r="I16" s="2272"/>
      <c r="J16" s="2272"/>
      <c r="K16" s="2272"/>
      <c r="L16" s="2272"/>
      <c r="M16" s="2272"/>
      <c r="N16" s="2272"/>
      <c r="O16" s="2272"/>
      <c r="P16" s="2272"/>
      <c r="Q16" s="2272"/>
      <c r="R16" s="2272"/>
      <c r="S16" s="2272"/>
      <c r="T16" s="2272"/>
      <c r="U16" s="2272"/>
      <c r="V16" s="2272"/>
    </row>
    <row r="17" spans="1:22">
      <c r="A17" s="2272"/>
      <c r="B17" s="2272"/>
      <c r="C17" s="2272"/>
      <c r="D17" s="2272"/>
      <c r="E17" s="2272"/>
      <c r="F17" s="2272"/>
      <c r="G17" s="2272"/>
      <c r="H17" s="2272"/>
      <c r="I17" s="2272"/>
      <c r="J17" s="2272"/>
      <c r="K17" s="2272"/>
      <c r="L17" s="2272"/>
      <c r="M17" s="2272"/>
      <c r="N17" s="2272"/>
      <c r="O17" s="2272"/>
      <c r="P17" s="2272"/>
      <c r="Q17" s="2272"/>
      <c r="R17" s="2272"/>
      <c r="S17" s="2272"/>
      <c r="T17" s="2272"/>
      <c r="U17" s="2272"/>
      <c r="V17" s="2272"/>
    </row>
    <row r="18" spans="1:22">
      <c r="A18" s="2272"/>
      <c r="B18" s="2272"/>
      <c r="C18" s="2272"/>
      <c r="D18" s="2272"/>
      <c r="E18" s="2272"/>
      <c r="F18" s="2272"/>
      <c r="G18" s="2272"/>
      <c r="H18" s="2272"/>
      <c r="I18" s="2272"/>
      <c r="J18" s="2272"/>
      <c r="K18" s="2272"/>
      <c r="L18" s="2272"/>
      <c r="M18" s="2272"/>
      <c r="N18" s="2272"/>
      <c r="O18" s="2272"/>
      <c r="P18" s="2272"/>
      <c r="Q18" s="2272"/>
      <c r="R18" s="2272"/>
      <c r="S18" s="2272"/>
      <c r="T18" s="2272"/>
      <c r="U18" s="2272"/>
      <c r="V18" s="2272"/>
    </row>
    <row r="19" spans="1:22">
      <c r="A19" s="2272"/>
      <c r="B19" s="2272"/>
      <c r="C19" s="2272"/>
      <c r="D19" s="2272"/>
      <c r="E19" s="2272"/>
      <c r="F19" s="2272"/>
      <c r="G19" s="2272"/>
      <c r="H19" s="2272"/>
      <c r="I19" s="2272"/>
      <c r="J19" s="2272"/>
      <c r="K19" s="2272"/>
      <c r="L19" s="2272"/>
      <c r="M19" s="2272"/>
      <c r="N19" s="2272"/>
      <c r="O19" s="2272"/>
      <c r="P19" s="2272"/>
      <c r="Q19" s="2272"/>
      <c r="R19" s="2272"/>
      <c r="S19" s="2272"/>
      <c r="T19" s="2272"/>
      <c r="U19" s="2272"/>
      <c r="V19" s="2272"/>
    </row>
    <row r="20" spans="1:22">
      <c r="A20" s="2272"/>
      <c r="B20" s="2272"/>
      <c r="C20" s="2272"/>
      <c r="D20" s="2272"/>
      <c r="E20" s="2272"/>
      <c r="F20" s="2272"/>
      <c r="G20" s="2272"/>
      <c r="H20" s="2272"/>
      <c r="I20" s="2272"/>
      <c r="J20" s="2272"/>
      <c r="K20" s="2272"/>
      <c r="L20" s="2272"/>
      <c r="M20" s="2272"/>
      <c r="N20" s="2272"/>
      <c r="O20" s="2272"/>
      <c r="P20" s="2272"/>
      <c r="Q20" s="2272"/>
      <c r="R20" s="2272"/>
      <c r="S20" s="2272"/>
      <c r="T20" s="2272"/>
      <c r="U20" s="2272"/>
      <c r="V20" s="2272"/>
    </row>
    <row r="21" spans="1:22">
      <c r="A21" s="2272"/>
      <c r="B21" s="2272"/>
      <c r="C21" s="2272"/>
      <c r="D21" s="2272"/>
      <c r="E21" s="2272"/>
      <c r="F21" s="2272"/>
      <c r="G21" s="2272"/>
      <c r="H21" s="2272"/>
      <c r="I21" s="2272"/>
      <c r="J21" s="2272"/>
      <c r="K21" s="2272"/>
      <c r="L21" s="2272"/>
      <c r="M21" s="2272"/>
      <c r="N21" s="2272"/>
      <c r="O21" s="2272"/>
      <c r="P21" s="2272"/>
      <c r="Q21" s="2272"/>
      <c r="R21" s="2272"/>
      <c r="S21" s="2272"/>
      <c r="T21" s="2272"/>
      <c r="U21" s="2272"/>
      <c r="V21" s="2272"/>
    </row>
    <row r="22" spans="1:22">
      <c r="A22" s="2272"/>
      <c r="B22" s="2272"/>
      <c r="C22" s="2272"/>
      <c r="D22" s="2272"/>
      <c r="E22" s="2272"/>
      <c r="F22" s="2272"/>
      <c r="G22" s="2272"/>
      <c r="H22" s="2272"/>
      <c r="I22" s="2272"/>
      <c r="J22" s="2272"/>
      <c r="K22" s="2272"/>
      <c r="L22" s="2272"/>
      <c r="M22" s="2272"/>
      <c r="N22" s="2272"/>
      <c r="O22" s="2272"/>
      <c r="P22" s="2272"/>
      <c r="Q22" s="2272"/>
      <c r="R22" s="2272"/>
      <c r="S22" s="2272"/>
      <c r="T22" s="2272"/>
      <c r="U22" s="2272"/>
      <c r="V22" s="2272"/>
    </row>
    <row r="23" spans="1:22">
      <c r="A23" s="2272"/>
      <c r="B23" s="2272"/>
      <c r="C23" s="2272"/>
      <c r="D23" s="2272"/>
      <c r="E23" s="2272"/>
      <c r="F23" s="2272"/>
      <c r="G23" s="2272"/>
      <c r="H23" s="2272"/>
      <c r="I23" s="2272"/>
      <c r="J23" s="2272"/>
      <c r="K23" s="2272"/>
      <c r="L23" s="2272"/>
      <c r="M23" s="2272"/>
      <c r="N23" s="2272"/>
      <c r="O23" s="2272"/>
      <c r="P23" s="2272"/>
      <c r="Q23" s="2272"/>
      <c r="R23" s="2272"/>
      <c r="S23" s="2272"/>
      <c r="T23" s="2272"/>
      <c r="U23" s="2272"/>
      <c r="V23" s="2272"/>
    </row>
    <row r="24" spans="1:22">
      <c r="A24" s="2272"/>
      <c r="B24" s="2272"/>
      <c r="C24" s="2272"/>
      <c r="D24" s="2272"/>
      <c r="E24" s="2272"/>
      <c r="F24" s="2272"/>
      <c r="G24" s="2272"/>
      <c r="H24" s="2272"/>
      <c r="I24" s="2272"/>
      <c r="J24" s="2272"/>
      <c r="K24" s="2272"/>
      <c r="L24" s="2272"/>
      <c r="M24" s="2272"/>
      <c r="N24" s="2272"/>
      <c r="O24" s="2272"/>
      <c r="P24" s="2272"/>
      <c r="Q24" s="2272"/>
      <c r="R24" s="2272"/>
      <c r="S24" s="2272"/>
      <c r="T24" s="2272"/>
      <c r="U24" s="2272"/>
      <c r="V24" s="2272"/>
    </row>
    <row r="25" spans="1:22">
      <c r="A25" s="2272"/>
      <c r="B25" s="2272"/>
      <c r="C25" s="2272"/>
      <c r="D25" s="2272"/>
      <c r="E25" s="2272"/>
      <c r="F25" s="2272"/>
      <c r="G25" s="2272"/>
      <c r="H25" s="2272"/>
      <c r="I25" s="2272"/>
      <c r="J25" s="2272"/>
      <c r="K25" s="2272"/>
      <c r="L25" s="2272"/>
      <c r="M25" s="2272"/>
      <c r="N25" s="2272"/>
      <c r="O25" s="2272"/>
      <c r="P25" s="2272"/>
      <c r="Q25" s="2272"/>
      <c r="R25" s="2272"/>
      <c r="S25" s="2272"/>
      <c r="T25" s="2272"/>
      <c r="U25" s="2272"/>
      <c r="V25" s="2272"/>
    </row>
    <row r="26" spans="1:22">
      <c r="A26" s="2272"/>
      <c r="B26" s="2272"/>
      <c r="C26" s="2272"/>
      <c r="D26" s="2272"/>
      <c r="E26" s="2272"/>
      <c r="F26" s="2272"/>
      <c r="G26" s="2272"/>
      <c r="H26" s="2272"/>
      <c r="I26" s="2272"/>
      <c r="J26" s="2272"/>
      <c r="K26" s="2272"/>
      <c r="L26" s="2272"/>
      <c r="M26" s="2272"/>
      <c r="N26" s="2272"/>
      <c r="O26" s="2272"/>
      <c r="P26" s="2272"/>
      <c r="Q26" s="2272"/>
      <c r="R26" s="2272"/>
      <c r="S26" s="2272"/>
      <c r="T26" s="2272"/>
      <c r="U26" s="2272"/>
      <c r="V26" s="2272"/>
    </row>
    <row r="27" spans="1:22">
      <c r="A27" s="2272"/>
      <c r="B27" s="2272"/>
      <c r="C27" s="2272"/>
      <c r="D27" s="2272"/>
      <c r="E27" s="2272"/>
      <c r="F27" s="2272"/>
      <c r="G27" s="2272"/>
      <c r="H27" s="2272"/>
      <c r="I27" s="2272"/>
      <c r="J27" s="2272"/>
      <c r="K27" s="2272"/>
      <c r="L27" s="2272"/>
      <c r="M27" s="2272"/>
      <c r="N27" s="2272"/>
      <c r="O27" s="2272"/>
      <c r="P27" s="2272"/>
      <c r="Q27" s="2272"/>
      <c r="R27" s="2272"/>
      <c r="S27" s="2272"/>
      <c r="T27" s="2272"/>
      <c r="U27" s="2272"/>
      <c r="V27" s="2272"/>
    </row>
    <row r="28" spans="1:22">
      <c r="A28" s="2272"/>
      <c r="B28" s="2272"/>
      <c r="C28" s="2272"/>
      <c r="D28" s="2272"/>
      <c r="E28" s="2272"/>
      <c r="F28" s="2272"/>
      <c r="G28" s="2272"/>
      <c r="H28" s="2272"/>
      <c r="I28" s="2272"/>
      <c r="J28" s="2272"/>
      <c r="K28" s="2272"/>
      <c r="L28" s="2272"/>
      <c r="M28" s="2272"/>
      <c r="N28" s="2272"/>
      <c r="O28" s="2272"/>
      <c r="P28" s="2272"/>
      <c r="Q28" s="2272"/>
      <c r="R28" s="2272"/>
      <c r="S28" s="2272"/>
      <c r="T28" s="2272"/>
      <c r="U28" s="2272"/>
      <c r="V28" s="2272"/>
    </row>
    <row r="29" spans="1:22">
      <c r="A29" s="2272"/>
      <c r="B29" s="2272"/>
      <c r="C29" s="2272"/>
      <c r="D29" s="2272"/>
      <c r="E29" s="2272"/>
      <c r="F29" s="2272"/>
      <c r="G29" s="2272"/>
      <c r="H29" s="2272"/>
      <c r="I29" s="2272"/>
      <c r="J29" s="2272"/>
      <c r="K29" s="2272"/>
      <c r="L29" s="2272"/>
      <c r="M29" s="2272"/>
      <c r="N29" s="2272"/>
      <c r="O29" s="2272"/>
      <c r="P29" s="2272"/>
      <c r="Q29" s="2272"/>
      <c r="R29" s="2272"/>
      <c r="S29" s="2272"/>
      <c r="T29" s="2272"/>
      <c r="U29" s="2272"/>
      <c r="V29" s="2272"/>
    </row>
    <row r="30" spans="1:22">
      <c r="A30" s="2272"/>
      <c r="B30" s="2272"/>
      <c r="C30" s="2272"/>
      <c r="D30" s="2272"/>
      <c r="E30" s="2272"/>
      <c r="F30" s="2272"/>
      <c r="G30" s="2272"/>
      <c r="H30" s="2272"/>
      <c r="I30" s="2272"/>
      <c r="J30" s="2272"/>
      <c r="K30" s="2272"/>
      <c r="L30" s="2272"/>
      <c r="M30" s="2272"/>
      <c r="N30" s="2272"/>
      <c r="O30" s="2272"/>
      <c r="P30" s="2272"/>
      <c r="Q30" s="2272"/>
      <c r="R30" s="2272"/>
      <c r="S30" s="2272"/>
      <c r="T30" s="2272"/>
      <c r="U30" s="2272"/>
      <c r="V30" s="2272"/>
    </row>
    <row r="31" spans="1:22">
      <c r="A31" s="2272"/>
      <c r="B31" s="2272"/>
      <c r="C31" s="2272"/>
      <c r="D31" s="2272"/>
      <c r="E31" s="2272"/>
      <c r="F31" s="2272"/>
      <c r="G31" s="2272"/>
      <c r="H31" s="2272"/>
      <c r="I31" s="2272"/>
      <c r="J31" s="2272"/>
      <c r="K31" s="2272"/>
      <c r="L31" s="2272"/>
      <c r="M31" s="2272"/>
      <c r="N31" s="2272"/>
      <c r="O31" s="2272"/>
      <c r="P31" s="2272"/>
      <c r="Q31" s="2272"/>
      <c r="R31" s="2272"/>
      <c r="S31" s="2272"/>
      <c r="T31" s="2272"/>
      <c r="U31" s="2272"/>
      <c r="V31" s="227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71" t="s">
        <v>1900</v>
      </c>
      <c r="C1" s="1874" t="s">
        <v>1118</v>
      </c>
      <c r="D1" s="1867"/>
      <c r="E1" s="2123"/>
      <c r="F1" s="1869"/>
      <c r="G1" s="1870" t="s">
        <v>1121</v>
      </c>
      <c r="H1" s="1871"/>
      <c r="I1" s="1871"/>
      <c r="J1" s="1871"/>
      <c r="K1" s="1872"/>
      <c r="L1" s="1873"/>
      <c r="M1" s="1874"/>
      <c r="N1" s="1874"/>
      <c r="O1" s="1874"/>
      <c r="P1" s="2172"/>
      <c r="Q1" s="1866"/>
      <c r="R1" s="1866"/>
      <c r="S1" s="1866"/>
      <c r="T1" s="1866"/>
      <c r="U1" s="1866"/>
      <c r="V1" s="1866"/>
      <c r="W1" s="1866"/>
      <c r="X1" s="1866"/>
      <c r="Y1" s="1866"/>
      <c r="Z1" s="1866"/>
      <c r="AA1" s="1866"/>
      <c r="AB1" s="1866"/>
      <c r="AC1" s="1875"/>
    </row>
    <row r="2" s="1879" customFormat="1" ht="28.5" customHeight="1" spans="1:29">
      <c r="A2" s="1876" t="s">
        <v>1122</v>
      </c>
      <c r="B2" s="1877">
        <f ca="1">IF(C2="含税",D2,ROUND(D2/(1+F3),0))</f>
        <v>0</v>
      </c>
      <c r="C2" s="1878"/>
      <c r="D2" s="2173" t="b">
        <f ca="1">IF(E1="项目模式",IF(E2="——",ROUND(C49*D3/10000,0),ROUND(C49*D3/10000,0)-F2),IF(E1="单套模式",IF(E2="——",ROUND(C49*D3/10000,4),ROUND(C49*D3/10000,4)-F2)))</f>
        <v>0</v>
      </c>
      <c r="E2" s="2174"/>
      <c r="F2" s="2175" t="e">
        <f ca="1">IF(E1="项目模式",SUMIF(INDIRECT("'"&amp;H2&amp;"'"&amp;"!A:A"),"承租人权益价值",INDIRECT("'"&amp;H2&amp;"'"&amp;"!c:c")),SUMIF(INDIRECT("'"&amp;H2&amp;"'"&amp;"!A:A"),"承租人权益价值（单套）",INDIRECT("'"&amp;H2&amp;"'"&amp;"!c:c")))</f>
        <v>#REF!</v>
      </c>
      <c r="G2" s="1881" t="s">
        <v>1124</v>
      </c>
      <c r="H2" s="1882"/>
      <c r="I2" s="1778"/>
      <c r="J2" s="1778"/>
      <c r="K2" s="2176"/>
      <c r="L2" s="2177"/>
      <c r="M2" s="2178"/>
      <c r="N2" s="2178"/>
      <c r="O2" s="2178"/>
      <c r="P2" s="2179"/>
      <c r="Q2" s="2180"/>
      <c r="R2" s="2180"/>
      <c r="S2" s="2180"/>
      <c r="T2" s="2180"/>
      <c r="U2" s="2180"/>
      <c r="V2" s="2180"/>
      <c r="W2" s="2180"/>
      <c r="X2" s="2180"/>
      <c r="Y2" s="2180"/>
      <c r="Z2" s="2180"/>
      <c r="AA2" s="2180"/>
      <c r="AB2" s="2180"/>
      <c r="AC2" s="2181"/>
    </row>
    <row r="3" s="1879" customFormat="1" ht="28.5" customHeight="1" spans="1:29">
      <c r="A3" s="439" t="s">
        <v>1125</v>
      </c>
      <c r="B3" s="1883">
        <f ca="1">IF(E2="——",C49,ROUND(B2*10000/D3,0))</f>
        <v>0</v>
      </c>
      <c r="C3" s="1884" t="s">
        <v>1126</v>
      </c>
      <c r="D3" s="2182">
        <f>IF(D1="",'数据-汇总表'!E3,SUMIF('数据-汇总表'!$C19:$C33,D1,'数据-汇总表'!$E19:$E33))</f>
        <v>20903.38</v>
      </c>
      <c r="E3" s="2183"/>
      <c r="F3" s="2184">
        <f>IF(E3="其他类型—销项税率",9%,3%)</f>
        <v>0.03</v>
      </c>
      <c r="G3" s="1778"/>
      <c r="H3" s="1778"/>
      <c r="I3" s="1778"/>
      <c r="J3" s="1778"/>
      <c r="K3" s="2176"/>
      <c r="L3" s="2177"/>
      <c r="M3" s="2178"/>
      <c r="N3" s="2178"/>
      <c r="O3" s="2178"/>
      <c r="P3" s="2179"/>
      <c r="Q3" s="2180"/>
      <c r="R3" s="2180"/>
      <c r="S3" s="2180"/>
      <c r="T3" s="2180"/>
      <c r="U3" s="2180"/>
      <c r="V3" s="2180"/>
      <c r="W3" s="2180"/>
      <c r="X3" s="2180"/>
      <c r="Y3" s="2180"/>
      <c r="Z3" s="2180"/>
      <c r="AA3" s="2180"/>
      <c r="AB3" s="2180"/>
      <c r="AC3" s="2185"/>
    </row>
    <row r="4" ht="15" spans="1:29">
      <c r="A4" s="1781" t="s">
        <v>1128</v>
      </c>
      <c r="B4" s="1782"/>
      <c r="C4" s="1404" t="s">
        <v>1129</v>
      </c>
      <c r="D4" s="1405"/>
      <c r="E4" s="1406" t="s">
        <v>1130</v>
      </c>
      <c r="F4" s="1407"/>
      <c r="G4" s="1404" t="s">
        <v>1131</v>
      </c>
      <c r="H4" s="1405"/>
      <c r="I4" s="1404" t="s">
        <v>1132</v>
      </c>
      <c r="J4" s="1405"/>
      <c r="K4" s="2186"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418" t="s">
        <v>1131</v>
      </c>
      <c r="AC4" s="1418" t="s">
        <v>1132</v>
      </c>
    </row>
    <row r="5" ht="15" spans="1:29">
      <c r="A5" s="1784"/>
      <c r="B5" s="1785"/>
      <c r="C5" s="1421" t="s">
        <v>1135</v>
      </c>
      <c r="D5" s="1422"/>
      <c r="E5" s="1423" t="s">
        <v>1901</v>
      </c>
      <c r="F5" s="1424"/>
      <c r="G5" s="1421" t="s">
        <v>1902</v>
      </c>
      <c r="H5" s="1422"/>
      <c r="I5" s="1421" t="s">
        <v>1903</v>
      </c>
      <c r="J5" s="1422"/>
      <c r="K5" s="2187"/>
      <c r="L5" s="1409"/>
      <c r="M5" s="1410"/>
      <c r="N5" s="1410"/>
      <c r="O5" s="1410"/>
      <c r="P5" s="1425"/>
      <c r="Q5" s="1426"/>
      <c r="R5" s="1427"/>
      <c r="S5" s="1428"/>
      <c r="T5" s="1427"/>
      <c r="U5" s="1428"/>
      <c r="V5" s="820"/>
      <c r="W5" s="820"/>
      <c r="X5" s="1415"/>
      <c r="Y5" s="1429"/>
      <c r="Z5" s="1430"/>
      <c r="AA5" s="1415"/>
      <c r="AB5" s="1415"/>
      <c r="AC5" s="1415"/>
    </row>
    <row r="6" ht="15.75" spans="1:29">
      <c r="A6" s="1786"/>
      <c r="B6" s="1787"/>
      <c r="C6" s="1788" t="s">
        <v>1138</v>
      </c>
      <c r="D6" s="1789"/>
      <c r="E6" s="1790" t="s">
        <v>1138</v>
      </c>
      <c r="F6" s="1791"/>
      <c r="G6" s="1788" t="s">
        <v>1138</v>
      </c>
      <c r="H6" s="1789"/>
      <c r="I6" s="1788" t="s">
        <v>1138</v>
      </c>
      <c r="J6" s="1789"/>
      <c r="K6" s="2187" t="s">
        <v>1139</v>
      </c>
      <c r="L6" s="1409"/>
      <c r="M6" s="1410"/>
      <c r="N6" s="1410"/>
      <c r="O6" s="1410"/>
      <c r="P6" s="1437"/>
      <c r="Q6" s="1438"/>
      <c r="R6" s="1427"/>
      <c r="S6" s="1428"/>
      <c r="T6" s="1439"/>
      <c r="U6" s="1440"/>
      <c r="V6" s="820"/>
      <c r="W6" s="820"/>
      <c r="X6" s="1415"/>
      <c r="Y6" s="1441"/>
      <c r="Z6" s="1442"/>
      <c r="AA6" s="1443"/>
      <c r="AB6" s="1443"/>
      <c r="AC6" s="1443"/>
    </row>
    <row r="7" s="1371" customFormat="1" ht="15.75" spans="1:29">
      <c r="A7" s="1904" t="s">
        <v>1140</v>
      </c>
      <c r="B7" s="1905"/>
      <c r="C7" s="1446">
        <f>'数据-取费表'!B2</f>
        <v>46086</v>
      </c>
      <c r="D7" s="1447">
        <v>100</v>
      </c>
      <c r="E7" s="1448"/>
      <c r="F7" s="1449">
        <f>SUMIF(58:58,YEAR(E7)&amp;"-"&amp;MONTH(E7),59:59)</f>
        <v>0</v>
      </c>
      <c r="G7" s="1448"/>
      <c r="H7" s="1451">
        <f>SUMIF(58:58,YEAR(G7)&amp;"-"&amp;MONTH(G7),59:59)</f>
        <v>0</v>
      </c>
      <c r="I7" s="1448"/>
      <c r="J7" s="1451">
        <f>SUMIF(58:58,YEAR(I7)&amp;"-"&amp;MONTH(I7),59:59)</f>
        <v>0</v>
      </c>
      <c r="K7" s="2188"/>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463"/>
      <c r="D8" s="1447">
        <v>100</v>
      </c>
      <c r="E8" s="2189"/>
      <c r="F8" s="1449">
        <f>SUMIF(61:61,E8,62:62)-SUMIF(61:61,C8,62:62)+100</f>
        <v>100</v>
      </c>
      <c r="G8" s="1463"/>
      <c r="H8" s="1451">
        <f>SUMIF(61:61,G8,62:62)-SUMIF(61:61,C8,62:62)+100</f>
        <v>100</v>
      </c>
      <c r="I8" s="2189"/>
      <c r="J8" s="1451">
        <f>SUMIF(61:61,I8,62:62)-SUMIF(61:61,C8,62:62)+100</f>
        <v>100</v>
      </c>
      <c r="K8" s="2188"/>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19" si="3">D8/F8</f>
        <v>1</v>
      </c>
      <c r="AB8" s="1462">
        <f t="shared" ref="AB8:AB19" si="4">D8/H8</f>
        <v>1</v>
      </c>
      <c r="AC8" s="1462">
        <f t="shared" ref="AC8:AC19" si="5">D8/J8</f>
        <v>1</v>
      </c>
    </row>
    <row r="9" s="1371" customFormat="1" spans="1:29">
      <c r="A9" s="1915" t="s">
        <v>1146</v>
      </c>
      <c r="B9" s="1466" t="s">
        <v>1147</v>
      </c>
      <c r="C9" s="2134"/>
      <c r="D9" s="1468">
        <v>100</v>
      </c>
      <c r="E9" s="2135"/>
      <c r="F9" s="2136">
        <f>SUMIF(63:63,E9,64:64)-SUMIF(63:63,C9,64:64)+100</f>
        <v>100</v>
      </c>
      <c r="G9" s="2190"/>
      <c r="H9" s="1469">
        <f>SUMIF(63:63,G9,64:64)-SUMIF(63:63,C9,64:64)+100</f>
        <v>100</v>
      </c>
      <c r="I9" s="2190"/>
      <c r="J9" s="1469">
        <f>SUMIF(63:63,I9,64:64)-SUMIF(63:63,C9,64:64)+100</f>
        <v>100</v>
      </c>
      <c r="K9" s="2188"/>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88"/>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2191"/>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73"/>
      <c r="F12" s="2139">
        <f>SUMIF(70:70,E12,71:71)-SUMIF(70:70,C12,71:71)+100</f>
        <v>100</v>
      </c>
      <c r="G12" s="1473"/>
      <c r="H12" s="1475">
        <f>SUMIF(70:70,G12,71:71)-SUMIF(70:70,C12,71:71)+100</f>
        <v>100</v>
      </c>
      <c r="I12" s="1473"/>
      <c r="J12" s="1475">
        <f>SUMIF(70:70,I12,71:71)-SUMIF(70:70,C12,71:71)+100</f>
        <v>100</v>
      </c>
      <c r="K12" s="2192"/>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2192"/>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7"/>
      <c r="F14" s="2140">
        <f>SUMIF(74:74,E14,75:75)-SUMIF(74:74,C14,75:75)+100</f>
        <v>100</v>
      </c>
      <c r="G14" s="1497"/>
      <c r="H14" s="1499">
        <f>SUMIF(74:74,G14,75:75)-SUMIF(74:74,C14,75:75)+100</f>
        <v>100</v>
      </c>
      <c r="I14" s="1497"/>
      <c r="J14" s="1499">
        <f>SUMIF(74:74,I14,75:75)-SUMIF(74:74,C14,75:75)+100</f>
        <v>100</v>
      </c>
      <c r="K14" s="2192"/>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81" spans="1:29">
      <c r="A15" s="1688" t="s">
        <v>1155</v>
      </c>
      <c r="B15" s="1798" t="s">
        <v>1904</v>
      </c>
      <c r="C15" s="1799" t="str">
        <f>估价对象房地状况!C3</f>
        <v>估价对象周边居住用地比例、居住小区规模和社区发展完善程度，综合评价居住社区成熟度一般</v>
      </c>
      <c r="D15" s="1503">
        <v>100</v>
      </c>
      <c r="E15" s="1506"/>
      <c r="F15" s="1505">
        <f>SUMIF(76:76,E16,77:77)-SUMIF(76:76,C16,77:77)+100</f>
        <v>100</v>
      </c>
      <c r="G15" s="1504"/>
      <c r="H15" s="1505">
        <f>SUMIF(76:76,G16,77:77)-SUMIF(76:76,C16,77:77)+100</f>
        <v>100</v>
      </c>
      <c r="I15" s="1504"/>
      <c r="J15" s="1505">
        <f>SUMIF(76:76,I16,77:77)-SUMIF(76:76,C16,77:77)+100</f>
        <v>100</v>
      </c>
      <c r="K15" s="2193"/>
      <c r="L15" s="1494"/>
      <c r="M15" s="1410"/>
      <c r="N15" s="1410"/>
      <c r="O15" s="1410"/>
      <c r="P15" s="1520" t="s">
        <v>1157</v>
      </c>
      <c r="Q15" s="1070" t="str">
        <f t="shared" si="6"/>
        <v>居住社区成熟度</v>
      </c>
      <c r="R15" s="2087" t="s">
        <v>1142</v>
      </c>
      <c r="S15" s="2088">
        <f t="shared" si="0"/>
        <v>100</v>
      </c>
      <c r="T15" s="2087" t="s">
        <v>1142</v>
      </c>
      <c r="U15" s="2088">
        <f t="shared" si="1"/>
        <v>100</v>
      </c>
      <c r="V15" s="2087" t="s">
        <v>1142</v>
      </c>
      <c r="W15" s="2088">
        <f t="shared" si="2"/>
        <v>100</v>
      </c>
      <c r="X15" s="1415"/>
      <c r="Y15" s="1509" t="s">
        <v>1157</v>
      </c>
      <c r="Z15" s="1510" t="str">
        <f t="shared" si="7"/>
        <v>居住社区成熟度</v>
      </c>
      <c r="AA15" s="1510">
        <f t="shared" si="3"/>
        <v>1</v>
      </c>
      <c r="AB15" s="1510">
        <f t="shared" si="4"/>
        <v>1</v>
      </c>
      <c r="AC15" s="1510">
        <f t="shared" si="5"/>
        <v>1</v>
      </c>
    </row>
    <row r="16" ht="15" spans="1:29">
      <c r="A16" s="1695"/>
      <c r="B16" s="1800"/>
      <c r="C16" s="1512"/>
      <c r="D16" s="1513"/>
      <c r="E16" s="1527"/>
      <c r="F16" s="1515"/>
      <c r="G16" s="1526"/>
      <c r="H16" s="1516"/>
      <c r="I16" s="1526"/>
      <c r="J16" s="1515"/>
      <c r="K16" s="2194"/>
      <c r="L16" s="1494"/>
      <c r="M16" s="1410"/>
      <c r="N16" s="1410"/>
      <c r="O16" s="1410"/>
      <c r="P16" s="1535"/>
      <c r="Q16" s="1070"/>
      <c r="R16" s="2087"/>
      <c r="S16" s="2088"/>
      <c r="T16" s="2087"/>
      <c r="U16" s="2088"/>
      <c r="V16" s="2087"/>
      <c r="W16" s="2088"/>
      <c r="X16" s="1415"/>
      <c r="Y16" s="1518"/>
      <c r="Z16" s="1510"/>
      <c r="AA16" s="1510">
        <v>1</v>
      </c>
      <c r="AB16" s="1510">
        <v>1</v>
      </c>
      <c r="AC16" s="1510">
        <v>1</v>
      </c>
    </row>
    <row r="17" ht="67.5" spans="1:29">
      <c r="A17" s="1695"/>
      <c r="B17" s="1801" t="s">
        <v>1159</v>
      </c>
      <c r="C17" s="1520" t="str">
        <f>估价对象房地状况!C6</f>
        <v>估价对象周边道路状况、公共交通通达情况、停车便捷程度，综合评价交通便捷度较好</v>
      </c>
      <c r="D17" s="1521">
        <v>100</v>
      </c>
      <c r="E17" s="1524"/>
      <c r="F17" s="1516">
        <f>SUMIF(78:78,E18,79:79)-SUMIF(78:78,C18,79:79)+100</f>
        <v>100</v>
      </c>
      <c r="G17" s="1522"/>
      <c r="H17" s="1523">
        <f>SUMIF(78:78,G18,79:79)-SUMIF(78:78,C18,79:79)+100</f>
        <v>100</v>
      </c>
      <c r="I17" s="1522"/>
      <c r="J17" s="1523">
        <f>SUMIF(78:78,I18,79:79)-SUMIF(78:78,C18,79:79)+100</f>
        <v>100</v>
      </c>
      <c r="K17" s="2193"/>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5"/>
      <c r="F18" s="1516"/>
      <c r="G18" s="1804"/>
      <c r="H18" s="1515"/>
      <c r="I18" s="1804"/>
      <c r="J18" s="1515"/>
      <c r="K18" s="219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8"/>
      <c r="F19" s="1523">
        <f>SUMIF(80:80,E20,81:81)-SUMIF(80:80,C20,81:81)+100</f>
        <v>100</v>
      </c>
      <c r="G19" s="1807"/>
      <c r="H19" s="1516">
        <f>SUMIF(80:80,G20,81:81)-SUMIF(80:80,C20,81:81)+100</f>
        <v>100</v>
      </c>
      <c r="I19" s="1807"/>
      <c r="J19" s="1516">
        <f>SUMIF(80:80,I20,81:81)-SUMIF(80:80,C20,81:81)+100</f>
        <v>100</v>
      </c>
      <c r="K19" s="2193"/>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7"/>
      <c r="F20" s="1515"/>
      <c r="G20" s="1526"/>
      <c r="H20" s="1515"/>
      <c r="I20" s="1526"/>
      <c r="J20" s="1515"/>
      <c r="K20" s="219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521">
        <v>100</v>
      </c>
      <c r="E21" s="1808"/>
      <c r="F21" s="1523">
        <f>SUMIF(82:82,E22,83:83)-SUMIF(82:82,C22,83:83)+100</f>
        <v>100</v>
      </c>
      <c r="G21" s="1807"/>
      <c r="H21" s="1516">
        <f>SUMIF(82:82,G22,83:83)-SUMIF(82:82,C22,83:83)+100</f>
        <v>100</v>
      </c>
      <c r="I21" s="1807"/>
      <c r="J21" s="1516">
        <f>SUMIF(82:82,I22,83:83)-SUMIF(82:82,C22,83:83)+100</f>
        <v>100</v>
      </c>
      <c r="K21" s="2193"/>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1515"/>
      <c r="G22" s="1514"/>
      <c r="H22" s="1515"/>
      <c r="I22" s="1512"/>
      <c r="J22" s="1515"/>
      <c r="K22" s="2195"/>
      <c r="L22" s="1494"/>
      <c r="M22" s="1410"/>
      <c r="N22" s="1410"/>
      <c r="O22" s="1410"/>
      <c r="P22" s="1535"/>
      <c r="Q22" s="1070"/>
      <c r="R22" s="2087"/>
      <c r="S22" s="2088"/>
      <c r="T22" s="2087"/>
      <c r="U22" s="2088"/>
      <c r="V22" s="2087"/>
      <c r="W22" s="2088"/>
      <c r="X22" s="1415"/>
      <c r="Y22" s="1518"/>
      <c r="Z22" s="1510"/>
      <c r="AA22" s="1510">
        <v>1</v>
      </c>
      <c r="AB22" s="1510">
        <v>1</v>
      </c>
      <c r="AC22" s="1510">
        <v>1</v>
      </c>
    </row>
    <row r="23" ht="40.5" spans="1:29">
      <c r="A23" s="1695"/>
      <c r="B23" s="1801" t="s">
        <v>1905</v>
      </c>
      <c r="C23" s="1520" t="str">
        <f>估价对象房地状况!C9</f>
        <v>区域自然环境：；人文环境；综合评价环境状况一般</v>
      </c>
      <c r="D23" s="1521">
        <v>100</v>
      </c>
      <c r="E23" s="1524"/>
      <c r="F23" s="1516">
        <f>SUMIF(84:84,E24,85:85)-SUMIF(84:84,C24,85:85)+100</f>
        <v>100</v>
      </c>
      <c r="G23" s="1522"/>
      <c r="H23" s="1516">
        <f>SUMIF(84:84,G24,85:85)-SUMIF(84:84,C24,85:85)+100</f>
        <v>100</v>
      </c>
      <c r="I23" s="1522"/>
      <c r="J23" s="1516">
        <f>SUMIF(84:84,I24,85:85)-SUMIF(84:84,C24,85:85)+100</f>
        <v>100</v>
      </c>
      <c r="K23" s="2193"/>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D23/F23</f>
        <v>1</v>
      </c>
      <c r="AB23" s="1510">
        <f>D23/H23</f>
        <v>1</v>
      </c>
      <c r="AC23" s="1510">
        <f>D23/J23</f>
        <v>1</v>
      </c>
    </row>
    <row r="24" ht="15" spans="1:29">
      <c r="A24" s="1695"/>
      <c r="B24" s="1558"/>
      <c r="C24" s="1512"/>
      <c r="D24" s="1513"/>
      <c r="E24" s="1527"/>
      <c r="F24" s="1515"/>
      <c r="G24" s="1526"/>
      <c r="H24" s="1515"/>
      <c r="I24" s="1526"/>
      <c r="J24" s="1515"/>
      <c r="K24" s="219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1906</v>
      </c>
      <c r="C25" s="2155"/>
      <c r="D25" s="1492">
        <v>100</v>
      </c>
      <c r="E25" s="1564"/>
      <c r="F25" s="1493">
        <f>SUMIF(86:86,E25,87:87)-SUMIF(86:86,C25,87:87)+100</f>
        <v>100</v>
      </c>
      <c r="G25" s="2196"/>
      <c r="H25" s="1493">
        <f>SUMIF(86:86,G25,87:87)-SUMIF(86:86,C25,87:87)+100</f>
        <v>100</v>
      </c>
      <c r="I25" s="2196"/>
      <c r="J25" s="1493">
        <f>SUMIF(86:86,I25,87:87)-SUMIF(86:86,C25,87:87)+100</f>
        <v>100</v>
      </c>
      <c r="K25" s="2191"/>
      <c r="L25" s="1494"/>
      <c r="M25" s="1410"/>
      <c r="N25" s="1410"/>
      <c r="O25" s="1410"/>
      <c r="P25" s="1535"/>
      <c r="Q25" s="1070" t="str">
        <f t="shared" ref="Q25:Q46" si="11">B25</f>
        <v>楼层-1</v>
      </c>
      <c r="R25" s="2087" t="s">
        <v>1142</v>
      </c>
      <c r="S25" s="2088">
        <f t="shared" ref="S25:S46" si="12">F25</f>
        <v>100</v>
      </c>
      <c r="T25" s="2087" t="s">
        <v>1142</v>
      </c>
      <c r="U25" s="2088">
        <f t="shared" ref="U25:U46" si="13">H25</f>
        <v>100</v>
      </c>
      <c r="V25" s="2087" t="s">
        <v>1142</v>
      </c>
      <c r="W25" s="2088">
        <f t="shared" ref="W25:W46" si="14">J25</f>
        <v>100</v>
      </c>
      <c r="X25" s="1415"/>
      <c r="Y25" s="1518"/>
      <c r="Z25" s="1510" t="str">
        <f>Q25</f>
        <v>楼层-1</v>
      </c>
      <c r="AA25" s="1510">
        <f t="shared" ref="AA25:AA46" si="15">D25/F25</f>
        <v>1</v>
      </c>
      <c r="AB25" s="1510">
        <f t="shared" ref="AB25:AB46" si="16">D25/H25</f>
        <v>1</v>
      </c>
      <c r="AC25" s="1510">
        <f t="shared" ref="AC25:AC46" si="17">D25/J25</f>
        <v>1</v>
      </c>
    </row>
    <row r="26" ht="15" spans="1:29">
      <c r="A26" s="1695"/>
      <c r="B26" s="1472" t="s">
        <v>1907</v>
      </c>
      <c r="C26" s="2155"/>
      <c r="D26" s="1492">
        <v>100</v>
      </c>
      <c r="E26" s="1564"/>
      <c r="F26" s="1493">
        <f>SUMIF(88:88,E26,89:89)-SUMIF(88:88,C26,89:89)+100</f>
        <v>100</v>
      </c>
      <c r="G26" s="2196"/>
      <c r="H26" s="1493">
        <f>SUMIF(88:88,G26,89:89)-SUMIF(88:88,C26,89:89)+100</f>
        <v>100</v>
      </c>
      <c r="I26" s="2196"/>
      <c r="J26" s="1493">
        <f>SUMIF(88:88,I26,89:89)-SUMIF(88:88,C26,89:89)+100</f>
        <v>100</v>
      </c>
      <c r="K26" s="2191"/>
      <c r="L26" s="1494"/>
      <c r="M26" s="1410"/>
      <c r="N26" s="1410"/>
      <c r="O26" s="1410"/>
      <c r="P26" s="1535"/>
      <c r="Q26" s="1070" t="str">
        <f t="shared" si="11"/>
        <v>朝向</v>
      </c>
      <c r="R26" s="2087" t="s">
        <v>1142</v>
      </c>
      <c r="S26" s="2088">
        <f t="shared" si="12"/>
        <v>100</v>
      </c>
      <c r="T26" s="2087" t="s">
        <v>1142</v>
      </c>
      <c r="U26" s="2088">
        <f t="shared" si="13"/>
        <v>100</v>
      </c>
      <c r="V26" s="2087" t="s">
        <v>1142</v>
      </c>
      <c r="W26" s="2088">
        <f t="shared" si="14"/>
        <v>100</v>
      </c>
      <c r="X26" s="1415"/>
      <c r="Y26" s="1518"/>
      <c r="Z26" s="1510" t="str">
        <f>Q26</f>
        <v>朝向</v>
      </c>
      <c r="AA26" s="1510">
        <f t="shared" si="15"/>
        <v>1</v>
      </c>
      <c r="AB26" s="1510">
        <f t="shared" si="16"/>
        <v>1</v>
      </c>
      <c r="AC26" s="1510">
        <f t="shared" si="17"/>
        <v>1</v>
      </c>
    </row>
    <row r="27" s="1371" customFormat="1" ht="15" spans="1:29">
      <c r="A27" s="1743"/>
      <c r="B27" s="1813">
        <v>111</v>
      </c>
      <c r="C27" s="1473"/>
      <c r="D27" s="2150">
        <v>100</v>
      </c>
      <c r="E27" s="1793"/>
      <c r="F27" s="2152">
        <f>SUMIF(90:90,E27,91:91)-SUMIF(90:90,C27,91:91)+100</f>
        <v>100</v>
      </c>
      <c r="G27" s="1794"/>
      <c r="H27" s="2152">
        <f>SUMIF(90:90,G27,91:91)-SUMIF(90:90,C27,91:91)+100</f>
        <v>100</v>
      </c>
      <c r="I27" s="1794"/>
      <c r="J27" s="2152">
        <f>SUMIF(90:90,I27,91:91)-SUMIF(90:90,C27,91:91)+100</f>
        <v>100</v>
      </c>
      <c r="K27" s="2192"/>
      <c r="L27" s="1453"/>
      <c r="M27" s="1454"/>
      <c r="N27" s="1454"/>
      <c r="O27" s="1454"/>
      <c r="P27" s="1535"/>
      <c r="Q27" s="1224">
        <f t="shared" si="11"/>
        <v>111</v>
      </c>
      <c r="R27" s="2078" t="s">
        <v>1142</v>
      </c>
      <c r="S27" s="2079">
        <f t="shared" si="12"/>
        <v>100</v>
      </c>
      <c r="T27" s="2078" t="s">
        <v>1142</v>
      </c>
      <c r="U27" s="2079">
        <f t="shared" si="13"/>
        <v>100</v>
      </c>
      <c r="V27" s="2078" t="s">
        <v>1142</v>
      </c>
      <c r="W27" s="2079">
        <f t="shared" si="14"/>
        <v>100</v>
      </c>
      <c r="X27" s="1459"/>
      <c r="Y27" s="1518"/>
      <c r="Z27" s="1462">
        <f>Q27</f>
        <v>111</v>
      </c>
      <c r="AA27" s="1510">
        <f t="shared" si="15"/>
        <v>1</v>
      </c>
      <c r="AB27" s="1510">
        <f t="shared" si="16"/>
        <v>1</v>
      </c>
      <c r="AC27" s="1510">
        <f t="shared" si="17"/>
        <v>1</v>
      </c>
    </row>
    <row r="28" ht="15" spans="1:29">
      <c r="A28" s="1695"/>
      <c r="B28" s="1813">
        <v>111</v>
      </c>
      <c r="C28" s="1491"/>
      <c r="D28" s="1492">
        <v>100</v>
      </c>
      <c r="E28" s="1491"/>
      <c r="F28" s="1493">
        <f>SUMIF(92:92,E28,93:93)-SUMIF(92:92,C28,93:93)+100</f>
        <v>100</v>
      </c>
      <c r="G28" s="2197"/>
      <c r="H28" s="1493">
        <f>SUMIF(92:92,G28,93:93)-SUMIF(92:92,C28,93:93)+100</f>
        <v>100</v>
      </c>
      <c r="I28" s="1491"/>
      <c r="J28" s="1493">
        <f>SUMIF(92:92,I28,93:93)-SUMIF(92:92,C28,93:93)+100</f>
        <v>100</v>
      </c>
      <c r="K28" s="2192"/>
      <c r="L28" s="1494"/>
      <c r="M28" s="1410"/>
      <c r="N28" s="1410"/>
      <c r="O28" s="1410"/>
      <c r="P28" s="1535"/>
      <c r="Q28" s="1070">
        <f t="shared" si="11"/>
        <v>111</v>
      </c>
      <c r="R28" s="2087" t="s">
        <v>1142</v>
      </c>
      <c r="S28" s="2088">
        <f t="shared" si="12"/>
        <v>100</v>
      </c>
      <c r="T28" s="2087" t="s">
        <v>1142</v>
      </c>
      <c r="U28" s="2088">
        <f t="shared" si="13"/>
        <v>100</v>
      </c>
      <c r="V28" s="2087" t="s">
        <v>1142</v>
      </c>
      <c r="W28" s="2088">
        <f t="shared" si="14"/>
        <v>100</v>
      </c>
      <c r="X28" s="1415"/>
      <c r="Y28" s="1518"/>
      <c r="Z28" s="1510">
        <f t="shared" ref="Z28:Z46" si="18">Q28</f>
        <v>111</v>
      </c>
      <c r="AA28" s="1510">
        <f t="shared" si="15"/>
        <v>1</v>
      </c>
      <c r="AB28" s="1510">
        <f t="shared" si="16"/>
        <v>1</v>
      </c>
      <c r="AC28" s="1510">
        <f t="shared" si="17"/>
        <v>1</v>
      </c>
    </row>
    <row r="29" ht="15" spans="1:29">
      <c r="A29" s="1695"/>
      <c r="B29" s="1813">
        <v>111</v>
      </c>
      <c r="C29" s="1491"/>
      <c r="D29" s="1492">
        <v>100</v>
      </c>
      <c r="E29" s="1491"/>
      <c r="F29" s="1493">
        <f>SUMIF(94:94,E29,95:95)-SUMIF(94:94,C29,95:95)+100</f>
        <v>100</v>
      </c>
      <c r="G29" s="2197"/>
      <c r="H29" s="1493">
        <f>SUMIF(94:94,G29,95:95)-SUMIF(94:94,C29,95:95)+100</f>
        <v>100</v>
      </c>
      <c r="I29" s="1491"/>
      <c r="J29" s="1493">
        <f>SUMIF(94:94,I29,95:95)-SUMIF(94:94,C29,95:95)+100</f>
        <v>100</v>
      </c>
      <c r="K29" s="2192"/>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8"/>
        <v>111</v>
      </c>
      <c r="AA29" s="1510">
        <f t="shared" si="15"/>
        <v>1</v>
      </c>
      <c r="AB29" s="1510">
        <f t="shared" si="16"/>
        <v>1</v>
      </c>
      <c r="AC29" s="1510">
        <f t="shared" si="17"/>
        <v>1</v>
      </c>
    </row>
    <row r="30" ht="15" spans="1:29">
      <c r="A30" s="1695"/>
      <c r="B30" s="1813">
        <v>111</v>
      </c>
      <c r="C30" s="1491"/>
      <c r="D30" s="1492">
        <v>100</v>
      </c>
      <c r="E30" s="1491"/>
      <c r="F30" s="1493">
        <f>SUMIF(96:96,E30,97:97)-SUMIF(96:96,C30,97:97)+100</f>
        <v>100</v>
      </c>
      <c r="G30" s="2197"/>
      <c r="H30" s="1493">
        <f>SUMIF(96:96,G30,97:97)-SUMIF(96:96,C30,97:97)+100</f>
        <v>100</v>
      </c>
      <c r="I30" s="1491"/>
      <c r="J30" s="1493">
        <f>SUMIF(96:96,I30,97:97)-SUMIF(96:96,C30,97:97)+100</f>
        <v>100</v>
      </c>
      <c r="K30" s="2192"/>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8"/>
        <v>111</v>
      </c>
      <c r="AA30" s="1510">
        <f t="shared" si="15"/>
        <v>1</v>
      </c>
      <c r="AB30" s="1510">
        <f t="shared" si="16"/>
        <v>1</v>
      </c>
      <c r="AC30" s="1510">
        <f t="shared" si="17"/>
        <v>1</v>
      </c>
    </row>
    <row r="31" ht="15.75" spans="1:29">
      <c r="A31" s="2085"/>
      <c r="B31" s="1813">
        <v>111</v>
      </c>
      <c r="C31" s="1497"/>
      <c r="D31" s="1498">
        <v>100</v>
      </c>
      <c r="E31" s="1497"/>
      <c r="F31" s="1499">
        <f>SUMIF(98:98,E31,99:99)-SUMIF(98:98,C31,99:99)+100</f>
        <v>100</v>
      </c>
      <c r="G31" s="2198"/>
      <c r="H31" s="1499">
        <f>SUMIF(98:98,G31,99:99)-SUMIF(98:98,C31,99:99)+100</f>
        <v>100</v>
      </c>
      <c r="I31" s="1497"/>
      <c r="J31" s="1499">
        <f>SUMIF(98:98,I31,99:99)-SUMIF(98:98,C31,99:99)+100</f>
        <v>100</v>
      </c>
      <c r="K31" s="2192"/>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8"/>
        <v>111</v>
      </c>
      <c r="AA31" s="1510">
        <f t="shared" si="15"/>
        <v>1</v>
      </c>
      <c r="AB31" s="1510">
        <f t="shared" si="16"/>
        <v>1</v>
      </c>
      <c r="AC31" s="1510">
        <f t="shared" si="17"/>
        <v>1</v>
      </c>
    </row>
    <row r="32" ht="15" spans="1:29">
      <c r="A32" s="1688" t="s">
        <v>1166</v>
      </c>
      <c r="B32" s="1466" t="s">
        <v>1167</v>
      </c>
      <c r="C32" s="2153"/>
      <c r="D32" s="1560">
        <v>100</v>
      </c>
      <c r="E32" s="2199"/>
      <c r="F32" s="2148">
        <f>SUMIF(100:100,E32,101:101)-SUMIF(100:100,C32,101:101)+100</f>
        <v>100</v>
      </c>
      <c r="G32" s="2153"/>
      <c r="H32" s="1561">
        <f>SUMIF(100:100,G32,101:101)-SUMIF(100:100,C32,101:101)+100</f>
        <v>100</v>
      </c>
      <c r="I32" s="2199"/>
      <c r="J32" s="1493">
        <f>SUMIF(100:100,I32,101:101)-SUMIF(100:100,C32,101:101)+100</f>
        <v>100</v>
      </c>
      <c r="K32" s="2191"/>
      <c r="L32" s="1494"/>
      <c r="M32" s="1410"/>
      <c r="N32" s="1410"/>
      <c r="O32" s="1410"/>
      <c r="P32" s="2103" t="s">
        <v>1169</v>
      </c>
      <c r="Q32" s="1070" t="str">
        <f t="shared" si="11"/>
        <v>建筑类型</v>
      </c>
      <c r="R32" s="2087" t="s">
        <v>1142</v>
      </c>
      <c r="S32" s="2088">
        <f t="shared" si="12"/>
        <v>100</v>
      </c>
      <c r="T32" s="2087" t="s">
        <v>1142</v>
      </c>
      <c r="U32" s="2088">
        <f t="shared" si="13"/>
        <v>100</v>
      </c>
      <c r="V32" s="2087" t="s">
        <v>1142</v>
      </c>
      <c r="W32" s="2088">
        <f t="shared" si="14"/>
        <v>100</v>
      </c>
      <c r="X32" s="1415"/>
      <c r="Y32" s="1545" t="s">
        <v>1169</v>
      </c>
      <c r="Z32" s="1510" t="str">
        <f t="shared" si="18"/>
        <v>建筑类型</v>
      </c>
      <c r="AA32" s="1510">
        <f t="shared" si="15"/>
        <v>1</v>
      </c>
      <c r="AB32" s="1510">
        <f t="shared" si="16"/>
        <v>1</v>
      </c>
      <c r="AC32" s="1510">
        <f t="shared" si="17"/>
        <v>1</v>
      </c>
    </row>
    <row r="33" s="1373" customFormat="1" ht="15" spans="1:29">
      <c r="A33" s="1764"/>
      <c r="B33" s="1472" t="s">
        <v>1170</v>
      </c>
      <c r="C33" s="2200"/>
      <c r="D33" s="1474">
        <v>100</v>
      </c>
      <c r="E33" s="2138"/>
      <c r="F33" s="2139" t="e">
        <f>LOOKUP(E33,103:103,104:104)-LOOKUP(C33,103:103,104:104)+100</f>
        <v>#N/A</v>
      </c>
      <c r="G33" s="2137"/>
      <c r="H33" s="1475" t="e">
        <f>LOOKUP(G33,103:103,104:104)-LOOKUP(C33,103:103,104:104)+100</f>
        <v>#N/A</v>
      </c>
      <c r="I33" s="2138"/>
      <c r="J33" s="1475" t="e">
        <f>LOOKUP(I33,103:103,104:104)-LOOKUP(C33,103:103,104:104)+100</f>
        <v>#N/A</v>
      </c>
      <c r="K33" s="2192"/>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8"/>
        <v>项目建筑规模</v>
      </c>
      <c r="AA33" s="1510" t="e">
        <f t="shared" si="15"/>
        <v>#N/A</v>
      </c>
      <c r="AB33" s="1510" t="e">
        <f t="shared" si="16"/>
        <v>#N/A</v>
      </c>
      <c r="AC33" s="1510" t="e">
        <f t="shared" si="17"/>
        <v>#N/A</v>
      </c>
    </row>
    <row r="34" ht="15" spans="1:29">
      <c r="A34" s="1773"/>
      <c r="B34" s="1472" t="s">
        <v>1171</v>
      </c>
      <c r="C34" s="2155"/>
      <c r="D34" s="1492">
        <v>100</v>
      </c>
      <c r="E34" s="2201"/>
      <c r="F34" s="2148">
        <f>SUMIF(105:105,E34,106:106)-SUMIF(105:105,C34,106:106)+100</f>
        <v>100</v>
      </c>
      <c r="G34" s="2155"/>
      <c r="H34" s="1493">
        <f>SUMIF(105:105,G34,106:106)-SUMIF(105:105,C34,106:106)+100</f>
        <v>100</v>
      </c>
      <c r="I34" s="2201"/>
      <c r="J34" s="1493">
        <f>SUMIF(105:105,I34,106:106)-SUMIF(105:105,C34,106:106)+100</f>
        <v>100</v>
      </c>
      <c r="K34" s="2191"/>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8"/>
        <v>建筑结构</v>
      </c>
      <c r="AA34" s="1510">
        <f t="shared" si="15"/>
        <v>1</v>
      </c>
      <c r="AB34" s="1510">
        <f t="shared" si="16"/>
        <v>1</v>
      </c>
      <c r="AC34" s="1510">
        <f t="shared" si="17"/>
        <v>1</v>
      </c>
    </row>
    <row r="35" ht="15" spans="1:29">
      <c r="A35" s="1773"/>
      <c r="B35" s="1472" t="s">
        <v>1908</v>
      </c>
      <c r="C35" s="1564"/>
      <c r="D35" s="1492">
        <v>100</v>
      </c>
      <c r="E35" s="2196"/>
      <c r="F35" s="2148">
        <f>SUMIF(107:107,E35,108:108)-SUMIF(107:107,C35,108:108)+100</f>
        <v>100</v>
      </c>
      <c r="G35" s="1564"/>
      <c r="H35" s="1493">
        <f>SUMIF(107:107,G35,108:108)-SUMIF(107:107,C35,108:108)+100</f>
        <v>100</v>
      </c>
      <c r="I35" s="2196"/>
      <c r="J35" s="1493">
        <f>SUMIF(107:107,I35,108:108)-SUMIF(107:107,C35,108:108)+100</f>
        <v>100</v>
      </c>
      <c r="K35" s="2191"/>
      <c r="L35" s="1494"/>
      <c r="M35" s="1410"/>
      <c r="N35" s="1410"/>
      <c r="O35" s="1410"/>
      <c r="P35" s="2104"/>
      <c r="Q35" s="1070" t="str">
        <f t="shared" si="11"/>
        <v>建筑品质</v>
      </c>
      <c r="R35" s="2087" t="s">
        <v>1142</v>
      </c>
      <c r="S35" s="2088">
        <f t="shared" si="12"/>
        <v>100</v>
      </c>
      <c r="T35" s="2087" t="s">
        <v>1142</v>
      </c>
      <c r="U35" s="2088">
        <f t="shared" si="13"/>
        <v>100</v>
      </c>
      <c r="V35" s="2087" t="s">
        <v>1142</v>
      </c>
      <c r="W35" s="2088">
        <f t="shared" si="14"/>
        <v>100</v>
      </c>
      <c r="X35" s="1415"/>
      <c r="Y35" s="1545"/>
      <c r="Z35" s="1510" t="str">
        <f t="shared" si="18"/>
        <v>建筑品质</v>
      </c>
      <c r="AA35" s="1510">
        <f t="shared" si="15"/>
        <v>1</v>
      </c>
      <c r="AB35" s="1510">
        <f t="shared" si="16"/>
        <v>1</v>
      </c>
      <c r="AC35" s="1510">
        <f t="shared" si="17"/>
        <v>1</v>
      </c>
    </row>
    <row r="36" ht="15" spans="1:29">
      <c r="A36" s="1773"/>
      <c r="B36" s="1472" t="s">
        <v>1173</v>
      </c>
      <c r="C36" s="1564"/>
      <c r="D36" s="1492">
        <v>100</v>
      </c>
      <c r="E36" s="2196"/>
      <c r="F36" s="2148">
        <f>SUMIF(109:109,E36,110:110)-SUMIF(109:109,C36,110:110)+100</f>
        <v>100</v>
      </c>
      <c r="G36" s="1564"/>
      <c r="H36" s="1493">
        <f>SUMIF(109:109,G36,110:110)-SUMIF(109:109,C36,110:110)+100</f>
        <v>100</v>
      </c>
      <c r="I36" s="2196"/>
      <c r="J36" s="1493">
        <f>SUMIF(109:109,I36,110:110)-SUMIF(109:109,C36,110:110)+100</f>
        <v>100</v>
      </c>
      <c r="K36" s="2191"/>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8"/>
        <v>公共部分装修</v>
      </c>
      <c r="AA36" s="1510">
        <f t="shared" si="15"/>
        <v>1</v>
      </c>
      <c r="AB36" s="1510">
        <f t="shared" si="16"/>
        <v>1</v>
      </c>
      <c r="AC36" s="1510">
        <f t="shared" si="17"/>
        <v>1</v>
      </c>
    </row>
    <row r="37" s="1371" customFormat="1" ht="15" spans="1:29">
      <c r="A37" s="1980"/>
      <c r="B37" s="1472" t="s">
        <v>716</v>
      </c>
      <c r="C37" s="2156"/>
      <c r="D37" s="1474">
        <v>100</v>
      </c>
      <c r="E37" s="2156"/>
      <c r="F37" s="2139" t="e">
        <f>LOOKUP(E37,112:112,113:113)-LOOKUP(C37,112:112,113:113)+100</f>
        <v>#N/A</v>
      </c>
      <c r="G37" s="2202"/>
      <c r="H37" s="1475" t="e">
        <f>LOOKUP(G37,112:112,113:113)-LOOKUP(C37,112:112,113:113)+100</f>
        <v>#N/A</v>
      </c>
      <c r="I37" s="2203"/>
      <c r="J37" s="1475" t="e">
        <f>LOOKUP(I37,112:112,113:113)-LOOKUP(C37,112:112,113:113)+100</f>
        <v>#N/A</v>
      </c>
      <c r="K37" s="2191"/>
      <c r="L37" s="1453"/>
      <c r="M37" s="1454"/>
      <c r="N37" s="1454"/>
      <c r="O37" s="1454"/>
      <c r="P37" s="2104"/>
      <c r="Q37" s="1224" t="str">
        <f t="shared" si="11"/>
        <v>成新度</v>
      </c>
      <c r="R37" s="2078" t="s">
        <v>1142</v>
      </c>
      <c r="S37" s="2079" t="e">
        <f t="shared" si="12"/>
        <v>#N/A</v>
      </c>
      <c r="T37" s="2078" t="s">
        <v>1142</v>
      </c>
      <c r="U37" s="2079" t="e">
        <f t="shared" si="13"/>
        <v>#N/A</v>
      </c>
      <c r="V37" s="2078" t="s">
        <v>1142</v>
      </c>
      <c r="W37" s="2079" t="e">
        <f t="shared" si="14"/>
        <v>#N/A</v>
      </c>
      <c r="X37" s="1459"/>
      <c r="Y37" s="1545"/>
      <c r="Z37" s="1462" t="str">
        <f t="shared" si="18"/>
        <v>成新度</v>
      </c>
      <c r="AA37" s="1462" t="e">
        <f t="shared" si="15"/>
        <v>#N/A</v>
      </c>
      <c r="AB37" s="1462" t="e">
        <f t="shared" si="16"/>
        <v>#N/A</v>
      </c>
      <c r="AC37" s="1462" t="e">
        <f t="shared" si="17"/>
        <v>#N/A</v>
      </c>
    </row>
    <row r="38" ht="15" spans="1:29">
      <c r="A38" s="1773"/>
      <c r="B38" s="1472" t="s">
        <v>1175</v>
      </c>
      <c r="C38" s="1564"/>
      <c r="D38" s="1492">
        <v>100</v>
      </c>
      <c r="E38" s="2196"/>
      <c r="F38" s="2148">
        <f>SUMIF(114:114,E38,115:115)-SUMIF(114:114,C38,115:115)+100</f>
        <v>100</v>
      </c>
      <c r="G38" s="1564"/>
      <c r="H38" s="1493">
        <f>SUMIF(114:114,G38,115:115)-SUMIF(114:114,C38,115:115)+100</f>
        <v>100</v>
      </c>
      <c r="I38" s="2196"/>
      <c r="J38" s="1493">
        <f>SUMIF(114:114,I38,115:115)-SUMIF(114:114,C38,115:115)+100</f>
        <v>100</v>
      </c>
      <c r="K38" s="2191"/>
      <c r="L38" s="1494"/>
      <c r="M38" s="1410"/>
      <c r="N38" s="1410"/>
      <c r="O38" s="1410"/>
      <c r="P38" s="2104" t="s">
        <v>1169</v>
      </c>
      <c r="Q38" s="1070" t="str">
        <f t="shared" si="11"/>
        <v>物业管理</v>
      </c>
      <c r="R38" s="2087" t="s">
        <v>1142</v>
      </c>
      <c r="S38" s="2088">
        <f t="shared" si="12"/>
        <v>100</v>
      </c>
      <c r="T38" s="2087" t="s">
        <v>1142</v>
      </c>
      <c r="U38" s="2088">
        <f t="shared" si="13"/>
        <v>100</v>
      </c>
      <c r="V38" s="2087" t="s">
        <v>1142</v>
      </c>
      <c r="W38" s="2088">
        <f t="shared" si="14"/>
        <v>100</v>
      </c>
      <c r="X38" s="1415"/>
      <c r="Y38" s="1545" t="s">
        <v>1169</v>
      </c>
      <c r="Z38" s="1510" t="str">
        <f t="shared" si="18"/>
        <v>物业管理</v>
      </c>
      <c r="AA38" s="1510">
        <f t="shared" si="15"/>
        <v>1</v>
      </c>
      <c r="AB38" s="1510">
        <f t="shared" si="16"/>
        <v>1</v>
      </c>
      <c r="AC38" s="1510">
        <f t="shared" si="17"/>
        <v>1</v>
      </c>
    </row>
    <row r="39" ht="15" spans="1:29">
      <c r="A39" s="1773"/>
      <c r="B39" s="1472" t="s">
        <v>1176</v>
      </c>
      <c r="C39" s="1564"/>
      <c r="D39" s="1492">
        <v>100</v>
      </c>
      <c r="E39" s="2196"/>
      <c r="F39" s="2148">
        <f>SUMIF(116:116,E39,117:117)-SUMIF(116:116,C39,117:117)+100</f>
        <v>100</v>
      </c>
      <c r="G39" s="1564"/>
      <c r="H39" s="1493">
        <f>SUMIF(116:116,G39,117:117)-SUMIF(116:116,C39,117:117)+100</f>
        <v>100</v>
      </c>
      <c r="I39" s="2196"/>
      <c r="J39" s="1493">
        <f>SUMIF(116:116,I39,117:117)-SUMIF(116:116,C39,117:117)+100</f>
        <v>100</v>
      </c>
      <c r="K39" s="2191"/>
      <c r="L39" s="1494"/>
      <c r="M39" s="1410"/>
      <c r="N39" s="1410"/>
      <c r="O39" s="1410"/>
      <c r="P39" s="2104"/>
      <c r="Q39" s="1070" t="str">
        <f t="shared" si="11"/>
        <v>市政基础设施</v>
      </c>
      <c r="R39" s="2087" t="s">
        <v>1142</v>
      </c>
      <c r="S39" s="2088">
        <f t="shared" si="12"/>
        <v>100</v>
      </c>
      <c r="T39" s="2087" t="s">
        <v>1142</v>
      </c>
      <c r="U39" s="2088">
        <f t="shared" si="13"/>
        <v>100</v>
      </c>
      <c r="V39" s="2087" t="s">
        <v>1142</v>
      </c>
      <c r="W39" s="2088">
        <f t="shared" si="14"/>
        <v>100</v>
      </c>
      <c r="X39" s="1415"/>
      <c r="Y39" s="1545"/>
      <c r="Z39" s="1510" t="str">
        <f t="shared" si="18"/>
        <v>市政基础设施</v>
      </c>
      <c r="AA39" s="1510">
        <f t="shared" si="15"/>
        <v>1</v>
      </c>
      <c r="AB39" s="1510">
        <f t="shared" si="16"/>
        <v>1</v>
      </c>
      <c r="AC39" s="1510">
        <f t="shared" si="17"/>
        <v>1</v>
      </c>
    </row>
    <row r="40" ht="15" spans="1:29">
      <c r="A40" s="1773"/>
      <c r="B40" s="1472" t="s">
        <v>1909</v>
      </c>
      <c r="C40" s="1564"/>
      <c r="D40" s="1492">
        <v>100</v>
      </c>
      <c r="E40" s="2196"/>
      <c r="F40" s="2148">
        <f>SUMIF(118:118,E40,119:119)-SUMIF(118:118,C40,119:119)+100</f>
        <v>100</v>
      </c>
      <c r="G40" s="1564"/>
      <c r="H40" s="1493">
        <f>SUMIF(118:118,G40,119:119)-SUMIF(118:118,C40,119:119)+100</f>
        <v>100</v>
      </c>
      <c r="I40" s="2196"/>
      <c r="J40" s="1493">
        <f>SUMIF(118:118,I40,119:119)-SUMIF(118:118,C40,119:119)+100</f>
        <v>100</v>
      </c>
      <c r="K40" s="2191"/>
      <c r="L40" s="1494"/>
      <c r="M40" s="1410"/>
      <c r="N40" s="1410"/>
      <c r="O40" s="1410"/>
      <c r="P40" s="2104"/>
      <c r="Q40" s="1070" t="str">
        <f t="shared" si="11"/>
        <v>房型</v>
      </c>
      <c r="R40" s="2087" t="s">
        <v>1142</v>
      </c>
      <c r="S40" s="2088">
        <f t="shared" si="12"/>
        <v>100</v>
      </c>
      <c r="T40" s="2087" t="s">
        <v>1142</v>
      </c>
      <c r="U40" s="2088">
        <f t="shared" si="13"/>
        <v>100</v>
      </c>
      <c r="V40" s="2087" t="s">
        <v>1142</v>
      </c>
      <c r="W40" s="2088">
        <f t="shared" si="14"/>
        <v>100</v>
      </c>
      <c r="X40" s="1415"/>
      <c r="Y40" s="1545"/>
      <c r="Z40" s="1510" t="str">
        <f t="shared" si="18"/>
        <v>房型</v>
      </c>
      <c r="AA40" s="1510">
        <f t="shared" si="15"/>
        <v>1</v>
      </c>
      <c r="AB40" s="1510">
        <f t="shared" si="16"/>
        <v>1</v>
      </c>
      <c r="AC40" s="1510">
        <f t="shared" si="17"/>
        <v>1</v>
      </c>
    </row>
    <row r="41" s="1373" customFormat="1" ht="27.75" spans="1:29">
      <c r="A41" s="1764"/>
      <c r="B41" s="1472" t="s">
        <v>1910</v>
      </c>
      <c r="C41" s="2200"/>
      <c r="D41" s="1474">
        <v>100</v>
      </c>
      <c r="E41" s="2138"/>
      <c r="F41" s="2139">
        <f>SUMIF(120:120,E41,121:121)-SUMIF(120:120,C41,121:121)+100</f>
        <v>100</v>
      </c>
      <c r="G41" s="2137"/>
      <c r="H41" s="1475">
        <f>SUMIF(120:120,G41,121:121)-SUMIF(120:120,C41,121:121)+100</f>
        <v>100</v>
      </c>
      <c r="I41" s="2204"/>
      <c r="J41" s="1493">
        <f>SUMIF(120:120,I41,121:121)-SUMIF(120:120,C41,121:121)+100</f>
        <v>100</v>
      </c>
      <c r="K41" s="2192"/>
      <c r="L41" s="1484"/>
      <c r="M41" s="1551"/>
      <c r="N41" s="1551"/>
      <c r="O41" s="1551"/>
      <c r="P41" s="2104"/>
      <c r="Q41" s="2105" t="str">
        <f t="shared" si="11"/>
        <v>单套/主力户型建筑面积</v>
      </c>
      <c r="R41" s="2106" t="s">
        <v>1142</v>
      </c>
      <c r="S41" s="2107">
        <f t="shared" si="12"/>
        <v>100</v>
      </c>
      <c r="T41" s="2106" t="s">
        <v>1142</v>
      </c>
      <c r="U41" s="2107">
        <f t="shared" si="13"/>
        <v>100</v>
      </c>
      <c r="V41" s="2106" t="s">
        <v>1142</v>
      </c>
      <c r="W41" s="2107">
        <f t="shared" si="14"/>
        <v>100</v>
      </c>
      <c r="X41" s="1556"/>
      <c r="Y41" s="1545"/>
      <c r="Z41" s="1557" t="str">
        <f t="shared" si="18"/>
        <v>单套/主力户型建筑面积</v>
      </c>
      <c r="AA41" s="1510">
        <f t="shared" si="15"/>
        <v>1</v>
      </c>
      <c r="AB41" s="1510">
        <f t="shared" si="16"/>
        <v>1</v>
      </c>
      <c r="AC41" s="1510">
        <f t="shared" si="17"/>
        <v>1</v>
      </c>
    </row>
    <row r="42" ht="15" spans="1:29">
      <c r="A42" s="1773"/>
      <c r="B42" s="1472" t="s">
        <v>1177</v>
      </c>
      <c r="C42" s="1564"/>
      <c r="D42" s="1492">
        <v>100</v>
      </c>
      <c r="E42" s="2196"/>
      <c r="F42" s="2148">
        <f>SUMIF(122:122,E42,123:123)-SUMIF(122:122,C42,123:123)+100</f>
        <v>100</v>
      </c>
      <c r="G42" s="1564"/>
      <c r="H42" s="1493">
        <f>SUMIF(122:122,G42,123:123)-SUMIF(122:122,C42,123:123)+100</f>
        <v>100</v>
      </c>
      <c r="I42" s="2196"/>
      <c r="J42" s="1493">
        <f>SUMIF(122:122,I42,123:123)-SUMIF(122:122,C42,123:123)+100</f>
        <v>100</v>
      </c>
      <c r="K42" s="2191"/>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8"/>
        <v>内部装修</v>
      </c>
      <c r="AA42" s="1510">
        <f t="shared" si="15"/>
        <v>1</v>
      </c>
      <c r="AB42" s="1510">
        <f t="shared" si="16"/>
        <v>1</v>
      </c>
      <c r="AC42" s="1510">
        <f t="shared" si="17"/>
        <v>1</v>
      </c>
    </row>
    <row r="43" ht="15" spans="1:29">
      <c r="A43" s="1773"/>
      <c r="B43" s="1472" t="s">
        <v>1911</v>
      </c>
      <c r="C43" s="1564"/>
      <c r="D43" s="1492">
        <v>100</v>
      </c>
      <c r="E43" s="2196"/>
      <c r="F43" s="2148">
        <f>SUMIF(124:124,E43,125:125)-SUMIF(124:124,C43,125:125)+100</f>
        <v>100</v>
      </c>
      <c r="G43" s="1564"/>
      <c r="H43" s="1493">
        <f>SUMIF(124:124,G43,125:125)-SUMIF(124:124,C43,125:125)+100</f>
        <v>100</v>
      </c>
      <c r="I43" s="2196"/>
      <c r="J43" s="1493">
        <f>SUMIF(124:124,I43,125:125)-SUMIF(124:124,C43,125:125)+100</f>
        <v>100</v>
      </c>
      <c r="K43" s="2191"/>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8"/>
        <v>内部装修维护情况</v>
      </c>
      <c r="AA43" s="1510">
        <f t="shared" si="15"/>
        <v>1</v>
      </c>
      <c r="AB43" s="1510">
        <f t="shared" si="16"/>
        <v>1</v>
      </c>
      <c r="AC43" s="1510">
        <f t="shared" si="17"/>
        <v>1</v>
      </c>
    </row>
    <row r="44" s="1371" customFormat="1" ht="15" spans="1:29">
      <c r="A44" s="1980"/>
      <c r="B44" s="1813">
        <v>111</v>
      </c>
      <c r="C44" s="2154"/>
      <c r="D44" s="1474">
        <v>100</v>
      </c>
      <c r="E44" s="2154"/>
      <c r="F44" s="2139">
        <f>SUMIF(126:126,E44,127:127)-SUMIF(126:126,C44,127:127)+100</f>
        <v>100</v>
      </c>
      <c r="G44" s="2154"/>
      <c r="H44" s="1475">
        <f>SUMIF(126:126,G44,127:127)-SUMIF(126:126,C44,127:127)+100</f>
        <v>100</v>
      </c>
      <c r="I44" s="2154"/>
      <c r="J44" s="1475">
        <f>SUMIF(126:126,I44,127:127)-SUMIF(126:126,C44,127:127)+100</f>
        <v>100</v>
      </c>
      <c r="K44" s="2192"/>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8"/>
        <v>111</v>
      </c>
      <c r="AA44" s="1462">
        <f t="shared" si="15"/>
        <v>1</v>
      </c>
      <c r="AB44" s="1462">
        <f t="shared" si="16"/>
        <v>1</v>
      </c>
      <c r="AC44" s="1462">
        <f t="shared" si="17"/>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2192"/>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8"/>
        <v>111</v>
      </c>
      <c r="AA45" s="1510">
        <f t="shared" si="15"/>
        <v>1</v>
      </c>
      <c r="AB45" s="1510">
        <f t="shared" si="16"/>
        <v>1</v>
      </c>
      <c r="AC45" s="1510">
        <f t="shared" si="17"/>
        <v>1</v>
      </c>
    </row>
    <row r="46" ht="15.75" spans="1:29">
      <c r="A46" s="1981"/>
      <c r="B46" s="1496">
        <v>111</v>
      </c>
      <c r="C46" s="1497"/>
      <c r="D46" s="1498">
        <v>100</v>
      </c>
      <c r="E46" s="1497"/>
      <c r="F46" s="2140">
        <f>SUMIF(130:130,E46,131:131)-SUMIF(130:130,C46,131:131)+100</f>
        <v>100</v>
      </c>
      <c r="G46" s="1497"/>
      <c r="H46" s="1499">
        <f>SUMIF(130:130,G46,131:131)-SUMIF(130:130,C46,131:131)+100</f>
        <v>100</v>
      </c>
      <c r="I46" s="1497"/>
      <c r="J46" s="1499">
        <f>SUMIF(130:130,I46,131:131)-SUMIF(130:130,C46,131:131)+100</f>
        <v>100</v>
      </c>
      <c r="K46" s="2192"/>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8"/>
        <v>111</v>
      </c>
      <c r="AA46" s="1510">
        <f t="shared" si="15"/>
        <v>1</v>
      </c>
      <c r="AB46" s="1510">
        <f t="shared" si="16"/>
        <v>1</v>
      </c>
      <c r="AC46" s="1510">
        <f t="shared" si="17"/>
        <v>1</v>
      </c>
    </row>
    <row r="47" ht="15" spans="1:29">
      <c r="A47" s="1571" t="s">
        <v>1185</v>
      </c>
      <c r="B47" s="1986"/>
      <c r="C47" s="1987" t="s">
        <v>124</v>
      </c>
      <c r="D47" s="1817"/>
      <c r="E47" s="1575"/>
      <c r="F47" s="2205"/>
      <c r="G47" s="1577"/>
      <c r="H47" s="2206"/>
      <c r="I47" s="1575"/>
      <c r="J47" s="2206"/>
      <c r="K47" s="2207"/>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2208" t="e">
        <f>R48</f>
        <v>#DIV/0!</v>
      </c>
      <c r="F48" s="1589"/>
      <c r="G48" s="2209" t="e">
        <f>T48</f>
        <v>#DIV/0!</v>
      </c>
      <c r="H48" s="1589"/>
      <c r="I48" s="2208" t="e">
        <f>V48</f>
        <v>#DIV/0!</v>
      </c>
      <c r="J48" s="1589"/>
      <c r="K48" s="1591">
        <f>F48+H48+J48</f>
        <v>0</v>
      </c>
      <c r="L48" s="1580"/>
      <c r="M48" s="1581"/>
      <c r="N48" s="1581"/>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2210" t="e">
        <f>R49</f>
        <v>#DIV/0!</v>
      </c>
      <c r="D49" s="1787"/>
      <c r="E49" s="1787"/>
      <c r="F49" s="1787"/>
      <c r="G49" s="1787"/>
      <c r="H49" s="1787"/>
      <c r="I49" s="1787"/>
      <c r="J49" s="1787"/>
      <c r="K49" s="2211"/>
      <c r="L49" s="1580"/>
      <c r="M49" s="1581"/>
      <c r="N49" s="1581"/>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row>
    <row r="51" spans="1:29">
      <c r="A51" s="1581"/>
      <c r="B51" s="1581"/>
      <c r="C51" s="1581"/>
      <c r="D51" s="1581"/>
      <c r="E51" s="1581"/>
      <c r="F51" s="1581"/>
      <c r="G51" s="1581"/>
      <c r="H51" s="1581"/>
      <c r="I51" s="1581"/>
      <c r="J51" s="1581"/>
      <c r="K51" s="1601"/>
      <c r="L51" s="1602"/>
      <c r="M51" s="1581"/>
      <c r="N51" s="1581"/>
      <c r="O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212"/>
    </row>
    <row r="55" s="1374" customFormat="1" spans="1:29">
      <c r="A55" s="1605"/>
      <c r="B55" s="1608"/>
      <c r="C55" s="1992"/>
      <c r="D55" s="1605"/>
      <c r="E55" s="1605"/>
      <c r="F55" s="1605"/>
      <c r="G55" s="1605"/>
      <c r="H55" s="1605"/>
      <c r="I55" s="1605"/>
      <c r="J55" s="1605"/>
      <c r="K55" s="1606"/>
      <c r="L55" s="1607"/>
      <c r="M55" s="1605"/>
      <c r="N55" s="1605"/>
      <c r="O55" s="1605"/>
      <c r="P55" s="2212"/>
    </row>
    <row r="56" spans="1:29">
      <c r="A56" s="1581"/>
      <c r="B56" s="1608"/>
      <c r="C56" s="1992"/>
      <c r="D56" s="1581"/>
      <c r="E56" s="1581"/>
      <c r="F56" s="1581"/>
      <c r="G56" s="1581"/>
      <c r="H56" s="1581"/>
      <c r="I56" s="1581"/>
      <c r="J56" s="1581"/>
      <c r="K56" s="1601"/>
      <c r="L56" s="1602"/>
      <c r="M56" s="1581"/>
      <c r="N56" s="1581"/>
      <c r="O56" s="1581"/>
    </row>
    <row r="57" ht="21" spans="1:29">
      <c r="A57" s="1652" t="s">
        <v>1192</v>
      </c>
      <c r="B57" s="1583"/>
      <c r="C57" s="1653"/>
      <c r="D57" s="1653"/>
      <c r="E57" s="1653"/>
      <c r="F57" s="1654"/>
      <c r="G57" s="1654"/>
      <c r="H57" s="1653"/>
      <c r="I57" s="1653"/>
      <c r="J57" s="1653"/>
      <c r="K57" s="2048"/>
      <c r="L57" s="1845"/>
      <c r="M57" s="1657"/>
      <c r="N57" s="1657"/>
      <c r="O57" s="1657"/>
      <c r="P57" s="2213"/>
      <c r="Q57" s="2214"/>
    </row>
    <row r="58" s="1376" customFormat="1" ht="15" spans="1:29">
      <c r="A58" s="1993" t="s">
        <v>1140</v>
      </c>
      <c r="B58" s="1994"/>
      <c r="C58" s="2215" t="str">
        <f>YEAR(C7)&amp;"-"&amp;MONTH(C7)</f>
        <v>2026-3</v>
      </c>
      <c r="D58" s="1996">
        <f>EDATE(C58,-1)</f>
        <v>46054</v>
      </c>
      <c r="E58" s="1996">
        <f>EDATE(D58,-1)</f>
        <v>46023</v>
      </c>
      <c r="F58" s="1996">
        <f t="shared" ref="F58:O58" si="19">EDATE(E58,-1)</f>
        <v>45992</v>
      </c>
      <c r="G58" s="1996">
        <f t="shared" si="19"/>
        <v>45962</v>
      </c>
      <c r="H58" s="1996">
        <f t="shared" si="19"/>
        <v>45931</v>
      </c>
      <c r="I58" s="1996">
        <f t="shared" si="19"/>
        <v>45901</v>
      </c>
      <c r="J58" s="1996">
        <f t="shared" si="19"/>
        <v>45870</v>
      </c>
      <c r="K58" s="1996">
        <f t="shared" si="19"/>
        <v>45839</v>
      </c>
      <c r="L58" s="1996">
        <f t="shared" si="19"/>
        <v>45809</v>
      </c>
      <c r="M58" s="1996">
        <f t="shared" si="19"/>
        <v>45778</v>
      </c>
      <c r="N58" s="1996">
        <f t="shared" si="19"/>
        <v>45748</v>
      </c>
      <c r="O58" s="1996">
        <f t="shared" si="19"/>
        <v>45717</v>
      </c>
      <c r="P58" s="2216"/>
    </row>
    <row r="59" s="1371" customFormat="1" ht="15" spans="1:29">
      <c r="A59" s="1997"/>
      <c r="B59" s="2217"/>
      <c r="C59" s="1998">
        <v>100</v>
      </c>
      <c r="D59" s="2116"/>
      <c r="E59" s="1686"/>
      <c r="F59" s="1686"/>
      <c r="G59" s="1686"/>
      <c r="H59" s="1686"/>
      <c r="I59" s="1686"/>
      <c r="J59" s="1686"/>
      <c r="K59" s="1686"/>
      <c r="L59" s="1686"/>
      <c r="M59" s="1926"/>
      <c r="N59" s="1686"/>
      <c r="O59" s="1926"/>
      <c r="P59" s="2218"/>
    </row>
    <row r="60" s="1371" customFormat="1" ht="15.75" spans="1:29">
      <c r="A60" s="1671" t="s">
        <v>1193</v>
      </c>
      <c r="B60" s="1672"/>
      <c r="C60" s="1673"/>
      <c r="D60" s="1674"/>
      <c r="E60" s="1674"/>
      <c r="F60" s="1674"/>
      <c r="G60" s="1674"/>
      <c r="H60" s="1674"/>
      <c r="I60" s="1674"/>
      <c r="J60" s="1674"/>
      <c r="K60" s="1674"/>
      <c r="L60" s="1674"/>
      <c r="M60" s="1675"/>
      <c r="N60" s="1674"/>
      <c r="O60" s="1675"/>
      <c r="P60" s="2218"/>
      <c r="Q60" s="2214"/>
    </row>
    <row r="61" s="1371" customFormat="1" ht="15" spans="1:29">
      <c r="A61" s="1677" t="s">
        <v>1143</v>
      </c>
      <c r="B61" s="1678"/>
      <c r="C61" s="1679" t="s">
        <v>1194</v>
      </c>
      <c r="D61" s="1680"/>
      <c r="E61" s="1680"/>
      <c r="F61" s="1680"/>
      <c r="G61" s="1680"/>
      <c r="H61" s="1680"/>
      <c r="I61" s="1680"/>
      <c r="J61" s="1680"/>
      <c r="K61" s="1680"/>
      <c r="L61" s="1681"/>
      <c r="M61" s="1682"/>
      <c r="N61" s="2219"/>
      <c r="O61" s="2219"/>
      <c r="P61" s="2220"/>
      <c r="Q61" s="2214"/>
    </row>
    <row r="62" s="1371" customFormat="1" ht="15.75" spans="1:29">
      <c r="A62" s="1677"/>
      <c r="B62" s="1678"/>
      <c r="C62" s="2116">
        <v>100</v>
      </c>
      <c r="D62" s="1686"/>
      <c r="E62" s="1686"/>
      <c r="F62" s="1686"/>
      <c r="G62" s="1686"/>
      <c r="H62" s="1686"/>
      <c r="I62" s="1686"/>
      <c r="J62" s="1686"/>
      <c r="K62" s="1686"/>
      <c r="L62" s="1686"/>
      <c r="M62" s="1687"/>
      <c r="N62" s="2219"/>
      <c r="O62" s="2219"/>
      <c r="P62" s="2218"/>
      <c r="Q62" s="2214"/>
    </row>
    <row r="63" spans="1:29">
      <c r="A63" s="1688" t="s">
        <v>1196</v>
      </c>
      <c r="B63" s="1689" t="s">
        <v>1147</v>
      </c>
      <c r="C63" s="1618">
        <f>C9</f>
        <v>0</v>
      </c>
      <c r="D63" s="1690"/>
      <c r="E63" s="1690"/>
      <c r="F63" s="1690"/>
      <c r="G63" s="1690"/>
      <c r="H63" s="1690"/>
      <c r="I63" s="1690"/>
      <c r="J63" s="1690"/>
      <c r="K63" s="1691"/>
      <c r="L63" s="1692"/>
      <c r="M63" s="1693"/>
      <c r="N63" s="2221"/>
      <c r="O63" s="2221"/>
      <c r="P63" s="2222"/>
      <c r="Q63" s="2214"/>
    </row>
    <row r="64" ht="15.75" spans="1:29">
      <c r="A64" s="1695"/>
      <c r="B64" s="1696"/>
      <c r="C64" s="1697">
        <v>100</v>
      </c>
      <c r="D64" s="1697"/>
      <c r="E64" s="1697"/>
      <c r="F64" s="1697"/>
      <c r="G64" s="1697"/>
      <c r="H64" s="1697"/>
      <c r="I64" s="1697"/>
      <c r="J64" s="1697"/>
      <c r="K64" s="1697"/>
      <c r="L64" s="1697"/>
      <c r="M64" s="1698"/>
      <c r="N64" s="2223"/>
      <c r="O64" s="2223"/>
      <c r="P64" s="2222"/>
      <c r="Q64" s="2214"/>
    </row>
    <row r="65" ht="27.75" spans="1:17">
      <c r="A65" s="1695"/>
      <c r="B65" s="1700" t="s">
        <v>1151</v>
      </c>
      <c r="C65" s="1753"/>
      <c r="D65" s="1753"/>
      <c r="E65" s="1753"/>
      <c r="F65" s="1753"/>
      <c r="G65" s="1753"/>
      <c r="H65" s="1753"/>
      <c r="I65" s="1753"/>
      <c r="J65" s="1753"/>
      <c r="K65" s="1753"/>
      <c r="L65" s="1753"/>
      <c r="M65" s="1753"/>
      <c r="N65" s="2223"/>
      <c r="O65" s="2223"/>
      <c r="P65" s="2222"/>
      <c r="Q65" s="2214"/>
    </row>
    <row r="66" ht="15.75" spans="1:17">
      <c r="A66" s="1695"/>
      <c r="B66" s="1705" t="s">
        <v>1199</v>
      </c>
      <c r="C66" s="1697"/>
      <c r="D66" s="1697"/>
      <c r="E66" s="1697"/>
      <c r="F66" s="1697"/>
      <c r="G66" s="1697"/>
      <c r="H66" s="1697"/>
      <c r="I66" s="1697"/>
      <c r="J66" s="1697"/>
      <c r="K66" s="1697"/>
      <c r="L66" s="1697"/>
      <c r="M66" s="1698"/>
      <c r="N66" s="2223"/>
      <c r="O66" s="2223"/>
      <c r="P66" s="2222"/>
      <c r="Q66" s="2214"/>
    </row>
    <row r="67" ht="15.75" spans="1:17">
      <c r="A67" s="1695"/>
      <c r="B67" s="1708" t="s">
        <v>1154</v>
      </c>
      <c r="C67" s="1709" t="str">
        <f>C68&amp;"（含）"&amp;"-"&amp;D68</f>
        <v>0（含）-0.5</v>
      </c>
      <c r="D67" s="1709" t="str">
        <f t="shared" ref="D67:L67" si="20">D68&amp;"（含）"&amp;"-"&amp;E68</f>
        <v>0.5（含）-1</v>
      </c>
      <c r="E67" s="1709" t="str">
        <f t="shared" si="20"/>
        <v>1（含）-1.5</v>
      </c>
      <c r="F67" s="1709" t="str">
        <f t="shared" si="20"/>
        <v>1.5（含）-2</v>
      </c>
      <c r="G67" s="1709" t="str">
        <f t="shared" si="20"/>
        <v>2（含）-</v>
      </c>
      <c r="H67" s="1709" t="str">
        <f t="shared" si="20"/>
        <v>（含）-</v>
      </c>
      <c r="I67" s="1709" t="str">
        <f t="shared" si="20"/>
        <v>（含）-</v>
      </c>
      <c r="J67" s="1709" t="str">
        <f t="shared" si="20"/>
        <v>（含）-</v>
      </c>
      <c r="K67" s="1709" t="str">
        <f t="shared" si="20"/>
        <v>（含）-</v>
      </c>
      <c r="L67" s="1709" t="str">
        <f t="shared" si="20"/>
        <v>（含）-</v>
      </c>
      <c r="M67" s="1710" t="str">
        <f>M68&amp;"（含）"&amp;"-"&amp;P68</f>
        <v>（含）-</v>
      </c>
      <c r="N67" s="2223"/>
      <c r="O67" s="2223"/>
      <c r="P67" s="2222"/>
      <c r="Q67" s="2214"/>
    </row>
    <row r="68" ht="15" spans="1:17">
      <c r="A68" s="1695"/>
      <c r="B68" s="1711"/>
      <c r="C68" s="1712">
        <v>0</v>
      </c>
      <c r="D68" s="1712">
        <v>0.5</v>
      </c>
      <c r="E68" s="1712">
        <v>1</v>
      </c>
      <c r="F68" s="1712">
        <v>1.5</v>
      </c>
      <c r="G68" s="1712">
        <v>2</v>
      </c>
      <c r="H68" s="1712"/>
      <c r="I68" s="1712"/>
      <c r="J68" s="1712"/>
      <c r="K68" s="1713"/>
      <c r="L68" s="1714"/>
      <c r="M68" s="1715"/>
      <c r="N68" s="2221"/>
      <c r="O68" s="2221"/>
      <c r="P68" s="2222"/>
      <c r="Q68" s="2214"/>
    </row>
    <row r="69" ht="15.75" spans="1:17">
      <c r="A69" s="1695"/>
      <c r="B69" s="1696"/>
      <c r="C69" s="1706">
        <v>100</v>
      </c>
      <c r="D69" s="1706">
        <f t="shared" ref="D69:M69" si="21">C69-$K11</f>
        <v>100</v>
      </c>
      <c r="E69" s="1706">
        <f t="shared" si="21"/>
        <v>100</v>
      </c>
      <c r="F69" s="1706">
        <f t="shared" si="21"/>
        <v>100</v>
      </c>
      <c r="G69" s="1706">
        <f t="shared" si="21"/>
        <v>100</v>
      </c>
      <c r="H69" s="1706">
        <f t="shared" si="21"/>
        <v>100</v>
      </c>
      <c r="I69" s="1706">
        <f t="shared" si="21"/>
        <v>100</v>
      </c>
      <c r="J69" s="1706">
        <f t="shared" si="21"/>
        <v>100</v>
      </c>
      <c r="K69" s="1706">
        <f t="shared" si="21"/>
        <v>100</v>
      </c>
      <c r="L69" s="1706">
        <f t="shared" si="21"/>
        <v>100</v>
      </c>
      <c r="M69" s="1707">
        <f t="shared" si="21"/>
        <v>100</v>
      </c>
      <c r="N69" s="2223"/>
      <c r="O69" s="2223"/>
      <c r="P69" s="2222"/>
      <c r="Q69" s="2214"/>
    </row>
    <row r="70" s="1373" customFormat="1" ht="15.75" spans="1:17">
      <c r="A70" s="1716"/>
      <c r="B70" s="1700">
        <f>B12</f>
        <v>111</v>
      </c>
      <c r="C70" s="1717"/>
      <c r="D70" s="1717"/>
      <c r="E70" s="1717"/>
      <c r="F70" s="1717"/>
      <c r="G70" s="1717"/>
      <c r="H70" s="1718"/>
      <c r="I70" s="1718"/>
      <c r="J70" s="1718"/>
      <c r="K70" s="1718"/>
      <c r="L70" s="1719"/>
      <c r="M70" s="1720"/>
      <c r="N70" s="2224"/>
      <c r="O70" s="2224"/>
      <c r="P70" s="2225"/>
      <c r="Q70" s="2226"/>
    </row>
    <row r="71" s="1373" customFormat="1" ht="15.75" spans="1:17">
      <c r="A71" s="1716"/>
      <c r="B71" s="1705"/>
      <c r="C71" s="1724"/>
      <c r="D71" s="1697"/>
      <c r="E71" s="1697"/>
      <c r="F71" s="1697"/>
      <c r="G71" s="1697"/>
      <c r="H71" s="1697"/>
      <c r="I71" s="1697"/>
      <c r="J71" s="1697"/>
      <c r="K71" s="1697"/>
      <c r="L71" s="1697"/>
      <c r="M71" s="1698"/>
      <c r="N71" s="2223"/>
      <c r="O71" s="2223"/>
      <c r="P71" s="2225"/>
      <c r="Q71" s="2226"/>
    </row>
    <row r="72" s="1373" customFormat="1" ht="15.75" spans="1:17">
      <c r="A72" s="1716"/>
      <c r="B72" s="1700">
        <f>B13</f>
        <v>111</v>
      </c>
      <c r="C72" s="1717"/>
      <c r="D72" s="1717"/>
      <c r="E72" s="1717"/>
      <c r="F72" s="1717"/>
      <c r="G72" s="1717"/>
      <c r="H72" s="1718"/>
      <c r="I72" s="1718"/>
      <c r="J72" s="1718"/>
      <c r="K72" s="1718"/>
      <c r="L72" s="1719"/>
      <c r="M72" s="1720"/>
      <c r="N72" s="2224"/>
      <c r="O72" s="2224"/>
      <c r="P72" s="2227"/>
      <c r="Q72" s="2228"/>
    </row>
    <row r="73" s="1373" customFormat="1" ht="15.75" spans="1:17">
      <c r="A73" s="1716"/>
      <c r="B73" s="1705"/>
      <c r="C73" s="1724"/>
      <c r="D73" s="1724"/>
      <c r="E73" s="1724"/>
      <c r="F73" s="1724"/>
      <c r="G73" s="1724"/>
      <c r="H73" s="1726"/>
      <c r="I73" s="1726"/>
      <c r="J73" s="1726"/>
      <c r="K73" s="1726"/>
      <c r="L73" s="1726"/>
      <c r="M73" s="1727"/>
      <c r="N73" s="2224"/>
      <c r="O73" s="2224"/>
      <c r="P73" s="2225"/>
      <c r="Q73" s="2226"/>
    </row>
    <row r="74" s="1373" customFormat="1" ht="15.75" spans="1:17">
      <c r="A74" s="1716"/>
      <c r="B74" s="1708">
        <f>B14</f>
        <v>111</v>
      </c>
      <c r="C74" s="1717"/>
      <c r="D74" s="1717"/>
      <c r="E74" s="1717"/>
      <c r="F74" s="1717"/>
      <c r="G74" s="1680"/>
      <c r="H74" s="1728"/>
      <c r="I74" s="1728"/>
      <c r="J74" s="1728"/>
      <c r="K74" s="1728"/>
      <c r="L74" s="1729"/>
      <c r="M74" s="1730"/>
      <c r="N74" s="2224"/>
      <c r="O74" s="2224"/>
      <c r="P74" s="2229"/>
      <c r="Q74" s="2226"/>
    </row>
    <row r="75" s="1373" customFormat="1" ht="15.75" spans="1:17">
      <c r="A75" s="1732"/>
      <c r="B75" s="1733"/>
      <c r="C75" s="1734"/>
      <c r="D75" s="1734"/>
      <c r="E75" s="1734"/>
      <c r="F75" s="1734"/>
      <c r="G75" s="1734"/>
      <c r="H75" s="1735"/>
      <c r="I75" s="1735"/>
      <c r="J75" s="1735"/>
      <c r="K75" s="1735"/>
      <c r="L75" s="1735"/>
      <c r="M75" s="1736"/>
      <c r="N75" s="2224"/>
      <c r="O75" s="2224"/>
      <c r="P75" s="2225"/>
      <c r="Q75" s="2226"/>
    </row>
    <row r="76" spans="1:17">
      <c r="A76" s="1688" t="s">
        <v>1155</v>
      </c>
      <c r="B76" s="1689" t="s">
        <v>1904</v>
      </c>
      <c r="C76" s="1737" t="s">
        <v>1200</v>
      </c>
      <c r="D76" s="1737" t="s">
        <v>1201</v>
      </c>
      <c r="E76" s="1737" t="s">
        <v>1202</v>
      </c>
      <c r="F76" s="1737" t="s">
        <v>1203</v>
      </c>
      <c r="G76" s="1737" t="s">
        <v>1204</v>
      </c>
      <c r="H76" s="1618"/>
      <c r="I76" s="1618"/>
      <c r="J76" s="1618"/>
      <c r="K76" s="1738"/>
      <c r="L76" s="1739"/>
      <c r="M76" s="1740"/>
      <c r="N76" s="2221"/>
      <c r="O76" s="2221"/>
      <c r="P76" s="2230"/>
      <c r="Q76" s="2214"/>
    </row>
    <row r="77" ht="15.75" spans="1:17">
      <c r="A77" s="1695"/>
      <c r="B77" s="1705"/>
      <c r="C77" s="1706">
        <v>100</v>
      </c>
      <c r="D77" s="1706">
        <f>C77-$K15</f>
        <v>100</v>
      </c>
      <c r="E77" s="1706">
        <f>D77-$K15</f>
        <v>100</v>
      </c>
      <c r="F77" s="1706">
        <f>E77-$K15</f>
        <v>100</v>
      </c>
      <c r="G77" s="1706">
        <f>F77-$K15</f>
        <v>100</v>
      </c>
      <c r="H77" s="1706"/>
      <c r="I77" s="1706"/>
      <c r="J77" s="1706"/>
      <c r="K77" s="1706"/>
      <c r="L77" s="1706"/>
      <c r="M77" s="1707"/>
      <c r="N77" s="2223"/>
      <c r="O77" s="2223"/>
      <c r="P77" s="2222"/>
      <c r="Q77" s="2214"/>
    </row>
    <row r="78" ht="15.75" spans="1:17">
      <c r="A78" s="1695"/>
      <c r="B78" s="1700" t="s">
        <v>1159</v>
      </c>
      <c r="C78" s="1742" t="s">
        <v>1200</v>
      </c>
      <c r="D78" s="1742" t="s">
        <v>1201</v>
      </c>
      <c r="E78" s="1742" t="s">
        <v>1202</v>
      </c>
      <c r="F78" s="1742" t="s">
        <v>1203</v>
      </c>
      <c r="G78" s="1742" t="s">
        <v>1204</v>
      </c>
      <c r="H78" s="1701"/>
      <c r="I78" s="1701"/>
      <c r="J78" s="1701"/>
      <c r="K78" s="1702"/>
      <c r="L78" s="1703"/>
      <c r="M78" s="1704"/>
      <c r="N78" s="2221"/>
      <c r="O78" s="2221"/>
      <c r="P78" s="2222"/>
      <c r="Q78" s="2214"/>
    </row>
    <row r="79" ht="15.75" spans="1:17">
      <c r="A79" s="1695"/>
      <c r="B79" s="1705"/>
      <c r="C79" s="1706">
        <v>100</v>
      </c>
      <c r="D79" s="1706">
        <f>C79-$K17</f>
        <v>100</v>
      </c>
      <c r="E79" s="1706">
        <f>D79-$K17</f>
        <v>100</v>
      </c>
      <c r="F79" s="1706">
        <f>E79-$K17</f>
        <v>100</v>
      </c>
      <c r="G79" s="1706">
        <f>F79-$K17</f>
        <v>100</v>
      </c>
      <c r="H79" s="1706"/>
      <c r="I79" s="1706"/>
      <c r="J79" s="1706"/>
      <c r="K79" s="1706"/>
      <c r="L79" s="1706"/>
      <c r="M79" s="1707"/>
      <c r="N79" s="2223"/>
      <c r="O79" s="2223"/>
      <c r="P79" s="2222"/>
      <c r="Q79" s="2214"/>
    </row>
    <row r="80" ht="15.75" spans="1:17">
      <c r="A80" s="1695"/>
      <c r="B80" s="1700" t="s">
        <v>1160</v>
      </c>
      <c r="C80" s="1742" t="s">
        <v>1200</v>
      </c>
      <c r="D80" s="1742" t="s">
        <v>1201</v>
      </c>
      <c r="E80" s="1742" t="s">
        <v>1202</v>
      </c>
      <c r="F80" s="1742" t="s">
        <v>1203</v>
      </c>
      <c r="G80" s="1742" t="s">
        <v>1204</v>
      </c>
      <c r="H80" s="1701"/>
      <c r="I80" s="1701"/>
      <c r="J80" s="1701"/>
      <c r="K80" s="1702"/>
      <c r="L80" s="1703"/>
      <c r="M80" s="1704"/>
      <c r="N80" s="2221"/>
      <c r="O80" s="2221"/>
      <c r="P80" s="2222"/>
      <c r="Q80" s="2214"/>
    </row>
    <row r="81" ht="15.75" spans="1:17">
      <c r="A81" s="1695"/>
      <c r="B81" s="1705"/>
      <c r="C81" s="1706">
        <v>100</v>
      </c>
      <c r="D81" s="1706">
        <f>C81-$K19</f>
        <v>100</v>
      </c>
      <c r="E81" s="1706">
        <f>D81-$K19</f>
        <v>100</v>
      </c>
      <c r="F81" s="1706">
        <f>E81-$K19</f>
        <v>100</v>
      </c>
      <c r="G81" s="1706">
        <f>F81-$K19</f>
        <v>100</v>
      </c>
      <c r="H81" s="1706"/>
      <c r="I81" s="1706"/>
      <c r="J81" s="1706"/>
      <c r="K81" s="1706"/>
      <c r="L81" s="1706"/>
      <c r="M81" s="1707"/>
      <c r="N81" s="2223"/>
      <c r="O81" s="2223"/>
      <c r="P81" s="2222"/>
      <c r="Q81" s="2214"/>
    </row>
    <row r="82" ht="15.75" spans="1:17">
      <c r="A82" s="1695"/>
      <c r="B82" s="1708" t="s">
        <v>1162</v>
      </c>
      <c r="C82" s="1701" t="s">
        <v>1205</v>
      </c>
      <c r="D82" s="1701" t="s">
        <v>1206</v>
      </c>
      <c r="E82" s="1701" t="s">
        <v>1207</v>
      </c>
      <c r="F82" s="1701" t="s">
        <v>1208</v>
      </c>
      <c r="G82" s="1701" t="s">
        <v>1209</v>
      </c>
      <c r="H82" s="1701"/>
      <c r="I82" s="1701"/>
      <c r="J82" s="1701"/>
      <c r="K82" s="1701"/>
      <c r="L82" s="1701"/>
      <c r="M82" s="1999"/>
      <c r="N82" s="2223"/>
      <c r="O82" s="2223"/>
      <c r="P82" s="2222"/>
      <c r="Q82" s="2214"/>
    </row>
    <row r="83" ht="15.75" spans="1:17">
      <c r="A83" s="1695"/>
      <c r="B83" s="1708"/>
      <c r="C83" s="1518">
        <v>100</v>
      </c>
      <c r="D83" s="1518">
        <f>C83-$K21</f>
        <v>100</v>
      </c>
      <c r="E83" s="1518">
        <f t="shared" ref="E83:G83" si="22">D83-$K21</f>
        <v>100</v>
      </c>
      <c r="F83" s="1518">
        <f t="shared" si="22"/>
        <v>100</v>
      </c>
      <c r="G83" s="1518">
        <f t="shared" si="22"/>
        <v>100</v>
      </c>
      <c r="H83" s="1518"/>
      <c r="I83" s="1518"/>
      <c r="J83" s="1518"/>
      <c r="K83" s="1518"/>
      <c r="L83" s="1518"/>
      <c r="M83" s="1948"/>
      <c r="N83" s="2223"/>
      <c r="O83" s="2223"/>
      <c r="P83" s="2222"/>
      <c r="Q83" s="2214"/>
    </row>
    <row r="84" ht="15.75" spans="1:17">
      <c r="A84" s="1695"/>
      <c r="B84" s="1700" t="s">
        <v>1905</v>
      </c>
      <c r="C84" s="1742" t="s">
        <v>1200</v>
      </c>
      <c r="D84" s="1742" t="s">
        <v>1201</v>
      </c>
      <c r="E84" s="1742" t="s">
        <v>1202</v>
      </c>
      <c r="F84" s="1742" t="s">
        <v>1203</v>
      </c>
      <c r="G84" s="1742" t="s">
        <v>1204</v>
      </c>
      <c r="H84" s="1701"/>
      <c r="I84" s="1701"/>
      <c r="J84" s="1701"/>
      <c r="K84" s="1702"/>
      <c r="L84" s="1703"/>
      <c r="M84" s="1704"/>
      <c r="N84" s="2221"/>
      <c r="O84" s="2221"/>
      <c r="P84" s="2222"/>
      <c r="Q84" s="2214"/>
    </row>
    <row r="85" ht="15.75" spans="1:17">
      <c r="A85" s="1695"/>
      <c r="B85" s="1705"/>
      <c r="C85" s="1706">
        <v>100</v>
      </c>
      <c r="D85" s="1706">
        <f>C85-$K23</f>
        <v>100</v>
      </c>
      <c r="E85" s="1706">
        <f>D85-$K23</f>
        <v>100</v>
      </c>
      <c r="F85" s="1706">
        <f>E85-$K23</f>
        <v>100</v>
      </c>
      <c r="G85" s="1706">
        <f>F85-$K23</f>
        <v>100</v>
      </c>
      <c r="H85" s="1706"/>
      <c r="I85" s="1706"/>
      <c r="J85" s="1706"/>
      <c r="K85" s="1706"/>
      <c r="L85" s="1706"/>
      <c r="M85" s="1707"/>
      <c r="N85" s="2223"/>
      <c r="O85" s="2223"/>
      <c r="P85" s="2222"/>
      <c r="Q85" s="2214"/>
    </row>
    <row r="86" s="1371" customFormat="1" ht="15.75" spans="1:17">
      <c r="A86" s="1743"/>
      <c r="B86" s="1700" t="s">
        <v>1906</v>
      </c>
      <c r="C86" s="1717"/>
      <c r="D86" s="1717"/>
      <c r="E86" s="1717"/>
      <c r="F86" s="1717"/>
      <c r="G86" s="1717"/>
      <c r="H86" s="1717"/>
      <c r="I86" s="1717"/>
      <c r="J86" s="1717"/>
      <c r="K86" s="1717"/>
      <c r="L86" s="2000"/>
      <c r="M86" s="2001"/>
      <c r="N86" s="2219"/>
      <c r="O86" s="2219"/>
      <c r="P86" s="2222"/>
      <c r="Q86" s="2214"/>
    </row>
    <row r="87" s="1371" customFormat="1" ht="15.75" spans="1:17">
      <c r="A87" s="1743"/>
      <c r="B87" s="1705"/>
      <c r="C87" s="1746">
        <v>100</v>
      </c>
      <c r="D87" s="1706">
        <f t="shared" ref="D87:M87" si="23">$C$87-($C$86-D86)*$K$25</f>
        <v>100</v>
      </c>
      <c r="E87" s="1706">
        <f t="shared" si="23"/>
        <v>100</v>
      </c>
      <c r="F87" s="1706">
        <f t="shared" si="23"/>
        <v>100</v>
      </c>
      <c r="G87" s="1706">
        <f t="shared" si="23"/>
        <v>100</v>
      </c>
      <c r="H87" s="1706">
        <f t="shared" si="23"/>
        <v>100</v>
      </c>
      <c r="I87" s="1706">
        <f t="shared" si="23"/>
        <v>100</v>
      </c>
      <c r="J87" s="1706">
        <f t="shared" si="23"/>
        <v>100</v>
      </c>
      <c r="K87" s="1706">
        <f t="shared" si="23"/>
        <v>100</v>
      </c>
      <c r="L87" s="1706">
        <f t="shared" si="23"/>
        <v>100</v>
      </c>
      <c r="M87" s="1706">
        <f t="shared" si="23"/>
        <v>100</v>
      </c>
      <c r="N87" s="2223"/>
      <c r="O87" s="2223"/>
      <c r="P87" s="2222"/>
      <c r="Q87" s="2214"/>
    </row>
    <row r="88" s="1371" customFormat="1" ht="15.75" spans="1:17">
      <c r="A88" s="1743"/>
      <c r="B88" s="1700" t="s">
        <v>1907</v>
      </c>
      <c r="C88" s="1717"/>
      <c r="D88" s="1717"/>
      <c r="E88" s="1717"/>
      <c r="F88" s="2118"/>
      <c r="G88" s="1717"/>
      <c r="H88" s="1717"/>
      <c r="I88" s="1717"/>
      <c r="J88" s="1717"/>
      <c r="K88" s="1717"/>
      <c r="L88" s="1717"/>
      <c r="M88" s="2001"/>
      <c r="N88" s="2219"/>
      <c r="O88" s="2219"/>
      <c r="P88" s="2222"/>
      <c r="Q88" s="2214"/>
    </row>
    <row r="89" s="1371" customFormat="1" ht="15.75" spans="1:17">
      <c r="A89" s="1743"/>
      <c r="B89" s="1705"/>
      <c r="C89" s="1746">
        <v>100</v>
      </c>
      <c r="D89" s="1706">
        <f t="shared" ref="D89:M89" si="24">C89-$K26</f>
        <v>100</v>
      </c>
      <c r="E89" s="1706">
        <f t="shared" si="24"/>
        <v>100</v>
      </c>
      <c r="F89" s="1706">
        <f t="shared" si="24"/>
        <v>100</v>
      </c>
      <c r="G89" s="1706">
        <f t="shared" si="24"/>
        <v>100</v>
      </c>
      <c r="H89" s="1706">
        <f t="shared" si="24"/>
        <v>100</v>
      </c>
      <c r="I89" s="1706">
        <f t="shared" si="24"/>
        <v>100</v>
      </c>
      <c r="J89" s="1706">
        <f t="shared" si="24"/>
        <v>100</v>
      </c>
      <c r="K89" s="1706">
        <f t="shared" si="24"/>
        <v>100</v>
      </c>
      <c r="L89" s="1706">
        <f t="shared" si="24"/>
        <v>100</v>
      </c>
      <c r="M89" s="1706">
        <f t="shared" si="24"/>
        <v>100</v>
      </c>
      <c r="N89" s="2223"/>
      <c r="O89" s="2223"/>
      <c r="P89" s="2222"/>
      <c r="Q89" s="2214"/>
    </row>
    <row r="90" s="1373" customFormat="1" ht="15.75" spans="1:17">
      <c r="A90" s="1716"/>
      <c r="B90" s="1700">
        <f>B27</f>
        <v>111</v>
      </c>
      <c r="C90" s="1717"/>
      <c r="D90" s="1717"/>
      <c r="E90" s="1717"/>
      <c r="F90" s="1717"/>
      <c r="G90" s="1717"/>
      <c r="H90" s="1718"/>
      <c r="I90" s="1718"/>
      <c r="J90" s="1718"/>
      <c r="K90" s="1718"/>
      <c r="L90" s="1719"/>
      <c r="M90" s="1720"/>
      <c r="N90" s="2224"/>
      <c r="O90" s="2224"/>
      <c r="P90" s="2225"/>
      <c r="Q90" s="2226"/>
    </row>
    <row r="91" s="1373" customFormat="1" ht="15.75" spans="1:17">
      <c r="A91" s="1716"/>
      <c r="B91" s="1705"/>
      <c r="C91" s="1724"/>
      <c r="D91" s="1724"/>
      <c r="E91" s="1724"/>
      <c r="F91" s="1724"/>
      <c r="G91" s="1724"/>
      <c r="H91" s="1726"/>
      <c r="I91" s="1726"/>
      <c r="J91" s="1726"/>
      <c r="K91" s="1726"/>
      <c r="L91" s="1726"/>
      <c r="M91" s="1727"/>
      <c r="N91" s="2224"/>
      <c r="O91" s="2224"/>
      <c r="P91" s="2225"/>
      <c r="Q91" s="2226"/>
    </row>
    <row r="92" ht="15.75" spans="1:17">
      <c r="A92" s="1695"/>
      <c r="B92" s="1700">
        <f>B28</f>
        <v>111</v>
      </c>
      <c r="C92" s="1717"/>
      <c r="D92" s="1717"/>
      <c r="E92" s="1717"/>
      <c r="F92" s="1717"/>
      <c r="G92" s="1753"/>
      <c r="H92" s="1753"/>
      <c r="I92" s="1753"/>
      <c r="J92" s="1753"/>
      <c r="K92" s="1754"/>
      <c r="L92" s="1755"/>
      <c r="M92" s="1756"/>
      <c r="N92" s="2221"/>
      <c r="O92" s="2221"/>
      <c r="P92" s="2222"/>
      <c r="Q92" s="2214"/>
    </row>
    <row r="93" ht="15.75" spans="1:17">
      <c r="A93" s="1695"/>
      <c r="B93" s="1705"/>
      <c r="C93" s="1724"/>
      <c r="D93" s="1697"/>
      <c r="E93" s="1697"/>
      <c r="F93" s="1697"/>
      <c r="G93" s="1697"/>
      <c r="H93" s="1697"/>
      <c r="I93" s="1697"/>
      <c r="J93" s="1697"/>
      <c r="K93" s="1697"/>
      <c r="L93" s="1697"/>
      <c r="M93" s="1698"/>
      <c r="N93" s="2223"/>
      <c r="O93" s="2223"/>
      <c r="P93" s="2222"/>
      <c r="Q93" s="2214"/>
    </row>
    <row r="94" ht="15.75" spans="1:17">
      <c r="A94" s="1695"/>
      <c r="B94" s="1700">
        <f>B29</f>
        <v>111</v>
      </c>
      <c r="C94" s="1717"/>
      <c r="D94" s="1717"/>
      <c r="E94" s="1717"/>
      <c r="F94" s="1717"/>
      <c r="G94" s="1753"/>
      <c r="H94" s="1753"/>
      <c r="I94" s="1753"/>
      <c r="J94" s="1753"/>
      <c r="K94" s="1754"/>
      <c r="L94" s="1755"/>
      <c r="M94" s="1756"/>
      <c r="N94" s="2221"/>
      <c r="O94" s="2221"/>
      <c r="P94" s="2222"/>
      <c r="Q94" s="2214"/>
    </row>
    <row r="95" ht="15.75" spans="1:17">
      <c r="A95" s="1695"/>
      <c r="B95" s="1705"/>
      <c r="C95" s="1724"/>
      <c r="D95" s="1724"/>
      <c r="E95" s="1724"/>
      <c r="F95" s="1724"/>
      <c r="G95" s="1697"/>
      <c r="H95" s="1697"/>
      <c r="I95" s="1697"/>
      <c r="J95" s="1697"/>
      <c r="K95" s="1697"/>
      <c r="L95" s="1697"/>
      <c r="M95" s="1698"/>
      <c r="N95" s="2223"/>
      <c r="O95" s="2223"/>
      <c r="P95" s="2222"/>
      <c r="Q95" s="2214"/>
    </row>
    <row r="96" ht="15.75" spans="1:17">
      <c r="A96" s="1695"/>
      <c r="B96" s="1700">
        <f>B30</f>
        <v>111</v>
      </c>
      <c r="C96" s="1717"/>
      <c r="D96" s="1717"/>
      <c r="E96" s="1717"/>
      <c r="F96" s="1717"/>
      <c r="G96" s="1753"/>
      <c r="H96" s="1753"/>
      <c r="I96" s="1753"/>
      <c r="J96" s="1753"/>
      <c r="K96" s="1754"/>
      <c r="L96" s="1755"/>
      <c r="M96" s="1756"/>
      <c r="N96" s="2221"/>
      <c r="O96" s="2221"/>
      <c r="P96" s="2222"/>
      <c r="Q96" s="2214"/>
    </row>
    <row r="97" ht="15.75" spans="1:17">
      <c r="A97" s="1695"/>
      <c r="B97" s="1705"/>
      <c r="C97" s="1734"/>
      <c r="D97" s="1734"/>
      <c r="E97" s="1734"/>
      <c r="F97" s="1734"/>
      <c r="G97" s="1697"/>
      <c r="H97" s="1697"/>
      <c r="I97" s="1697"/>
      <c r="J97" s="1697"/>
      <c r="K97" s="1697"/>
      <c r="L97" s="1697"/>
      <c r="M97" s="1698"/>
      <c r="N97" s="2223"/>
      <c r="O97" s="2223"/>
      <c r="P97" s="2222"/>
      <c r="Q97" s="2214"/>
    </row>
    <row r="98" ht="15.75" spans="1:17">
      <c r="A98" s="1695"/>
      <c r="B98" s="1708">
        <f>B31</f>
        <v>111</v>
      </c>
      <c r="C98" s="1757"/>
      <c r="D98" s="1757"/>
      <c r="E98" s="1757"/>
      <c r="F98" s="1757"/>
      <c r="G98" s="1757"/>
      <c r="H98" s="1757"/>
      <c r="I98" s="1757"/>
      <c r="J98" s="1757"/>
      <c r="K98" s="1758"/>
      <c r="L98" s="1759"/>
      <c r="M98" s="1760"/>
      <c r="N98" s="2221"/>
      <c r="O98" s="2221"/>
      <c r="P98" s="2222"/>
      <c r="Q98" s="2214"/>
    </row>
    <row r="99" ht="15.75" spans="1:17">
      <c r="A99" s="2085"/>
      <c r="B99" s="1733"/>
      <c r="C99" s="1761"/>
      <c r="D99" s="1761"/>
      <c r="E99" s="1761"/>
      <c r="F99" s="1761"/>
      <c r="G99" s="1761"/>
      <c r="H99" s="1761"/>
      <c r="I99" s="1761"/>
      <c r="J99" s="1761"/>
      <c r="K99" s="1761"/>
      <c r="L99" s="1761"/>
      <c r="M99" s="1762"/>
      <c r="N99" s="2223"/>
      <c r="O99" s="2223"/>
      <c r="P99" s="2222"/>
      <c r="Q99" s="2214"/>
    </row>
    <row r="100" spans="1:17">
      <c r="A100" s="1688" t="s">
        <v>1166</v>
      </c>
      <c r="B100" s="1689" t="s">
        <v>1167</v>
      </c>
      <c r="C100" s="1690"/>
      <c r="D100" s="1690"/>
      <c r="E100" s="1690"/>
      <c r="F100" s="1690"/>
      <c r="G100" s="1690"/>
      <c r="H100" s="1690"/>
      <c r="I100" s="1690"/>
      <c r="J100" s="1690"/>
      <c r="K100" s="1691"/>
      <c r="L100" s="1692"/>
      <c r="M100" s="1693"/>
      <c r="N100" s="2221"/>
      <c r="O100" s="2221"/>
      <c r="P100" s="2222"/>
      <c r="Q100" s="2214"/>
    </row>
    <row r="101" ht="15.75" spans="1:17">
      <c r="A101" s="1695"/>
      <c r="B101" s="1705"/>
      <c r="C101" s="1706">
        <v>100</v>
      </c>
      <c r="D101" s="1706">
        <f t="shared" ref="D101:M101" si="25">C101-$K32</f>
        <v>100</v>
      </c>
      <c r="E101" s="1706">
        <f t="shared" si="25"/>
        <v>100</v>
      </c>
      <c r="F101" s="1706">
        <f t="shared" si="25"/>
        <v>100</v>
      </c>
      <c r="G101" s="1706">
        <f t="shared" si="25"/>
        <v>100</v>
      </c>
      <c r="H101" s="1706">
        <f t="shared" si="25"/>
        <v>100</v>
      </c>
      <c r="I101" s="1706">
        <f t="shared" si="25"/>
        <v>100</v>
      </c>
      <c r="J101" s="1706">
        <f t="shared" si="25"/>
        <v>100</v>
      </c>
      <c r="K101" s="1706">
        <f t="shared" si="25"/>
        <v>100</v>
      </c>
      <c r="L101" s="1706">
        <f t="shared" si="25"/>
        <v>100</v>
      </c>
      <c r="M101" s="1706">
        <f t="shared" si="25"/>
        <v>100</v>
      </c>
      <c r="N101" s="2223"/>
      <c r="O101" s="2223"/>
      <c r="P101" s="2222"/>
      <c r="Q101" s="2214"/>
    </row>
    <row r="102" ht="15.75" spans="1:17">
      <c r="A102" s="1695"/>
      <c r="B102" s="1700" t="s">
        <v>1170</v>
      </c>
      <c r="C102" s="1742" t="str">
        <f>C103&amp;"(含)"&amp;"-"&amp;D103</f>
        <v>(含)-</v>
      </c>
      <c r="D102" s="1742" t="str">
        <f t="shared" ref="D102:L102" si="26">D103&amp;"(含)"&amp;"-"&amp;E103</f>
        <v>(含)-</v>
      </c>
      <c r="E102" s="1742" t="str">
        <f t="shared" si="26"/>
        <v>(含)-</v>
      </c>
      <c r="F102" s="1742" t="str">
        <f t="shared" si="26"/>
        <v>(含)-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219"/>
      <c r="O102" s="2219"/>
      <c r="P102" s="2222"/>
      <c r="Q102" s="2214"/>
    </row>
    <row r="103" s="1373" customFormat="1" ht="15" spans="1:17">
      <c r="A103" s="1764"/>
      <c r="B103" s="1765"/>
      <c r="C103" s="1667"/>
      <c r="D103" s="1667"/>
      <c r="E103" s="1667"/>
      <c r="F103" s="1667"/>
      <c r="G103" s="1667"/>
      <c r="H103" s="1667"/>
      <c r="I103" s="1667"/>
      <c r="J103" s="1766"/>
      <c r="K103" s="1766"/>
      <c r="L103" s="1767"/>
      <c r="M103" s="1768"/>
      <c r="N103" s="2224"/>
      <c r="O103" s="2224"/>
      <c r="P103" s="2225"/>
      <c r="Q103" s="2226"/>
    </row>
    <row r="104" s="1373" customFormat="1" ht="15.75" spans="1:17">
      <c r="A104" s="1716"/>
      <c r="B104" s="1705"/>
      <c r="C104" s="1724"/>
      <c r="D104" s="1697"/>
      <c r="E104" s="1697"/>
      <c r="F104" s="1697"/>
      <c r="G104" s="1697"/>
      <c r="H104" s="1697"/>
      <c r="I104" s="1697"/>
      <c r="J104" s="1697"/>
      <c r="K104" s="1697"/>
      <c r="L104" s="1697"/>
      <c r="M104" s="1697"/>
      <c r="N104" s="2223"/>
      <c r="O104" s="2223"/>
      <c r="P104" s="2225"/>
      <c r="Q104" s="2226"/>
    </row>
    <row r="105" ht="15.75" spans="1:17">
      <c r="A105" s="1773"/>
      <c r="B105" s="1700" t="s">
        <v>1171</v>
      </c>
      <c r="C105" s="1717"/>
      <c r="D105" s="1717"/>
      <c r="E105" s="1753"/>
      <c r="F105" s="1753"/>
      <c r="G105" s="1753"/>
      <c r="H105" s="1753"/>
      <c r="I105" s="1753"/>
      <c r="J105" s="1753"/>
      <c r="K105" s="1754"/>
      <c r="L105" s="1755"/>
      <c r="M105" s="1756"/>
      <c r="N105" s="2221"/>
      <c r="O105" s="2221"/>
      <c r="P105" s="2222"/>
      <c r="Q105" s="2214"/>
    </row>
    <row r="106" ht="15.75" spans="1:17">
      <c r="A106" s="1695"/>
      <c r="B106" s="1705"/>
      <c r="C106" s="1706">
        <v>100</v>
      </c>
      <c r="D106" s="1706">
        <f t="shared" ref="D106:M106" si="27">C106-$K34</f>
        <v>100</v>
      </c>
      <c r="E106" s="1706">
        <f t="shared" si="27"/>
        <v>100</v>
      </c>
      <c r="F106" s="1706">
        <f t="shared" si="27"/>
        <v>100</v>
      </c>
      <c r="G106" s="1706">
        <f t="shared" si="27"/>
        <v>100</v>
      </c>
      <c r="H106" s="1706">
        <f t="shared" si="27"/>
        <v>100</v>
      </c>
      <c r="I106" s="1706">
        <f t="shared" si="27"/>
        <v>100</v>
      </c>
      <c r="J106" s="1706">
        <f t="shared" si="27"/>
        <v>100</v>
      </c>
      <c r="K106" s="1706">
        <f t="shared" si="27"/>
        <v>100</v>
      </c>
      <c r="L106" s="1706">
        <f t="shared" si="27"/>
        <v>100</v>
      </c>
      <c r="M106" s="1706">
        <f t="shared" si="27"/>
        <v>100</v>
      </c>
      <c r="N106" s="2223"/>
      <c r="O106" s="2223"/>
      <c r="P106" s="2222"/>
      <c r="Q106" s="2214"/>
    </row>
    <row r="107" ht="15.75" spans="1:17">
      <c r="A107" s="1773"/>
      <c r="B107" s="1700" t="s">
        <v>1908</v>
      </c>
      <c r="C107" s="1753"/>
      <c r="D107" s="1753"/>
      <c r="E107" s="1753"/>
      <c r="F107" s="1753"/>
      <c r="G107" s="1753"/>
      <c r="H107" s="1753"/>
      <c r="I107" s="1753"/>
      <c r="J107" s="1753"/>
      <c r="K107" s="1754"/>
      <c r="L107" s="1755"/>
      <c r="M107" s="1756"/>
      <c r="N107" s="2221"/>
      <c r="O107" s="2221"/>
      <c r="P107" s="2222"/>
      <c r="Q107" s="2214"/>
    </row>
    <row r="108" ht="15.75" spans="1:17">
      <c r="A108" s="1695"/>
      <c r="B108" s="1705"/>
      <c r="C108" s="1706">
        <v>100</v>
      </c>
      <c r="D108" s="1706">
        <f t="shared" ref="D108:M108" si="28">C108-$K35</f>
        <v>100</v>
      </c>
      <c r="E108" s="1706">
        <f t="shared" si="28"/>
        <v>100</v>
      </c>
      <c r="F108" s="1706">
        <f t="shared" si="28"/>
        <v>100</v>
      </c>
      <c r="G108" s="1706">
        <f t="shared" si="28"/>
        <v>100</v>
      </c>
      <c r="H108" s="1706">
        <f t="shared" si="28"/>
        <v>100</v>
      </c>
      <c r="I108" s="1706">
        <f t="shared" si="28"/>
        <v>100</v>
      </c>
      <c r="J108" s="1706">
        <f t="shared" si="28"/>
        <v>100</v>
      </c>
      <c r="K108" s="1706">
        <f t="shared" si="28"/>
        <v>100</v>
      </c>
      <c r="L108" s="1706">
        <f t="shared" si="28"/>
        <v>100</v>
      </c>
      <c r="M108" s="1706">
        <f t="shared" si="28"/>
        <v>100</v>
      </c>
      <c r="N108" s="2223"/>
      <c r="O108" s="2223"/>
      <c r="P108" s="2222"/>
      <c r="Q108" s="2214"/>
    </row>
    <row r="109" ht="15.75" spans="1:17">
      <c r="A109" s="1773"/>
      <c r="B109" s="1700" t="s">
        <v>1173</v>
      </c>
      <c r="C109" s="1717"/>
      <c r="D109" s="1717"/>
      <c r="E109" s="1717"/>
      <c r="F109" s="1753"/>
      <c r="G109" s="1753"/>
      <c r="H109" s="1753"/>
      <c r="I109" s="1753"/>
      <c r="J109" s="1753"/>
      <c r="K109" s="1754"/>
      <c r="L109" s="1755"/>
      <c r="M109" s="1756"/>
      <c r="N109" s="2221"/>
      <c r="O109" s="2221"/>
      <c r="P109" s="2222"/>
      <c r="Q109" s="2214"/>
    </row>
    <row r="110" ht="15.75" spans="1:17">
      <c r="A110" s="1695"/>
      <c r="B110" s="1705"/>
      <c r="C110" s="1706">
        <v>100</v>
      </c>
      <c r="D110" s="1706">
        <f t="shared" ref="D110:M110" si="29">C110-$K36</f>
        <v>100</v>
      </c>
      <c r="E110" s="1706">
        <f t="shared" si="29"/>
        <v>100</v>
      </c>
      <c r="F110" s="1706">
        <f t="shared" si="29"/>
        <v>100</v>
      </c>
      <c r="G110" s="1706">
        <f t="shared" si="29"/>
        <v>100</v>
      </c>
      <c r="H110" s="1706">
        <f t="shared" si="29"/>
        <v>100</v>
      </c>
      <c r="I110" s="1706">
        <f t="shared" si="29"/>
        <v>100</v>
      </c>
      <c r="J110" s="1706">
        <f t="shared" si="29"/>
        <v>100</v>
      </c>
      <c r="K110" s="1706">
        <f t="shared" si="29"/>
        <v>100</v>
      </c>
      <c r="L110" s="1706">
        <f t="shared" si="29"/>
        <v>100</v>
      </c>
      <c r="M110" s="1706">
        <f t="shared" si="29"/>
        <v>100</v>
      </c>
      <c r="N110" s="2223"/>
      <c r="O110" s="2223"/>
      <c r="P110" s="2222"/>
      <c r="Q110" s="2214"/>
    </row>
    <row r="111" s="1373" customFormat="1" ht="15.75" spans="1:17">
      <c r="A111" s="1764"/>
      <c r="B111" s="1700" t="s">
        <v>716</v>
      </c>
      <c r="C111" s="1742" t="str">
        <f>C112&amp;"(含)"&amp;"-"&amp;D112</f>
        <v>0.5(含)-0.55</v>
      </c>
      <c r="D111" s="1742" t="str">
        <f>D112&amp;"(含)"&amp;"-"&amp;E112</f>
        <v>0.55(含)-0.6</v>
      </c>
      <c r="E111" s="1742" t="str">
        <f>E112&amp;"(含)"&amp;"-"&amp;F112</f>
        <v>0.6(含)-0.65</v>
      </c>
      <c r="F111" s="1742" t="str">
        <f>F112&amp;"(含)"&amp;"-"&amp;G112</f>
        <v>0.65(含)-0.7</v>
      </c>
      <c r="G111" s="1742" t="str">
        <f t="shared" ref="G111:K111" si="30">G112&amp;"(含)"&amp;"-"&amp;H112</f>
        <v>0.7(含)-0.75</v>
      </c>
      <c r="H111" s="1742" t="str">
        <f t="shared" si="30"/>
        <v>0.75(含)-0.8</v>
      </c>
      <c r="I111" s="1742" t="str">
        <f t="shared" si="30"/>
        <v>0.8(含)-0.85</v>
      </c>
      <c r="J111" s="1742" t="str">
        <f t="shared" si="30"/>
        <v>0.85(含)-0.9</v>
      </c>
      <c r="K111" s="1742" t="str">
        <f t="shared" si="30"/>
        <v>0.9(含)-0.95</v>
      </c>
      <c r="L111" s="1742" t="str">
        <f t="shared" ref="L111" si="31">L112&amp;"(含)"&amp;"-"&amp;ROUND(M112,0)&amp;"(含)"</f>
        <v>0.95(含)-1(含)</v>
      </c>
      <c r="M111" s="1742"/>
      <c r="N111" s="2224"/>
      <c r="O111" s="2224"/>
      <c r="P111" s="2225"/>
      <c r="Q111" s="2226"/>
    </row>
    <row r="112" s="1373" customFormat="1" ht="15" spans="1:17">
      <c r="A112" s="1764"/>
      <c r="B112" s="1708"/>
      <c r="C112" s="1188">
        <v>0.5</v>
      </c>
      <c r="D112" s="1188">
        <v>0.55</v>
      </c>
      <c r="E112" s="1188">
        <v>0.6</v>
      </c>
      <c r="F112" s="1188">
        <v>0.65</v>
      </c>
      <c r="G112" s="1188">
        <v>0.7</v>
      </c>
      <c r="H112" s="1188">
        <v>0.75</v>
      </c>
      <c r="I112" s="1188">
        <v>0.8</v>
      </c>
      <c r="J112" s="1188">
        <v>0.85</v>
      </c>
      <c r="K112" s="1188">
        <v>0.9</v>
      </c>
      <c r="L112" s="1188">
        <v>0.95</v>
      </c>
      <c r="M112" s="1188">
        <v>1.0001</v>
      </c>
      <c r="N112" s="2224"/>
      <c r="O112" s="2224"/>
      <c r="P112" s="2225"/>
      <c r="Q112" s="2226"/>
    </row>
    <row r="113" s="1373" customFormat="1" ht="15.75" spans="1:17">
      <c r="A113" s="1716"/>
      <c r="B113" s="1705"/>
      <c r="C113" s="1746">
        <v>100</v>
      </c>
      <c r="D113" s="1706">
        <f>C113+$K37</f>
        <v>100</v>
      </c>
      <c r="E113" s="1706">
        <f>D113+$K37</f>
        <v>100</v>
      </c>
      <c r="F113" s="1706">
        <f>E113+$K37</f>
        <v>100</v>
      </c>
      <c r="G113" s="1706">
        <f>F113+$K37</f>
        <v>100</v>
      </c>
      <c r="H113" s="1706">
        <f>G113+$K37</f>
        <v>100</v>
      </c>
      <c r="I113" s="1706">
        <f t="shared" ref="I113:M113" si="32">H113+$K37</f>
        <v>100</v>
      </c>
      <c r="J113" s="1706">
        <f t="shared" si="32"/>
        <v>100</v>
      </c>
      <c r="K113" s="1706">
        <f t="shared" si="32"/>
        <v>100</v>
      </c>
      <c r="L113" s="1706">
        <f t="shared" si="32"/>
        <v>100</v>
      </c>
      <c r="M113" s="1706">
        <f t="shared" si="32"/>
        <v>100</v>
      </c>
      <c r="N113" s="2224"/>
      <c r="O113" s="2224"/>
      <c r="P113" s="2225"/>
      <c r="Q113" s="2226"/>
    </row>
    <row r="114" ht="15.75" spans="1:17">
      <c r="A114" s="1773"/>
      <c r="B114" s="1700" t="s">
        <v>1175</v>
      </c>
      <c r="C114" s="1717"/>
      <c r="D114" s="1717"/>
      <c r="E114" s="1753"/>
      <c r="F114" s="1753"/>
      <c r="G114" s="1753"/>
      <c r="H114" s="1753"/>
      <c r="I114" s="1753"/>
      <c r="J114" s="1753"/>
      <c r="K114" s="1754"/>
      <c r="L114" s="1755"/>
      <c r="M114" s="1756"/>
      <c r="N114" s="2221"/>
      <c r="O114" s="2221"/>
      <c r="P114" s="2222"/>
      <c r="Q114" s="2214"/>
    </row>
    <row r="115" ht="15.75" spans="1:17">
      <c r="A115" s="1695"/>
      <c r="B115" s="1705"/>
      <c r="C115" s="1706">
        <v>100</v>
      </c>
      <c r="D115" s="1706">
        <f t="shared" ref="D115:M115" si="33">C115-$K38</f>
        <v>100</v>
      </c>
      <c r="E115" s="1706">
        <f t="shared" si="33"/>
        <v>100</v>
      </c>
      <c r="F115" s="1706">
        <f t="shared" si="33"/>
        <v>100</v>
      </c>
      <c r="G115" s="1706">
        <f t="shared" si="33"/>
        <v>100</v>
      </c>
      <c r="H115" s="1706">
        <f t="shared" si="33"/>
        <v>100</v>
      </c>
      <c r="I115" s="1706">
        <f t="shared" si="33"/>
        <v>100</v>
      </c>
      <c r="J115" s="1706">
        <f t="shared" si="33"/>
        <v>100</v>
      </c>
      <c r="K115" s="1706">
        <f t="shared" si="33"/>
        <v>100</v>
      </c>
      <c r="L115" s="1706">
        <f t="shared" si="33"/>
        <v>100</v>
      </c>
      <c r="M115" s="1706">
        <f t="shared" si="33"/>
        <v>100</v>
      </c>
      <c r="N115" s="2223"/>
      <c r="O115" s="2223"/>
      <c r="P115" s="2222"/>
      <c r="Q115" s="2214"/>
    </row>
    <row r="116" ht="15.75" spans="1:17">
      <c r="A116" s="1773"/>
      <c r="B116" s="1700" t="s">
        <v>1176</v>
      </c>
      <c r="C116" s="1717"/>
      <c r="D116" s="1717"/>
      <c r="E116" s="1717"/>
      <c r="F116" s="1717"/>
      <c r="G116" s="1717"/>
      <c r="H116" s="1753"/>
      <c r="I116" s="1753"/>
      <c r="J116" s="1753"/>
      <c r="K116" s="1754"/>
      <c r="L116" s="1755"/>
      <c r="M116" s="1756"/>
      <c r="N116" s="2221"/>
      <c r="O116" s="2221"/>
      <c r="P116" s="2222"/>
      <c r="Q116" s="2214"/>
    </row>
    <row r="117" ht="15.75" spans="1:17">
      <c r="A117" s="1695"/>
      <c r="B117" s="1705"/>
      <c r="C117" s="1706">
        <v>100</v>
      </c>
      <c r="D117" s="1706">
        <f>C117-$K39</f>
        <v>100</v>
      </c>
      <c r="E117" s="1706">
        <f>D117-$K39</f>
        <v>100</v>
      </c>
      <c r="F117" s="1706">
        <f>E117-$K39</f>
        <v>100</v>
      </c>
      <c r="G117" s="1706">
        <f>F117-$K39</f>
        <v>100</v>
      </c>
      <c r="H117" s="1706"/>
      <c r="I117" s="1706"/>
      <c r="J117" s="1706"/>
      <c r="K117" s="1706"/>
      <c r="L117" s="1706"/>
      <c r="M117" s="1707"/>
      <c r="N117" s="2223"/>
      <c r="O117" s="2223"/>
      <c r="P117" s="2222"/>
      <c r="Q117" s="2214"/>
    </row>
    <row r="118" ht="15.75" spans="1:17">
      <c r="A118" s="1773"/>
      <c r="B118" s="1700" t="s">
        <v>1909</v>
      </c>
      <c r="C118" s="1753"/>
      <c r="D118" s="1753"/>
      <c r="E118" s="1753"/>
      <c r="F118" s="1753"/>
      <c r="G118" s="1753"/>
      <c r="H118" s="1753"/>
      <c r="I118" s="1753"/>
      <c r="J118" s="1753"/>
      <c r="K118" s="1754"/>
      <c r="L118" s="1755"/>
      <c r="M118" s="1756"/>
      <c r="N118" s="2221"/>
      <c r="O118" s="2221"/>
      <c r="P118" s="2222"/>
      <c r="Q118" s="2214"/>
    </row>
    <row r="119" ht="15.75" spans="1:17">
      <c r="A119" s="1695"/>
      <c r="B119" s="1705"/>
      <c r="C119" s="1706">
        <v>100</v>
      </c>
      <c r="D119" s="1706">
        <f t="shared" ref="D119:M119" si="34">C119-$K40</f>
        <v>100</v>
      </c>
      <c r="E119" s="1706">
        <f t="shared" si="34"/>
        <v>100</v>
      </c>
      <c r="F119" s="1706">
        <f t="shared" si="34"/>
        <v>100</v>
      </c>
      <c r="G119" s="1706">
        <f t="shared" si="34"/>
        <v>100</v>
      </c>
      <c r="H119" s="1706">
        <f t="shared" si="34"/>
        <v>100</v>
      </c>
      <c r="I119" s="1706">
        <f t="shared" si="34"/>
        <v>100</v>
      </c>
      <c r="J119" s="1706">
        <f t="shared" si="34"/>
        <v>100</v>
      </c>
      <c r="K119" s="1706">
        <f t="shared" si="34"/>
        <v>100</v>
      </c>
      <c r="L119" s="1706">
        <f t="shared" si="34"/>
        <v>100</v>
      </c>
      <c r="M119" s="1706">
        <f t="shared" si="34"/>
        <v>100</v>
      </c>
      <c r="N119" s="2223"/>
      <c r="O119" s="2223"/>
      <c r="P119" s="2222"/>
      <c r="Q119" s="2214"/>
    </row>
    <row r="120" s="1373" customFormat="1" ht="28.5" spans="1:17">
      <c r="A120" s="1764"/>
      <c r="B120" s="1700" t="s">
        <v>1910</v>
      </c>
      <c r="C120" s="1717"/>
      <c r="D120" s="1717"/>
      <c r="E120" s="1717"/>
      <c r="F120" s="1717"/>
      <c r="G120" s="1717"/>
      <c r="H120" s="1717"/>
      <c r="I120" s="1717"/>
      <c r="J120" s="1717"/>
      <c r="K120" s="1717"/>
      <c r="L120" s="2000"/>
      <c r="M120" s="2001"/>
      <c r="N120" s="2224"/>
      <c r="O120" s="2224"/>
      <c r="P120" s="2225"/>
      <c r="Q120" s="2226"/>
    </row>
    <row r="121" s="1373" customFormat="1" ht="15.75" spans="1:17">
      <c r="A121" s="1716"/>
      <c r="B121" s="1696"/>
      <c r="C121" s="1724"/>
      <c r="D121" s="1697"/>
      <c r="E121" s="1697"/>
      <c r="F121" s="1697"/>
      <c r="G121" s="1697"/>
      <c r="H121" s="1697"/>
      <c r="I121" s="1697"/>
      <c r="J121" s="1697"/>
      <c r="K121" s="1697"/>
      <c r="L121" s="1697"/>
      <c r="M121" s="1697"/>
      <c r="N121" s="2224"/>
      <c r="O121" s="2224"/>
      <c r="P121" s="2225"/>
      <c r="Q121" s="2226"/>
    </row>
    <row r="122" ht="15.75" spans="1:17">
      <c r="A122" s="1773"/>
      <c r="B122" s="1700" t="s">
        <v>1177</v>
      </c>
      <c r="C122" s="1717"/>
      <c r="D122" s="1717"/>
      <c r="E122" s="1717"/>
      <c r="F122" s="1753"/>
      <c r="G122" s="1753"/>
      <c r="H122" s="1753"/>
      <c r="I122" s="1753"/>
      <c r="J122" s="1753"/>
      <c r="K122" s="1754"/>
      <c r="L122" s="1755"/>
      <c r="M122" s="1756"/>
      <c r="N122" s="2221"/>
      <c r="O122" s="2221"/>
      <c r="P122" s="2222"/>
      <c r="Q122" s="2214"/>
    </row>
    <row r="123" ht="15.75" spans="1:17">
      <c r="A123" s="1695"/>
      <c r="B123" s="1705"/>
      <c r="C123" s="1706">
        <v>100</v>
      </c>
      <c r="D123" s="1706">
        <f t="shared" ref="D123:M123" si="35">C123-$K42</f>
        <v>100</v>
      </c>
      <c r="E123" s="1706">
        <f t="shared" si="35"/>
        <v>100</v>
      </c>
      <c r="F123" s="1706">
        <f t="shared" si="35"/>
        <v>100</v>
      </c>
      <c r="G123" s="1706">
        <f t="shared" si="35"/>
        <v>100</v>
      </c>
      <c r="H123" s="1706">
        <f t="shared" si="35"/>
        <v>100</v>
      </c>
      <c r="I123" s="1706">
        <f t="shared" si="35"/>
        <v>100</v>
      </c>
      <c r="J123" s="1706">
        <f t="shared" si="35"/>
        <v>100</v>
      </c>
      <c r="K123" s="1706">
        <f t="shared" si="35"/>
        <v>100</v>
      </c>
      <c r="L123" s="1706">
        <f t="shared" si="35"/>
        <v>100</v>
      </c>
      <c r="M123" s="1706">
        <f t="shared" si="35"/>
        <v>100</v>
      </c>
      <c r="N123" s="2223"/>
      <c r="O123" s="2223"/>
      <c r="P123" s="2222"/>
      <c r="Q123" s="2214"/>
    </row>
    <row r="124" ht="15.75" spans="1:17">
      <c r="A124" s="1773"/>
      <c r="B124" s="1700" t="s">
        <v>1911</v>
      </c>
      <c r="C124" s="1742" t="s">
        <v>1200</v>
      </c>
      <c r="D124" s="1742" t="s">
        <v>1201</v>
      </c>
      <c r="E124" s="1742" t="s">
        <v>1202</v>
      </c>
      <c r="F124" s="1742" t="s">
        <v>1203</v>
      </c>
      <c r="G124" s="1742" t="s">
        <v>1204</v>
      </c>
      <c r="H124" s="1701"/>
      <c r="I124" s="1701"/>
      <c r="J124" s="1701"/>
      <c r="K124" s="1702"/>
      <c r="L124" s="1703"/>
      <c r="M124" s="1704"/>
      <c r="N124" s="2221"/>
      <c r="O124" s="2221"/>
      <c r="P124" s="2225"/>
      <c r="Q124" s="2214"/>
    </row>
    <row r="125" ht="15.75" spans="1:17">
      <c r="A125" s="1695"/>
      <c r="B125" s="1705"/>
      <c r="C125" s="1706">
        <v>100</v>
      </c>
      <c r="D125" s="1706">
        <f>C125-$K43</f>
        <v>100</v>
      </c>
      <c r="E125" s="1706">
        <f>D125-$K43</f>
        <v>100</v>
      </c>
      <c r="F125" s="1706">
        <f>E125-$K43</f>
        <v>100</v>
      </c>
      <c r="G125" s="1706">
        <f>F125-$K43</f>
        <v>100</v>
      </c>
      <c r="H125" s="1706"/>
      <c r="I125" s="1706"/>
      <c r="J125" s="1706"/>
      <c r="K125" s="1706"/>
      <c r="L125" s="1706"/>
      <c r="M125" s="1707"/>
      <c r="N125" s="2223"/>
      <c r="O125" s="2223"/>
      <c r="P125" s="2222"/>
      <c r="Q125" s="2214"/>
    </row>
    <row r="126" s="1373" customFormat="1" ht="15.75" spans="1:17">
      <c r="A126" s="1764"/>
      <c r="B126" s="1700">
        <f>B44</f>
        <v>111</v>
      </c>
      <c r="C126" s="1717"/>
      <c r="D126" s="1717"/>
      <c r="E126" s="1717"/>
      <c r="F126" s="1717"/>
      <c r="G126" s="1717"/>
      <c r="H126" s="1718"/>
      <c r="I126" s="1718"/>
      <c r="J126" s="1718"/>
      <c r="K126" s="1718"/>
      <c r="L126" s="1719"/>
      <c r="M126" s="1720"/>
      <c r="N126" s="2224"/>
      <c r="O126" s="2224"/>
      <c r="P126" s="2225"/>
      <c r="Q126" s="2226"/>
    </row>
    <row r="127" s="1373" customFormat="1" ht="15.75" spans="1:17">
      <c r="A127" s="1716"/>
      <c r="B127" s="1705"/>
      <c r="C127" s="1724"/>
      <c r="D127" s="1697"/>
      <c r="E127" s="1697"/>
      <c r="F127" s="1697"/>
      <c r="G127" s="1724"/>
      <c r="H127" s="1726"/>
      <c r="I127" s="1726"/>
      <c r="J127" s="1726"/>
      <c r="K127" s="1726"/>
      <c r="L127" s="1726"/>
      <c r="M127" s="1727"/>
      <c r="N127" s="2224"/>
      <c r="O127" s="2224"/>
      <c r="P127" s="2225"/>
      <c r="Q127" s="2226"/>
    </row>
    <row r="128" ht="15.75" spans="1:17">
      <c r="A128" s="1773"/>
      <c r="B128" s="1700">
        <f>B45</f>
        <v>111</v>
      </c>
      <c r="C128" s="1717"/>
      <c r="D128" s="1717"/>
      <c r="E128" s="1717"/>
      <c r="F128" s="1717"/>
      <c r="G128" s="1753"/>
      <c r="H128" s="1753"/>
      <c r="I128" s="1753"/>
      <c r="J128" s="1753"/>
      <c r="K128" s="1754"/>
      <c r="L128" s="1755"/>
      <c r="M128" s="1756"/>
      <c r="N128" s="2221"/>
      <c r="O128" s="2221"/>
      <c r="P128" s="2222"/>
      <c r="Q128" s="2214"/>
    </row>
    <row r="129" ht="15.75" spans="1:17">
      <c r="A129" s="1695"/>
      <c r="B129" s="1705"/>
      <c r="C129" s="1724"/>
      <c r="D129" s="1724"/>
      <c r="E129" s="1724"/>
      <c r="F129" s="1724"/>
      <c r="G129" s="1697"/>
      <c r="H129" s="1697"/>
      <c r="I129" s="1697"/>
      <c r="J129" s="1697"/>
      <c r="K129" s="1697"/>
      <c r="L129" s="1697"/>
      <c r="M129" s="1698"/>
      <c r="N129" s="2223"/>
      <c r="O129" s="2223"/>
      <c r="P129" s="2222"/>
      <c r="Q129" s="2214"/>
    </row>
    <row r="130" ht="15.75" spans="1:17">
      <c r="A130" s="1773"/>
      <c r="B130" s="1708">
        <f>B46</f>
        <v>111</v>
      </c>
      <c r="C130" s="1717"/>
      <c r="D130" s="1717"/>
      <c r="E130" s="1717"/>
      <c r="F130" s="1717"/>
      <c r="G130" s="1757"/>
      <c r="H130" s="1757"/>
      <c r="I130" s="1757"/>
      <c r="J130" s="1757"/>
      <c r="K130" s="1680"/>
      <c r="L130" s="1681"/>
      <c r="M130" s="1760"/>
      <c r="N130" s="2221"/>
      <c r="O130" s="2221"/>
      <c r="P130" s="2222"/>
      <c r="Q130" s="2214"/>
    </row>
    <row r="131" ht="15.75" spans="1:17">
      <c r="A131" s="2085"/>
      <c r="B131" s="1733"/>
      <c r="C131" s="1734"/>
      <c r="D131" s="1734"/>
      <c r="E131" s="1734"/>
      <c r="F131" s="1734"/>
      <c r="G131" s="1761"/>
      <c r="H131" s="1761"/>
      <c r="I131" s="1761"/>
      <c r="J131" s="1761"/>
      <c r="K131" s="1761"/>
      <c r="L131" s="1761"/>
      <c r="M131" s="1762"/>
      <c r="N131" s="2223"/>
      <c r="O131" s="2223"/>
      <c r="P131" s="2222"/>
      <c r="Q131" s="2214"/>
    </row>
    <row r="136" ht="15" spans="1:17">
      <c r="B136" s="2231" t="s">
        <v>1912</v>
      </c>
    </row>
    <row r="137" ht="15" spans="1:17">
      <c r="B137" s="2232" t="s">
        <v>1913</v>
      </c>
      <c r="C137" s="2233"/>
      <c r="D137" s="2233"/>
      <c r="E137" s="2233"/>
      <c r="F137" s="2233"/>
      <c r="G137" s="2234"/>
      <c r="H137" s="2235"/>
      <c r="I137" s="2236" t="s">
        <v>1914</v>
      </c>
      <c r="J137" s="2233"/>
      <c r="K137" s="2237"/>
    </row>
    <row r="138" ht="15" spans="1:17">
      <c r="B138" s="2238"/>
      <c r="C138" s="2239" t="s">
        <v>1915</v>
      </c>
      <c r="D138" s="2239" t="s">
        <v>1916</v>
      </c>
      <c r="E138" s="2240" t="s">
        <v>1917</v>
      </c>
      <c r="F138" s="2241" t="s">
        <v>1918</v>
      </c>
      <c r="G138" s="2239" t="s">
        <v>1916</v>
      </c>
      <c r="H138" s="2242" t="s">
        <v>1917</v>
      </c>
      <c r="I138" s="2243"/>
      <c r="J138" s="2239" t="s">
        <v>1919</v>
      </c>
      <c r="K138" s="2242" t="s">
        <v>1920</v>
      </c>
    </row>
    <row r="139" ht="15" spans="1:17">
      <c r="B139" s="2244">
        <v>6</v>
      </c>
      <c r="C139" s="2245">
        <v>96</v>
      </c>
      <c r="D139" s="2246" t="s">
        <v>1921</v>
      </c>
      <c r="E139" s="2247">
        <v>100</v>
      </c>
      <c r="F139" s="2248">
        <v>102.5</v>
      </c>
      <c r="G139" s="2246" t="s">
        <v>1921</v>
      </c>
      <c r="H139" s="2249">
        <v>105</v>
      </c>
      <c r="I139" s="2250" t="s">
        <v>1922</v>
      </c>
      <c r="J139" s="2245">
        <v>20</v>
      </c>
      <c r="K139" s="2251">
        <f>C145/(J139-2)</f>
        <v>0.00405555555555556</v>
      </c>
    </row>
    <row r="140" ht="15" spans="1:17">
      <c r="B140" s="2252">
        <v>5</v>
      </c>
      <c r="C140" s="2253">
        <v>100</v>
      </c>
      <c r="D140" s="2253"/>
      <c r="E140" s="2254"/>
      <c r="F140" s="2255">
        <v>102</v>
      </c>
      <c r="G140" s="2253"/>
      <c r="H140" s="2256"/>
      <c r="I140" s="2257" t="s">
        <v>1923</v>
      </c>
      <c r="J140" s="513">
        <f>ROUNDUP((J139-1)/2,0)</f>
        <v>10</v>
      </c>
      <c r="K140" s="2258">
        <v>100</v>
      </c>
    </row>
    <row r="141" ht="15" spans="1:17">
      <c r="B141" s="2252">
        <v>4</v>
      </c>
      <c r="C141" s="2253">
        <v>102</v>
      </c>
      <c r="D141" s="2253"/>
      <c r="E141" s="2254"/>
      <c r="F141" s="2255">
        <v>101.5</v>
      </c>
      <c r="G141" s="2253"/>
      <c r="H141" s="2256"/>
      <c r="I141" s="2257" t="s">
        <v>1924</v>
      </c>
      <c r="J141" s="513">
        <v>1</v>
      </c>
      <c r="K141" s="2259">
        <f>ROUND(100+(J141-J140)*K139*100,1)</f>
        <v>96.4</v>
      </c>
    </row>
    <row r="142" ht="15" spans="1:17">
      <c r="B142" s="2252">
        <v>3</v>
      </c>
      <c r="C142" s="2253">
        <v>103</v>
      </c>
      <c r="D142" s="2253"/>
      <c r="E142" s="2254"/>
      <c r="F142" s="2255">
        <v>101</v>
      </c>
      <c r="G142" s="2253"/>
      <c r="H142" s="2256"/>
      <c r="I142" s="2257" t="s">
        <v>1925</v>
      </c>
      <c r="J142" s="513">
        <f>J139</f>
        <v>20</v>
      </c>
      <c r="K142" s="2260">
        <v>95</v>
      </c>
    </row>
    <row r="143" ht="15" spans="1:17">
      <c r="B143" s="2252">
        <v>2</v>
      </c>
      <c r="C143" s="2253">
        <v>100</v>
      </c>
      <c r="D143" s="2253"/>
      <c r="E143" s="2254"/>
      <c r="F143" s="2255">
        <v>100.5</v>
      </c>
      <c r="G143" s="2253"/>
      <c r="H143" s="2256"/>
      <c r="I143" s="2257" t="s">
        <v>1926</v>
      </c>
      <c r="J143" s="2253">
        <v>15</v>
      </c>
      <c r="K143" s="2259">
        <f>ROUND(100+(J143-J140)*K139*100,1)</f>
        <v>102</v>
      </c>
    </row>
    <row r="144" ht="15" spans="1:17">
      <c r="B144" s="2252">
        <v>1</v>
      </c>
      <c r="C144" s="2253">
        <v>98</v>
      </c>
      <c r="D144" s="2261" t="s">
        <v>1927</v>
      </c>
      <c r="E144" s="2254">
        <v>102</v>
      </c>
      <c r="F144" s="2262">
        <v>100</v>
      </c>
      <c r="G144" s="2261" t="s">
        <v>1927</v>
      </c>
      <c r="H144" s="2256">
        <v>105</v>
      </c>
      <c r="I144" s="2257" t="s">
        <v>1926</v>
      </c>
      <c r="J144" s="2253">
        <v>18</v>
      </c>
      <c r="K144" s="2259">
        <f>ROUND(100+(J144-J140)*K139*100,1)</f>
        <v>103.2</v>
      </c>
    </row>
    <row r="145" ht="15.75" spans="2:11">
      <c r="B145" s="949" t="s">
        <v>1928</v>
      </c>
      <c r="C145" s="2263">
        <f>ROUND(MAX(C139:C144)/MIN(C139:C144)-1,3)</f>
        <v>0.073</v>
      </c>
      <c r="D145" s="2264"/>
      <c r="E145" s="2264"/>
      <c r="F145" s="2265" t="s">
        <v>1929</v>
      </c>
      <c r="G145" s="2114"/>
      <c r="H145" s="2115"/>
      <c r="I145" s="2266" t="s">
        <v>1926</v>
      </c>
      <c r="J145" s="2267">
        <v>8</v>
      </c>
      <c r="K145" s="2268">
        <f>ROUND(100+(J145-J140)*K139*100,1)</f>
        <v>99.2</v>
      </c>
    </row>
    <row r="147" spans="2:11">
      <c r="B147" s="2231" t="s">
        <v>1930</v>
      </c>
    </row>
    <row r="148" spans="2:11">
      <c r="B148" s="2231" t="s">
        <v>1931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3" customWidth="1"/>
    <col min="2" max="16384" width="9" style="1263"/>
  </cols>
  <sheetData>
    <row r="1" ht="22.5" spans="1:1">
      <c r="A1" s="4741" t="s">
        <v>82</v>
      </c>
    </row>
    <row r="2" spans="1:1">
      <c r="A2" s="4742"/>
    </row>
    <row r="3" ht="18" spans="1:1">
      <c r="A3" s="4743" t="str">
        <f>项目基本情况!B5&amp;"："</f>
        <v>：</v>
      </c>
    </row>
    <row r="4" ht="18.75" spans="1:1">
      <c r="A4" s="4744" t="str">
        <f>"受贵公司委托，我公司对"&amp;项目基本情况!S1&amp;"进行了预评估。"</f>
        <v>受贵公司委托，我公司对北京市房地产抵押价值进行了预评估。</v>
      </c>
    </row>
    <row r="5" ht="18.75" spans="1:1">
      <c r="A5" s="4745" t="s">
        <v>83</v>
      </c>
    </row>
    <row r="6" ht="18.75" spans="1:1">
      <c r="A6" s="4746" t="s">
        <v>84</v>
      </c>
    </row>
    <row r="7" ht="37.5" spans="1:1">
      <c r="A7" s="47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估价对象为北京市房地产，为所有。根据《国有土地使用证》[]，估价对象（分摊）出让国有建设用地使用权面积为0平方米，建筑面积为20903.38平方米。</v>
      </c>
    </row>
    <row r="8" ht="56.25" spans="1:1">
      <c r="A8" s="4747" t="s">
        <v>85</v>
      </c>
    </row>
    <row r="9" ht="18.75" spans="1:1">
      <c r="A9" s="4746" t="s">
        <v>86</v>
      </c>
    </row>
    <row r="10" ht="56.25" spans="1:1">
      <c r="A10" s="47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估价对象为北京市房地产,属开发建设的，该项目尚在开发建设中。根据《国有土地使用证》[]，估价对象（分摊）出让国有建设用地使用权面积为0平方米，规划建筑面积为20903.38平方米。</v>
      </c>
    </row>
    <row r="11" ht="75" spans="1:1">
      <c r="A11" s="4747" t="s">
        <v>87</v>
      </c>
    </row>
    <row r="12" ht="18.75" spans="1:1">
      <c r="A12" s="4745" t="s">
        <v>88</v>
      </c>
    </row>
    <row r="13" ht="38.25" customHeight="1" spans="1:1">
      <c r="A13" s="47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49" t="s">
        <v>89</v>
      </c>
    </row>
    <row r="15" ht="18" spans="1:1">
      <c r="A15" s="4750" t="str">
        <f>TEXT(项目基本情况!D3,"yyyy年m月d日;;")&amp;IF(项目基本情况!D3=项目基本情况!B3,"（评估专业人员实地查勘之日）","")</f>
        <v>2026年3月5日</v>
      </c>
    </row>
    <row r="16" ht="18.75" spans="1:1">
      <c r="A16" s="4749" t="s">
        <v>90</v>
      </c>
    </row>
    <row r="17" ht="75" spans="1:1">
      <c r="A17" s="4744" t="s">
        <v>91</v>
      </c>
    </row>
    <row r="18" ht="56.25" spans="1:1">
      <c r="A18" s="47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9" ht="157.5" customHeight="1" spans="1:1">
      <c r="A19" s="47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49" t="s">
        <v>92</v>
      </c>
    </row>
    <row r="24" ht="18" spans="1:1">
      <c r="A24" s="4698" t="str">
        <f>"本次评估采用的主估价方法为"&amp;结果表!K4&amp;"和"&amp;结果表!L4&amp;"。"</f>
        <v>本次评估采用的主估价方法为基准地价系数修正法和收益法。</v>
      </c>
    </row>
    <row r="25" ht="18" spans="1:1">
      <c r="A25" s="4698"/>
    </row>
    <row r="26" ht="18.75" spans="1:1">
      <c r="A26" s="4751" t="s">
        <v>93</v>
      </c>
    </row>
    <row r="27" spans="1:1">
      <c r="A27" s="2272"/>
    </row>
    <row r="28" spans="1:1">
      <c r="A28" s="2272"/>
    </row>
    <row r="29" spans="1:1">
      <c r="A29" s="2272"/>
    </row>
    <row r="30" spans="1:1">
      <c r="A30" s="2272"/>
    </row>
    <row r="31" spans="1:1">
      <c r="A31" s="2272"/>
    </row>
    <row r="32" spans="1:1">
      <c r="A32" s="2272"/>
    </row>
    <row r="33" spans="1:1">
      <c r="A33" s="2272"/>
    </row>
    <row r="34" spans="1:1">
      <c r="A34" s="2272"/>
    </row>
    <row r="35" spans="1:1">
      <c r="A35" s="2272"/>
    </row>
    <row r="36" spans="1:1">
      <c r="A36" s="2272"/>
    </row>
    <row r="37" spans="1:1">
      <c r="A37" s="2272"/>
    </row>
    <row r="38" spans="1:1">
      <c r="A38" s="2272"/>
    </row>
    <row r="39" spans="1:1">
      <c r="A39" s="2272"/>
    </row>
    <row r="40" spans="1:1">
      <c r="A40" s="2272"/>
    </row>
    <row r="41" spans="1:1">
      <c r="A41" s="2272"/>
    </row>
    <row r="42" spans="1:1">
      <c r="A42" s="2272"/>
    </row>
    <row r="43" spans="1:1">
      <c r="A43" s="2272"/>
    </row>
    <row r="44" spans="1:1">
      <c r="A44" s="2272"/>
    </row>
    <row r="45" spans="1:1">
      <c r="A45" s="2272"/>
    </row>
    <row r="46" spans="1:1">
      <c r="A46" s="2272"/>
    </row>
    <row r="47" spans="1:1">
      <c r="A47" s="2272"/>
    </row>
    <row r="48" spans="1:1">
      <c r="A48" s="227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22" t="s">
        <v>1932</v>
      </c>
      <c r="C1" s="1874" t="s">
        <v>1118</v>
      </c>
      <c r="D1" s="1867"/>
      <c r="E1" s="2123"/>
      <c r="F1" s="1869"/>
      <c r="G1" s="1870" t="s">
        <v>1121</v>
      </c>
      <c r="H1" s="1871"/>
      <c r="I1" s="1871"/>
      <c r="J1" s="1871"/>
      <c r="K1" s="1872"/>
      <c r="L1" s="1873"/>
      <c r="M1" s="1874"/>
      <c r="N1" s="1874"/>
      <c r="O1" s="1874"/>
      <c r="P1" s="2124"/>
      <c r="Q1" s="2125"/>
      <c r="R1" s="2125"/>
      <c r="S1" s="2125"/>
      <c r="T1" s="2125"/>
      <c r="U1" s="2125"/>
      <c r="V1" s="2125"/>
      <c r="W1" s="2125"/>
      <c r="X1" s="2125"/>
      <c r="Y1" s="2125"/>
      <c r="Z1" s="2125"/>
      <c r="AA1" s="2125"/>
      <c r="AB1" s="2125"/>
      <c r="AC1" s="2126"/>
    </row>
    <row r="2" s="1370" customFormat="1" ht="28.5" customHeight="1" spans="1:29">
      <c r="A2" s="1876" t="s">
        <v>1122</v>
      </c>
      <c r="B2" s="1877">
        <f ca="1">IF(C2="含税",D2,ROUND(D2/(1+F3),0))</f>
        <v>0</v>
      </c>
      <c r="C2" s="1878"/>
      <c r="D2" s="2127" t="b">
        <f ca="1">IF(E1="项目模式",IF(E2="——",ROUND(C49*D3/10000,0),ROUND(C49*D3/10000,0)-F2),IF(E1="单套模式",IF(E2="——",ROUND(C49*D3/10000,4),ROUND(C49*D3/10000,4)-F2)))</f>
        <v>0</v>
      </c>
      <c r="E2" s="1880"/>
      <c r="F2" s="2128"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2129"/>
      <c r="Q2" s="2130"/>
      <c r="R2" s="2130"/>
      <c r="S2" s="2130"/>
      <c r="T2" s="2130"/>
      <c r="U2" s="2130"/>
      <c r="V2" s="2130"/>
      <c r="W2" s="2130"/>
      <c r="X2" s="2130"/>
      <c r="Y2" s="2130"/>
      <c r="Z2" s="2130"/>
      <c r="AA2" s="2130"/>
      <c r="AB2" s="2130"/>
      <c r="AC2" s="2131"/>
    </row>
    <row r="3" s="1370" customFormat="1" ht="28.5" customHeight="1" spans="1:29">
      <c r="A3" s="439" t="s">
        <v>1125</v>
      </c>
      <c r="B3" s="1883">
        <f ca="1">IF(E2="——",C49,ROUND(B2*10000/D3,0))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2129"/>
      <c r="Q3" s="2130"/>
      <c r="R3" s="2130"/>
      <c r="S3" s="2130"/>
      <c r="T3" s="2130"/>
      <c r="U3" s="2130"/>
      <c r="V3" s="2130"/>
      <c r="W3" s="2130"/>
      <c r="X3" s="2130"/>
      <c r="Y3" s="2130"/>
      <c r="Z3" s="2130"/>
      <c r="AA3" s="2130"/>
      <c r="AB3" s="2130"/>
      <c r="AC3" s="2132"/>
    </row>
    <row r="4" ht="15" spans="1:29">
      <c r="A4" s="1781" t="s">
        <v>1128</v>
      </c>
      <c r="B4" s="1782"/>
      <c r="C4" s="1404" t="s">
        <v>1129</v>
      </c>
      <c r="D4" s="1405"/>
      <c r="E4" s="1406" t="s">
        <v>1130</v>
      </c>
      <c r="F4" s="1407"/>
      <c r="G4" s="1404" t="s">
        <v>1131</v>
      </c>
      <c r="H4" s="1405"/>
      <c r="I4" s="1404" t="s">
        <v>1132</v>
      </c>
      <c r="J4" s="1405"/>
      <c r="K4" s="1783"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510" t="s">
        <v>1131</v>
      </c>
      <c r="AC4" s="1418" t="s">
        <v>1132</v>
      </c>
    </row>
    <row r="5" ht="15" spans="1:29">
      <c r="A5" s="1784"/>
      <c r="B5" s="1785"/>
      <c r="C5" s="1421" t="s">
        <v>1135</v>
      </c>
      <c r="D5" s="1422"/>
      <c r="E5" s="1423" t="s">
        <v>1901</v>
      </c>
      <c r="F5" s="1424"/>
      <c r="G5" s="1421" t="s">
        <v>1902</v>
      </c>
      <c r="H5" s="1422"/>
      <c r="I5" s="1421" t="s">
        <v>1903</v>
      </c>
      <c r="J5" s="1422"/>
      <c r="K5" s="1783"/>
      <c r="L5" s="1409"/>
      <c r="M5" s="1410"/>
      <c r="N5" s="1410"/>
      <c r="O5" s="1410"/>
      <c r="P5" s="1425"/>
      <c r="Q5" s="1426"/>
      <c r="R5" s="1427"/>
      <c r="S5" s="1428"/>
      <c r="T5" s="1427"/>
      <c r="U5" s="1428"/>
      <c r="V5" s="820"/>
      <c r="W5" s="820"/>
      <c r="X5" s="1415"/>
      <c r="Y5" s="1429"/>
      <c r="Z5" s="1430"/>
      <c r="AA5" s="1415"/>
      <c r="AB5" s="1510"/>
      <c r="AC5" s="1415"/>
    </row>
    <row r="6" ht="15.75" spans="1:29">
      <c r="A6" s="1786"/>
      <c r="B6" s="1787"/>
      <c r="C6" s="1788" t="s">
        <v>1138</v>
      </c>
      <c r="D6" s="1789"/>
      <c r="E6" s="1790" t="s">
        <v>1138</v>
      </c>
      <c r="F6" s="1791"/>
      <c r="G6" s="1788" t="s">
        <v>1138</v>
      </c>
      <c r="H6" s="1789"/>
      <c r="I6" s="1788" t="s">
        <v>1138</v>
      </c>
      <c r="J6" s="1789"/>
      <c r="K6" s="1783" t="s">
        <v>1139</v>
      </c>
      <c r="L6" s="1409"/>
      <c r="M6" s="1410"/>
      <c r="N6" s="1410"/>
      <c r="O6" s="1410"/>
      <c r="P6" s="1437"/>
      <c r="Q6" s="1438"/>
      <c r="R6" s="1427"/>
      <c r="S6" s="1428"/>
      <c r="T6" s="1439"/>
      <c r="U6" s="1440"/>
      <c r="V6" s="820"/>
      <c r="W6" s="820"/>
      <c r="X6" s="1415"/>
      <c r="Y6" s="1441"/>
      <c r="Z6" s="1442"/>
      <c r="AA6" s="1443"/>
      <c r="AB6" s="1510"/>
      <c r="AC6" s="1443"/>
    </row>
    <row r="7" s="1371" customFormat="1" ht="15.75" spans="1:29">
      <c r="A7" s="1904" t="s">
        <v>1140</v>
      </c>
      <c r="B7" s="1905"/>
      <c r="C7" s="1906">
        <f>'数据-取费表'!B2</f>
        <v>46086</v>
      </c>
      <c r="D7" s="1447">
        <v>100</v>
      </c>
      <c r="E7" s="1448"/>
      <c r="F7" s="1449">
        <f>SUMIF(58:58,YEAR(E7)&amp;"-"&amp;MONTH(E7),59:59)</f>
        <v>0</v>
      </c>
      <c r="G7" s="1448"/>
      <c r="H7" s="1451">
        <f>SUMIF(58:58,YEAR(G7)&amp;"-"&amp;MONTH(G7),59:59)</f>
        <v>0</v>
      </c>
      <c r="I7" s="1448"/>
      <c r="J7" s="1451">
        <f>SUMIF(58:58,YEAR(I7)&amp;"-"&amp;MONTH(I7),59:59)</f>
        <v>0</v>
      </c>
      <c r="K7" s="2133"/>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914"/>
      <c r="D8" s="1447">
        <v>100</v>
      </c>
      <c r="E8" s="1463"/>
      <c r="F8" s="1449">
        <f>SUMIF(61:61,E8,62:62)-SUMIF(61:61,C8,62:62)+100</f>
        <v>100</v>
      </c>
      <c r="G8" s="1463"/>
      <c r="H8" s="1451">
        <f>SUMIF(61:61,G8,62:62)-SUMIF(61:61,C8,62:62)+100</f>
        <v>100</v>
      </c>
      <c r="I8" s="1463"/>
      <c r="J8" s="1451">
        <f>SUMIF(61:61,I8,62:62)-SUMIF(61:61,C8,62:62)+100</f>
        <v>100</v>
      </c>
      <c r="K8" s="2133"/>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46" si="3">D8/F8</f>
        <v>1</v>
      </c>
      <c r="AB8" s="1462">
        <f t="shared" ref="AB8:AB46" si="4">D8/H8</f>
        <v>1</v>
      </c>
      <c r="AC8" s="1462">
        <f t="shared" ref="AC8:AC46" si="5">D8/J8</f>
        <v>1</v>
      </c>
    </row>
    <row r="9" s="1371" customFormat="1" spans="1:29">
      <c r="A9" s="1915" t="s">
        <v>1146</v>
      </c>
      <c r="B9" s="1466" t="s">
        <v>1147</v>
      </c>
      <c r="C9" s="2134"/>
      <c r="D9" s="1468">
        <v>100</v>
      </c>
      <c r="E9" s="2135"/>
      <c r="F9" s="2136">
        <f>SUMIF(63:63,E9,64:64)-SUMIF(63:63,C9,64:64)+100</f>
        <v>100</v>
      </c>
      <c r="G9" s="2135"/>
      <c r="H9" s="1469">
        <f>SUMIF(63:63,G9,64:64)-SUMIF(63:63,C9,64:64)+100</f>
        <v>100</v>
      </c>
      <c r="I9" s="2135"/>
      <c r="J9" s="1469">
        <f>SUMIF(63:63,I9,64:64)-SUMIF(63:63,C9,64:64)+100</f>
        <v>100</v>
      </c>
      <c r="K9" s="2133"/>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33"/>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1812"/>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91"/>
      <c r="F12" s="2139">
        <f>SUMIF(70:70,E12,71:71)-SUMIF(70:70,C12,71:71)+100</f>
        <v>100</v>
      </c>
      <c r="G12" s="1491"/>
      <c r="H12" s="1475">
        <f>SUMIF(70:70,G12,71:71)-SUMIF(70:70,C12,71:71)+100</f>
        <v>100</v>
      </c>
      <c r="I12" s="1491"/>
      <c r="J12" s="1475">
        <f>SUMIF(70:70,I12,71:71)-SUMIF(70:70,C12,71:71)+100</f>
        <v>100</v>
      </c>
      <c r="K12" s="1811"/>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1811"/>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1"/>
      <c r="F14" s="2140">
        <f>SUMIF(74:74,E14,75:75)-SUMIF(74:74,C14,75:75)+100</f>
        <v>100</v>
      </c>
      <c r="G14" s="1491"/>
      <c r="H14" s="1499">
        <f>SUMIF(74:74,G14,75:75)-SUMIF(74:74,C14,75:75)+100</f>
        <v>100</v>
      </c>
      <c r="I14" s="1491"/>
      <c r="J14" s="1499">
        <f>SUMIF(74:74,I14,75:75)-SUMIF(74:74,C14,75:75)+100</f>
        <v>100</v>
      </c>
      <c r="K14" s="1811"/>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68.25" spans="1:29">
      <c r="A15" s="1688" t="s">
        <v>1155</v>
      </c>
      <c r="B15" s="1798" t="s">
        <v>1933</v>
      </c>
      <c r="C15" s="1799" t="str">
        <f>估价对象房地状况!C4</f>
        <v>估价对象位于XX商圈，周边商业氛围成熟，人流量大，商业繁华度好</v>
      </c>
      <c r="D15" s="1503">
        <v>100</v>
      </c>
      <c r="E15" s="1504"/>
      <c r="F15" s="2141">
        <f>SUMIF(76:76,E16,77:77)-SUMIF(76:76,C16,77:77)+100</f>
        <v>100</v>
      </c>
      <c r="G15" s="1506"/>
      <c r="H15" s="1505">
        <f>SUMIF(76:76,G16,77:77)-SUMIF(76:76,C16,77:77)+100</f>
        <v>100</v>
      </c>
      <c r="I15" s="1504"/>
      <c r="J15" s="1505">
        <f>SUMIF(76:76,I16,77:77)-SUMIF(76:76,C16,77:77)+100</f>
        <v>100</v>
      </c>
      <c r="K15" s="2142"/>
      <c r="L15" s="1494"/>
      <c r="M15" s="1410"/>
      <c r="N15" s="1410"/>
      <c r="O15" s="1410"/>
      <c r="P15" s="1520" t="s">
        <v>1157</v>
      </c>
      <c r="Q15" s="1070" t="str">
        <f t="shared" si="6"/>
        <v>商业繁华度</v>
      </c>
      <c r="R15" s="2087" t="s">
        <v>1142</v>
      </c>
      <c r="S15" s="2088">
        <f t="shared" si="0"/>
        <v>100</v>
      </c>
      <c r="T15" s="2087" t="s">
        <v>1142</v>
      </c>
      <c r="U15" s="2088">
        <f t="shared" si="1"/>
        <v>100</v>
      </c>
      <c r="V15" s="2087" t="s">
        <v>1142</v>
      </c>
      <c r="W15" s="2088">
        <f t="shared" si="2"/>
        <v>100</v>
      </c>
      <c r="X15" s="1415"/>
      <c r="Y15" s="1509" t="s">
        <v>1157</v>
      </c>
      <c r="Z15" s="1510" t="str">
        <f t="shared" si="7"/>
        <v>商业繁华度</v>
      </c>
      <c r="AA15" s="1510">
        <f t="shared" si="3"/>
        <v>1</v>
      </c>
      <c r="AB15" s="1510">
        <f t="shared" si="4"/>
        <v>1</v>
      </c>
      <c r="AC15" s="1510">
        <f t="shared" si="5"/>
        <v>1</v>
      </c>
    </row>
    <row r="16" ht="15" spans="1:29">
      <c r="A16" s="1695"/>
      <c r="B16" s="1800"/>
      <c r="C16" s="1512"/>
      <c r="D16" s="1513"/>
      <c r="E16" s="1512"/>
      <c r="F16" s="2143"/>
      <c r="G16" s="1512"/>
      <c r="H16" s="1516"/>
      <c r="I16" s="1512"/>
      <c r="J16" s="1515"/>
      <c r="K16" s="2144"/>
      <c r="L16" s="1494"/>
      <c r="M16" s="1410"/>
      <c r="N16" s="1410"/>
      <c r="O16" s="1410"/>
      <c r="P16" s="1535"/>
      <c r="Q16" s="1070"/>
      <c r="R16" s="2087"/>
      <c r="S16" s="2088"/>
      <c r="T16" s="2087"/>
      <c r="U16" s="2088"/>
      <c r="V16" s="2087"/>
      <c r="W16" s="2088"/>
      <c r="X16" s="1415"/>
      <c r="Y16" s="1518"/>
      <c r="Z16" s="1510"/>
      <c r="AA16" s="1510">
        <v>1</v>
      </c>
      <c r="AB16" s="1510">
        <v>1</v>
      </c>
      <c r="AC16" s="1510">
        <v>1</v>
      </c>
    </row>
    <row r="17" ht="81" spans="1:29">
      <c r="A17" s="1695"/>
      <c r="B17" s="1801" t="s">
        <v>1159</v>
      </c>
      <c r="C17" s="1520" t="str">
        <f>估价对象房地状况!C6</f>
        <v>估价对象周边道路状况、公共交通通达情况、停车便捷程度，综合评价交通便捷度较好</v>
      </c>
      <c r="D17" s="1521">
        <v>100</v>
      </c>
      <c r="E17" s="1522"/>
      <c r="F17" s="2145">
        <f>SUMIF(78:78,E18,79:79)-SUMIF(78:78,C18,79:79)+100</f>
        <v>100</v>
      </c>
      <c r="G17" s="1524"/>
      <c r="H17" s="1523">
        <f>SUMIF(78:78,G18,79:79)-SUMIF(78:78,C18,79:79)+100</f>
        <v>100</v>
      </c>
      <c r="I17" s="1522"/>
      <c r="J17" s="1523">
        <f>SUMIF(78:78,I18,79:79)-SUMIF(78:78,C18,79:79)+100</f>
        <v>100</v>
      </c>
      <c r="K17" s="21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4"/>
      <c r="F18" s="2145"/>
      <c r="G18" s="1805"/>
      <c r="H18" s="1515"/>
      <c r="I18" s="1804"/>
      <c r="J18" s="1515"/>
      <c r="K18" s="214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7"/>
      <c r="F19" s="2146">
        <f>SUMIF(80:80,E20,81:81)-SUMIF(80:80,C20,81:81)+100</f>
        <v>100</v>
      </c>
      <c r="G19" s="1808"/>
      <c r="H19" s="1516">
        <f>SUMIF(80:80,G20,81:81)-SUMIF(80:80,C20,81:81)+100</f>
        <v>100</v>
      </c>
      <c r="I19" s="1807"/>
      <c r="J19" s="1516">
        <f>SUMIF(80:80,I20,81:81)-SUMIF(80:80,C20,81:81)+100</f>
        <v>100</v>
      </c>
      <c r="K19" s="21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6"/>
      <c r="F20" s="2143"/>
      <c r="G20" s="1527"/>
      <c r="H20" s="1515"/>
      <c r="I20" s="1526"/>
      <c r="J20" s="1515"/>
      <c r="K20" s="214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806">
        <v>100</v>
      </c>
      <c r="E21" s="1807"/>
      <c r="F21" s="2146">
        <f>SUMIF(82:82,E22,83:83)-SUMIF(82:82,C22,83:83)+100</f>
        <v>100</v>
      </c>
      <c r="G21" s="1808"/>
      <c r="H21" s="1516">
        <f>SUMIF(82:82,G22,83:83)-SUMIF(82:82,C22,83:83)+100</f>
        <v>100</v>
      </c>
      <c r="I21" s="1807"/>
      <c r="J21" s="1516">
        <f>SUMIF(82:82,I22,83:83)-SUMIF(82:82,C22,83:83)+100</f>
        <v>100</v>
      </c>
      <c r="K21" s="21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2143"/>
      <c r="G22" s="1512"/>
      <c r="H22" s="1515"/>
      <c r="I22" s="1512"/>
      <c r="J22" s="1515"/>
      <c r="K22" s="2147"/>
      <c r="L22" s="1494"/>
      <c r="M22" s="1410"/>
      <c r="N22" s="1410"/>
      <c r="O22" s="1410"/>
      <c r="P22" s="1535"/>
      <c r="Q22" s="1070"/>
      <c r="R22" s="2087"/>
      <c r="S22" s="2088"/>
      <c r="T22" s="2087"/>
      <c r="U22" s="2088"/>
      <c r="V22" s="2087"/>
      <c r="W22" s="2088"/>
      <c r="X22" s="1415"/>
      <c r="Y22" s="1518"/>
      <c r="Z22" s="1510"/>
      <c r="AA22" s="1510">
        <v>1</v>
      </c>
      <c r="AB22" s="1510">
        <v>1</v>
      </c>
      <c r="AC22" s="1510">
        <v>1</v>
      </c>
    </row>
    <row r="23" ht="54" spans="1:29">
      <c r="A23" s="1695"/>
      <c r="B23" s="1801" t="s">
        <v>1905</v>
      </c>
      <c r="C23" s="1802" t="str">
        <f>估价对象房地状况!C9</f>
        <v>区域自然环境：；人文环境；综合评价环境状况一般</v>
      </c>
      <c r="D23" s="1521">
        <v>100</v>
      </c>
      <c r="E23" s="1522"/>
      <c r="F23" s="2145">
        <f>SUMIF(84:84,E24,85:85)-SUMIF(84:84,C24,85:85)+100</f>
        <v>100</v>
      </c>
      <c r="G23" s="1524"/>
      <c r="H23" s="1516">
        <f>SUMIF(84:84,G24,85:85)-SUMIF(84:84,C24,85:85)+100</f>
        <v>100</v>
      </c>
      <c r="I23" s="1522"/>
      <c r="J23" s="1516">
        <f>SUMIF(84:84,I24,85:85)-SUMIF(84:84,C24,85:85)+100</f>
        <v>100</v>
      </c>
      <c r="K23" s="2142"/>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 t="shared" si="3"/>
        <v>1</v>
      </c>
      <c r="AB23" s="1510">
        <f t="shared" si="4"/>
        <v>1</v>
      </c>
      <c r="AC23" s="1510">
        <f t="shared" si="5"/>
        <v>1</v>
      </c>
    </row>
    <row r="24" ht="15" spans="1:29">
      <c r="A24" s="1695"/>
      <c r="B24" s="1558"/>
      <c r="C24" s="1512"/>
      <c r="D24" s="1513"/>
      <c r="E24" s="1526"/>
      <c r="F24" s="2143"/>
      <c r="G24" s="1527"/>
      <c r="H24" s="1515"/>
      <c r="I24" s="1526"/>
      <c r="J24" s="1515"/>
      <c r="K24" s="214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1934</v>
      </c>
      <c r="C25" s="1533"/>
      <c r="D25" s="1492">
        <v>100</v>
      </c>
      <c r="E25" s="1533"/>
      <c r="F25" s="2148">
        <f>SUMIF(86:86,E25,87:87)-SUMIF(86:86,C25,87:87)+100</f>
        <v>100</v>
      </c>
      <c r="G25" s="1533"/>
      <c r="H25" s="1493">
        <f>SUMIF(86:86,G25,87:87)-SUMIF(86:86,C25,87:87)+100</f>
        <v>100</v>
      </c>
      <c r="I25" s="1533"/>
      <c r="J25" s="1493">
        <f>SUMIF(86:86,I25,87:87)-SUMIF(86:86,C25,87:87)+100</f>
        <v>100</v>
      </c>
      <c r="K25" s="1812"/>
      <c r="L25" s="1494"/>
      <c r="M25" s="1410"/>
      <c r="N25" s="1410"/>
      <c r="O25" s="1410"/>
      <c r="P25" s="1535"/>
      <c r="Q25" s="1070" t="str">
        <f t="shared" ref="Q25:Q46" si="11">B25</f>
        <v>临街状况</v>
      </c>
      <c r="R25" s="2087" t="s">
        <v>1142</v>
      </c>
      <c r="S25" s="2088">
        <f>F25</f>
        <v>100</v>
      </c>
      <c r="T25" s="2087" t="s">
        <v>1142</v>
      </c>
      <c r="U25" s="2088">
        <f>H25</f>
        <v>100</v>
      </c>
      <c r="V25" s="2087" t="s">
        <v>1142</v>
      </c>
      <c r="W25" s="2088">
        <f>J25</f>
        <v>100</v>
      </c>
      <c r="X25" s="1415"/>
      <c r="Y25" s="1518"/>
      <c r="Z25" s="1510" t="str">
        <f>Q25</f>
        <v>临街状况</v>
      </c>
      <c r="AA25" s="1510">
        <f t="shared" si="3"/>
        <v>1</v>
      </c>
      <c r="AB25" s="1510">
        <f t="shared" si="4"/>
        <v>1</v>
      </c>
      <c r="AC25" s="1510">
        <f t="shared" si="5"/>
        <v>1</v>
      </c>
    </row>
    <row r="26" ht="15" spans="1:29">
      <c r="A26" s="1695"/>
      <c r="B26" s="1813" t="s">
        <v>1935</v>
      </c>
      <c r="C26" s="1491"/>
      <c r="D26" s="1492">
        <v>100</v>
      </c>
      <c r="E26" s="1491"/>
      <c r="F26" s="2148">
        <f>SUMIF(88:88,E26,89:89)-SUMIF(88:88,C26,89:89)+100</f>
        <v>100</v>
      </c>
      <c r="G26" s="1491"/>
      <c r="H26" s="1493">
        <f>SUMIF(88:88,G26,89:89)-SUMIF(88:88,C26,89:89)+100</f>
        <v>100</v>
      </c>
      <c r="I26" s="1491"/>
      <c r="J26" s="1493">
        <f>SUMIF(88:88,I26,89:89)-SUMIF(88:88,C26,89:89)+100</f>
        <v>100</v>
      </c>
      <c r="K26" s="1811"/>
      <c r="L26" s="1494"/>
      <c r="M26" s="1410"/>
      <c r="N26" s="1410"/>
      <c r="O26" s="1410"/>
      <c r="P26" s="1535"/>
      <c r="Q26" s="1070" t="str">
        <f t="shared" si="11"/>
        <v>平面位置/可视性</v>
      </c>
      <c r="R26" s="2087" t="s">
        <v>1142</v>
      </c>
      <c r="S26" s="2088">
        <f>F26</f>
        <v>100</v>
      </c>
      <c r="T26" s="2087" t="s">
        <v>1142</v>
      </c>
      <c r="U26" s="2088">
        <f>H26</f>
        <v>100</v>
      </c>
      <c r="V26" s="2087" t="s">
        <v>1142</v>
      </c>
      <c r="W26" s="2088">
        <f>J26</f>
        <v>100</v>
      </c>
      <c r="X26" s="1415"/>
      <c r="Y26" s="1518"/>
      <c r="Z26" s="1510" t="str">
        <f>Q26</f>
        <v>平面位置/可视性</v>
      </c>
      <c r="AA26" s="1510">
        <f t="shared" si="3"/>
        <v>1</v>
      </c>
      <c r="AB26" s="1510">
        <f t="shared" si="4"/>
        <v>1</v>
      </c>
      <c r="AC26" s="1510">
        <f t="shared" si="5"/>
        <v>1</v>
      </c>
    </row>
    <row r="27" s="1371" customFormat="1" ht="15" spans="1:29">
      <c r="A27" s="1743"/>
      <c r="B27" s="1801" t="s">
        <v>1936</v>
      </c>
      <c r="C27" s="2149"/>
      <c r="D27" s="2150">
        <v>100</v>
      </c>
      <c r="E27" s="2149"/>
      <c r="F27" s="2151">
        <f>SUMIF(90:90,E27,91:91)-SUMIF(90:90,C27,91:91)+100</f>
        <v>100</v>
      </c>
      <c r="G27" s="2149"/>
      <c r="H27" s="2152">
        <f>SUMIF(90:90,G27,91:91)-SUMIF(90:90,C27,91:91)+100</f>
        <v>100</v>
      </c>
      <c r="I27" s="2149"/>
      <c r="J27" s="2152">
        <f>SUMIF(90:90,I27,91:91)-SUMIF(90:90,C27,91:91)+100</f>
        <v>100</v>
      </c>
      <c r="K27" s="1812"/>
      <c r="L27" s="1453"/>
      <c r="M27" s="1454"/>
      <c r="N27" s="1454"/>
      <c r="O27" s="1454"/>
      <c r="P27" s="1535"/>
      <c r="Q27" s="1224" t="str">
        <f t="shared" si="11"/>
        <v>人流量</v>
      </c>
      <c r="R27" s="2078" t="s">
        <v>1142</v>
      </c>
      <c r="S27" s="2079">
        <f>F27</f>
        <v>100</v>
      </c>
      <c r="T27" s="2078" t="s">
        <v>1142</v>
      </c>
      <c r="U27" s="2079">
        <f>H27</f>
        <v>100</v>
      </c>
      <c r="V27" s="2078" t="s">
        <v>1142</v>
      </c>
      <c r="W27" s="2079">
        <f>J27</f>
        <v>100</v>
      </c>
      <c r="X27" s="1459"/>
      <c r="Y27" s="1518"/>
      <c r="Z27" s="1462" t="str">
        <f>Q27</f>
        <v>人流量</v>
      </c>
      <c r="AA27" s="1510">
        <f t="shared" si="3"/>
        <v>1</v>
      </c>
      <c r="AB27" s="1510">
        <f t="shared" si="4"/>
        <v>1</v>
      </c>
      <c r="AC27" s="1510">
        <f t="shared" si="5"/>
        <v>1</v>
      </c>
    </row>
    <row r="28" ht="15" spans="1:29">
      <c r="A28" s="1695"/>
      <c r="B28" s="1472" t="s">
        <v>1937</v>
      </c>
      <c r="C28" s="1533"/>
      <c r="D28" s="1492">
        <v>100</v>
      </c>
      <c r="E28" s="1533"/>
      <c r="F28" s="2148">
        <f>SUMIF(92:92,E28,93:93)-SUMIF(92:92,C28,93:93)+100</f>
        <v>100</v>
      </c>
      <c r="G28" s="1533"/>
      <c r="H28" s="1493">
        <f>SUMIF(92:92,G28,93:93)-SUMIF(92:92,C28,93:93)+100</f>
        <v>100</v>
      </c>
      <c r="I28" s="1533"/>
      <c r="J28" s="1493">
        <f>SUMIF(92:92,I28,93:93)-SUMIF(92:92,C28,93:93)+100</f>
        <v>100</v>
      </c>
      <c r="K28" s="1811"/>
      <c r="L28" s="1494"/>
      <c r="M28" s="1410"/>
      <c r="N28" s="1410"/>
      <c r="O28" s="1410"/>
      <c r="P28" s="1535"/>
      <c r="Q28" s="1070" t="str">
        <f t="shared" si="11"/>
        <v>楼层</v>
      </c>
      <c r="R28" s="2087" t="s">
        <v>1142</v>
      </c>
      <c r="S28" s="2088">
        <f t="shared" ref="S28:S46" si="12">F28</f>
        <v>100</v>
      </c>
      <c r="T28" s="2087" t="s">
        <v>1142</v>
      </c>
      <c r="U28" s="2088">
        <f t="shared" ref="U28:U46" si="13">H28</f>
        <v>100</v>
      </c>
      <c r="V28" s="2087" t="s">
        <v>1142</v>
      </c>
      <c r="W28" s="2088">
        <f t="shared" ref="W28:W46" si="14">J28</f>
        <v>100</v>
      </c>
      <c r="X28" s="1415"/>
      <c r="Y28" s="1518"/>
      <c r="Z28" s="1510" t="str">
        <f t="shared" ref="Z28:Z46" si="15">Q28</f>
        <v>楼层</v>
      </c>
      <c r="AA28" s="1510">
        <f t="shared" si="3"/>
        <v>1</v>
      </c>
      <c r="AB28" s="1510">
        <f t="shared" si="4"/>
        <v>1</v>
      </c>
      <c r="AC28" s="1510">
        <f t="shared" si="5"/>
        <v>1</v>
      </c>
    </row>
    <row r="29" ht="15" spans="1:29">
      <c r="A29" s="1695"/>
      <c r="B29" s="1813">
        <v>111</v>
      </c>
      <c r="C29" s="1491"/>
      <c r="D29" s="1492">
        <v>100</v>
      </c>
      <c r="E29" s="1491"/>
      <c r="F29" s="2148">
        <f>SUMIF(94:94,E29,95:95)-SUMIF(94:94,C29,95:95)+100</f>
        <v>100</v>
      </c>
      <c r="G29" s="1491"/>
      <c r="H29" s="1493">
        <f>SUMIF(94:94,G29,95:95)-SUMIF(94:94,C29,95:95)+100</f>
        <v>100</v>
      </c>
      <c r="I29" s="1491"/>
      <c r="J29" s="1493">
        <f>SUMIF(94:94,I29,95:95)-SUMIF(94:94,C29,95:95)+100</f>
        <v>100</v>
      </c>
      <c r="K29" s="1811"/>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5"/>
        <v>111</v>
      </c>
      <c r="AA29" s="1510">
        <f t="shared" si="3"/>
        <v>1</v>
      </c>
      <c r="AB29" s="1510">
        <f t="shared" si="4"/>
        <v>1</v>
      </c>
      <c r="AC29" s="1510">
        <f t="shared" si="5"/>
        <v>1</v>
      </c>
    </row>
    <row r="30" ht="15" spans="1:29">
      <c r="A30" s="1695"/>
      <c r="B30" s="1813">
        <v>111</v>
      </c>
      <c r="C30" s="1491"/>
      <c r="D30" s="1492">
        <v>100</v>
      </c>
      <c r="E30" s="1491"/>
      <c r="F30" s="2148">
        <f>SUMIF(96:96,E30,97:97)-SUMIF(96:96,C30,97:97)+100</f>
        <v>100</v>
      </c>
      <c r="G30" s="1491"/>
      <c r="H30" s="1493">
        <f>SUMIF(96:96,G30,97:97)-SUMIF(96:96,C30,97:97)+100</f>
        <v>100</v>
      </c>
      <c r="I30" s="1491"/>
      <c r="J30" s="1493">
        <f>SUMIF(96:96,I30,97:97)-SUMIF(96:96,C30,97:97)+100</f>
        <v>100</v>
      </c>
      <c r="K30" s="1811"/>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1510">
        <f t="shared" si="5"/>
        <v>1</v>
      </c>
    </row>
    <row r="31" ht="15.75" spans="1:29">
      <c r="A31" s="2085"/>
      <c r="B31" s="1813">
        <v>111</v>
      </c>
      <c r="C31" s="1497"/>
      <c r="D31" s="1498">
        <v>100</v>
      </c>
      <c r="E31" s="1491"/>
      <c r="F31" s="2140">
        <f>SUMIF(98:98,E31,99:99)-SUMIF(98:98,C31,99:99)+100</f>
        <v>100</v>
      </c>
      <c r="G31" s="1491"/>
      <c r="H31" s="1499">
        <f>SUMIF(98:98,G31,99:99)-SUMIF(98:98,C31,99:99)+100</f>
        <v>100</v>
      </c>
      <c r="I31" s="1491"/>
      <c r="J31" s="1499">
        <f>SUMIF(98:98,I31,99:99)-SUMIF(98:98,C31,99:99)+100</f>
        <v>100</v>
      </c>
      <c r="K31" s="1811"/>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1510">
        <f t="shared" si="5"/>
        <v>1</v>
      </c>
    </row>
    <row r="32" ht="15" spans="1:29">
      <c r="A32" s="1688" t="s">
        <v>1166</v>
      </c>
      <c r="B32" s="1466" t="s">
        <v>1938</v>
      </c>
      <c r="C32" s="2153"/>
      <c r="D32" s="1560">
        <v>100</v>
      </c>
      <c r="E32" s="2153"/>
      <c r="F32" s="2148">
        <f>SUMIF(100:100,E32,101:101)-SUMIF(100:100,C32,101:101)+100</f>
        <v>100</v>
      </c>
      <c r="G32" s="2153"/>
      <c r="H32" s="1493">
        <f>SUMIF(100:100,G32,101:101)-SUMIF(100:100,C32,101:101)+100</f>
        <v>100</v>
      </c>
      <c r="I32" s="2153"/>
      <c r="J32" s="1561">
        <f>SUMIF(100:100,I32,101:101)-SUMIF(100:100,C32,101:101)+100</f>
        <v>100</v>
      </c>
      <c r="K32" s="1812"/>
      <c r="L32" s="1494"/>
      <c r="M32" s="1410"/>
      <c r="N32" s="1410"/>
      <c r="O32" s="1410"/>
      <c r="P32" s="2103" t="s">
        <v>1169</v>
      </c>
      <c r="Q32" s="1070" t="str">
        <f t="shared" si="11"/>
        <v>商业类型</v>
      </c>
      <c r="R32" s="2087" t="s">
        <v>1142</v>
      </c>
      <c r="S32" s="2088">
        <f t="shared" si="12"/>
        <v>100</v>
      </c>
      <c r="T32" s="2087" t="s">
        <v>1142</v>
      </c>
      <c r="U32" s="2088">
        <f t="shared" si="13"/>
        <v>100</v>
      </c>
      <c r="V32" s="2087" t="s">
        <v>1142</v>
      </c>
      <c r="W32" s="2088">
        <f t="shared" si="14"/>
        <v>100</v>
      </c>
      <c r="X32" s="1415"/>
      <c r="Y32" s="1545" t="s">
        <v>1169</v>
      </c>
      <c r="Z32" s="1510" t="str">
        <f t="shared" si="15"/>
        <v>商业类型</v>
      </c>
      <c r="AA32" s="1510">
        <f t="shared" si="3"/>
        <v>1</v>
      </c>
      <c r="AB32" s="1510">
        <f t="shared" si="4"/>
        <v>1</v>
      </c>
      <c r="AC32" s="1510">
        <f t="shared" si="5"/>
        <v>1</v>
      </c>
    </row>
    <row r="33" s="1373" customFormat="1" ht="15" spans="1:29">
      <c r="A33" s="1764"/>
      <c r="B33" s="1472" t="s">
        <v>1170</v>
      </c>
      <c r="C33" s="2154"/>
      <c r="D33" s="1474">
        <v>100</v>
      </c>
      <c r="E33" s="1482"/>
      <c r="F33" s="2139" t="e">
        <f>LOOKUP(E33,103:103,104:104)-LOOKUP(C33,103:103,104:104)+100</f>
        <v>#N/A</v>
      </c>
      <c r="G33" s="1481"/>
      <c r="H33" s="1475" t="e">
        <f>LOOKUP(G33,103:103,104:104)-LOOKUP(C33,103:103,104:104)+100</f>
        <v>#N/A</v>
      </c>
      <c r="I33" s="1481"/>
      <c r="J33" s="1475" t="e">
        <f>LOOKUP(I33,103:103,104:104)-LOOKUP(C33,103:103,104:104)+100</f>
        <v>#N/A</v>
      </c>
      <c r="K33" s="1811"/>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5"/>
        <v>项目建筑规模</v>
      </c>
      <c r="AA33" s="1510" t="e">
        <f t="shared" si="3"/>
        <v>#N/A</v>
      </c>
      <c r="AB33" s="1510" t="e">
        <f t="shared" si="4"/>
        <v>#N/A</v>
      </c>
      <c r="AC33" s="1510" t="e">
        <f t="shared" si="5"/>
        <v>#N/A</v>
      </c>
    </row>
    <row r="34" ht="15" spans="1:29">
      <c r="A34" s="1773"/>
      <c r="B34" s="1472" t="s">
        <v>1171</v>
      </c>
      <c r="C34" s="2155"/>
      <c r="D34" s="1492">
        <v>100</v>
      </c>
      <c r="E34" s="2155"/>
      <c r="F34" s="2148">
        <f>SUMIF(105:105,E34,106:106)-SUMIF(105:105,C34,106:106)+100</f>
        <v>100</v>
      </c>
      <c r="G34" s="2155"/>
      <c r="H34" s="1493">
        <f>SUMIF(105:105,G34,106:106)-SUMIF(105:105,C34,106:106)+100</f>
        <v>100</v>
      </c>
      <c r="I34" s="2155"/>
      <c r="J34" s="1493">
        <f>SUMIF(105:105,I34,106:106)-SUMIF(105:105,C34,106:106)+100</f>
        <v>100</v>
      </c>
      <c r="K34" s="1812"/>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5"/>
        <v>建筑结构</v>
      </c>
      <c r="AA34" s="1510">
        <f t="shared" si="3"/>
        <v>1</v>
      </c>
      <c r="AB34" s="1510">
        <f t="shared" si="4"/>
        <v>1</v>
      </c>
      <c r="AC34" s="1510">
        <f t="shared" si="5"/>
        <v>1</v>
      </c>
    </row>
    <row r="35" ht="15" spans="1:29">
      <c r="A35" s="1773"/>
      <c r="B35" s="1472" t="s">
        <v>1173</v>
      </c>
      <c r="C35" s="1564"/>
      <c r="D35" s="1492">
        <v>100</v>
      </c>
      <c r="E35" s="1564"/>
      <c r="F35" s="2148">
        <f>SUMIF(107:107,E35,108:108)-SUMIF(107:107,C35,108:108)+100</f>
        <v>100</v>
      </c>
      <c r="G35" s="1564"/>
      <c r="H35" s="1493">
        <f>SUMIF(107:107,G35,108:108)-SUMIF(107:107,C35,108:108)+100</f>
        <v>100</v>
      </c>
      <c r="I35" s="1564"/>
      <c r="J35" s="1493">
        <f>SUMIF(107:107,I35,108:108)-SUMIF(107:107,C35,108:108)+100</f>
        <v>100</v>
      </c>
      <c r="K35" s="1812"/>
      <c r="L35" s="1494"/>
      <c r="M35" s="1410"/>
      <c r="N35" s="1410"/>
      <c r="O35" s="1410"/>
      <c r="P35" s="2104"/>
      <c r="Q35" s="1070" t="str">
        <f t="shared" si="11"/>
        <v>公共部分装修</v>
      </c>
      <c r="R35" s="2087" t="s">
        <v>1142</v>
      </c>
      <c r="S35" s="2088">
        <f t="shared" si="12"/>
        <v>100</v>
      </c>
      <c r="T35" s="2087" t="s">
        <v>1142</v>
      </c>
      <c r="U35" s="2088">
        <f t="shared" si="13"/>
        <v>100</v>
      </c>
      <c r="V35" s="2087" t="s">
        <v>1142</v>
      </c>
      <c r="W35" s="2088">
        <f t="shared" si="14"/>
        <v>100</v>
      </c>
      <c r="X35" s="1415"/>
      <c r="Y35" s="1545"/>
      <c r="Z35" s="1510" t="str">
        <f t="shared" si="15"/>
        <v>公共部分装修</v>
      </c>
      <c r="AA35" s="1510">
        <f t="shared" si="3"/>
        <v>1</v>
      </c>
      <c r="AB35" s="1510">
        <f t="shared" si="4"/>
        <v>1</v>
      </c>
      <c r="AC35" s="1510">
        <f t="shared" si="5"/>
        <v>1</v>
      </c>
    </row>
    <row r="36" ht="15" spans="1:29">
      <c r="A36" s="1773"/>
      <c r="B36" s="1472" t="s">
        <v>716</v>
      </c>
      <c r="C36" s="2156"/>
      <c r="D36" s="1492">
        <v>100</v>
      </c>
      <c r="E36" s="2156"/>
      <c r="F36" s="2148" t="e">
        <f>LOOKUP(E36,110:110,111:111)-LOOKUP(C36,110:110,111:111)+100</f>
        <v>#N/A</v>
      </c>
      <c r="G36" s="2156"/>
      <c r="H36" s="2148" t="e">
        <f>LOOKUP(G36,110:110,111:111)-LOOKUP(C36,110:110,111:111)+100</f>
        <v>#N/A</v>
      </c>
      <c r="I36" s="2156"/>
      <c r="J36" s="1493" t="e">
        <f>LOOKUP(I36,110:110,111:111)-LOOKUP(C36,110:110,111:111)+100</f>
        <v>#N/A</v>
      </c>
      <c r="K36" s="1812"/>
      <c r="L36" s="1494"/>
      <c r="M36" s="1410"/>
      <c r="N36" s="1410"/>
      <c r="O36" s="1410"/>
      <c r="P36" s="2104"/>
      <c r="Q36" s="1070" t="str">
        <f t="shared" si="11"/>
        <v>成新度</v>
      </c>
      <c r="R36" s="2087" t="s">
        <v>1142</v>
      </c>
      <c r="S36" s="2088" t="e">
        <f t="shared" si="12"/>
        <v>#N/A</v>
      </c>
      <c r="T36" s="2087" t="s">
        <v>1142</v>
      </c>
      <c r="U36" s="2088" t="e">
        <f t="shared" si="13"/>
        <v>#N/A</v>
      </c>
      <c r="V36" s="2087" t="s">
        <v>1142</v>
      </c>
      <c r="W36" s="2088" t="e">
        <f t="shared" si="14"/>
        <v>#N/A</v>
      </c>
      <c r="X36" s="1415"/>
      <c r="Y36" s="1545"/>
      <c r="Z36" s="1510" t="str">
        <f t="shared" si="15"/>
        <v>成新度</v>
      </c>
      <c r="AA36" s="1510" t="e">
        <f t="shared" si="3"/>
        <v>#N/A</v>
      </c>
      <c r="AB36" s="1510" t="e">
        <f t="shared" si="4"/>
        <v>#N/A</v>
      </c>
      <c r="AC36" s="1510" t="e">
        <f t="shared" si="5"/>
        <v>#N/A</v>
      </c>
    </row>
    <row r="37" s="1371" customFormat="1" ht="15" spans="1:29">
      <c r="A37" s="1980"/>
      <c r="B37" s="1472" t="s">
        <v>1176</v>
      </c>
      <c r="C37" s="1564"/>
      <c r="D37" s="1474">
        <v>100</v>
      </c>
      <c r="E37" s="1564"/>
      <c r="F37" s="2148">
        <f>SUMIF(112:112,E37,113:113)-SUMIF(112:112,C37,113:113)+100</f>
        <v>100</v>
      </c>
      <c r="G37" s="1564"/>
      <c r="H37" s="1493">
        <f>SUMIF(112:112,G37,113:113)-SUMIF(112:112,C37,113:113)+100</f>
        <v>100</v>
      </c>
      <c r="I37" s="1564"/>
      <c r="J37" s="1493">
        <f>SUMIF(112:112,I37,113:113)-SUMIF(112:112,C37,113:113)+100</f>
        <v>100</v>
      </c>
      <c r="K37" s="1812"/>
      <c r="L37" s="1453"/>
      <c r="M37" s="1454"/>
      <c r="N37" s="1454"/>
      <c r="O37" s="1454"/>
      <c r="P37" s="2104"/>
      <c r="Q37" s="1224" t="str">
        <f t="shared" si="11"/>
        <v>市政基础设施</v>
      </c>
      <c r="R37" s="2078" t="s">
        <v>1142</v>
      </c>
      <c r="S37" s="2079">
        <f t="shared" si="12"/>
        <v>100</v>
      </c>
      <c r="T37" s="2078" t="s">
        <v>1142</v>
      </c>
      <c r="U37" s="2079">
        <f t="shared" si="13"/>
        <v>100</v>
      </c>
      <c r="V37" s="2078" t="s">
        <v>1142</v>
      </c>
      <c r="W37" s="2079">
        <f t="shared" si="14"/>
        <v>100</v>
      </c>
      <c r="X37" s="1459"/>
      <c r="Y37" s="1545"/>
      <c r="Z37" s="1462" t="str">
        <f t="shared" si="15"/>
        <v>市政基础设施</v>
      </c>
      <c r="AA37" s="1462">
        <f t="shared" si="3"/>
        <v>1</v>
      </c>
      <c r="AB37" s="1462">
        <f t="shared" si="4"/>
        <v>1</v>
      </c>
      <c r="AC37" s="1462">
        <f t="shared" si="5"/>
        <v>1</v>
      </c>
    </row>
    <row r="38" ht="15" spans="1:29">
      <c r="A38" s="1773"/>
      <c r="B38" s="1472" t="s">
        <v>1939</v>
      </c>
      <c r="C38" s="1564"/>
      <c r="D38" s="1492">
        <v>100</v>
      </c>
      <c r="E38" s="1564"/>
      <c r="F38" s="2148">
        <f>SUMIF(114:114,E38,115:115)-SUMIF(114:114,C38,115:115)+100</f>
        <v>100</v>
      </c>
      <c r="G38" s="1564"/>
      <c r="H38" s="1493">
        <f>SUMIF(114:114,G38,115:115)-SUMIF(114:114,C38,115:115)+100</f>
        <v>100</v>
      </c>
      <c r="I38" s="1564"/>
      <c r="J38" s="1493">
        <f>SUMIF(114:114,I38,115:115)-SUMIF(114:114,C38,115:115)+100</f>
        <v>100</v>
      </c>
      <c r="K38" s="1812"/>
      <c r="L38" s="1494"/>
      <c r="M38" s="1410"/>
      <c r="N38" s="1410"/>
      <c r="O38" s="1410"/>
      <c r="P38" s="2104" t="s">
        <v>1169</v>
      </c>
      <c r="Q38" s="1070" t="str">
        <f t="shared" si="11"/>
        <v>业态</v>
      </c>
      <c r="R38" s="2087" t="s">
        <v>1142</v>
      </c>
      <c r="S38" s="2088">
        <f t="shared" si="12"/>
        <v>100</v>
      </c>
      <c r="T38" s="2087" t="s">
        <v>1142</v>
      </c>
      <c r="U38" s="2088">
        <f t="shared" si="13"/>
        <v>100</v>
      </c>
      <c r="V38" s="2087" t="s">
        <v>1142</v>
      </c>
      <c r="W38" s="2088">
        <f t="shared" si="14"/>
        <v>100</v>
      </c>
      <c r="X38" s="1415"/>
      <c r="Y38" s="1545" t="s">
        <v>1169</v>
      </c>
      <c r="Z38" s="1510" t="str">
        <f t="shared" si="15"/>
        <v>业态</v>
      </c>
      <c r="AA38" s="1510">
        <f t="shared" si="3"/>
        <v>1</v>
      </c>
      <c r="AB38" s="1510">
        <f t="shared" si="4"/>
        <v>1</v>
      </c>
      <c r="AC38" s="1510">
        <f t="shared" si="5"/>
        <v>1</v>
      </c>
    </row>
    <row r="39" ht="15" spans="1:29">
      <c r="A39" s="1773"/>
      <c r="B39" s="1472" t="s">
        <v>1940</v>
      </c>
      <c r="C39" s="1564"/>
      <c r="D39" s="1492">
        <v>100</v>
      </c>
      <c r="E39" s="1564"/>
      <c r="F39" s="2148">
        <f>SUMIF(116:116,E39,117:117)-SUMIF(116:116,C39,117:117)+100</f>
        <v>100</v>
      </c>
      <c r="G39" s="1564"/>
      <c r="H39" s="1493">
        <f>SUMIF(116:116,G39,117:117)-SUMIF(116:116,C39,117:117)+100</f>
        <v>100</v>
      </c>
      <c r="I39" s="1564"/>
      <c r="J39" s="1493">
        <f>SUMIF(116:116,I39,117:117)-SUMIF(116:116,C39,117:117)+100</f>
        <v>100</v>
      </c>
      <c r="K39" s="1812"/>
      <c r="L39" s="1494"/>
      <c r="M39" s="1410"/>
      <c r="N39" s="1410"/>
      <c r="O39" s="1410"/>
      <c r="P39" s="2104"/>
      <c r="Q39" s="1070" t="str">
        <f t="shared" si="11"/>
        <v>层高</v>
      </c>
      <c r="R39" s="2087" t="s">
        <v>1142</v>
      </c>
      <c r="S39" s="2088">
        <f t="shared" si="12"/>
        <v>100</v>
      </c>
      <c r="T39" s="2087" t="s">
        <v>1142</v>
      </c>
      <c r="U39" s="2088">
        <f t="shared" si="13"/>
        <v>100</v>
      </c>
      <c r="V39" s="2087" t="s">
        <v>1142</v>
      </c>
      <c r="W39" s="2088">
        <f t="shared" si="14"/>
        <v>100</v>
      </c>
      <c r="X39" s="1415"/>
      <c r="Y39" s="1545"/>
      <c r="Z39" s="1510" t="str">
        <f t="shared" si="15"/>
        <v>层高</v>
      </c>
      <c r="AA39" s="1510">
        <f t="shared" si="3"/>
        <v>1</v>
      </c>
      <c r="AB39" s="1510">
        <f t="shared" si="4"/>
        <v>1</v>
      </c>
      <c r="AC39" s="1510">
        <f t="shared" si="5"/>
        <v>1</v>
      </c>
    </row>
    <row r="40" ht="15" spans="1:29">
      <c r="A40" s="1773"/>
      <c r="B40" s="1472" t="s">
        <v>1941</v>
      </c>
      <c r="C40" s="2157"/>
      <c r="D40" s="1492">
        <v>100</v>
      </c>
      <c r="E40" s="2158"/>
      <c r="F40" s="2148">
        <f>SUMIF(118:118,E40,119:119)-SUMIF(118:118,C40,119:119)+100</f>
        <v>100</v>
      </c>
      <c r="G40" s="2158"/>
      <c r="H40" s="1493">
        <f>SUMIF(118:118,G40,119:119)-SUMIF(118:118,C40,119:119)+100</f>
        <v>100</v>
      </c>
      <c r="I40" s="2158"/>
      <c r="J40" s="1493">
        <f>SUMIF(118:118,I40,119:119)-SUMIF(118:118,C40,119:119)+100</f>
        <v>100</v>
      </c>
      <c r="K40" s="1811"/>
      <c r="L40" s="1494"/>
      <c r="M40" s="1410"/>
      <c r="N40" s="1410"/>
      <c r="O40" s="1410"/>
      <c r="P40" s="2104"/>
      <c r="Q40" s="1070" t="str">
        <f t="shared" si="11"/>
        <v>单套建筑面积</v>
      </c>
      <c r="R40" s="2087" t="s">
        <v>1142</v>
      </c>
      <c r="S40" s="2088">
        <f t="shared" si="12"/>
        <v>100</v>
      </c>
      <c r="T40" s="2087" t="s">
        <v>1142</v>
      </c>
      <c r="U40" s="2088">
        <f t="shared" si="13"/>
        <v>100</v>
      </c>
      <c r="V40" s="2087" t="s">
        <v>1142</v>
      </c>
      <c r="W40" s="2088">
        <f t="shared" si="14"/>
        <v>100</v>
      </c>
      <c r="X40" s="1415"/>
      <c r="Y40" s="1545"/>
      <c r="Z40" s="1510" t="str">
        <f t="shared" si="15"/>
        <v>单套建筑面积</v>
      </c>
      <c r="AA40" s="1510">
        <f t="shared" si="3"/>
        <v>1</v>
      </c>
      <c r="AB40" s="1510">
        <f t="shared" si="4"/>
        <v>1</v>
      </c>
      <c r="AC40" s="1510">
        <f t="shared" si="5"/>
        <v>1</v>
      </c>
    </row>
    <row r="41" s="1373" customFormat="1" ht="15" spans="1:29">
      <c r="A41" s="1764"/>
      <c r="B41" s="1597" t="s">
        <v>1942</v>
      </c>
      <c r="C41" s="1533"/>
      <c r="D41" s="1492">
        <v>100</v>
      </c>
      <c r="E41" s="1533"/>
      <c r="F41" s="2148">
        <f>SUMIF(120:120,E41,121:121)-SUMIF(120:120,C41,121:121)+100</f>
        <v>100</v>
      </c>
      <c r="G41" s="1533"/>
      <c r="H41" s="1493">
        <f>SUMIF(120:120,G41,121:121)-SUMIF(120:120,C41,121:121)+100</f>
        <v>100</v>
      </c>
      <c r="I41" s="1533"/>
      <c r="J41" s="1493">
        <f>SUMIF(120:120,I41,121:121)-SUMIF(120:120,C41,121:121)+100</f>
        <v>100</v>
      </c>
      <c r="K41" s="1812"/>
      <c r="L41" s="1484"/>
      <c r="M41" s="1551"/>
      <c r="N41" s="1551"/>
      <c r="O41" s="1551"/>
      <c r="P41" s="2104"/>
      <c r="Q41" s="2105" t="str">
        <f t="shared" si="11"/>
        <v>进深比</v>
      </c>
      <c r="R41" s="2106" t="s">
        <v>1142</v>
      </c>
      <c r="S41" s="2107">
        <f t="shared" si="12"/>
        <v>100</v>
      </c>
      <c r="T41" s="2106" t="s">
        <v>1142</v>
      </c>
      <c r="U41" s="2107">
        <f t="shared" si="13"/>
        <v>100</v>
      </c>
      <c r="V41" s="2106" t="s">
        <v>1142</v>
      </c>
      <c r="W41" s="2107">
        <f t="shared" si="14"/>
        <v>100</v>
      </c>
      <c r="X41" s="1556"/>
      <c r="Y41" s="1545"/>
      <c r="Z41" s="1557" t="str">
        <f t="shared" si="15"/>
        <v>进深比</v>
      </c>
      <c r="AA41" s="1510">
        <f t="shared" si="3"/>
        <v>1</v>
      </c>
      <c r="AB41" s="1510">
        <f t="shared" si="4"/>
        <v>1</v>
      </c>
      <c r="AC41" s="1510">
        <f t="shared" si="5"/>
        <v>1</v>
      </c>
    </row>
    <row r="42" ht="15" spans="1:29">
      <c r="A42" s="1773"/>
      <c r="B42" s="1472" t="s">
        <v>1177</v>
      </c>
      <c r="C42" s="1564"/>
      <c r="D42" s="1492">
        <v>100</v>
      </c>
      <c r="E42" s="1564"/>
      <c r="F42" s="2148">
        <f>SUMIF(122:122,E42,123:123)-SUMIF(122:122,C42,123:123)+100</f>
        <v>100</v>
      </c>
      <c r="G42" s="1564"/>
      <c r="H42" s="1493">
        <f>SUMIF(122:122,G42,123:123)-SUMIF(122:122,C42,123:123)+100</f>
        <v>100</v>
      </c>
      <c r="I42" s="1564"/>
      <c r="J42" s="1493">
        <f>SUMIF(122:122,I42,123:123)-SUMIF(122:122,C42,123:123)+100</f>
        <v>100</v>
      </c>
      <c r="K42" s="1812"/>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5"/>
        <v>内部装修</v>
      </c>
      <c r="AA42" s="1510">
        <f t="shared" si="3"/>
        <v>1</v>
      </c>
      <c r="AB42" s="1510">
        <f t="shared" si="4"/>
        <v>1</v>
      </c>
      <c r="AC42" s="1510">
        <f t="shared" si="5"/>
        <v>1</v>
      </c>
    </row>
    <row r="43" ht="15" spans="1:29">
      <c r="A43" s="1773"/>
      <c r="B43" s="1472" t="s">
        <v>1911</v>
      </c>
      <c r="C43" s="1564"/>
      <c r="D43" s="1492">
        <v>100</v>
      </c>
      <c r="E43" s="1564"/>
      <c r="F43" s="2148">
        <f>SUMIF(124:124,E43,125:125)-SUMIF(124:124,C43,125:125)+100</f>
        <v>100</v>
      </c>
      <c r="G43" s="1564"/>
      <c r="H43" s="1493">
        <f>SUMIF(124:124,G43,125:125)-SUMIF(124:124,C43,125:125)+100</f>
        <v>100</v>
      </c>
      <c r="I43" s="1564"/>
      <c r="J43" s="1493">
        <f>SUMIF(124:124,I43,125:125)-SUMIF(124:124,C43,125:125)+100</f>
        <v>100</v>
      </c>
      <c r="K43" s="1812"/>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5"/>
        <v>内部装修维护情况</v>
      </c>
      <c r="AA43" s="1510">
        <f t="shared" si="3"/>
        <v>1</v>
      </c>
      <c r="AB43" s="1510">
        <f t="shared" si="4"/>
        <v>1</v>
      </c>
      <c r="AC43" s="1510">
        <f t="shared" si="5"/>
        <v>1</v>
      </c>
    </row>
    <row r="44" s="1371" customFormat="1" ht="15" spans="1:29">
      <c r="A44" s="1980"/>
      <c r="B44" s="1813">
        <v>111</v>
      </c>
      <c r="C44" s="2154"/>
      <c r="D44" s="1474">
        <v>100</v>
      </c>
      <c r="E44" s="1491"/>
      <c r="F44" s="2139">
        <f>SUMIF(126:126,E44,127:127)-SUMIF(126:126,C44,127:127)+100</f>
        <v>100</v>
      </c>
      <c r="G44" s="1491"/>
      <c r="H44" s="1475">
        <f>SUMIF(126:126,G44,127:127)-SUMIF(126:126,C44,127:127)+100</f>
        <v>100</v>
      </c>
      <c r="I44" s="1491"/>
      <c r="J44" s="1475">
        <f>SUMIF(126:126,I44,127:127)-SUMIF(126:126,C44,127:127)+100</f>
        <v>100</v>
      </c>
      <c r="K44" s="1811"/>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5"/>
        <v>111</v>
      </c>
      <c r="AA44" s="1462">
        <f t="shared" si="3"/>
        <v>1</v>
      </c>
      <c r="AB44" s="1462">
        <f t="shared" si="4"/>
        <v>1</v>
      </c>
      <c r="AC44" s="1462">
        <f t="shared" si="5"/>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1811"/>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5"/>
        <v>111</v>
      </c>
      <c r="AA45" s="1510">
        <f t="shared" si="3"/>
        <v>1</v>
      </c>
      <c r="AB45" s="1510">
        <f t="shared" si="4"/>
        <v>1</v>
      </c>
      <c r="AC45" s="1510">
        <f t="shared" si="5"/>
        <v>1</v>
      </c>
    </row>
    <row r="46" ht="15.75" spans="1:29">
      <c r="A46" s="1981"/>
      <c r="B46" s="1496">
        <v>111</v>
      </c>
      <c r="C46" s="1497"/>
      <c r="D46" s="1498">
        <v>100</v>
      </c>
      <c r="E46" s="1491"/>
      <c r="F46" s="2140">
        <f>SUMIF(130:130,E46,131:131)-SUMIF(130:130,C46,131:131)+100</f>
        <v>100</v>
      </c>
      <c r="G46" s="1491"/>
      <c r="H46" s="1499">
        <f>SUMIF(130:130,G46,131:131)-SUMIF(130:130,C46,131:131)+100</f>
        <v>100</v>
      </c>
      <c r="I46" s="1491"/>
      <c r="J46" s="1499">
        <f>SUMIF(130:130,I46,131:131)-SUMIF(130:130,C46,131:131)+100</f>
        <v>100</v>
      </c>
      <c r="K46" s="1811"/>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5"/>
        <v>111</v>
      </c>
      <c r="AA46" s="1510">
        <f t="shared" si="3"/>
        <v>1</v>
      </c>
      <c r="AB46" s="1510">
        <f t="shared" si="4"/>
        <v>1</v>
      </c>
      <c r="AC46" s="1510">
        <f t="shared" si="5"/>
        <v>1</v>
      </c>
    </row>
    <row r="47" ht="15" spans="1:29">
      <c r="A47" s="1571" t="s">
        <v>1185</v>
      </c>
      <c r="B47" s="1986"/>
      <c r="C47" s="1987" t="s">
        <v>124</v>
      </c>
      <c r="D47" s="1817"/>
      <c r="E47" s="1575"/>
      <c r="F47" s="1576"/>
      <c r="G47" s="1577"/>
      <c r="H47" s="1578"/>
      <c r="I47" s="1575"/>
      <c r="J47" s="1578"/>
      <c r="K47" s="1579"/>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1587" t="e">
        <f>R48</f>
        <v>#DIV/0!</v>
      </c>
      <c r="F48" s="1589"/>
      <c r="G48" s="1590" t="e">
        <f>T48</f>
        <v>#DIV/0!</v>
      </c>
      <c r="H48" s="1589"/>
      <c r="I48" s="1587" t="e">
        <f>V48</f>
        <v>#DIV/0!</v>
      </c>
      <c r="J48" s="1589"/>
      <c r="K48" s="1591">
        <f>F48+H48+J48</f>
        <v>0</v>
      </c>
      <c r="L48" s="1580"/>
      <c r="M48" s="1581"/>
      <c r="N48" s="1410"/>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1594" t="e">
        <f>R49</f>
        <v>#DIV/0!</v>
      </c>
      <c r="D49" s="1787"/>
      <c r="E49" s="1787"/>
      <c r="F49" s="1787"/>
      <c r="G49" s="1787"/>
      <c r="H49" s="1787"/>
      <c r="I49" s="1787"/>
      <c r="J49" s="1787"/>
      <c r="K49" s="1989"/>
      <c r="L49" s="1580"/>
      <c r="M49" s="1581"/>
      <c r="N49" s="1410"/>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c r="P50" s="2159"/>
      <c r="Q50" s="1581"/>
      <c r="R50" s="1581"/>
      <c r="S50" s="1581"/>
      <c r="T50" s="1581"/>
      <c r="U50" s="1581"/>
      <c r="V50" s="1581"/>
      <c r="W50" s="1581"/>
      <c r="X50" s="1581"/>
      <c r="Y50" s="1581"/>
      <c r="Z50" s="1581"/>
      <c r="AA50" s="1581"/>
      <c r="AB50" s="1581"/>
      <c r="AC50" s="1581"/>
    </row>
    <row r="51" spans="1:29">
      <c r="A51" s="1581"/>
      <c r="B51" s="1581"/>
      <c r="C51" s="1581"/>
      <c r="D51" s="1581"/>
      <c r="E51" s="1581"/>
      <c r="F51" s="1581"/>
      <c r="G51" s="1581"/>
      <c r="H51" s="1581"/>
      <c r="I51" s="1581"/>
      <c r="J51" s="1581"/>
      <c r="K51" s="1601"/>
      <c r="L51" s="1602"/>
      <c r="M51" s="1581"/>
      <c r="N51" s="1581"/>
      <c r="O51" s="1581"/>
      <c r="P51" s="2159"/>
      <c r="Q51" s="1581"/>
      <c r="R51" s="1581"/>
      <c r="S51" s="1581"/>
      <c r="T51" s="1581"/>
      <c r="U51" s="1581"/>
      <c r="V51" s="1581"/>
      <c r="W51" s="1581"/>
      <c r="X51" s="1581"/>
      <c r="Y51" s="1581"/>
      <c r="Z51" s="1581"/>
      <c r="AA51" s="1581"/>
      <c r="AB51" s="1581"/>
      <c r="AC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c r="P52" s="2159"/>
      <c r="Q52" s="1581"/>
      <c r="R52" s="1581"/>
      <c r="S52" s="1581"/>
      <c r="T52" s="1581"/>
      <c r="U52" s="1581"/>
      <c r="V52" s="1581"/>
      <c r="W52" s="1581"/>
      <c r="X52" s="1581"/>
      <c r="Y52" s="1581"/>
      <c r="Z52" s="1581"/>
      <c r="AA52" s="1581"/>
      <c r="AB52" s="1581"/>
      <c r="AC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c r="P53" s="2159"/>
      <c r="Q53" s="1581"/>
      <c r="R53" s="1581"/>
      <c r="S53" s="1581"/>
      <c r="T53" s="1581"/>
      <c r="U53" s="1581"/>
      <c r="V53" s="1581"/>
      <c r="W53" s="1581"/>
      <c r="X53" s="1581"/>
      <c r="Y53" s="1581"/>
      <c r="Z53" s="1581"/>
      <c r="AA53" s="1581"/>
      <c r="AB53" s="1581"/>
      <c r="AC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160"/>
      <c r="Q54" s="1605"/>
      <c r="R54" s="1605"/>
      <c r="S54" s="1605"/>
      <c r="T54" s="1605"/>
      <c r="U54" s="1605"/>
      <c r="V54" s="1605"/>
      <c r="W54" s="1605"/>
      <c r="X54" s="1605"/>
      <c r="Y54" s="1605"/>
      <c r="Z54" s="1605"/>
      <c r="AA54" s="1605"/>
      <c r="AB54" s="1605"/>
      <c r="AC54" s="1605"/>
    </row>
    <row r="55" s="1374" customFormat="1" spans="1:29">
      <c r="A55" s="1605"/>
      <c r="B55" s="1608"/>
      <c r="C55" s="1992"/>
      <c r="D55" s="1605"/>
      <c r="E55" s="1605"/>
      <c r="F55" s="1605"/>
      <c r="G55" s="1605"/>
      <c r="H55" s="1605"/>
      <c r="I55" s="1605"/>
      <c r="J55" s="1605"/>
      <c r="K55" s="1606"/>
      <c r="L55" s="1607"/>
      <c r="M55" s="1605"/>
      <c r="N55" s="1605"/>
      <c r="O55" s="1605"/>
      <c r="P55" s="2160"/>
      <c r="Q55" s="1605"/>
      <c r="R55" s="1605"/>
      <c r="S55" s="1605"/>
      <c r="T55" s="1605"/>
      <c r="U55" s="1605"/>
      <c r="V55" s="1605"/>
      <c r="W55" s="1605"/>
      <c r="X55" s="1605"/>
      <c r="Y55" s="1605"/>
      <c r="Z55" s="1605"/>
      <c r="AA55" s="1605"/>
      <c r="AB55" s="1605"/>
      <c r="AC55" s="1605"/>
    </row>
    <row r="56" spans="1:29">
      <c r="A56" s="1581"/>
      <c r="B56" s="1608"/>
      <c r="C56" s="1992"/>
      <c r="D56" s="1581"/>
      <c r="E56" s="1581"/>
      <c r="F56" s="1581"/>
      <c r="G56" s="1581"/>
      <c r="H56" s="1581"/>
      <c r="I56" s="1581"/>
      <c r="J56" s="1581"/>
      <c r="K56" s="1601"/>
      <c r="L56" s="1602"/>
      <c r="M56" s="1581"/>
      <c r="N56" s="1581"/>
      <c r="O56" s="1581"/>
      <c r="P56" s="2159"/>
      <c r="Q56" s="1581"/>
      <c r="R56" s="1581"/>
      <c r="S56" s="1581"/>
      <c r="T56" s="1581"/>
      <c r="U56" s="1581"/>
      <c r="V56" s="1581"/>
      <c r="W56" s="1581"/>
      <c r="X56" s="1581"/>
      <c r="Y56" s="1581"/>
      <c r="Z56" s="1581"/>
      <c r="AA56" s="1581"/>
      <c r="AB56" s="1581"/>
      <c r="AC56" s="1581"/>
    </row>
    <row r="57" ht="21" spans="1:29">
      <c r="A57" s="1652" t="s">
        <v>1192</v>
      </c>
      <c r="B57" s="1583"/>
      <c r="C57" s="1653"/>
      <c r="D57" s="1653"/>
      <c r="E57" s="1653"/>
      <c r="F57" s="1654"/>
      <c r="G57" s="1654"/>
      <c r="H57" s="1653"/>
      <c r="I57" s="1653"/>
      <c r="J57" s="1653"/>
      <c r="K57" s="1655"/>
      <c r="L57" s="1845"/>
      <c r="M57" s="1657"/>
      <c r="N57" s="1657"/>
      <c r="O57" s="1657"/>
      <c r="P57" s="2161"/>
      <c r="Q57" s="1659"/>
      <c r="R57" s="1581"/>
      <c r="S57" s="1581"/>
      <c r="T57" s="1581"/>
      <c r="U57" s="1581"/>
      <c r="V57" s="1581"/>
      <c r="W57" s="1581"/>
      <c r="X57" s="1581"/>
      <c r="Y57" s="1581"/>
      <c r="Z57" s="1581"/>
      <c r="AA57" s="1581"/>
      <c r="AB57" s="1581"/>
      <c r="AC57" s="1581"/>
    </row>
    <row r="58" s="1376" customFormat="1" ht="15" spans="1:29">
      <c r="A58" s="1993" t="s">
        <v>1140</v>
      </c>
      <c r="B58" s="1994"/>
      <c r="C58" s="1995" t="str">
        <f>YEAR(C7)&amp;"-"&amp;MONTH(C7)</f>
        <v>2026-3</v>
      </c>
      <c r="D58" s="1996">
        <f>EDATE(C58,-1)</f>
        <v>46054</v>
      </c>
      <c r="E58" s="1996">
        <f t="shared" ref="E58:O58" si="16">EDATE(D58,-1)</f>
        <v>46023</v>
      </c>
      <c r="F58" s="1996">
        <f t="shared" si="16"/>
        <v>45992</v>
      </c>
      <c r="G58" s="1996">
        <f t="shared" si="16"/>
        <v>45962</v>
      </c>
      <c r="H58" s="1996">
        <f t="shared" si="16"/>
        <v>45931</v>
      </c>
      <c r="I58" s="1996">
        <f t="shared" si="16"/>
        <v>45901</v>
      </c>
      <c r="J58" s="1996">
        <f t="shared" si="16"/>
        <v>45870</v>
      </c>
      <c r="K58" s="1996">
        <f t="shared" si="16"/>
        <v>45839</v>
      </c>
      <c r="L58" s="1996">
        <f t="shared" si="16"/>
        <v>45809</v>
      </c>
      <c r="M58" s="1996">
        <f t="shared" si="16"/>
        <v>45778</v>
      </c>
      <c r="N58" s="1996">
        <f t="shared" si="16"/>
        <v>45748</v>
      </c>
      <c r="O58" s="1996">
        <f t="shared" si="16"/>
        <v>45717</v>
      </c>
      <c r="P58" s="2162"/>
      <c r="Q58" s="1664"/>
      <c r="R58" s="1664"/>
      <c r="S58" s="1664"/>
      <c r="T58" s="1664"/>
      <c r="U58" s="1664"/>
      <c r="V58" s="1664"/>
      <c r="W58" s="1664"/>
      <c r="X58" s="1664"/>
      <c r="Y58" s="1664"/>
      <c r="Z58" s="1664"/>
      <c r="AA58" s="1664"/>
      <c r="AB58" s="1664"/>
      <c r="AC58" s="1664"/>
    </row>
    <row r="59" s="1371" customFormat="1" ht="15" spans="1:29">
      <c r="A59" s="1997"/>
      <c r="B59" s="1678"/>
      <c r="C59" s="1998">
        <v>100</v>
      </c>
      <c r="D59" s="1686"/>
      <c r="E59" s="1686"/>
      <c r="F59" s="1686"/>
      <c r="G59" s="1686"/>
      <c r="H59" s="1686"/>
      <c r="I59" s="1686"/>
      <c r="J59" s="1686"/>
      <c r="K59" s="1686"/>
      <c r="L59" s="1686"/>
      <c r="M59" s="1926"/>
      <c r="N59" s="1686"/>
      <c r="O59" s="1926"/>
      <c r="P59" s="2163"/>
      <c r="Q59" s="1670"/>
      <c r="R59" s="1670"/>
      <c r="S59" s="1670"/>
      <c r="T59" s="1670"/>
      <c r="U59" s="1670"/>
      <c r="V59" s="1670"/>
      <c r="W59" s="1670"/>
      <c r="X59" s="1670"/>
      <c r="Y59" s="1670"/>
      <c r="Z59" s="1670"/>
      <c r="AA59" s="1670"/>
      <c r="AB59" s="1670"/>
      <c r="AC59" s="1670"/>
    </row>
    <row r="60" s="1371" customFormat="1" ht="15.75" spans="1:29">
      <c r="A60" s="1671" t="s">
        <v>1193</v>
      </c>
      <c r="B60" s="1672"/>
      <c r="C60" s="1673"/>
      <c r="D60" s="1674"/>
      <c r="E60" s="1674"/>
      <c r="F60" s="1674"/>
      <c r="G60" s="1674"/>
      <c r="H60" s="1674"/>
      <c r="I60" s="1674"/>
      <c r="J60" s="1674"/>
      <c r="K60" s="1674"/>
      <c r="L60" s="1674"/>
      <c r="M60" s="1675"/>
      <c r="N60" s="1674"/>
      <c r="O60" s="1675"/>
      <c r="P60" s="2163"/>
      <c r="Q60" s="1659"/>
      <c r="R60" s="1670"/>
      <c r="S60" s="1670"/>
      <c r="T60" s="1670"/>
      <c r="U60" s="1670"/>
      <c r="V60" s="1670"/>
      <c r="W60" s="1670"/>
      <c r="X60" s="1670"/>
      <c r="Y60" s="1670"/>
      <c r="Z60" s="1670"/>
      <c r="AA60" s="1670"/>
      <c r="AB60" s="1670"/>
      <c r="AC60" s="1670"/>
    </row>
    <row r="61" s="1371" customFormat="1" ht="15" spans="1:29">
      <c r="A61" s="1677" t="s">
        <v>1143</v>
      </c>
      <c r="B61" s="1678"/>
      <c r="C61" s="1679" t="s">
        <v>1194</v>
      </c>
      <c r="D61" s="1680"/>
      <c r="E61" s="1680"/>
      <c r="F61" s="1680"/>
      <c r="G61" s="1680"/>
      <c r="H61" s="1680"/>
      <c r="I61" s="1680"/>
      <c r="J61" s="1680"/>
      <c r="K61" s="1680"/>
      <c r="L61" s="1681"/>
      <c r="M61" s="1682"/>
      <c r="N61" s="1683"/>
      <c r="O61" s="1683"/>
      <c r="P61" s="2164"/>
      <c r="Q61" s="1659"/>
      <c r="R61" s="1670"/>
      <c r="S61" s="1670"/>
      <c r="T61" s="1670"/>
      <c r="U61" s="1670"/>
      <c r="V61" s="1670"/>
      <c r="W61" s="1670"/>
      <c r="X61" s="1670"/>
      <c r="Y61" s="1670"/>
      <c r="Z61" s="1670"/>
      <c r="AA61" s="1670"/>
      <c r="AB61" s="1670"/>
      <c r="AC61" s="1670"/>
    </row>
    <row r="62" s="1371" customFormat="1" ht="15.75" spans="1:29">
      <c r="A62" s="1677"/>
      <c r="B62" s="1678"/>
      <c r="C62" s="2116">
        <v>100</v>
      </c>
      <c r="D62" s="1686"/>
      <c r="E62" s="1686"/>
      <c r="F62" s="1686"/>
      <c r="G62" s="1686"/>
      <c r="H62" s="1686"/>
      <c r="I62" s="1686"/>
      <c r="J62" s="1686"/>
      <c r="K62" s="1686"/>
      <c r="L62" s="1686"/>
      <c r="M62" s="1687"/>
      <c r="N62" s="1683"/>
      <c r="O62" s="1683"/>
      <c r="P62" s="2163"/>
      <c r="Q62" s="1659"/>
      <c r="R62" s="1670"/>
      <c r="S62" s="1670"/>
      <c r="T62" s="1670"/>
      <c r="U62" s="1670"/>
      <c r="V62" s="1670"/>
      <c r="W62" s="1670"/>
      <c r="X62" s="1670"/>
      <c r="Y62" s="1670"/>
      <c r="Z62" s="1670"/>
      <c r="AA62" s="1670"/>
      <c r="AB62" s="1670"/>
      <c r="AC62" s="1670"/>
    </row>
    <row r="63" spans="1:29">
      <c r="A63" s="1688" t="s">
        <v>1196</v>
      </c>
      <c r="B63" s="1689" t="s">
        <v>1147</v>
      </c>
      <c r="C63" s="1618">
        <f>C9</f>
        <v>0</v>
      </c>
      <c r="D63" s="1690"/>
      <c r="E63" s="1690"/>
      <c r="F63" s="1690"/>
      <c r="G63" s="1690"/>
      <c r="H63" s="1690"/>
      <c r="I63" s="1690"/>
      <c r="J63" s="1690"/>
      <c r="K63" s="1691"/>
      <c r="L63" s="1692"/>
      <c r="M63" s="1693"/>
      <c r="N63" s="1694"/>
      <c r="O63" s="1694"/>
      <c r="P63" s="2165"/>
      <c r="Q63" s="1659"/>
      <c r="R63" s="1581"/>
      <c r="S63" s="1581"/>
      <c r="T63" s="1581"/>
      <c r="U63" s="1581"/>
      <c r="V63" s="1581"/>
      <c r="W63" s="1581"/>
      <c r="X63" s="1581"/>
      <c r="Y63" s="1581"/>
      <c r="Z63" s="1581"/>
      <c r="AA63" s="1581"/>
      <c r="AB63" s="1581"/>
      <c r="AC63" s="1581"/>
    </row>
    <row r="64" ht="15.75" spans="1:29">
      <c r="A64" s="1695"/>
      <c r="B64" s="1696"/>
      <c r="C64" s="1697">
        <v>100</v>
      </c>
      <c r="D64" s="1697"/>
      <c r="E64" s="1697"/>
      <c r="F64" s="1697"/>
      <c r="G64" s="1697"/>
      <c r="H64" s="1697"/>
      <c r="I64" s="1697"/>
      <c r="J64" s="1697"/>
      <c r="K64" s="1697"/>
      <c r="L64" s="1697"/>
      <c r="M64" s="1698"/>
      <c r="N64" s="1699"/>
      <c r="O64" s="1699"/>
      <c r="P64" s="2165"/>
      <c r="Q64" s="1659"/>
      <c r="R64" s="1581"/>
      <c r="S64" s="1581"/>
      <c r="T64" s="1581"/>
      <c r="U64" s="1581"/>
      <c r="V64" s="1581"/>
      <c r="W64" s="1581"/>
      <c r="X64" s="1581"/>
      <c r="Y64" s="1581"/>
      <c r="Z64" s="1581"/>
      <c r="AA64" s="1581"/>
      <c r="AB64" s="1581"/>
      <c r="AC64" s="1581"/>
    </row>
    <row r="65" ht="27.75" spans="1:29">
      <c r="A65" s="1695"/>
      <c r="B65" s="1700" t="s">
        <v>1151</v>
      </c>
      <c r="C65" s="1753"/>
      <c r="D65" s="1753"/>
      <c r="E65" s="1753"/>
      <c r="F65" s="1753"/>
      <c r="G65" s="1753"/>
      <c r="H65" s="1753"/>
      <c r="I65" s="1753"/>
      <c r="J65" s="1753"/>
      <c r="K65" s="1754"/>
      <c r="L65" s="1755"/>
      <c r="M65" s="1756"/>
      <c r="N65" s="1694"/>
      <c r="O65" s="1694"/>
      <c r="P65" s="2165"/>
      <c r="Q65" s="1659"/>
      <c r="R65" s="1581"/>
      <c r="S65" s="1581"/>
      <c r="T65" s="1581"/>
      <c r="U65" s="1581"/>
      <c r="V65" s="1581"/>
      <c r="W65" s="1581"/>
      <c r="X65" s="1581"/>
      <c r="Y65" s="1581"/>
      <c r="Z65" s="1581"/>
      <c r="AA65" s="1581"/>
      <c r="AB65" s="1581"/>
      <c r="AC65" s="1581"/>
    </row>
    <row r="66" ht="15.75" spans="1:29">
      <c r="A66" s="1695"/>
      <c r="B66" s="1705" t="s">
        <v>1199</v>
      </c>
      <c r="C66" s="1697"/>
      <c r="D66" s="1697"/>
      <c r="E66" s="1697"/>
      <c r="F66" s="1697"/>
      <c r="G66" s="1697"/>
      <c r="H66" s="1697"/>
      <c r="I66" s="1697"/>
      <c r="J66" s="1697"/>
      <c r="K66" s="1697"/>
      <c r="L66" s="1697"/>
      <c r="M66" s="1698"/>
      <c r="N66" s="1699"/>
      <c r="O66" s="1699"/>
      <c r="P66" s="2165"/>
      <c r="Q66" s="1659"/>
      <c r="R66" s="1581"/>
      <c r="S66" s="1581"/>
      <c r="T66" s="1581"/>
      <c r="U66" s="1581"/>
      <c r="V66" s="1581"/>
      <c r="W66" s="1581"/>
      <c r="X66" s="1581"/>
      <c r="Y66" s="1581"/>
      <c r="Z66" s="1581"/>
      <c r="AA66" s="1581"/>
      <c r="AB66" s="1581"/>
      <c r="AC66" s="1581"/>
    </row>
    <row r="67" ht="15.75" spans="1:29">
      <c r="A67" s="1695"/>
      <c r="B67" s="1708" t="s">
        <v>1154</v>
      </c>
      <c r="C67" s="1709" t="str">
        <f>C68&amp;"（含）"&amp;"-"&amp;D68</f>
        <v>0（含）-0.5</v>
      </c>
      <c r="D67" s="1709" t="str">
        <f t="shared" ref="D67:L67" si="17">D68&amp;"（含）"&amp;"-"&amp;E68</f>
        <v>0.5（含）-1</v>
      </c>
      <c r="E67" s="1709" t="str">
        <f t="shared" si="17"/>
        <v>1（含）-1.5</v>
      </c>
      <c r="F67" s="1709" t="str">
        <f t="shared" si="17"/>
        <v>1.5（含）-2</v>
      </c>
      <c r="G67" s="1709" t="str">
        <f t="shared" si="17"/>
        <v>2（含）-</v>
      </c>
      <c r="H67" s="1709" t="str">
        <f t="shared" si="17"/>
        <v>（含）-</v>
      </c>
      <c r="I67" s="1709" t="str">
        <f t="shared" si="17"/>
        <v>（含）-</v>
      </c>
      <c r="J67" s="1709" t="str">
        <f t="shared" si="17"/>
        <v>（含）-</v>
      </c>
      <c r="K67" s="1709" t="str">
        <f t="shared" si="17"/>
        <v>（含）-</v>
      </c>
      <c r="L67" s="1709" t="str">
        <f t="shared" si="17"/>
        <v>（含）-</v>
      </c>
      <c r="M67" s="1710" t="str">
        <f>M68&amp;"（含）"&amp;"-"&amp;P68</f>
        <v>（含）-</v>
      </c>
      <c r="N67" s="1699"/>
      <c r="O67" s="1699"/>
      <c r="P67" s="2165"/>
      <c r="Q67" s="1659"/>
      <c r="R67" s="1581"/>
      <c r="S67" s="1581"/>
      <c r="T67" s="1581"/>
      <c r="U67" s="1581"/>
      <c r="V67" s="1581"/>
      <c r="W67" s="1581"/>
      <c r="X67" s="1581"/>
      <c r="Y67" s="1581"/>
      <c r="Z67" s="1581"/>
      <c r="AA67" s="1581"/>
      <c r="AB67" s="1581"/>
      <c r="AC67" s="1581"/>
    </row>
    <row r="68" ht="15" spans="1:29">
      <c r="A68" s="1695"/>
      <c r="B68" s="1711"/>
      <c r="C68" s="1712">
        <v>0</v>
      </c>
      <c r="D68" s="1712">
        <v>0.5</v>
      </c>
      <c r="E68" s="1712">
        <v>1</v>
      </c>
      <c r="F68" s="1712">
        <v>1.5</v>
      </c>
      <c r="G68" s="1712">
        <v>2</v>
      </c>
      <c r="H68" s="1712"/>
      <c r="I68" s="1712"/>
      <c r="J68" s="1712"/>
      <c r="K68" s="1713"/>
      <c r="L68" s="1714"/>
      <c r="M68" s="1715"/>
      <c r="N68" s="1694"/>
      <c r="O68" s="1694"/>
      <c r="P68" s="2165"/>
      <c r="Q68" s="1659"/>
      <c r="R68" s="1581"/>
      <c r="S68" s="1581"/>
      <c r="T68" s="1581"/>
      <c r="U68" s="1581"/>
      <c r="V68" s="1581"/>
      <c r="W68" s="1581"/>
      <c r="X68" s="1581"/>
      <c r="Y68" s="1581"/>
      <c r="Z68" s="1581"/>
      <c r="AA68" s="1581"/>
      <c r="AB68" s="1581"/>
      <c r="AC68" s="1581"/>
    </row>
    <row r="69" ht="15.75" spans="1:29">
      <c r="A69" s="1695"/>
      <c r="B69" s="1696"/>
      <c r="C69" s="1706">
        <v>100</v>
      </c>
      <c r="D69" s="1706">
        <f t="shared" ref="D69:M69" si="18">C69-$K11</f>
        <v>100</v>
      </c>
      <c r="E69" s="1706">
        <f t="shared" si="18"/>
        <v>100</v>
      </c>
      <c r="F69" s="1706">
        <f t="shared" si="18"/>
        <v>100</v>
      </c>
      <c r="G69" s="1706">
        <f t="shared" si="18"/>
        <v>100</v>
      </c>
      <c r="H69" s="1706">
        <f t="shared" si="18"/>
        <v>100</v>
      </c>
      <c r="I69" s="1706">
        <f t="shared" si="18"/>
        <v>100</v>
      </c>
      <c r="J69" s="1706">
        <f t="shared" si="18"/>
        <v>100</v>
      </c>
      <c r="K69" s="1706">
        <f t="shared" si="18"/>
        <v>100</v>
      </c>
      <c r="L69" s="1706">
        <f t="shared" si="18"/>
        <v>100</v>
      </c>
      <c r="M69" s="1707">
        <f t="shared" si="18"/>
        <v>100</v>
      </c>
      <c r="N69" s="1699"/>
      <c r="O69" s="1699"/>
      <c r="P69" s="2165"/>
      <c r="Q69" s="1659"/>
      <c r="R69" s="1581"/>
      <c r="S69" s="1581"/>
      <c r="T69" s="1581"/>
      <c r="U69" s="1581"/>
      <c r="V69" s="1581"/>
      <c r="W69" s="1581"/>
      <c r="X69" s="1581"/>
      <c r="Y69" s="1581"/>
      <c r="Z69" s="1581"/>
      <c r="AA69" s="1581"/>
      <c r="AB69" s="1581"/>
      <c r="AC69" s="1581"/>
    </row>
    <row r="70" s="1373" customFormat="1" ht="15.75" spans="1:29">
      <c r="A70" s="1716"/>
      <c r="B70" s="1700">
        <f>B12</f>
        <v>111</v>
      </c>
      <c r="C70" s="1717"/>
      <c r="D70" s="1717"/>
      <c r="E70" s="1717"/>
      <c r="F70" s="1717"/>
      <c r="G70" s="1717"/>
      <c r="H70" s="1718"/>
      <c r="I70" s="1718"/>
      <c r="J70" s="1718"/>
      <c r="K70" s="1718"/>
      <c r="L70" s="1719"/>
      <c r="M70" s="1720"/>
      <c r="N70" s="1721"/>
      <c r="O70" s="1721"/>
      <c r="P70" s="2166"/>
      <c r="Q70" s="1722"/>
      <c r="R70" s="1723"/>
      <c r="S70" s="1723"/>
      <c r="T70" s="1723"/>
      <c r="U70" s="1723"/>
      <c r="V70" s="1723"/>
      <c r="W70" s="1723"/>
      <c r="X70" s="1723"/>
      <c r="Y70" s="1723"/>
      <c r="Z70" s="1723"/>
      <c r="AA70" s="1723"/>
      <c r="AB70" s="1723"/>
      <c r="AC70" s="1723"/>
    </row>
    <row r="71" s="1373" customFormat="1" ht="15.75" spans="1:29">
      <c r="A71" s="1716"/>
      <c r="B71" s="1705"/>
      <c r="C71" s="1724"/>
      <c r="D71" s="1697"/>
      <c r="E71" s="1697"/>
      <c r="F71" s="1697"/>
      <c r="G71" s="1697"/>
      <c r="H71" s="1697"/>
      <c r="I71" s="1697"/>
      <c r="J71" s="1697"/>
      <c r="K71" s="1697"/>
      <c r="L71" s="1697"/>
      <c r="M71" s="1698"/>
      <c r="N71" s="1699"/>
      <c r="O71" s="1699"/>
      <c r="P71" s="2166"/>
      <c r="Q71" s="1722"/>
      <c r="R71" s="1723"/>
      <c r="S71" s="1723"/>
      <c r="T71" s="1723"/>
      <c r="U71" s="1723"/>
      <c r="V71" s="1723"/>
      <c r="W71" s="1723"/>
      <c r="X71" s="1723"/>
      <c r="Y71" s="1723"/>
      <c r="Z71" s="1723"/>
      <c r="AA71" s="1723"/>
      <c r="AB71" s="1723"/>
      <c r="AC71" s="1723"/>
    </row>
    <row r="72" s="1373" customFormat="1" ht="15.75" spans="1:29">
      <c r="A72" s="1716"/>
      <c r="B72" s="1700">
        <f>B13</f>
        <v>111</v>
      </c>
      <c r="C72" s="1717"/>
      <c r="D72" s="1717"/>
      <c r="E72" s="1717"/>
      <c r="F72" s="1717"/>
      <c r="G72" s="1717"/>
      <c r="H72" s="1718"/>
      <c r="I72" s="1718"/>
      <c r="J72" s="1718"/>
      <c r="K72" s="1718"/>
      <c r="L72" s="1719"/>
      <c r="M72" s="1720"/>
      <c r="N72" s="1721"/>
      <c r="O72" s="1721"/>
      <c r="P72" s="2167"/>
      <c r="Q72" s="1725"/>
      <c r="R72" s="1723"/>
      <c r="S72" s="1723"/>
      <c r="T72" s="1723"/>
      <c r="U72" s="1723"/>
      <c r="V72" s="1723"/>
      <c r="W72" s="1723"/>
      <c r="X72" s="1723"/>
      <c r="Y72" s="1723"/>
      <c r="Z72" s="1723"/>
      <c r="AA72" s="1723"/>
      <c r="AB72" s="1723"/>
      <c r="AC72" s="1723"/>
    </row>
    <row r="73" s="1373" customFormat="1" ht="15.75" spans="1:29">
      <c r="A73" s="1716"/>
      <c r="B73" s="1705"/>
      <c r="C73" s="1724"/>
      <c r="D73" s="1697"/>
      <c r="E73" s="1697"/>
      <c r="F73" s="1697"/>
      <c r="G73" s="1724"/>
      <c r="H73" s="1726"/>
      <c r="I73" s="1726"/>
      <c r="J73" s="1726"/>
      <c r="K73" s="1726"/>
      <c r="L73" s="1726"/>
      <c r="M73" s="1727"/>
      <c r="N73" s="1721"/>
      <c r="O73" s="1721"/>
      <c r="P73" s="2166"/>
      <c r="Q73" s="1722"/>
      <c r="R73" s="1723"/>
      <c r="S73" s="1723"/>
      <c r="T73" s="1723"/>
      <c r="U73" s="1723"/>
      <c r="V73" s="1723"/>
      <c r="W73" s="1723"/>
      <c r="X73" s="1723"/>
      <c r="Y73" s="1723"/>
      <c r="Z73" s="1723"/>
      <c r="AA73" s="1723"/>
      <c r="AB73" s="1723"/>
      <c r="AC73" s="1723"/>
    </row>
    <row r="74" s="1373" customFormat="1" ht="15.75" spans="1:29">
      <c r="A74" s="1716"/>
      <c r="B74" s="1708">
        <f>B14</f>
        <v>111</v>
      </c>
      <c r="C74" s="1717"/>
      <c r="D74" s="1717"/>
      <c r="E74" s="1717"/>
      <c r="F74" s="1717"/>
      <c r="G74" s="1680"/>
      <c r="H74" s="1728"/>
      <c r="I74" s="1728"/>
      <c r="J74" s="1728"/>
      <c r="K74" s="1728"/>
      <c r="L74" s="1729"/>
      <c r="M74" s="1730"/>
      <c r="N74" s="1721"/>
      <c r="O74" s="1721"/>
      <c r="P74" s="2168"/>
      <c r="Q74" s="1722"/>
      <c r="R74" s="1723"/>
      <c r="S74" s="1723"/>
      <c r="T74" s="1723"/>
      <c r="U74" s="1723"/>
      <c r="V74" s="1723"/>
      <c r="W74" s="1723"/>
      <c r="X74" s="1723"/>
      <c r="Y74" s="1723"/>
      <c r="Z74" s="1723"/>
      <c r="AA74" s="1723"/>
      <c r="AB74" s="1723"/>
      <c r="AC74" s="1723"/>
    </row>
    <row r="75" s="1373" customFormat="1" ht="15.75" spans="1:29">
      <c r="A75" s="1732"/>
      <c r="B75" s="1733"/>
      <c r="C75" s="1734"/>
      <c r="D75" s="1734"/>
      <c r="E75" s="1734"/>
      <c r="F75" s="1734"/>
      <c r="G75" s="1734"/>
      <c r="H75" s="1735"/>
      <c r="I75" s="1735"/>
      <c r="J75" s="1735"/>
      <c r="K75" s="1735"/>
      <c r="L75" s="1735"/>
      <c r="M75" s="1736"/>
      <c r="N75" s="1721"/>
      <c r="O75" s="1721"/>
      <c r="P75" s="2166"/>
      <c r="Q75" s="1722"/>
      <c r="R75" s="1723"/>
      <c r="S75" s="1723"/>
      <c r="T75" s="1723"/>
      <c r="U75" s="1723"/>
      <c r="V75" s="1723"/>
      <c r="W75" s="1723"/>
      <c r="X75" s="1723"/>
      <c r="Y75" s="1723"/>
      <c r="Z75" s="1723"/>
      <c r="AA75" s="1723"/>
      <c r="AB75" s="1723"/>
      <c r="AC75" s="1723"/>
    </row>
    <row r="76" spans="1:29">
      <c r="A76" s="1688" t="s">
        <v>1155</v>
      </c>
      <c r="B76" s="1689" t="s">
        <v>1904</v>
      </c>
      <c r="C76" s="1737" t="s">
        <v>1200</v>
      </c>
      <c r="D76" s="1737" t="s">
        <v>1201</v>
      </c>
      <c r="E76" s="1737" t="s">
        <v>1202</v>
      </c>
      <c r="F76" s="1737" t="s">
        <v>1203</v>
      </c>
      <c r="G76" s="1737" t="s">
        <v>1204</v>
      </c>
      <c r="H76" s="1618"/>
      <c r="I76" s="1618"/>
      <c r="J76" s="1618"/>
      <c r="K76" s="1738"/>
      <c r="L76" s="1739"/>
      <c r="M76" s="1740"/>
      <c r="N76" s="1694"/>
      <c r="O76" s="1694"/>
      <c r="P76" s="2169"/>
      <c r="Q76" s="1659"/>
      <c r="R76" s="1581"/>
      <c r="S76" s="1581"/>
      <c r="T76" s="1581"/>
      <c r="U76" s="1581"/>
      <c r="V76" s="1581"/>
      <c r="W76" s="1581"/>
      <c r="X76" s="1581"/>
      <c r="Y76" s="1581"/>
      <c r="Z76" s="1581"/>
      <c r="AA76" s="1581"/>
      <c r="AB76" s="1581"/>
      <c r="AC76" s="1581"/>
    </row>
    <row r="77" ht="15.75" spans="1:29">
      <c r="A77" s="1695"/>
      <c r="B77" s="1705"/>
      <c r="C77" s="1706">
        <v>100</v>
      </c>
      <c r="D77" s="1706">
        <f>C77-$K15</f>
        <v>100</v>
      </c>
      <c r="E77" s="1706">
        <f>D77-$K15</f>
        <v>100</v>
      </c>
      <c r="F77" s="1706">
        <f>E77-$K15</f>
        <v>100</v>
      </c>
      <c r="G77" s="1706">
        <f>F77-$K15</f>
        <v>100</v>
      </c>
      <c r="H77" s="1706"/>
      <c r="I77" s="1706"/>
      <c r="J77" s="1706"/>
      <c r="K77" s="1706"/>
      <c r="L77" s="1706"/>
      <c r="M77" s="1707"/>
      <c r="N77" s="1699"/>
      <c r="O77" s="1699"/>
      <c r="P77" s="2165"/>
      <c r="Q77" s="1659"/>
      <c r="R77" s="1581"/>
      <c r="S77" s="1581"/>
      <c r="T77" s="1581"/>
      <c r="U77" s="1581"/>
      <c r="V77" s="1581"/>
      <c r="W77" s="1581"/>
      <c r="X77" s="1581"/>
      <c r="Y77" s="1581"/>
      <c r="Z77" s="1581"/>
      <c r="AA77" s="1581"/>
      <c r="AB77" s="1581"/>
      <c r="AC77" s="1581"/>
    </row>
    <row r="78" ht="15.75" spans="1:29">
      <c r="A78" s="1695"/>
      <c r="B78" s="1700" t="s">
        <v>1159</v>
      </c>
      <c r="C78" s="1742" t="s">
        <v>1200</v>
      </c>
      <c r="D78" s="1742" t="s">
        <v>1201</v>
      </c>
      <c r="E78" s="1742" t="s">
        <v>1202</v>
      </c>
      <c r="F78" s="1742" t="s">
        <v>1203</v>
      </c>
      <c r="G78" s="1742" t="s">
        <v>1204</v>
      </c>
      <c r="H78" s="1701"/>
      <c r="I78" s="1701"/>
      <c r="J78" s="1701"/>
      <c r="K78" s="1702"/>
      <c r="L78" s="1703"/>
      <c r="M78" s="1704"/>
      <c r="N78" s="1694"/>
      <c r="O78" s="1694"/>
      <c r="P78" s="2165"/>
      <c r="Q78" s="1659"/>
      <c r="R78" s="1581"/>
      <c r="S78" s="1581"/>
      <c r="T78" s="1581"/>
      <c r="U78" s="1581"/>
      <c r="V78" s="1581"/>
      <c r="W78" s="1581"/>
      <c r="X78" s="1581"/>
      <c r="Y78" s="1581"/>
      <c r="Z78" s="1581"/>
      <c r="AA78" s="1581"/>
      <c r="AB78" s="1581"/>
      <c r="AC78" s="1581"/>
    </row>
    <row r="79" ht="15.75" spans="1:29">
      <c r="A79" s="1695"/>
      <c r="B79" s="1705"/>
      <c r="C79" s="1706">
        <v>100</v>
      </c>
      <c r="D79" s="1706">
        <f>C79-$K17</f>
        <v>100</v>
      </c>
      <c r="E79" s="1706">
        <f>D79-$K17</f>
        <v>100</v>
      </c>
      <c r="F79" s="1706">
        <f>E79-$K17</f>
        <v>100</v>
      </c>
      <c r="G79" s="1706">
        <f>F79-$K17</f>
        <v>100</v>
      </c>
      <c r="H79" s="1706"/>
      <c r="I79" s="1706"/>
      <c r="J79" s="1706"/>
      <c r="K79" s="1706"/>
      <c r="L79" s="1706"/>
      <c r="M79" s="1707"/>
      <c r="N79" s="1699"/>
      <c r="O79" s="1699"/>
      <c r="P79" s="2165"/>
      <c r="Q79" s="1659"/>
      <c r="R79" s="1581"/>
      <c r="S79" s="1581"/>
      <c r="T79" s="1581"/>
      <c r="U79" s="1581"/>
      <c r="V79" s="1581"/>
      <c r="W79" s="1581"/>
      <c r="X79" s="1581"/>
      <c r="Y79" s="1581"/>
      <c r="Z79" s="1581"/>
      <c r="AA79" s="1581"/>
      <c r="AB79" s="1581"/>
      <c r="AC79" s="1581"/>
    </row>
    <row r="80" ht="15.75" spans="1:29">
      <c r="A80" s="1695"/>
      <c r="B80" s="1700" t="s">
        <v>1160</v>
      </c>
      <c r="C80" s="1742" t="s">
        <v>1200</v>
      </c>
      <c r="D80" s="1742" t="s">
        <v>1201</v>
      </c>
      <c r="E80" s="1742" t="s">
        <v>1202</v>
      </c>
      <c r="F80" s="1742" t="s">
        <v>1203</v>
      </c>
      <c r="G80" s="1742" t="s">
        <v>1204</v>
      </c>
      <c r="H80" s="1701"/>
      <c r="I80" s="1701"/>
      <c r="J80" s="1701"/>
      <c r="K80" s="1702"/>
      <c r="L80" s="1703"/>
      <c r="M80" s="1704"/>
      <c r="N80" s="1694"/>
      <c r="O80" s="1694"/>
      <c r="P80" s="2165"/>
      <c r="Q80" s="1659"/>
      <c r="R80" s="1581"/>
      <c r="S80" s="1581"/>
      <c r="T80" s="1581"/>
      <c r="U80" s="1581"/>
      <c r="V80" s="1581"/>
      <c r="W80" s="1581"/>
      <c r="X80" s="1581"/>
      <c r="Y80" s="1581"/>
      <c r="Z80" s="1581"/>
      <c r="AA80" s="1581"/>
      <c r="AB80" s="1581"/>
      <c r="AC80" s="1581"/>
    </row>
    <row r="81" ht="15.75" spans="1:29">
      <c r="A81" s="1695"/>
      <c r="B81" s="1705"/>
      <c r="C81" s="1706">
        <v>100</v>
      </c>
      <c r="D81" s="1706">
        <f>C81-$K19</f>
        <v>100</v>
      </c>
      <c r="E81" s="1706">
        <f>D81-$K19</f>
        <v>100</v>
      </c>
      <c r="F81" s="1706">
        <f>E81-$K19</f>
        <v>100</v>
      </c>
      <c r="G81" s="1706">
        <f>F81-$K19</f>
        <v>100</v>
      </c>
      <c r="H81" s="1706"/>
      <c r="I81" s="1706"/>
      <c r="J81" s="1706"/>
      <c r="K81" s="1706"/>
      <c r="L81" s="1706"/>
      <c r="M81" s="1707"/>
      <c r="N81" s="1699"/>
      <c r="O81" s="1699"/>
      <c r="P81" s="2165"/>
      <c r="Q81" s="1659"/>
      <c r="R81" s="1581"/>
      <c r="S81" s="1581"/>
      <c r="T81" s="1581"/>
      <c r="U81" s="1581"/>
      <c r="V81" s="1581"/>
      <c r="W81" s="1581"/>
      <c r="X81" s="1581"/>
      <c r="Y81" s="1581"/>
      <c r="Z81" s="1581"/>
      <c r="AA81" s="1581"/>
      <c r="AB81" s="1581"/>
      <c r="AC81" s="1581"/>
    </row>
    <row r="82" ht="15.75" spans="1:29">
      <c r="A82" s="1695"/>
      <c r="B82" s="1708" t="s">
        <v>1162</v>
      </c>
      <c r="C82" s="1518" t="s">
        <v>1205</v>
      </c>
      <c r="D82" s="1518" t="s">
        <v>1206</v>
      </c>
      <c r="E82" s="1518" t="s">
        <v>1207</v>
      </c>
      <c r="F82" s="1518" t="s">
        <v>1208</v>
      </c>
      <c r="G82" s="1518" t="s">
        <v>1209</v>
      </c>
      <c r="H82" s="1701"/>
      <c r="I82" s="1701"/>
      <c r="J82" s="1701"/>
      <c r="K82" s="1701"/>
      <c r="L82" s="1701"/>
      <c r="M82" s="1999"/>
      <c r="N82" s="1699"/>
      <c r="O82" s="1699"/>
      <c r="P82" s="2165"/>
      <c r="Q82" s="1659"/>
      <c r="R82" s="1581"/>
      <c r="S82" s="1581"/>
      <c r="T82" s="1581"/>
      <c r="U82" s="1581"/>
      <c r="V82" s="1581"/>
      <c r="W82" s="1581"/>
      <c r="X82" s="1581"/>
      <c r="Y82" s="1581"/>
      <c r="Z82" s="1581"/>
      <c r="AA82" s="1581"/>
      <c r="AB82" s="1581"/>
      <c r="AC82" s="1581"/>
    </row>
    <row r="83" ht="15.75" spans="1:29">
      <c r="A83" s="1695"/>
      <c r="B83" s="1708"/>
      <c r="C83" s="1706">
        <v>100</v>
      </c>
      <c r="D83" s="1706">
        <f>C83-$K21</f>
        <v>100</v>
      </c>
      <c r="E83" s="1706">
        <f t="shared" ref="E83:G83" si="19">D83-$K21</f>
        <v>100</v>
      </c>
      <c r="F83" s="1706">
        <f t="shared" si="19"/>
        <v>100</v>
      </c>
      <c r="G83" s="1706">
        <f t="shared" si="19"/>
        <v>100</v>
      </c>
      <c r="H83" s="1518"/>
      <c r="I83" s="1518"/>
      <c r="J83" s="1518"/>
      <c r="K83" s="1518"/>
      <c r="L83" s="1518"/>
      <c r="M83" s="1948"/>
      <c r="N83" s="1699"/>
      <c r="O83" s="1699"/>
      <c r="P83" s="2165"/>
      <c r="Q83" s="1659"/>
      <c r="R83" s="1581"/>
      <c r="S83" s="1581"/>
      <c r="T83" s="1581"/>
      <c r="U83" s="1581"/>
      <c r="V83" s="1581"/>
      <c r="W83" s="1581"/>
      <c r="X83" s="1581"/>
      <c r="Y83" s="1581"/>
      <c r="Z83" s="1581"/>
      <c r="AA83" s="1581"/>
      <c r="AB83" s="1581"/>
      <c r="AC83" s="1581"/>
    </row>
    <row r="84" ht="15.75" spans="1:29">
      <c r="A84" s="1695"/>
      <c r="B84" s="1700" t="s">
        <v>1905</v>
      </c>
      <c r="C84" s="1742" t="s">
        <v>1200</v>
      </c>
      <c r="D84" s="1742" t="s">
        <v>1201</v>
      </c>
      <c r="E84" s="1742" t="s">
        <v>1202</v>
      </c>
      <c r="F84" s="1742" t="s">
        <v>1203</v>
      </c>
      <c r="G84" s="1742" t="s">
        <v>1204</v>
      </c>
      <c r="H84" s="1701"/>
      <c r="I84" s="1701"/>
      <c r="J84" s="1701"/>
      <c r="K84" s="1702"/>
      <c r="L84" s="1703"/>
      <c r="M84" s="1704"/>
      <c r="N84" s="1694"/>
      <c r="O84" s="1694"/>
      <c r="P84" s="2165"/>
      <c r="Q84" s="1659"/>
      <c r="R84" s="1581"/>
      <c r="S84" s="1581"/>
      <c r="T84" s="1581"/>
      <c r="U84" s="1581"/>
      <c r="V84" s="1581"/>
      <c r="W84" s="1581"/>
      <c r="X84" s="1581"/>
      <c r="Y84" s="1581"/>
      <c r="Z84" s="1581"/>
      <c r="AA84" s="1581"/>
      <c r="AB84" s="1581"/>
      <c r="AC84" s="1581"/>
    </row>
    <row r="85" ht="15.75" spans="1:29">
      <c r="A85" s="1695"/>
      <c r="B85" s="1705"/>
      <c r="C85" s="1706">
        <v>100</v>
      </c>
      <c r="D85" s="1706">
        <f>C85-$K23</f>
        <v>100</v>
      </c>
      <c r="E85" s="1706">
        <f>D85-$K23</f>
        <v>100</v>
      </c>
      <c r="F85" s="1706">
        <f>E85-$K23</f>
        <v>100</v>
      </c>
      <c r="G85" s="1706">
        <f>F85-$K23</f>
        <v>100</v>
      </c>
      <c r="H85" s="1706"/>
      <c r="I85" s="1706"/>
      <c r="J85" s="1706"/>
      <c r="K85" s="1706"/>
      <c r="L85" s="1706"/>
      <c r="M85" s="1707"/>
      <c r="N85" s="1699"/>
      <c r="O85" s="1699"/>
      <c r="P85" s="2165"/>
      <c r="Q85" s="1659"/>
      <c r="R85" s="1581"/>
      <c r="S85" s="1581"/>
      <c r="T85" s="1581"/>
      <c r="U85" s="1581"/>
      <c r="V85" s="1581"/>
      <c r="W85" s="1581"/>
      <c r="X85" s="1581"/>
      <c r="Y85" s="1581"/>
      <c r="Z85" s="1581"/>
      <c r="AA85" s="1581"/>
      <c r="AB85" s="1581"/>
      <c r="AC85" s="1581"/>
    </row>
    <row r="86" s="1371" customFormat="1" ht="15.75" spans="1:29">
      <c r="A86" s="1743"/>
      <c r="B86" s="1700" t="s">
        <v>1934</v>
      </c>
      <c r="C86" s="1717"/>
      <c r="D86" s="1717"/>
      <c r="E86" s="1717"/>
      <c r="F86" s="1717"/>
      <c r="G86" s="1717"/>
      <c r="H86" s="1717"/>
      <c r="I86" s="1717"/>
      <c r="J86" s="1717"/>
      <c r="K86" s="1717"/>
      <c r="L86" s="2000"/>
      <c r="M86" s="2001"/>
      <c r="N86" s="1683"/>
      <c r="O86" s="1683"/>
      <c r="P86" s="2165"/>
      <c r="Q86" s="1659"/>
      <c r="R86" s="1670"/>
      <c r="S86" s="1670"/>
      <c r="T86" s="1670"/>
      <c r="U86" s="1670"/>
      <c r="V86" s="1670"/>
      <c r="W86" s="1670"/>
      <c r="X86" s="1670"/>
      <c r="Y86" s="1670"/>
      <c r="Z86" s="1670"/>
      <c r="AA86" s="1670"/>
      <c r="AB86" s="1670"/>
      <c r="AC86" s="1670"/>
    </row>
    <row r="87" s="1371" customFormat="1" ht="15.75" spans="1:29">
      <c r="A87" s="1743"/>
      <c r="B87" s="1705"/>
      <c r="C87" s="1746">
        <v>100</v>
      </c>
      <c r="D87" s="1706">
        <f t="shared" ref="D87:M87" si="20">C87-$K25</f>
        <v>100</v>
      </c>
      <c r="E87" s="1706">
        <f t="shared" si="20"/>
        <v>100</v>
      </c>
      <c r="F87" s="1706">
        <f t="shared" si="20"/>
        <v>100</v>
      </c>
      <c r="G87" s="1706">
        <f t="shared" si="20"/>
        <v>100</v>
      </c>
      <c r="H87" s="1706">
        <f t="shared" si="20"/>
        <v>100</v>
      </c>
      <c r="I87" s="1706">
        <f t="shared" si="20"/>
        <v>100</v>
      </c>
      <c r="J87" s="1706">
        <f t="shared" si="20"/>
        <v>100</v>
      </c>
      <c r="K87" s="1706">
        <f t="shared" si="20"/>
        <v>100</v>
      </c>
      <c r="L87" s="1706">
        <f t="shared" si="20"/>
        <v>100</v>
      </c>
      <c r="M87" s="1706">
        <f t="shared" si="20"/>
        <v>100</v>
      </c>
      <c r="N87" s="1699"/>
      <c r="O87" s="1699"/>
      <c r="P87" s="2165"/>
      <c r="Q87" s="1659"/>
      <c r="R87" s="1670"/>
      <c r="S87" s="1670"/>
      <c r="T87" s="1670"/>
      <c r="U87" s="1670"/>
      <c r="V87" s="1670"/>
      <c r="W87" s="1670"/>
      <c r="X87" s="1670"/>
      <c r="Y87" s="1670"/>
      <c r="Z87" s="1670"/>
      <c r="AA87" s="1670"/>
      <c r="AB87" s="1670"/>
      <c r="AC87" s="1670"/>
    </row>
    <row r="88" s="1371" customFormat="1" ht="15.75" spans="1:29">
      <c r="A88" s="1743"/>
      <c r="B88" s="1700" t="str">
        <f>B26</f>
        <v>平面位置/可视性</v>
      </c>
      <c r="C88" s="1717"/>
      <c r="D88" s="1717"/>
      <c r="E88" s="1717"/>
      <c r="F88" s="2118"/>
      <c r="G88" s="1717"/>
      <c r="H88" s="1717"/>
      <c r="I88" s="1717"/>
      <c r="J88" s="1717"/>
      <c r="K88" s="1717"/>
      <c r="L88" s="1717"/>
      <c r="M88" s="2001"/>
      <c r="N88" s="1683"/>
      <c r="O88" s="1683"/>
      <c r="P88" s="2165"/>
      <c r="Q88" s="1659"/>
      <c r="R88" s="1670"/>
      <c r="S88" s="1670"/>
      <c r="T88" s="1670"/>
      <c r="U88" s="1670"/>
      <c r="V88" s="1670"/>
      <c r="W88" s="1670"/>
      <c r="X88" s="1670"/>
      <c r="Y88" s="1670"/>
      <c r="Z88" s="1670"/>
      <c r="AA88" s="1670"/>
      <c r="AB88" s="1670"/>
      <c r="AC88" s="1670"/>
    </row>
    <row r="89" s="1371" customFormat="1" ht="15.75" spans="1:29">
      <c r="A89" s="1743"/>
      <c r="B89" s="1705"/>
      <c r="C89" s="1724"/>
      <c r="D89" s="1697"/>
      <c r="E89" s="1697"/>
      <c r="F89" s="1697"/>
      <c r="G89" s="1697"/>
      <c r="H89" s="1697"/>
      <c r="I89" s="1697"/>
      <c r="J89" s="1697"/>
      <c r="K89" s="1697"/>
      <c r="L89" s="1697"/>
      <c r="M89" s="1697"/>
      <c r="N89" s="1699"/>
      <c r="O89" s="1699"/>
      <c r="P89" s="2165"/>
      <c r="Q89" s="1659"/>
      <c r="R89" s="1670"/>
      <c r="S89" s="1670"/>
      <c r="T89" s="1670"/>
      <c r="U89" s="1670"/>
      <c r="V89" s="1670"/>
      <c r="W89" s="1670"/>
      <c r="X89" s="1670"/>
      <c r="Y89" s="1670"/>
      <c r="Z89" s="1670"/>
      <c r="AA89" s="1670"/>
      <c r="AB89" s="1670"/>
      <c r="AC89" s="1670"/>
    </row>
    <row r="90" s="1373" customFormat="1" ht="15.75" spans="1:29">
      <c r="A90" s="1716"/>
      <c r="B90" s="1700" t="str">
        <f>B27</f>
        <v>人流量</v>
      </c>
      <c r="C90" s="1717"/>
      <c r="D90" s="1717"/>
      <c r="E90" s="1717"/>
      <c r="F90" s="1717"/>
      <c r="G90" s="1717"/>
      <c r="H90" s="1718"/>
      <c r="I90" s="1718"/>
      <c r="J90" s="1718"/>
      <c r="K90" s="1718"/>
      <c r="L90" s="1719"/>
      <c r="M90" s="1720"/>
      <c r="N90" s="1721"/>
      <c r="O90" s="1721"/>
      <c r="P90" s="2166"/>
      <c r="Q90" s="1722"/>
      <c r="R90" s="1723"/>
      <c r="S90" s="1723"/>
      <c r="T90" s="1723"/>
      <c r="U90" s="1723"/>
      <c r="V90" s="1723"/>
      <c r="W90" s="1723"/>
      <c r="X90" s="1723"/>
      <c r="Y90" s="1723"/>
      <c r="Z90" s="1723"/>
      <c r="AA90" s="1723"/>
      <c r="AB90" s="1723"/>
      <c r="AC90" s="1723"/>
    </row>
    <row r="91" s="1373" customFormat="1" ht="15.75" spans="1:29">
      <c r="A91" s="1716"/>
      <c r="B91" s="1705"/>
      <c r="C91" s="1746">
        <v>100</v>
      </c>
      <c r="D91" s="1706">
        <f>C91-$K27</f>
        <v>100</v>
      </c>
      <c r="E91" s="1706">
        <f t="shared" ref="E91:M91" si="21">D91-$K27</f>
        <v>100</v>
      </c>
      <c r="F91" s="1706">
        <f t="shared" si="21"/>
        <v>100</v>
      </c>
      <c r="G91" s="1706">
        <f t="shared" si="21"/>
        <v>100</v>
      </c>
      <c r="H91" s="1706">
        <f t="shared" si="21"/>
        <v>100</v>
      </c>
      <c r="I91" s="1706">
        <f t="shared" si="21"/>
        <v>100</v>
      </c>
      <c r="J91" s="1706">
        <f t="shared" si="21"/>
        <v>100</v>
      </c>
      <c r="K91" s="1706">
        <f t="shared" si="21"/>
        <v>100</v>
      </c>
      <c r="L91" s="1706">
        <f t="shared" si="21"/>
        <v>100</v>
      </c>
      <c r="M91" s="1706">
        <f t="shared" si="21"/>
        <v>100</v>
      </c>
      <c r="N91" s="1721"/>
      <c r="O91" s="1721"/>
      <c r="P91" s="2166"/>
      <c r="Q91" s="1722"/>
      <c r="R91" s="1723"/>
      <c r="S91" s="1723"/>
      <c r="T91" s="1723"/>
      <c r="U91" s="1723"/>
      <c r="V91" s="1723"/>
      <c r="W91" s="1723"/>
      <c r="X91" s="1723"/>
      <c r="Y91" s="1723"/>
      <c r="Z91" s="1723"/>
      <c r="AA91" s="1723"/>
      <c r="AB91" s="1723"/>
      <c r="AC91" s="1723"/>
    </row>
    <row r="92" ht="15.75" spans="1:29">
      <c r="A92" s="1695"/>
      <c r="B92" s="1700" t="str">
        <f>B28</f>
        <v>楼层</v>
      </c>
      <c r="C92" s="1717"/>
      <c r="D92" s="1717"/>
      <c r="E92" s="1717"/>
      <c r="F92" s="1717"/>
      <c r="G92" s="1717"/>
      <c r="H92" s="1717"/>
      <c r="I92" s="1717"/>
      <c r="J92" s="1717"/>
      <c r="K92" s="1717"/>
      <c r="L92" s="2000"/>
      <c r="M92" s="2001"/>
      <c r="N92" s="1694"/>
      <c r="O92" s="1694"/>
      <c r="P92" s="2165"/>
      <c r="Q92" s="1659"/>
      <c r="R92" s="1581"/>
      <c r="S92" s="1581"/>
      <c r="T92" s="1581"/>
      <c r="U92" s="1581"/>
      <c r="V92" s="1581"/>
      <c r="W92" s="1581"/>
      <c r="X92" s="1581"/>
      <c r="Y92" s="1581"/>
      <c r="Z92" s="1581"/>
      <c r="AA92" s="1581"/>
      <c r="AB92" s="1581"/>
      <c r="AC92" s="1581"/>
    </row>
    <row r="93" ht="15.75" spans="1:29">
      <c r="A93" s="1695"/>
      <c r="B93" s="1705"/>
      <c r="C93" s="1697"/>
      <c r="D93" s="1697"/>
      <c r="E93" s="1697"/>
      <c r="F93" s="1697"/>
      <c r="G93" s="1697"/>
      <c r="H93" s="1697"/>
      <c r="I93" s="1697"/>
      <c r="J93" s="1697"/>
      <c r="K93" s="1697"/>
      <c r="L93" s="1697"/>
      <c r="M93" s="1698"/>
      <c r="N93" s="1699"/>
      <c r="O93" s="1699"/>
      <c r="P93" s="2165"/>
      <c r="Q93" s="1659"/>
      <c r="R93" s="1581"/>
      <c r="S93" s="1581"/>
      <c r="T93" s="1581"/>
      <c r="U93" s="1581"/>
      <c r="V93" s="1581"/>
      <c r="W93" s="1581"/>
      <c r="X93" s="1581"/>
      <c r="Y93" s="1581"/>
      <c r="Z93" s="1581"/>
      <c r="AA93" s="1581"/>
      <c r="AB93" s="1581"/>
      <c r="AC93" s="1581"/>
    </row>
    <row r="94" ht="15.75" spans="1:29">
      <c r="A94" s="1695"/>
      <c r="B94" s="1700">
        <f>B29</f>
        <v>111</v>
      </c>
      <c r="C94" s="1717"/>
      <c r="D94" s="1717"/>
      <c r="E94" s="1717"/>
      <c r="F94" s="1717"/>
      <c r="G94" s="1753"/>
      <c r="H94" s="1753"/>
      <c r="I94" s="1753"/>
      <c r="J94" s="1753"/>
      <c r="K94" s="1754"/>
      <c r="L94" s="1755"/>
      <c r="M94" s="1756"/>
      <c r="N94" s="1694"/>
      <c r="O94" s="1694"/>
      <c r="P94" s="2165"/>
      <c r="Q94" s="1659"/>
      <c r="R94" s="1581"/>
      <c r="S94" s="1581"/>
      <c r="T94" s="1581"/>
      <c r="U94" s="1581"/>
      <c r="V94" s="1581"/>
      <c r="W94" s="1581"/>
      <c r="X94" s="1581"/>
      <c r="Y94" s="1581"/>
      <c r="Z94" s="1581"/>
      <c r="AA94" s="1581"/>
      <c r="AB94" s="1581"/>
      <c r="AC94" s="1581"/>
    </row>
    <row r="95" ht="15.75" spans="1:29">
      <c r="A95" s="1695"/>
      <c r="B95" s="1705"/>
      <c r="C95" s="1724"/>
      <c r="D95" s="1697"/>
      <c r="E95" s="1697"/>
      <c r="F95" s="1697"/>
      <c r="G95" s="1697"/>
      <c r="H95" s="1697"/>
      <c r="I95" s="1697"/>
      <c r="J95" s="1697"/>
      <c r="K95" s="1697"/>
      <c r="L95" s="1697"/>
      <c r="M95" s="1698"/>
      <c r="N95" s="1699"/>
      <c r="O95" s="1699"/>
      <c r="P95" s="2165"/>
      <c r="Q95" s="1659"/>
      <c r="R95" s="1581"/>
      <c r="S95" s="1581"/>
      <c r="T95" s="1581"/>
      <c r="U95" s="1581"/>
      <c r="V95" s="1581"/>
      <c r="W95" s="1581"/>
      <c r="X95" s="1581"/>
      <c r="Y95" s="1581"/>
      <c r="Z95" s="1581"/>
      <c r="AA95" s="1581"/>
      <c r="AB95" s="1581"/>
      <c r="AC95" s="1581"/>
    </row>
    <row r="96" ht="15.75" spans="1:29">
      <c r="A96" s="1695"/>
      <c r="B96" s="1700">
        <f>B30</f>
        <v>111</v>
      </c>
      <c r="C96" s="1717"/>
      <c r="D96" s="1717"/>
      <c r="E96" s="1717"/>
      <c r="F96" s="1717"/>
      <c r="G96" s="1753"/>
      <c r="H96" s="1753"/>
      <c r="I96" s="1753"/>
      <c r="J96" s="1753"/>
      <c r="K96" s="1754"/>
      <c r="L96" s="1755"/>
      <c r="M96" s="1756"/>
      <c r="N96" s="1694"/>
      <c r="O96" s="1694"/>
      <c r="P96" s="2165"/>
      <c r="Q96" s="1659"/>
      <c r="R96" s="1581"/>
      <c r="S96" s="1581"/>
      <c r="T96" s="1581"/>
      <c r="U96" s="1581"/>
      <c r="V96" s="1581"/>
      <c r="W96" s="1581"/>
      <c r="X96" s="1581"/>
      <c r="Y96" s="1581"/>
      <c r="Z96" s="1581"/>
      <c r="AA96" s="1581"/>
      <c r="AB96" s="1581"/>
      <c r="AC96" s="1581"/>
    </row>
    <row r="97" ht="15.75" spans="1:29">
      <c r="A97" s="1695"/>
      <c r="B97" s="1705"/>
      <c r="C97" s="1724"/>
      <c r="D97" s="1697"/>
      <c r="E97" s="1697"/>
      <c r="F97" s="1697"/>
      <c r="G97" s="1697"/>
      <c r="H97" s="1697"/>
      <c r="I97" s="1697"/>
      <c r="J97" s="1697"/>
      <c r="K97" s="1697"/>
      <c r="L97" s="1697"/>
      <c r="M97" s="1698"/>
      <c r="N97" s="1699"/>
      <c r="O97" s="1699"/>
      <c r="P97" s="2165"/>
      <c r="Q97" s="1659"/>
      <c r="R97" s="1581"/>
      <c r="S97" s="1581"/>
      <c r="T97" s="1581"/>
      <c r="U97" s="1581"/>
      <c r="V97" s="1581"/>
      <c r="W97" s="1581"/>
      <c r="X97" s="1581"/>
      <c r="Y97" s="1581"/>
      <c r="Z97" s="1581"/>
      <c r="AA97" s="1581"/>
      <c r="AB97" s="1581"/>
      <c r="AC97" s="1581"/>
    </row>
    <row r="98" ht="15.75" spans="1:29">
      <c r="A98" s="1695"/>
      <c r="B98" s="1708">
        <f>B31</f>
        <v>111</v>
      </c>
      <c r="C98" s="1717"/>
      <c r="D98" s="1717"/>
      <c r="E98" s="1717"/>
      <c r="F98" s="1717"/>
      <c r="G98" s="1757"/>
      <c r="H98" s="1757"/>
      <c r="I98" s="1757"/>
      <c r="J98" s="1757"/>
      <c r="K98" s="1758"/>
      <c r="L98" s="1759"/>
      <c r="M98" s="1760"/>
      <c r="N98" s="1694"/>
      <c r="O98" s="1694"/>
      <c r="P98" s="2165"/>
      <c r="Q98" s="1659"/>
      <c r="R98" s="1581"/>
      <c r="S98" s="1581"/>
      <c r="T98" s="1581"/>
      <c r="U98" s="1581"/>
      <c r="V98" s="1581"/>
      <c r="W98" s="1581"/>
      <c r="X98" s="1581"/>
      <c r="Y98" s="1581"/>
      <c r="Z98" s="1581"/>
      <c r="AA98" s="1581"/>
      <c r="AB98" s="1581"/>
      <c r="AC98" s="1581"/>
    </row>
    <row r="99" ht="15.75" spans="1:29">
      <c r="A99" s="2085"/>
      <c r="B99" s="1733"/>
      <c r="C99" s="1734"/>
      <c r="D99" s="1734"/>
      <c r="E99" s="1734"/>
      <c r="F99" s="1734"/>
      <c r="G99" s="1761"/>
      <c r="H99" s="1761"/>
      <c r="I99" s="1761"/>
      <c r="J99" s="1761"/>
      <c r="K99" s="1761"/>
      <c r="L99" s="1761"/>
      <c r="M99" s="1762"/>
      <c r="N99" s="1699"/>
      <c r="O99" s="1699"/>
      <c r="P99" s="2165"/>
      <c r="Q99" s="1659"/>
      <c r="R99" s="1581"/>
      <c r="S99" s="1581"/>
      <c r="T99" s="1581"/>
      <c r="U99" s="1581"/>
      <c r="V99" s="1581"/>
      <c r="W99" s="1581"/>
      <c r="X99" s="1581"/>
      <c r="Y99" s="1581"/>
      <c r="Z99" s="1581"/>
      <c r="AA99" s="1581"/>
      <c r="AB99" s="1581"/>
      <c r="AC99" s="1581"/>
    </row>
    <row r="100" spans="1:29">
      <c r="A100" s="1688" t="s">
        <v>1166</v>
      </c>
      <c r="B100" s="1689" t="s">
        <v>1938</v>
      </c>
      <c r="C100" s="1690"/>
      <c r="D100" s="1690"/>
      <c r="E100" s="1690"/>
      <c r="F100" s="1690"/>
      <c r="G100" s="1690"/>
      <c r="H100" s="1690"/>
      <c r="I100" s="1690"/>
      <c r="J100" s="1690"/>
      <c r="K100" s="1691"/>
      <c r="L100" s="1692"/>
      <c r="M100" s="1693"/>
      <c r="N100" s="1694"/>
      <c r="O100" s="1694"/>
      <c r="P100" s="2165"/>
      <c r="Q100" s="1659"/>
      <c r="R100" s="1581"/>
      <c r="S100" s="1581"/>
      <c r="T100" s="1581"/>
      <c r="U100" s="1581"/>
      <c r="V100" s="1581"/>
      <c r="W100" s="1581"/>
      <c r="X100" s="1581"/>
      <c r="Y100" s="1581"/>
      <c r="Z100" s="1581"/>
      <c r="AA100" s="1581"/>
      <c r="AB100" s="1581"/>
      <c r="AC100" s="1581"/>
    </row>
    <row r="101" ht="15.75" spans="1:29">
      <c r="A101" s="1695"/>
      <c r="B101" s="1705"/>
      <c r="C101" s="1706">
        <v>100</v>
      </c>
      <c r="D101" s="1706">
        <f t="shared" ref="D101:M101" si="22">C101-$K32</f>
        <v>100</v>
      </c>
      <c r="E101" s="1706">
        <f t="shared" si="22"/>
        <v>100</v>
      </c>
      <c r="F101" s="1706">
        <f t="shared" si="22"/>
        <v>100</v>
      </c>
      <c r="G101" s="1706">
        <f t="shared" si="22"/>
        <v>100</v>
      </c>
      <c r="H101" s="1706">
        <f t="shared" si="22"/>
        <v>100</v>
      </c>
      <c r="I101" s="1706">
        <f t="shared" si="22"/>
        <v>100</v>
      </c>
      <c r="J101" s="1706">
        <f t="shared" si="22"/>
        <v>100</v>
      </c>
      <c r="K101" s="1706">
        <f t="shared" si="22"/>
        <v>100</v>
      </c>
      <c r="L101" s="1706">
        <f t="shared" si="22"/>
        <v>100</v>
      </c>
      <c r="M101" s="1707">
        <f t="shared" si="22"/>
        <v>100</v>
      </c>
      <c r="N101" s="1699"/>
      <c r="O101" s="1699"/>
      <c r="P101" s="2165"/>
      <c r="Q101" s="1659"/>
      <c r="R101" s="1581"/>
      <c r="S101" s="1581"/>
      <c r="T101" s="1581"/>
      <c r="U101" s="1581"/>
      <c r="V101" s="1581"/>
      <c r="W101" s="1581"/>
      <c r="X101" s="1581"/>
      <c r="Y101" s="1581"/>
      <c r="Z101" s="1581"/>
      <c r="AA101" s="1581"/>
      <c r="AB101" s="1581"/>
      <c r="AC101" s="1581"/>
    </row>
    <row r="102" ht="15.75" spans="1:29">
      <c r="A102" s="1695"/>
      <c r="B102" s="1700" t="s">
        <v>1170</v>
      </c>
      <c r="C102" s="1742" t="str">
        <f>C103&amp;"(含)"&amp;"-"&amp;D103</f>
        <v>(含)-</v>
      </c>
      <c r="D102" s="1742" t="str">
        <f t="shared" ref="D102:L102" si="23">D103&amp;"(含)"&amp;"-"&amp;E103</f>
        <v>(含)-</v>
      </c>
      <c r="E102" s="1742" t="str">
        <f t="shared" si="23"/>
        <v>(含)-</v>
      </c>
      <c r="F102" s="1742" t="str">
        <f t="shared" si="23"/>
        <v>(含)-</v>
      </c>
      <c r="G102" s="1742" t="str">
        <f t="shared" si="23"/>
        <v>(含)-</v>
      </c>
      <c r="H102" s="1742" t="str">
        <f t="shared" si="23"/>
        <v>(含)-</v>
      </c>
      <c r="I102" s="1742" t="str">
        <f t="shared" si="23"/>
        <v>(含)-</v>
      </c>
      <c r="J102" s="1742" t="str">
        <f t="shared" si="23"/>
        <v>(含)-</v>
      </c>
      <c r="K102" s="1742" t="str">
        <f t="shared" si="23"/>
        <v>(含)-</v>
      </c>
      <c r="L102" s="1742" t="str">
        <f t="shared" si="23"/>
        <v>(含)-</v>
      </c>
      <c r="M102" s="1745" t="str">
        <f>M103&amp;"(含)"&amp;"-"&amp;P103</f>
        <v>(含)-</v>
      </c>
      <c r="N102" s="1683"/>
      <c r="O102" s="1683"/>
      <c r="P102" s="2165"/>
      <c r="Q102" s="1659"/>
      <c r="R102" s="1581"/>
      <c r="S102" s="1581"/>
      <c r="T102" s="1581"/>
      <c r="U102" s="1581"/>
      <c r="V102" s="1581"/>
      <c r="W102" s="1581"/>
      <c r="X102" s="1581"/>
      <c r="Y102" s="1581"/>
      <c r="Z102" s="1581"/>
      <c r="AA102" s="1581"/>
      <c r="AB102" s="1581"/>
      <c r="AC102" s="1581"/>
    </row>
    <row r="103" s="1373" customFormat="1" ht="15" spans="1:29">
      <c r="A103" s="1764"/>
      <c r="B103" s="1765"/>
      <c r="C103" s="1667"/>
      <c r="D103" s="1667"/>
      <c r="E103" s="1667"/>
      <c r="F103" s="1667"/>
      <c r="G103" s="1667"/>
      <c r="H103" s="1667"/>
      <c r="I103" s="1667"/>
      <c r="J103" s="1766"/>
      <c r="K103" s="1766"/>
      <c r="L103" s="1767"/>
      <c r="M103" s="1768"/>
      <c r="N103" s="1721"/>
      <c r="O103" s="1721"/>
      <c r="P103" s="2166"/>
      <c r="Q103" s="1722"/>
      <c r="R103" s="1723"/>
      <c r="S103" s="1723"/>
      <c r="T103" s="1723"/>
      <c r="U103" s="1723"/>
      <c r="V103" s="1723"/>
      <c r="W103" s="1723"/>
      <c r="X103" s="1723"/>
      <c r="Y103" s="1723"/>
      <c r="Z103" s="1723"/>
      <c r="AA103" s="1723"/>
      <c r="AB103" s="1723"/>
      <c r="AC103" s="1723"/>
    </row>
    <row r="104" s="1373" customFormat="1" ht="15.75" spans="1:29">
      <c r="A104" s="1716"/>
      <c r="B104" s="1705"/>
      <c r="C104" s="1724"/>
      <c r="D104" s="1697"/>
      <c r="E104" s="1697"/>
      <c r="F104" s="1697"/>
      <c r="G104" s="1697"/>
      <c r="H104" s="1697"/>
      <c r="I104" s="1697"/>
      <c r="J104" s="1697"/>
      <c r="K104" s="1697"/>
      <c r="L104" s="1697"/>
      <c r="M104" s="1698"/>
      <c r="N104" s="1699"/>
      <c r="O104" s="1699"/>
      <c r="P104" s="2166"/>
      <c r="Q104" s="1722"/>
      <c r="R104" s="1723"/>
      <c r="S104" s="1723"/>
      <c r="T104" s="1723"/>
      <c r="U104" s="1723"/>
      <c r="V104" s="1723"/>
      <c r="W104" s="1723"/>
      <c r="X104" s="1723"/>
      <c r="Y104" s="1723"/>
      <c r="Z104" s="1723"/>
      <c r="AA104" s="1723"/>
      <c r="AB104" s="1723"/>
      <c r="AC104" s="1723"/>
    </row>
    <row r="105" ht="15.75" spans="1:29">
      <c r="A105" s="1773"/>
      <c r="B105" s="1700" t="s">
        <v>1171</v>
      </c>
      <c r="C105" s="1717"/>
      <c r="D105" s="1717"/>
      <c r="E105" s="1753"/>
      <c r="F105" s="1753"/>
      <c r="G105" s="1753"/>
      <c r="H105" s="1753"/>
      <c r="I105" s="1753"/>
      <c r="J105" s="1753"/>
      <c r="K105" s="1754"/>
      <c r="L105" s="1755"/>
      <c r="M105" s="1756"/>
      <c r="N105" s="1694"/>
      <c r="O105" s="1694"/>
      <c r="P105" s="2165"/>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4">C106-$K34</f>
        <v>100</v>
      </c>
      <c r="E106" s="1706">
        <f t="shared" si="24"/>
        <v>100</v>
      </c>
      <c r="F106" s="1706">
        <f t="shared" si="24"/>
        <v>100</v>
      </c>
      <c r="G106" s="1706">
        <f t="shared" si="24"/>
        <v>100</v>
      </c>
      <c r="H106" s="1706">
        <f t="shared" si="24"/>
        <v>100</v>
      </c>
      <c r="I106" s="1706">
        <f t="shared" si="24"/>
        <v>100</v>
      </c>
      <c r="J106" s="1706">
        <f t="shared" si="24"/>
        <v>100</v>
      </c>
      <c r="K106" s="1706">
        <f t="shared" si="24"/>
        <v>100</v>
      </c>
      <c r="L106" s="1706">
        <f t="shared" si="24"/>
        <v>100</v>
      </c>
      <c r="M106" s="1707">
        <f t="shared" si="24"/>
        <v>100</v>
      </c>
      <c r="N106" s="1699"/>
      <c r="O106" s="1699"/>
      <c r="P106" s="2165"/>
      <c r="Q106" s="1659"/>
      <c r="R106" s="1581"/>
      <c r="S106" s="1581"/>
      <c r="T106" s="1581"/>
      <c r="U106" s="1581"/>
      <c r="V106" s="1581"/>
      <c r="W106" s="1581"/>
      <c r="X106" s="1581"/>
      <c r="Y106" s="1581"/>
      <c r="Z106" s="1581"/>
      <c r="AA106" s="1581"/>
      <c r="AB106" s="1581"/>
      <c r="AC106" s="1581"/>
    </row>
    <row r="107" ht="15.75" spans="1:29">
      <c r="A107" s="1773"/>
      <c r="B107" s="1700" t="s">
        <v>1173</v>
      </c>
      <c r="C107" s="1717"/>
      <c r="D107" s="1717"/>
      <c r="E107" s="1717"/>
      <c r="F107" s="1753"/>
      <c r="G107" s="1753"/>
      <c r="H107" s="1753"/>
      <c r="I107" s="1753"/>
      <c r="J107" s="1753"/>
      <c r="K107" s="1754"/>
      <c r="L107" s="1755"/>
      <c r="M107" s="1756"/>
      <c r="N107" s="1694"/>
      <c r="O107" s="1694"/>
      <c r="P107" s="2165"/>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5">C108-$K35</f>
        <v>100</v>
      </c>
      <c r="E108" s="1706">
        <f t="shared" si="25"/>
        <v>100</v>
      </c>
      <c r="F108" s="1706">
        <f t="shared" si="25"/>
        <v>100</v>
      </c>
      <c r="G108" s="1706">
        <f t="shared" si="25"/>
        <v>100</v>
      </c>
      <c r="H108" s="1706">
        <f t="shared" si="25"/>
        <v>100</v>
      </c>
      <c r="I108" s="1706">
        <f t="shared" si="25"/>
        <v>100</v>
      </c>
      <c r="J108" s="1706">
        <f t="shared" si="25"/>
        <v>100</v>
      </c>
      <c r="K108" s="1706">
        <f t="shared" si="25"/>
        <v>100</v>
      </c>
      <c r="L108" s="1706">
        <f t="shared" si="25"/>
        <v>100</v>
      </c>
      <c r="M108" s="1707">
        <f t="shared" si="25"/>
        <v>100</v>
      </c>
      <c r="N108" s="1699"/>
      <c r="O108" s="1699"/>
      <c r="P108" s="2165"/>
      <c r="Q108" s="1659"/>
      <c r="R108" s="1581"/>
      <c r="S108" s="1581"/>
      <c r="T108" s="1581"/>
      <c r="U108" s="1581"/>
      <c r="V108" s="1581"/>
      <c r="W108" s="1581"/>
      <c r="X108" s="1581"/>
      <c r="Y108" s="1581"/>
      <c r="Z108" s="1581"/>
      <c r="AA108" s="1581"/>
      <c r="AB108" s="1581"/>
      <c r="AC108" s="1581"/>
    </row>
    <row r="109" ht="15.75" spans="1:29">
      <c r="A109" s="1773"/>
      <c r="B109" s="1700" t="s">
        <v>716</v>
      </c>
      <c r="C109" s="1742" t="str">
        <f>C110&amp;"(含)"&amp;"-"&amp;D110</f>
        <v>0.5(含)-0.55</v>
      </c>
      <c r="D109" s="1742" t="str">
        <f>D110&amp;"(含)"&amp;"-"&amp;E110</f>
        <v>0.55(含)-0.6</v>
      </c>
      <c r="E109" s="1742" t="str">
        <f>E110&amp;"(含)"&amp;"-"&amp;F110</f>
        <v>0.6(含)-0.65</v>
      </c>
      <c r="F109" s="1742" t="str">
        <f>F110&amp;"(含)"&amp;"-"&amp;G110</f>
        <v>0.65(含)-0.7</v>
      </c>
      <c r="G109" s="1742" t="str">
        <f t="shared" ref="G109:K109" si="26">G110&amp;"(含)"&amp;"-"&amp;H110</f>
        <v>0.7(含)-0.75</v>
      </c>
      <c r="H109" s="1742" t="str">
        <f t="shared" si="26"/>
        <v>0.75(含)-0.8</v>
      </c>
      <c r="I109" s="1742" t="str">
        <f t="shared" si="26"/>
        <v>0.8(含)-0.85</v>
      </c>
      <c r="J109" s="1742" t="str">
        <f t="shared" si="26"/>
        <v>0.85(含)-0.9</v>
      </c>
      <c r="K109" s="1742" t="str">
        <f t="shared" si="26"/>
        <v>0.9(含)-0.95</v>
      </c>
      <c r="L109" s="1742" t="str">
        <f>L110&amp;"(含)"&amp;"-"&amp;ROUND(M110,0)&amp;"(含)"</f>
        <v>0.95(含)-1(含)</v>
      </c>
      <c r="M109" s="1742"/>
      <c r="N109" s="1694"/>
      <c r="O109" s="1694"/>
      <c r="P109" s="2165"/>
      <c r="Q109" s="1659"/>
      <c r="R109" s="1581"/>
      <c r="S109" s="1581"/>
      <c r="T109" s="1581"/>
      <c r="U109" s="1581"/>
      <c r="V109" s="1581"/>
      <c r="W109" s="1581"/>
      <c r="X109" s="1581"/>
      <c r="Y109" s="1581"/>
      <c r="Z109" s="1581"/>
      <c r="AA109" s="1581"/>
      <c r="AB109" s="1581"/>
      <c r="AC109" s="1581"/>
    </row>
    <row r="110" ht="15" spans="1:29">
      <c r="A110" s="1773"/>
      <c r="B110" s="1708"/>
      <c r="C110" s="1188">
        <v>0.5</v>
      </c>
      <c r="D110" s="1188">
        <v>0.55</v>
      </c>
      <c r="E110" s="1188">
        <v>0.6</v>
      </c>
      <c r="F110" s="1188">
        <v>0.65</v>
      </c>
      <c r="G110" s="1188">
        <v>0.7</v>
      </c>
      <c r="H110" s="1188">
        <v>0.75</v>
      </c>
      <c r="I110" s="1188">
        <v>0.8</v>
      </c>
      <c r="J110" s="1188">
        <v>0.85</v>
      </c>
      <c r="K110" s="1188">
        <v>0.9</v>
      </c>
      <c r="L110" s="1188">
        <v>0.95</v>
      </c>
      <c r="M110" s="1188">
        <v>1.0001</v>
      </c>
      <c r="N110" s="1694"/>
      <c r="O110" s="1694"/>
      <c r="P110" s="2165"/>
      <c r="Q110" s="1659"/>
      <c r="R110" s="1581"/>
      <c r="S110" s="1581"/>
      <c r="T110" s="1581"/>
      <c r="U110" s="1581"/>
      <c r="V110" s="1581"/>
      <c r="W110" s="1581"/>
      <c r="X110" s="1581"/>
      <c r="Y110" s="1581"/>
      <c r="Z110" s="1581"/>
      <c r="AA110" s="1581"/>
      <c r="AB110" s="1581"/>
      <c r="AC110" s="1581"/>
    </row>
    <row r="111" ht="15.75" spans="1:29">
      <c r="A111" s="1695"/>
      <c r="B111" s="1705"/>
      <c r="C111" s="1746">
        <v>100</v>
      </c>
      <c r="D111" s="1706">
        <f>C111+$K36</f>
        <v>100</v>
      </c>
      <c r="E111" s="1706">
        <f t="shared" ref="E111:M111" si="27">D111+$K36</f>
        <v>100</v>
      </c>
      <c r="F111" s="1706">
        <f t="shared" si="27"/>
        <v>100</v>
      </c>
      <c r="G111" s="1706">
        <f t="shared" si="27"/>
        <v>100</v>
      </c>
      <c r="H111" s="1706">
        <f t="shared" si="27"/>
        <v>100</v>
      </c>
      <c r="I111" s="1706">
        <f t="shared" si="27"/>
        <v>100</v>
      </c>
      <c r="J111" s="1706">
        <f t="shared" si="27"/>
        <v>100</v>
      </c>
      <c r="K111" s="1706">
        <f t="shared" si="27"/>
        <v>100</v>
      </c>
      <c r="L111" s="1706">
        <f t="shared" si="27"/>
        <v>100</v>
      </c>
      <c r="M111" s="1706">
        <f t="shared" si="27"/>
        <v>100</v>
      </c>
      <c r="N111" s="1699"/>
      <c r="O111" s="1699"/>
      <c r="P111" s="2165"/>
      <c r="Q111" s="1659"/>
      <c r="R111" s="1581"/>
      <c r="S111" s="1581"/>
      <c r="T111" s="1581"/>
      <c r="U111" s="1581"/>
      <c r="V111" s="1581"/>
      <c r="W111" s="1581"/>
      <c r="X111" s="1581"/>
      <c r="Y111" s="1581"/>
      <c r="Z111" s="1581"/>
      <c r="AA111" s="1581"/>
      <c r="AB111" s="1581"/>
      <c r="AC111" s="1581"/>
    </row>
    <row r="112" s="1373" customFormat="1" ht="15.75" spans="1:29">
      <c r="A112" s="1764"/>
      <c r="B112" s="1700" t="s">
        <v>1176</v>
      </c>
      <c r="C112" s="1717"/>
      <c r="D112" s="1717"/>
      <c r="E112" s="1717"/>
      <c r="F112" s="1717"/>
      <c r="G112" s="1717"/>
      <c r="H112" s="1753"/>
      <c r="I112" s="1753"/>
      <c r="J112" s="1753"/>
      <c r="K112" s="1754"/>
      <c r="L112" s="1755"/>
      <c r="M112" s="1756"/>
      <c r="N112" s="1721"/>
      <c r="O112" s="1721"/>
      <c r="P112" s="2166"/>
      <c r="Q112" s="1722"/>
      <c r="R112" s="1723"/>
      <c r="S112" s="1723"/>
      <c r="T112" s="1723"/>
      <c r="U112" s="1723"/>
      <c r="V112" s="1723"/>
      <c r="W112" s="1723"/>
      <c r="X112" s="1723"/>
      <c r="Y112" s="1723"/>
      <c r="Z112" s="1723"/>
      <c r="AA112" s="1723"/>
      <c r="AB112" s="1723"/>
      <c r="AC112" s="1723"/>
    </row>
    <row r="113" s="1373" customFormat="1" ht="15.75" spans="1:29">
      <c r="A113" s="1716"/>
      <c r="B113" s="1705"/>
      <c r="C113" s="1706">
        <v>100</v>
      </c>
      <c r="D113" s="1706">
        <f>C113-$K37</f>
        <v>100</v>
      </c>
      <c r="E113" s="1706">
        <f t="shared" ref="E113:M113" si="28">D113-$K37</f>
        <v>100</v>
      </c>
      <c r="F113" s="1706">
        <f t="shared" si="28"/>
        <v>100</v>
      </c>
      <c r="G113" s="1706">
        <f t="shared" si="28"/>
        <v>100</v>
      </c>
      <c r="H113" s="1706">
        <f t="shared" si="28"/>
        <v>100</v>
      </c>
      <c r="I113" s="1706">
        <f t="shared" si="28"/>
        <v>100</v>
      </c>
      <c r="J113" s="1706">
        <f t="shared" si="28"/>
        <v>100</v>
      </c>
      <c r="K113" s="1706">
        <f t="shared" si="28"/>
        <v>100</v>
      </c>
      <c r="L113" s="1706">
        <f t="shared" si="28"/>
        <v>100</v>
      </c>
      <c r="M113" s="1706">
        <f t="shared" si="28"/>
        <v>100</v>
      </c>
      <c r="N113" s="1721"/>
      <c r="O113" s="1721"/>
      <c r="P113" s="2166"/>
      <c r="Q113" s="1722"/>
      <c r="R113" s="1723"/>
      <c r="S113" s="1723"/>
      <c r="T113" s="1723"/>
      <c r="U113" s="1723"/>
      <c r="V113" s="1723"/>
      <c r="W113" s="1723"/>
      <c r="X113" s="1723"/>
      <c r="Y113" s="1723"/>
      <c r="Z113" s="1723"/>
      <c r="AA113" s="1723"/>
      <c r="AB113" s="1723"/>
      <c r="AC113" s="1723"/>
    </row>
    <row r="114" ht="15.75" spans="1:29">
      <c r="A114" s="1773"/>
      <c r="B114" s="1700" t="s">
        <v>1939</v>
      </c>
      <c r="C114" s="1717"/>
      <c r="D114" s="1717"/>
      <c r="E114" s="1753"/>
      <c r="F114" s="1753"/>
      <c r="G114" s="1753"/>
      <c r="H114" s="1753"/>
      <c r="I114" s="1753"/>
      <c r="J114" s="1753"/>
      <c r="K114" s="1754"/>
      <c r="L114" s="1755"/>
      <c r="M114" s="1756"/>
      <c r="N114" s="1694"/>
      <c r="O114" s="1694"/>
      <c r="P114" s="2165"/>
      <c r="Q114" s="1659"/>
      <c r="R114" s="1581"/>
      <c r="S114" s="1581"/>
      <c r="T114" s="1581"/>
      <c r="U114" s="1581"/>
      <c r="V114" s="1581"/>
      <c r="W114" s="1581"/>
      <c r="X114" s="1581"/>
      <c r="Y114" s="1581"/>
      <c r="Z114" s="1581"/>
      <c r="AA114" s="1581"/>
      <c r="AB114" s="1581"/>
      <c r="AC114" s="1581"/>
    </row>
    <row r="115" ht="15.75" spans="1:29">
      <c r="A115" s="1695"/>
      <c r="B115" s="1705"/>
      <c r="C115" s="1706">
        <v>100</v>
      </c>
      <c r="D115" s="1706">
        <f t="shared" ref="D115:M115" si="29">C115-$K38</f>
        <v>100</v>
      </c>
      <c r="E115" s="1706">
        <f t="shared" si="29"/>
        <v>100</v>
      </c>
      <c r="F115" s="1706">
        <f t="shared" si="29"/>
        <v>100</v>
      </c>
      <c r="G115" s="1706">
        <f t="shared" si="29"/>
        <v>100</v>
      </c>
      <c r="H115" s="1706">
        <f t="shared" si="29"/>
        <v>100</v>
      </c>
      <c r="I115" s="1706">
        <f t="shared" si="29"/>
        <v>100</v>
      </c>
      <c r="J115" s="1706">
        <f t="shared" si="29"/>
        <v>100</v>
      </c>
      <c r="K115" s="1706">
        <f t="shared" si="29"/>
        <v>100</v>
      </c>
      <c r="L115" s="1706">
        <f t="shared" si="29"/>
        <v>100</v>
      </c>
      <c r="M115" s="1707">
        <f t="shared" si="29"/>
        <v>100</v>
      </c>
      <c r="N115" s="1699"/>
      <c r="O115" s="1699"/>
      <c r="P115" s="2165"/>
      <c r="Q115" s="1659"/>
      <c r="R115" s="1581"/>
      <c r="S115" s="1581"/>
      <c r="T115" s="1581"/>
      <c r="U115" s="1581"/>
      <c r="V115" s="1581"/>
      <c r="W115" s="1581"/>
      <c r="X115" s="1581"/>
      <c r="Y115" s="1581"/>
      <c r="Z115" s="1581"/>
      <c r="AA115" s="1581"/>
      <c r="AB115" s="1581"/>
      <c r="AC115" s="1581"/>
    </row>
    <row r="116" ht="15.75" spans="1:29">
      <c r="A116" s="1773"/>
      <c r="B116" s="1700" t="s">
        <v>1940</v>
      </c>
      <c r="C116" s="1717"/>
      <c r="D116" s="1717"/>
      <c r="E116" s="1717"/>
      <c r="F116" s="1717"/>
      <c r="G116" s="1717"/>
      <c r="H116" s="1753"/>
      <c r="I116" s="1753"/>
      <c r="J116" s="1753"/>
      <c r="K116" s="1754"/>
      <c r="L116" s="1755"/>
      <c r="M116" s="1756"/>
      <c r="N116" s="1694"/>
      <c r="O116" s="1694"/>
      <c r="P116" s="2165"/>
      <c r="Q116" s="1659"/>
      <c r="R116" s="1581"/>
      <c r="S116" s="1581"/>
      <c r="T116" s="1581"/>
      <c r="U116" s="1581"/>
      <c r="V116" s="1581"/>
      <c r="W116" s="1581"/>
      <c r="X116" s="1581"/>
      <c r="Y116" s="1581"/>
      <c r="Z116" s="1581"/>
      <c r="AA116" s="1581"/>
      <c r="AB116" s="1581"/>
      <c r="AC116" s="1581"/>
    </row>
    <row r="117" ht="15.75" spans="1:29">
      <c r="A117" s="1695"/>
      <c r="B117" s="1705"/>
      <c r="C117" s="1706">
        <v>100</v>
      </c>
      <c r="D117" s="1706">
        <f>C117-$K39</f>
        <v>100</v>
      </c>
      <c r="E117" s="1706">
        <f>D117-$K39</f>
        <v>100</v>
      </c>
      <c r="F117" s="1706">
        <f>E117-$K39</f>
        <v>100</v>
      </c>
      <c r="G117" s="1706">
        <f>F117-$K39</f>
        <v>100</v>
      </c>
      <c r="H117" s="1706"/>
      <c r="I117" s="1706"/>
      <c r="J117" s="1706"/>
      <c r="K117" s="1706"/>
      <c r="L117" s="1706"/>
      <c r="M117" s="1707"/>
      <c r="N117" s="1699"/>
      <c r="O117" s="1699"/>
      <c r="P117" s="2165"/>
      <c r="Q117" s="1659"/>
      <c r="R117" s="1581"/>
      <c r="S117" s="1581"/>
      <c r="T117" s="1581"/>
      <c r="U117" s="1581"/>
      <c r="V117" s="1581"/>
      <c r="W117" s="1581"/>
      <c r="X117" s="1581"/>
      <c r="Y117" s="1581"/>
      <c r="Z117" s="1581"/>
      <c r="AA117" s="1581"/>
      <c r="AB117" s="1581"/>
      <c r="AC117" s="1581"/>
    </row>
    <row r="118" ht="15.75" spans="1:29">
      <c r="A118" s="1773"/>
      <c r="B118" s="1700" t="s">
        <v>1941</v>
      </c>
      <c r="C118" s="2170"/>
      <c r="D118" s="2170"/>
      <c r="E118" s="2170"/>
      <c r="F118" s="2170"/>
      <c r="G118" s="2170"/>
      <c r="H118" s="1718"/>
      <c r="I118" s="1718"/>
      <c r="J118" s="1718"/>
      <c r="K118" s="1718"/>
      <c r="L118" s="1719"/>
      <c r="M118" s="1720"/>
      <c r="N118" s="1694"/>
      <c r="O118" s="1694"/>
      <c r="P118" s="2165"/>
      <c r="Q118" s="1659"/>
      <c r="R118" s="1581"/>
      <c r="S118" s="1581"/>
      <c r="T118" s="1581"/>
      <c r="U118" s="1581"/>
      <c r="V118" s="1581"/>
      <c r="W118" s="1581"/>
      <c r="X118" s="1581"/>
      <c r="Y118" s="1581"/>
      <c r="Z118" s="1581"/>
      <c r="AA118" s="1581"/>
      <c r="AB118" s="1581"/>
      <c r="AC118" s="1581"/>
    </row>
    <row r="119" ht="15.75" spans="1:29">
      <c r="A119" s="1695"/>
      <c r="B119" s="1705"/>
      <c r="C119" s="1724"/>
      <c r="D119" s="1697"/>
      <c r="E119" s="1697"/>
      <c r="F119" s="1697"/>
      <c r="G119" s="1697"/>
      <c r="H119" s="1697"/>
      <c r="I119" s="1697"/>
      <c r="J119" s="1697"/>
      <c r="K119" s="1697"/>
      <c r="L119" s="1697"/>
      <c r="M119" s="1698"/>
      <c r="N119" s="1699"/>
      <c r="O119" s="1699"/>
      <c r="P119" s="2165"/>
      <c r="Q119" s="1659"/>
      <c r="R119" s="1581"/>
      <c r="S119" s="1581"/>
      <c r="T119" s="1581"/>
      <c r="U119" s="1581"/>
      <c r="V119" s="1581"/>
      <c r="W119" s="1581"/>
      <c r="X119" s="1581"/>
      <c r="Y119" s="1581"/>
      <c r="Z119" s="1581"/>
      <c r="AA119" s="1581"/>
      <c r="AB119" s="1581"/>
      <c r="AC119" s="1581"/>
    </row>
    <row r="120" s="1373" customFormat="1" ht="15.75" spans="1:29">
      <c r="A120" s="1764"/>
      <c r="B120" s="1700" t="s">
        <v>1943</v>
      </c>
      <c r="C120" s="1753"/>
      <c r="D120" s="1753"/>
      <c r="E120" s="1753"/>
      <c r="F120" s="1753"/>
      <c r="G120" s="1718"/>
      <c r="H120" s="1718"/>
      <c r="I120" s="1718"/>
      <c r="J120" s="1718"/>
      <c r="K120" s="1718"/>
      <c r="L120" s="1719"/>
      <c r="M120" s="1720"/>
      <c r="N120" s="1721"/>
      <c r="O120" s="1721"/>
      <c r="P120" s="2166"/>
      <c r="Q120" s="1722"/>
      <c r="R120" s="1723"/>
      <c r="S120" s="1723"/>
      <c r="T120" s="1723"/>
      <c r="U120" s="1723"/>
      <c r="V120" s="1723"/>
      <c r="W120" s="1723"/>
      <c r="X120" s="1723"/>
      <c r="Y120" s="1723"/>
      <c r="Z120" s="1723"/>
      <c r="AA120" s="1723"/>
      <c r="AB120" s="1723"/>
      <c r="AC120" s="1723"/>
    </row>
    <row r="121" s="1373" customFormat="1" ht="15.75" spans="1:29">
      <c r="A121" s="1716"/>
      <c r="B121" s="1696"/>
      <c r="C121" s="1746">
        <v>100</v>
      </c>
      <c r="D121" s="1706">
        <f>C121-$K41</f>
        <v>100</v>
      </c>
      <c r="E121" s="1706">
        <f t="shared" ref="E121:M121" si="30">D121-$K41</f>
        <v>100</v>
      </c>
      <c r="F121" s="1706">
        <f t="shared" si="30"/>
        <v>100</v>
      </c>
      <c r="G121" s="1706">
        <f t="shared" si="30"/>
        <v>100</v>
      </c>
      <c r="H121" s="1706">
        <f t="shared" si="30"/>
        <v>100</v>
      </c>
      <c r="I121" s="1706">
        <f t="shared" si="30"/>
        <v>100</v>
      </c>
      <c r="J121" s="1706">
        <f t="shared" si="30"/>
        <v>100</v>
      </c>
      <c r="K121" s="1706">
        <f t="shared" si="30"/>
        <v>100</v>
      </c>
      <c r="L121" s="1706">
        <f t="shared" si="30"/>
        <v>100</v>
      </c>
      <c r="M121" s="1707">
        <f t="shared" si="30"/>
        <v>100</v>
      </c>
      <c r="N121" s="1721"/>
      <c r="O121" s="1721"/>
      <c r="P121" s="2166"/>
      <c r="Q121" s="1722"/>
      <c r="R121" s="1723"/>
      <c r="S121" s="1723"/>
      <c r="T121" s="1723"/>
      <c r="U121" s="1723"/>
      <c r="V121" s="1723"/>
      <c r="W121" s="1723"/>
      <c r="X121" s="1723"/>
      <c r="Y121" s="1723"/>
      <c r="Z121" s="1723"/>
      <c r="AA121" s="1723"/>
      <c r="AB121" s="1723"/>
      <c r="AC121" s="1723"/>
    </row>
    <row r="122" ht="15.75" spans="1:29">
      <c r="A122" s="1773"/>
      <c r="B122" s="1700" t="s">
        <v>1177</v>
      </c>
      <c r="C122" s="1717"/>
      <c r="D122" s="1717"/>
      <c r="E122" s="1717"/>
      <c r="F122" s="1753"/>
      <c r="G122" s="1753"/>
      <c r="H122" s="1753"/>
      <c r="I122" s="1753"/>
      <c r="J122" s="1753"/>
      <c r="K122" s="1754"/>
      <c r="L122" s="1755"/>
      <c r="M122" s="1756"/>
      <c r="N122" s="1694"/>
      <c r="O122" s="1694"/>
      <c r="P122" s="2165"/>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31">C123-$K42</f>
        <v>100</v>
      </c>
      <c r="E123" s="1706">
        <f t="shared" si="31"/>
        <v>100</v>
      </c>
      <c r="F123" s="1706">
        <f t="shared" si="31"/>
        <v>100</v>
      </c>
      <c r="G123" s="1706">
        <f t="shared" si="31"/>
        <v>100</v>
      </c>
      <c r="H123" s="1706">
        <f t="shared" si="31"/>
        <v>100</v>
      </c>
      <c r="I123" s="1706">
        <f t="shared" si="31"/>
        <v>100</v>
      </c>
      <c r="J123" s="1706">
        <f t="shared" si="31"/>
        <v>100</v>
      </c>
      <c r="K123" s="1706">
        <f t="shared" si="31"/>
        <v>100</v>
      </c>
      <c r="L123" s="1706">
        <f t="shared" si="31"/>
        <v>100</v>
      </c>
      <c r="M123" s="1707">
        <f t="shared" si="31"/>
        <v>100</v>
      </c>
      <c r="N123" s="1699"/>
      <c r="O123" s="1699"/>
      <c r="P123" s="2165"/>
      <c r="Q123" s="1659"/>
      <c r="R123" s="1581"/>
      <c r="S123" s="1581"/>
      <c r="T123" s="1581"/>
      <c r="U123" s="1581"/>
      <c r="V123" s="1581"/>
      <c r="W123" s="1581"/>
      <c r="X123" s="1581"/>
      <c r="Y123" s="1581"/>
      <c r="Z123" s="1581"/>
      <c r="AA123" s="1581"/>
      <c r="AB123" s="1581"/>
      <c r="AC123" s="1581"/>
    </row>
    <row r="124" ht="15.75" spans="1:29">
      <c r="A124" s="1773"/>
      <c r="B124" s="1700" t="s">
        <v>1911</v>
      </c>
      <c r="C124" s="1742" t="s">
        <v>1200</v>
      </c>
      <c r="D124" s="1742" t="s">
        <v>1201</v>
      </c>
      <c r="E124" s="1742" t="s">
        <v>1202</v>
      </c>
      <c r="F124" s="1742" t="s">
        <v>1203</v>
      </c>
      <c r="G124" s="1742" t="s">
        <v>1204</v>
      </c>
      <c r="H124" s="1701"/>
      <c r="I124" s="1701"/>
      <c r="J124" s="1701"/>
      <c r="K124" s="1702"/>
      <c r="L124" s="1703"/>
      <c r="M124" s="1704"/>
      <c r="N124" s="1694"/>
      <c r="O124" s="1694"/>
      <c r="P124" s="2166"/>
      <c r="Q124" s="1659"/>
      <c r="R124" s="1581"/>
      <c r="S124" s="1581"/>
      <c r="T124" s="1581"/>
      <c r="U124" s="1581"/>
      <c r="V124" s="1581"/>
      <c r="W124" s="1581"/>
      <c r="X124" s="1581"/>
      <c r="Y124" s="1581"/>
      <c r="Z124" s="1581"/>
      <c r="AA124" s="1581"/>
      <c r="AB124" s="1581"/>
      <c r="AC124" s="1581"/>
    </row>
    <row r="125" ht="15.75" spans="1:29">
      <c r="A125" s="1695"/>
      <c r="B125" s="1705"/>
      <c r="C125" s="1706">
        <v>100</v>
      </c>
      <c r="D125" s="1706">
        <f>C125-$K43</f>
        <v>100</v>
      </c>
      <c r="E125" s="1706">
        <f>D125-$K43</f>
        <v>100</v>
      </c>
      <c r="F125" s="1706">
        <f>E125-$K43</f>
        <v>100</v>
      </c>
      <c r="G125" s="1706">
        <f>F125-$K43</f>
        <v>100</v>
      </c>
      <c r="H125" s="1706"/>
      <c r="I125" s="1706"/>
      <c r="J125" s="1706"/>
      <c r="K125" s="1706"/>
      <c r="L125" s="1706"/>
      <c r="M125" s="1707"/>
      <c r="N125" s="1699"/>
      <c r="O125" s="1699"/>
      <c r="P125" s="2165"/>
      <c r="Q125" s="1659"/>
      <c r="R125" s="1581"/>
      <c r="S125" s="1581"/>
      <c r="T125" s="1581"/>
      <c r="U125" s="1581"/>
      <c r="V125" s="1581"/>
      <c r="W125" s="1581"/>
      <c r="X125" s="1581"/>
      <c r="Y125" s="1581"/>
      <c r="Z125" s="1581"/>
      <c r="AA125" s="1581"/>
      <c r="AB125" s="1581"/>
      <c r="AC125" s="1581"/>
    </row>
    <row r="126" s="1373" customFormat="1" ht="15.75" spans="1:29">
      <c r="A126" s="1764"/>
      <c r="B126" s="1700">
        <f>B44</f>
        <v>111</v>
      </c>
      <c r="C126" s="1717"/>
      <c r="D126" s="1717"/>
      <c r="E126" s="1717"/>
      <c r="F126" s="1717"/>
      <c r="G126" s="1717"/>
      <c r="H126" s="1718"/>
      <c r="I126" s="1718"/>
      <c r="J126" s="1718"/>
      <c r="K126" s="1718"/>
      <c r="L126" s="1719"/>
      <c r="M126" s="1720"/>
      <c r="N126" s="1721"/>
      <c r="O126" s="1721"/>
      <c r="P126" s="2166"/>
      <c r="Q126" s="1722"/>
      <c r="R126" s="1723"/>
      <c r="S126" s="1723"/>
      <c r="T126" s="1723"/>
      <c r="U126" s="1723"/>
      <c r="V126" s="1723"/>
      <c r="W126" s="1723"/>
      <c r="X126" s="1723"/>
      <c r="Y126" s="1723"/>
      <c r="Z126" s="1723"/>
      <c r="AA126" s="1723"/>
      <c r="AB126" s="1723"/>
      <c r="AC126" s="1723"/>
    </row>
    <row r="127" s="1373" customFormat="1" ht="15.75" spans="1:29">
      <c r="A127" s="1716"/>
      <c r="B127" s="1705"/>
      <c r="C127" s="1724"/>
      <c r="D127" s="1697"/>
      <c r="E127" s="1697"/>
      <c r="F127" s="1697"/>
      <c r="G127" s="1724"/>
      <c r="H127" s="1726"/>
      <c r="I127" s="1726"/>
      <c r="J127" s="1726"/>
      <c r="K127" s="1726"/>
      <c r="L127" s="1726"/>
      <c r="M127" s="1727"/>
      <c r="N127" s="1721"/>
      <c r="O127" s="1721"/>
      <c r="P127" s="2166"/>
      <c r="Q127" s="1722"/>
      <c r="R127" s="1723"/>
      <c r="S127" s="1723"/>
      <c r="T127" s="1723"/>
      <c r="U127" s="1723"/>
      <c r="V127" s="1723"/>
      <c r="W127" s="1723"/>
      <c r="X127" s="1723"/>
      <c r="Y127" s="1723"/>
      <c r="Z127" s="1723"/>
      <c r="AA127" s="1723"/>
      <c r="AB127" s="1723"/>
      <c r="AC127" s="1723"/>
    </row>
    <row r="128" ht="15.75" spans="1:29">
      <c r="A128" s="1773"/>
      <c r="B128" s="1700">
        <f>B45</f>
        <v>111</v>
      </c>
      <c r="C128" s="1717"/>
      <c r="D128" s="1717"/>
      <c r="E128" s="1717"/>
      <c r="F128" s="1717"/>
      <c r="G128" s="1753"/>
      <c r="H128" s="1753"/>
      <c r="I128" s="1753"/>
      <c r="J128" s="1753"/>
      <c r="K128" s="1754"/>
      <c r="L128" s="1755"/>
      <c r="M128" s="1756"/>
      <c r="N128" s="1694"/>
      <c r="O128" s="1694"/>
      <c r="P128" s="2165"/>
      <c r="Q128" s="1659"/>
      <c r="R128" s="1581"/>
      <c r="S128" s="1581"/>
      <c r="T128" s="1581"/>
      <c r="U128" s="1581"/>
      <c r="V128" s="1581"/>
      <c r="W128" s="1581"/>
      <c r="X128" s="1581"/>
      <c r="Y128" s="1581"/>
      <c r="Z128" s="1581"/>
      <c r="AA128" s="1581"/>
      <c r="AB128" s="1581"/>
      <c r="AC128" s="1581"/>
    </row>
    <row r="129" ht="15.75" spans="1:29">
      <c r="A129" s="1695"/>
      <c r="B129" s="1705"/>
      <c r="C129" s="1724"/>
      <c r="D129" s="1697"/>
      <c r="E129" s="1697"/>
      <c r="F129" s="1697"/>
      <c r="G129" s="1697"/>
      <c r="H129" s="1697"/>
      <c r="I129" s="1697"/>
      <c r="J129" s="1697"/>
      <c r="K129" s="1697"/>
      <c r="L129" s="1697"/>
      <c r="M129" s="1698"/>
      <c r="N129" s="1699"/>
      <c r="O129" s="1699"/>
      <c r="P129" s="2165"/>
      <c r="Q129" s="1659"/>
      <c r="R129" s="1581"/>
      <c r="S129" s="1581"/>
      <c r="T129" s="1581"/>
      <c r="U129" s="1581"/>
      <c r="V129" s="1581"/>
      <c r="W129" s="1581"/>
      <c r="X129" s="1581"/>
      <c r="Y129" s="1581"/>
      <c r="Z129" s="1581"/>
      <c r="AA129" s="1581"/>
      <c r="AB129" s="1581"/>
      <c r="AC129" s="1581"/>
    </row>
    <row r="130" ht="15.75" spans="1:29">
      <c r="A130" s="1773"/>
      <c r="B130" s="1708">
        <f>B46</f>
        <v>111</v>
      </c>
      <c r="C130" s="1717"/>
      <c r="D130" s="1717"/>
      <c r="E130" s="1717"/>
      <c r="F130" s="1717"/>
      <c r="G130" s="1757"/>
      <c r="H130" s="1757"/>
      <c r="I130" s="1757"/>
      <c r="J130" s="1757"/>
      <c r="K130" s="1680"/>
      <c r="L130" s="1681"/>
      <c r="M130" s="1760"/>
      <c r="N130" s="1694"/>
      <c r="O130" s="1694"/>
      <c r="P130" s="2165"/>
      <c r="Q130" s="1659"/>
      <c r="R130" s="1581"/>
      <c r="S130" s="1581"/>
      <c r="T130" s="1581"/>
      <c r="U130" s="1581"/>
      <c r="V130" s="1581"/>
      <c r="W130" s="1581"/>
      <c r="X130" s="1581"/>
      <c r="Y130" s="1581"/>
      <c r="Z130" s="1581"/>
      <c r="AA130" s="1581"/>
      <c r="AB130" s="1581"/>
      <c r="AC130" s="1581"/>
    </row>
    <row r="131" ht="15.75" spans="1:29">
      <c r="A131" s="2085"/>
      <c r="B131" s="1733"/>
      <c r="C131" s="1734"/>
      <c r="D131" s="1734"/>
      <c r="E131" s="1734"/>
      <c r="F131" s="1734"/>
      <c r="G131" s="1761"/>
      <c r="H131" s="1761"/>
      <c r="I131" s="1761"/>
      <c r="J131" s="1761"/>
      <c r="K131" s="1761"/>
      <c r="L131" s="1761"/>
      <c r="M131" s="1762"/>
      <c r="N131" s="1699"/>
      <c r="O131" s="1699"/>
      <c r="P131" s="2165"/>
      <c r="Q131" s="1659"/>
      <c r="R131" s="1581"/>
      <c r="S131" s="1581"/>
      <c r="T131" s="1581"/>
      <c r="U131" s="1581"/>
      <c r="V131" s="1581"/>
      <c r="W131" s="1581"/>
      <c r="X131" s="1581"/>
      <c r="Y131" s="1581"/>
      <c r="Z131" s="1581"/>
      <c r="AA131" s="1581"/>
      <c r="AB131" s="1581"/>
      <c r="AC131"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1944</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IF(E1="项目模式",IF(E2="——",ROUND(C50*D3/10000,0),ROUND(C50*D3/10000,0)-F2),IF(E1="单套模式",IF(E2="——",ROUND(C50*D3/10000,4),ROUND(C50*D3/10000,4)-F2)))</f>
        <v>0</v>
      </c>
      <c r="E2" s="1880"/>
      <c r="F2" s="2064"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f ca="1">IF(E2="——",C50,ROUND(B2*10000/D3,0))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88"/>
      <c r="AC3" s="138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2065" t="s">
        <v>1134</v>
      </c>
      <c r="Q4" s="2066"/>
      <c r="R4" s="2067" t="s">
        <v>1130</v>
      </c>
      <c r="S4" s="2068"/>
      <c r="T4" s="2067" t="s">
        <v>1131</v>
      </c>
      <c r="U4" s="2068"/>
      <c r="V4" s="2069" t="s">
        <v>1132</v>
      </c>
      <c r="W4" s="2069"/>
      <c r="X4" s="2070"/>
      <c r="Y4" s="2071" t="s">
        <v>1134</v>
      </c>
      <c r="Z4" s="2072"/>
      <c r="AA4" s="2070" t="s">
        <v>1130</v>
      </c>
      <c r="AB4" s="2070" t="s">
        <v>1131</v>
      </c>
      <c r="AC4" s="2073" t="s">
        <v>1132</v>
      </c>
    </row>
    <row r="5" ht="15" spans="1:29">
      <c r="A5" s="1784"/>
      <c r="B5" s="1785"/>
      <c r="C5" s="1892" t="s">
        <v>1135</v>
      </c>
      <c r="D5" s="1893"/>
      <c r="E5" s="1894" t="s">
        <v>1901</v>
      </c>
      <c r="F5" s="1895"/>
      <c r="G5" s="1892" t="s">
        <v>1902</v>
      </c>
      <c r="H5" s="1893"/>
      <c r="I5" s="1892" t="s">
        <v>1903</v>
      </c>
      <c r="J5" s="1893"/>
      <c r="K5" s="1408"/>
      <c r="L5" s="1409"/>
      <c r="M5" s="1410"/>
      <c r="N5" s="1410"/>
      <c r="O5" s="1410"/>
      <c r="P5" s="2074"/>
      <c r="Q5" s="1426"/>
      <c r="R5" s="1427"/>
      <c r="S5" s="1428"/>
      <c r="T5" s="1427"/>
      <c r="U5" s="1428"/>
      <c r="V5" s="820"/>
      <c r="W5" s="820"/>
      <c r="X5" s="1415"/>
      <c r="Y5" s="1429"/>
      <c r="Z5" s="1430"/>
      <c r="AA5" s="1415"/>
      <c r="AB5" s="1415"/>
      <c r="AC5" s="2026"/>
    </row>
    <row r="6" ht="15.75" spans="1:29">
      <c r="A6" s="1786"/>
      <c r="B6" s="1787"/>
      <c r="C6" s="1898" t="s">
        <v>1138</v>
      </c>
      <c r="D6" s="1899"/>
      <c r="E6" s="1900" t="s">
        <v>1138</v>
      </c>
      <c r="F6" s="1901"/>
      <c r="G6" s="1898" t="s">
        <v>1138</v>
      </c>
      <c r="H6" s="1899"/>
      <c r="I6" s="1898" t="s">
        <v>1138</v>
      </c>
      <c r="J6" s="1899"/>
      <c r="K6" s="1408" t="s">
        <v>1139</v>
      </c>
      <c r="L6" s="1409"/>
      <c r="M6" s="1410"/>
      <c r="N6" s="1410"/>
      <c r="O6" s="1410"/>
      <c r="P6" s="2075"/>
      <c r="Q6" s="1438"/>
      <c r="R6" s="1427"/>
      <c r="S6" s="1428"/>
      <c r="T6" s="1439"/>
      <c r="U6" s="1440"/>
      <c r="V6" s="820"/>
      <c r="W6" s="820"/>
      <c r="X6" s="1415"/>
      <c r="Y6" s="1441"/>
      <c r="Z6" s="1442"/>
      <c r="AA6" s="1443"/>
      <c r="AB6" s="1443"/>
      <c r="AC6" s="2076"/>
    </row>
    <row r="7" s="1371" customFormat="1" ht="15.75" spans="1:29">
      <c r="A7" s="1904" t="s">
        <v>1140</v>
      </c>
      <c r="B7" s="1905"/>
      <c r="C7" s="1906">
        <f>'数据-取费表'!B2</f>
        <v>46086</v>
      </c>
      <c r="D7" s="1907">
        <v>100</v>
      </c>
      <c r="E7" s="1908"/>
      <c r="F7" s="1909">
        <f>SUMIF(59:59,YEAR(E7)&amp;"-"&amp;MONTH(E7),60:60)</f>
        <v>0</v>
      </c>
      <c r="G7" s="1908"/>
      <c r="H7" s="1911">
        <f>SUMIF(59:59,YEAR(G7)&amp;"-"&amp;MONTH(G7),60:60)</f>
        <v>0</v>
      </c>
      <c r="I7" s="1908"/>
      <c r="J7" s="1911">
        <f>SUMIF(59:59,YEAR(I7)&amp;"-"&amp;MONTH(I7),60:60)</f>
        <v>0</v>
      </c>
      <c r="K7" s="1452"/>
      <c r="L7" s="1453"/>
      <c r="M7" s="1454"/>
      <c r="N7" s="1454"/>
      <c r="O7" s="1454"/>
      <c r="P7" s="2077"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2080" t="e">
        <f>D7/J7</f>
        <v>#DIV/0!</v>
      </c>
    </row>
    <row r="8" s="1371" customFormat="1" ht="15.75" spans="1:29">
      <c r="A8" s="1904" t="s">
        <v>1143</v>
      </c>
      <c r="B8" s="1905"/>
      <c r="C8" s="1914"/>
      <c r="D8" s="1907">
        <v>100</v>
      </c>
      <c r="E8" s="1914"/>
      <c r="F8" s="1909">
        <f>SUMIF(62:62,E8,63:63)-SUMIF(62:62,C8,63:63)+100</f>
        <v>100</v>
      </c>
      <c r="G8" s="1914"/>
      <c r="H8" s="1911">
        <f>SUMIF(62:62,G8,63:63)-SUMIF(62:62,C8,63:63)+100</f>
        <v>100</v>
      </c>
      <c r="I8" s="1914"/>
      <c r="J8" s="1911">
        <f>SUMIF(62:62,I8,63:63)-SUMIF(62:62,C8,63:63)+100</f>
        <v>100</v>
      </c>
      <c r="K8" s="1452"/>
      <c r="L8" s="1453"/>
      <c r="M8" s="1454"/>
      <c r="N8" s="1454"/>
      <c r="O8" s="1454"/>
      <c r="P8" s="2077" t="s">
        <v>1145</v>
      </c>
      <c r="Q8" s="1464"/>
      <c r="R8" s="2078" t="s">
        <v>1142</v>
      </c>
      <c r="S8" s="2079">
        <f t="shared" si="0"/>
        <v>100</v>
      </c>
      <c r="T8" s="2078" t="s">
        <v>1142</v>
      </c>
      <c r="U8" s="2079">
        <f t="shared" si="1"/>
        <v>100</v>
      </c>
      <c r="V8" s="2078" t="s">
        <v>1142</v>
      </c>
      <c r="W8" s="2079">
        <f t="shared" si="2"/>
        <v>100</v>
      </c>
      <c r="X8" s="1459"/>
      <c r="Y8" s="1460" t="s">
        <v>1145</v>
      </c>
      <c r="Z8" s="1461"/>
      <c r="AA8" s="1462">
        <f t="shared" ref="AA8:AA47" si="3">D8/F8</f>
        <v>1</v>
      </c>
      <c r="AB8" s="1462">
        <f t="shared" ref="AB8:AB47" si="4">D8/H8</f>
        <v>1</v>
      </c>
      <c r="AC8" s="2080">
        <f t="shared" ref="AC8:AC47" si="5">D8/J8</f>
        <v>1</v>
      </c>
    </row>
    <row r="9" s="1371" customFormat="1" spans="1:29">
      <c r="A9" s="1915" t="s">
        <v>1146</v>
      </c>
      <c r="B9" s="1916" t="s">
        <v>1147</v>
      </c>
      <c r="C9" s="1917"/>
      <c r="D9" s="1918">
        <v>100</v>
      </c>
      <c r="E9" s="1919"/>
      <c r="F9" s="1920">
        <f>SUMIF(64:64,E9,65:65)-SUMIF(64:64,C9,65:65)+100</f>
        <v>100</v>
      </c>
      <c r="G9" s="2017"/>
      <c r="H9" s="1920">
        <f>SUMIF(64:64,G9,65:65)-SUMIF(64:64,C9,65:65)+100</f>
        <v>100</v>
      </c>
      <c r="I9" s="2017"/>
      <c r="J9" s="1920">
        <f>SUMIF(64:64,I9,65:65)-SUMIF(64:64,C9,65:65)+100</f>
        <v>100</v>
      </c>
      <c r="K9" s="1452"/>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2080">
        <f t="shared" si="5"/>
        <v>1</v>
      </c>
    </row>
    <row r="10" s="1372" customFormat="1" ht="27" spans="1:29">
      <c r="A10" s="1921"/>
      <c r="B10" s="1922" t="s">
        <v>1151</v>
      </c>
      <c r="C10" s="1923"/>
      <c r="D10" s="1924">
        <v>100</v>
      </c>
      <c r="E10" s="1923"/>
      <c r="F10" s="1925">
        <f>SUMIF(66:66,E10,67:67)-SUMIF(66:66,C10,67:67)+100</f>
        <v>100</v>
      </c>
      <c r="G10" s="2020"/>
      <c r="H10" s="1925">
        <f>SUMIF(66:66,G10,67:67)-SUMIF(66:66,C10,67:67)+100</f>
        <v>100</v>
      </c>
      <c r="I10" s="1923"/>
      <c r="J10" s="1925">
        <f>SUMIF(66:66,I10,67:67)-SUMIF(66:66,C10,67:67)+100</f>
        <v>100</v>
      </c>
      <c r="K10" s="1452"/>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2080">
        <f t="shared" si="5"/>
        <v>1</v>
      </c>
    </row>
    <row r="11" ht="15" spans="1:29">
      <c r="A11" s="1695"/>
      <c r="B11" s="1922" t="s">
        <v>1154</v>
      </c>
      <c r="C11" s="2082"/>
      <c r="D11" s="1924">
        <v>100</v>
      </c>
      <c r="E11" s="2082"/>
      <c r="F11" s="1925">
        <f>LOOKUP(E11,69:69,70:70)-LOOKUP(C11,69:69,70:70)+100</f>
        <v>100</v>
      </c>
      <c r="G11" s="2083"/>
      <c r="H11" s="1925">
        <f>LOOKUP(G11,69:69,70:70)-LOOKUP(C11,69:69,70:70)+100</f>
        <v>100</v>
      </c>
      <c r="I11" s="2082"/>
      <c r="J11" s="1925">
        <f>LOOKUP(I11,69:69,70:70)-LOOKUP(C11,69:69,70:70)+100</f>
        <v>100</v>
      </c>
      <c r="K11" s="1539"/>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2080">
        <f t="shared" si="5"/>
        <v>1</v>
      </c>
    </row>
    <row r="12" s="1371" customFormat="1" ht="15" spans="1:29">
      <c r="A12" s="1743"/>
      <c r="B12" s="1926">
        <v>111</v>
      </c>
      <c r="C12" s="1927"/>
      <c r="D12" s="1929">
        <v>100</v>
      </c>
      <c r="E12" s="1927"/>
      <c r="F12" s="1925">
        <f>SUMIF(71:71,E12,72:72)-SUMIF(71:71,C12,72:72)+100</f>
        <v>100</v>
      </c>
      <c r="G12" s="2084"/>
      <c r="H12" s="1925">
        <f>SUMIF(71:71,G12,72:72)-SUMIF(71:71,C12,72:72)+100</f>
        <v>100</v>
      </c>
      <c r="I12" s="1927"/>
      <c r="J12" s="1925">
        <f>SUMIF(71:71,I12,72:72)-SUMIF(71:71,C12,72:72)+100</f>
        <v>100</v>
      </c>
      <c r="K12" s="1536"/>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2080">
        <f t="shared" si="5"/>
        <v>1</v>
      </c>
    </row>
    <row r="13" ht="15" spans="1:29">
      <c r="A13" s="1695"/>
      <c r="B13" s="1926">
        <v>111</v>
      </c>
      <c r="C13" s="1930"/>
      <c r="D13" s="1931">
        <v>100</v>
      </c>
      <c r="E13" s="1927"/>
      <c r="F13" s="1925">
        <f>SUMIF(73:73,E13,74:74)-SUMIF(73:73,C13,74:74)+100</f>
        <v>100</v>
      </c>
      <c r="G13" s="2084"/>
      <c r="H13" s="1934">
        <f>SUMIF(73:73,G13,74:74)-SUMIF(73:73,C13,74:74)+100</f>
        <v>100</v>
      </c>
      <c r="I13" s="1927"/>
      <c r="J13" s="1934">
        <f>SUMIF(73:73,I13,74:74)-SUMIF(73:73,C13,74:74)+100</f>
        <v>100</v>
      </c>
      <c r="K13" s="1536"/>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2080">
        <f t="shared" si="5"/>
        <v>1</v>
      </c>
    </row>
    <row r="14" ht="15.75" spans="1:29">
      <c r="A14" s="2085"/>
      <c r="B14" s="1982">
        <v>111</v>
      </c>
      <c r="C14" s="1983"/>
      <c r="D14" s="1984">
        <v>100</v>
      </c>
      <c r="E14" s="2031"/>
      <c r="F14" s="1933">
        <f>SUMIF(75:75,E14,76:76)-SUMIF(75:75,C14,76:76)+100</f>
        <v>100</v>
      </c>
      <c r="G14" s="2084"/>
      <c r="H14" s="1933">
        <f>SUMIF(75:75,G14,76:76)-SUMIF(75:75,C14,76:76)+100</f>
        <v>100</v>
      </c>
      <c r="I14" s="1927"/>
      <c r="J14" s="1933">
        <f>SUMIF(75:75,I14,76:76)-SUMIF(75:75,C14,76:76)+100</f>
        <v>100</v>
      </c>
      <c r="K14" s="1536"/>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2080">
        <f t="shared" si="5"/>
        <v>1</v>
      </c>
    </row>
    <row r="15" ht="68.25" spans="1:29">
      <c r="A15" s="1688" t="s">
        <v>1155</v>
      </c>
      <c r="B15" s="2025" t="s">
        <v>1945</v>
      </c>
      <c r="C15" s="2086" t="str">
        <f>估价对象房地状况!C5</f>
        <v>估价对象位于XX商圈，周边办公楼项目较多，入驻率高，办公集聚程度较好</v>
      </c>
      <c r="D15" s="1937">
        <v>100</v>
      </c>
      <c r="E15" s="1940"/>
      <c r="F15" s="1941">
        <f>SUMIF(77:77,E16,78:78)-SUMIF(77:77,C16,78:78)+100</f>
        <v>100</v>
      </c>
      <c r="G15" s="1938"/>
      <c r="H15" s="1941">
        <f>SUMIF(77:77,G16,78:78)-SUMIF(77:77,C16,78:78)+100</f>
        <v>100</v>
      </c>
      <c r="I15" s="1938"/>
      <c r="J15" s="1941">
        <f>SUMIF(77:77,I16,78:78)-SUMIF(77:77,C16,78:78)+100</f>
        <v>100</v>
      </c>
      <c r="K15" s="1942"/>
      <c r="L15" s="1494"/>
      <c r="M15" s="1410"/>
      <c r="N15" s="1410"/>
      <c r="O15" s="1410"/>
      <c r="P15" s="1520" t="s">
        <v>1157</v>
      </c>
      <c r="Q15" s="1070" t="str">
        <f t="shared" si="6"/>
        <v>办公集聚程度</v>
      </c>
      <c r="R15" s="2087" t="s">
        <v>1142</v>
      </c>
      <c r="S15" s="2088">
        <f t="shared" si="0"/>
        <v>100</v>
      </c>
      <c r="T15" s="2087" t="s">
        <v>1142</v>
      </c>
      <c r="U15" s="2088">
        <f t="shared" si="1"/>
        <v>100</v>
      </c>
      <c r="V15" s="2087" t="s">
        <v>1142</v>
      </c>
      <c r="W15" s="2088">
        <f t="shared" si="2"/>
        <v>100</v>
      </c>
      <c r="X15" s="1415"/>
      <c r="Y15" s="1509" t="s">
        <v>1157</v>
      </c>
      <c r="Z15" s="1510" t="str">
        <f t="shared" si="7"/>
        <v>办公集聚程度</v>
      </c>
      <c r="AA15" s="1510">
        <f t="shared" si="3"/>
        <v>1</v>
      </c>
      <c r="AB15" s="1510">
        <f t="shared" si="4"/>
        <v>1</v>
      </c>
      <c r="AC15" s="2089">
        <f t="shared" si="5"/>
        <v>1</v>
      </c>
    </row>
    <row r="16" ht="15" spans="1:29">
      <c r="A16" s="1695"/>
      <c r="B16" s="2090"/>
      <c r="C16" s="2091"/>
      <c r="D16" s="1947"/>
      <c r="E16" s="1946"/>
      <c r="F16" s="1710"/>
      <c r="G16" s="2091"/>
      <c r="H16" s="1948"/>
      <c r="I16" s="1946"/>
      <c r="J16" s="1710"/>
      <c r="K16" s="1949"/>
      <c r="L16" s="1494"/>
      <c r="M16" s="1410"/>
      <c r="N16" s="1410"/>
      <c r="O16" s="1410"/>
      <c r="P16" s="1535"/>
      <c r="Q16" s="1070"/>
      <c r="R16" s="2087"/>
      <c r="S16" s="2088"/>
      <c r="T16" s="2087"/>
      <c r="U16" s="2088"/>
      <c r="V16" s="2087"/>
      <c r="W16" s="2088"/>
      <c r="X16" s="1415"/>
      <c r="Y16" s="1518"/>
      <c r="Z16" s="1510"/>
      <c r="AA16" s="1510">
        <v>1</v>
      </c>
      <c r="AB16" s="1510">
        <v>1</v>
      </c>
      <c r="AC16" s="2089">
        <v>1</v>
      </c>
    </row>
    <row r="17" ht="67.5" spans="1:29">
      <c r="A17" s="1695"/>
      <c r="B17" s="2027" t="s">
        <v>1159</v>
      </c>
      <c r="C17" s="1891" t="str">
        <f>估价对象房地状况!C6</f>
        <v>估价对象周边道路状况、公共交通通达情况、停车便捷程度，综合评价交通便捷度较好</v>
      </c>
      <c r="D17" s="1961">
        <v>100</v>
      </c>
      <c r="E17" s="1960"/>
      <c r="F17" s="1948">
        <f>SUMIF(79:79,E18,80:80)-SUMIF(79:79,C18,80:80)+100</f>
        <v>100</v>
      </c>
      <c r="G17" s="1959"/>
      <c r="H17" s="1955">
        <f>SUMIF(79:79,G18,80:80)-SUMIF(79:79,C18,80:80)+100</f>
        <v>100</v>
      </c>
      <c r="I17" s="1959"/>
      <c r="J17" s="1955">
        <f>SUMIF(79:79,I18,80:80)-SUMIF(79:79,C18,80:80)+100</f>
        <v>100</v>
      </c>
      <c r="K17" s="19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2089">
        <f t="shared" si="5"/>
        <v>1</v>
      </c>
    </row>
    <row r="18" ht="15" spans="1:29">
      <c r="A18" s="1695"/>
      <c r="B18" s="2028"/>
      <c r="C18" s="2092"/>
      <c r="D18" s="1961"/>
      <c r="E18" s="2093"/>
      <c r="F18" s="1948"/>
      <c r="G18" s="2094"/>
      <c r="H18" s="1710"/>
      <c r="I18" s="2094"/>
      <c r="J18" s="1710"/>
      <c r="K18" s="1949"/>
      <c r="L18" s="1494"/>
      <c r="M18" s="1410"/>
      <c r="N18" s="1410"/>
      <c r="O18" s="1410"/>
      <c r="P18" s="1535"/>
      <c r="Q18" s="1070"/>
      <c r="R18" s="2087"/>
      <c r="S18" s="2088"/>
      <c r="T18" s="2087"/>
      <c r="U18" s="2088"/>
      <c r="V18" s="2087"/>
      <c r="W18" s="2088"/>
      <c r="X18" s="1415"/>
      <c r="Y18" s="1518"/>
      <c r="Z18" s="1510"/>
      <c r="AA18" s="1510">
        <v>1</v>
      </c>
      <c r="AB18" s="1510">
        <v>1</v>
      </c>
      <c r="AC18" s="2089">
        <v>1</v>
      </c>
    </row>
    <row r="19" ht="40.5" spans="1:29">
      <c r="A19" s="1695"/>
      <c r="B19" s="2027" t="s">
        <v>1160</v>
      </c>
      <c r="C19" s="1891" t="str">
        <f>估价对象房地状况!C7</f>
        <v>估价对象所在区域公共配套设施齐备情况</v>
      </c>
      <c r="D19" s="1952">
        <v>100</v>
      </c>
      <c r="E19" s="1954"/>
      <c r="F19" s="1955">
        <f>SUMIF(81:81,E20,82:82)-SUMIF(81:81,C20,82:82)+100</f>
        <v>100</v>
      </c>
      <c r="G19" s="1953"/>
      <c r="H19" s="1948">
        <f>SUMIF(81:81,G20,82:82)-SUMIF(81:81,C20,82:82)+100</f>
        <v>100</v>
      </c>
      <c r="I19" s="1953"/>
      <c r="J19" s="1948">
        <f>SUMIF(81:81,I20,82:82)-SUMIF(81:81,C20,82:82)+100</f>
        <v>100</v>
      </c>
      <c r="K19" s="19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2089">
        <f t="shared" si="5"/>
        <v>1</v>
      </c>
    </row>
    <row r="20" ht="15" spans="1:29">
      <c r="A20" s="1695"/>
      <c r="B20" s="2028"/>
      <c r="C20" s="2091"/>
      <c r="D20" s="1947"/>
      <c r="E20" s="2095"/>
      <c r="F20" s="1710"/>
      <c r="G20" s="2096"/>
      <c r="H20" s="1710"/>
      <c r="I20" s="2096"/>
      <c r="J20" s="1710"/>
      <c r="K20" s="1949"/>
      <c r="L20" s="1494"/>
      <c r="M20" s="1410"/>
      <c r="N20" s="1410"/>
      <c r="O20" s="1410"/>
      <c r="P20" s="1535"/>
      <c r="Q20" s="1070"/>
      <c r="R20" s="2087"/>
      <c r="S20" s="2088"/>
      <c r="T20" s="2087"/>
      <c r="U20" s="2088"/>
      <c r="V20" s="2087"/>
      <c r="W20" s="2088"/>
      <c r="X20" s="1415"/>
      <c r="Y20" s="1518"/>
      <c r="Z20" s="1510"/>
      <c r="AA20" s="1510">
        <v>1</v>
      </c>
      <c r="AB20" s="1510">
        <v>1</v>
      </c>
      <c r="AC20" s="2089">
        <v>1</v>
      </c>
    </row>
    <row r="21" ht="27" spans="1:29">
      <c r="A21" s="1695"/>
      <c r="B21" s="1967" t="s">
        <v>1162</v>
      </c>
      <c r="C21" s="1891" t="str">
        <f>估价对象房地状况!C8</f>
        <v>估价对象所在区域基础设施水平</v>
      </c>
      <c r="D21" s="1961">
        <v>100</v>
      </c>
      <c r="E21" s="1954"/>
      <c r="F21" s="1955">
        <f>SUMIF(83:83,E22,84:84)-SUMIF(83:83,C22,84:84)+100</f>
        <v>100</v>
      </c>
      <c r="G21" s="1953"/>
      <c r="H21" s="1948">
        <f>SUMIF(83:83,G22,84:84)-SUMIF(83:83,C22,84:84)+100</f>
        <v>100</v>
      </c>
      <c r="I21" s="1953"/>
      <c r="J21" s="1948">
        <f>SUMIF(83:83,I22,84:84)-SUMIF(83:83,C22,84:84)+100</f>
        <v>100</v>
      </c>
      <c r="K21" s="19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2089">
        <f t="shared" ref="AC21" si="10">D21/J21</f>
        <v>1</v>
      </c>
    </row>
    <row r="22" ht="15" spans="1:29">
      <c r="A22" s="1695"/>
      <c r="B22" s="1967"/>
      <c r="C22" s="2092"/>
      <c r="D22" s="1947"/>
      <c r="E22" s="1946"/>
      <c r="F22" s="1710"/>
      <c r="G22" s="2091"/>
      <c r="H22" s="1710"/>
      <c r="I22" s="2091"/>
      <c r="J22" s="1710"/>
      <c r="K22" s="1962"/>
      <c r="L22" s="1494"/>
      <c r="M22" s="1410"/>
      <c r="N22" s="1410"/>
      <c r="O22" s="1410"/>
      <c r="P22" s="1535"/>
      <c r="Q22" s="1070"/>
      <c r="R22" s="2087"/>
      <c r="S22" s="2088"/>
      <c r="T22" s="2087"/>
      <c r="U22" s="2088"/>
      <c r="V22" s="2087"/>
      <c r="W22" s="2088"/>
      <c r="X22" s="1415"/>
      <c r="Y22" s="1518"/>
      <c r="Z22" s="1510"/>
      <c r="AA22" s="1510">
        <v>1</v>
      </c>
      <c r="AB22" s="1510">
        <v>1</v>
      </c>
      <c r="AC22" s="2089">
        <v>1</v>
      </c>
    </row>
    <row r="23" ht="40.5" spans="1:29">
      <c r="A23" s="1695"/>
      <c r="B23" s="2027" t="s">
        <v>1163</v>
      </c>
      <c r="C23" s="1891" t="str">
        <f>估价对象房地状况!C9</f>
        <v>区域自然环境：；人文环境；综合评价环境状况一般</v>
      </c>
      <c r="D23" s="1961">
        <v>100</v>
      </c>
      <c r="E23" s="1960"/>
      <c r="F23" s="1948">
        <f>SUMIF(85:85,E24,86:86)-SUMIF(85:85,C24,86:86)+100</f>
        <v>100</v>
      </c>
      <c r="G23" s="1959"/>
      <c r="H23" s="1948">
        <f>SUMIF(85:85,G24,86:86)-SUMIF(85:85,C24,86:86)+100</f>
        <v>100</v>
      </c>
      <c r="I23" s="1959"/>
      <c r="J23" s="1948">
        <f>SUMIF(85:85,I24,86:86)-SUMIF(85:85,C24,86:86)+100</f>
        <v>100</v>
      </c>
      <c r="K23" s="1942"/>
      <c r="L23" s="1494"/>
      <c r="M23" s="1410"/>
      <c r="N23" s="1410"/>
      <c r="O23" s="1410"/>
      <c r="P23" s="1535"/>
      <c r="Q23" s="1070" t="str">
        <f>B23</f>
        <v>环境质量</v>
      </c>
      <c r="R23" s="2087" t="s">
        <v>1142</v>
      </c>
      <c r="S23" s="2088">
        <f>F23</f>
        <v>100</v>
      </c>
      <c r="T23" s="2087" t="s">
        <v>1142</v>
      </c>
      <c r="U23" s="2088">
        <f>H23</f>
        <v>100</v>
      </c>
      <c r="V23" s="2087" t="s">
        <v>1142</v>
      </c>
      <c r="W23" s="2088">
        <f>J23</f>
        <v>100</v>
      </c>
      <c r="X23" s="1415"/>
      <c r="Y23" s="1518"/>
      <c r="Z23" s="1510" t="str">
        <f>Q23</f>
        <v>环境质量</v>
      </c>
      <c r="AA23" s="1510">
        <f t="shared" si="3"/>
        <v>1</v>
      </c>
      <c r="AB23" s="1510">
        <f t="shared" si="4"/>
        <v>1</v>
      </c>
      <c r="AC23" s="2089">
        <f t="shared" si="5"/>
        <v>1</v>
      </c>
    </row>
    <row r="24" ht="15" spans="1:29">
      <c r="A24" s="1695"/>
      <c r="B24" s="1967"/>
      <c r="C24" s="2091"/>
      <c r="D24" s="1947"/>
      <c r="E24" s="2095"/>
      <c r="F24" s="1710"/>
      <c r="G24" s="2096"/>
      <c r="H24" s="1710"/>
      <c r="I24" s="2096"/>
      <c r="J24" s="1710"/>
      <c r="K24" s="1949"/>
      <c r="L24" s="1494"/>
      <c r="M24" s="1410"/>
      <c r="N24" s="1410"/>
      <c r="O24" s="1410"/>
      <c r="P24" s="1535"/>
      <c r="Q24" s="1070"/>
      <c r="R24" s="2087"/>
      <c r="S24" s="2088"/>
      <c r="T24" s="2087"/>
      <c r="U24" s="2088"/>
      <c r="V24" s="2087"/>
      <c r="W24" s="2088"/>
      <c r="X24" s="1415"/>
      <c r="Y24" s="1518"/>
      <c r="Z24" s="1510"/>
      <c r="AA24" s="1510">
        <v>1</v>
      </c>
      <c r="AB24" s="1510">
        <v>1</v>
      </c>
      <c r="AC24" s="2089">
        <v>1</v>
      </c>
    </row>
    <row r="25" ht="27" spans="1:29">
      <c r="A25" s="1784"/>
      <c r="B25" s="2027" t="s">
        <v>1946</v>
      </c>
      <c r="C25" s="2097"/>
      <c r="D25" s="1931">
        <v>100</v>
      </c>
      <c r="E25" s="1930"/>
      <c r="F25" s="1934">
        <f>SUMIF(87:87,E26,88:88)-SUMIF(87:87,C26,88:88)+100</f>
        <v>100</v>
      </c>
      <c r="G25" s="2097"/>
      <c r="H25" s="1934">
        <f>SUMIF(87:87,G26,88:88)-SUMIF(87:87,C26,88:88)+100</f>
        <v>100</v>
      </c>
      <c r="I25" s="1930"/>
      <c r="J25" s="1934">
        <f>SUMIF(87:87,I26,88:88)-SUMIF(87:87,C26,88:88)+100</f>
        <v>100</v>
      </c>
      <c r="K25" s="1942"/>
      <c r="L25" s="1494"/>
      <c r="M25" s="1410"/>
      <c r="N25" s="1410"/>
      <c r="O25" s="1410"/>
      <c r="P25" s="1535"/>
      <c r="Q25" s="1070" t="str">
        <f>B25</f>
        <v>毗邻道路的类型与等级</v>
      </c>
      <c r="R25" s="2087" t="s">
        <v>1142</v>
      </c>
      <c r="S25" s="2088">
        <f>F25</f>
        <v>100</v>
      </c>
      <c r="T25" s="2087" t="s">
        <v>1142</v>
      </c>
      <c r="U25" s="2088">
        <f>H25</f>
        <v>100</v>
      </c>
      <c r="V25" s="2087" t="s">
        <v>1142</v>
      </c>
      <c r="W25" s="2088">
        <f>J25</f>
        <v>100</v>
      </c>
      <c r="X25" s="1415"/>
      <c r="Y25" s="1518"/>
      <c r="Z25" s="1510" t="str">
        <f>Q25</f>
        <v>毗邻道路的类型与等级</v>
      </c>
      <c r="AA25" s="1510">
        <f t="shared" si="3"/>
        <v>1</v>
      </c>
      <c r="AB25" s="1510">
        <f t="shared" si="4"/>
        <v>1</v>
      </c>
      <c r="AC25" s="2089">
        <f t="shared" si="5"/>
        <v>1</v>
      </c>
    </row>
    <row r="26" ht="15" spans="1:29">
      <c r="A26" s="1784"/>
      <c r="B26" s="2028"/>
      <c r="C26" s="2098"/>
      <c r="D26" s="1931"/>
      <c r="E26" s="1963"/>
      <c r="F26" s="1934"/>
      <c r="G26" s="2098"/>
      <c r="H26" s="1934"/>
      <c r="I26" s="1963"/>
      <c r="J26" s="1934"/>
      <c r="K26" s="1949"/>
      <c r="L26" s="1494"/>
      <c r="M26" s="1410"/>
      <c r="N26" s="1410"/>
      <c r="O26" s="1410"/>
      <c r="P26" s="1535"/>
      <c r="Q26" s="1070"/>
      <c r="R26" s="2087"/>
      <c r="S26" s="2088"/>
      <c r="T26" s="2087"/>
      <c r="U26" s="2088"/>
      <c r="V26" s="2087"/>
      <c r="W26" s="2088"/>
      <c r="X26" s="1415"/>
      <c r="Y26" s="1518"/>
      <c r="Z26" s="1510"/>
      <c r="AA26" s="1510">
        <v>1</v>
      </c>
      <c r="AB26" s="1510">
        <v>1</v>
      </c>
      <c r="AC26" s="2089">
        <v>1</v>
      </c>
    </row>
    <row r="27" ht="15" spans="1:29">
      <c r="A27" s="1695"/>
      <c r="B27" s="2028" t="s">
        <v>1937</v>
      </c>
      <c r="C27" s="2098"/>
      <c r="D27" s="1931">
        <v>100</v>
      </c>
      <c r="E27" s="1963"/>
      <c r="F27" s="1934">
        <f>SUMIF(89:89,E27,90:90)-SUMIF(89:89,C27,90:90)+100</f>
        <v>100</v>
      </c>
      <c r="G27" s="2098"/>
      <c r="H27" s="1934">
        <f>SUMIF(89:89,G27,90:90)-SUMIF(89:89,C27,90:90)+100</f>
        <v>100</v>
      </c>
      <c r="I27" s="1963"/>
      <c r="J27" s="1934">
        <f>SUMIF(89:89,I27,90:90)-SUMIF(89:89,C27,90:90)+100</f>
        <v>100</v>
      </c>
      <c r="K27" s="1539"/>
      <c r="L27" s="1494"/>
      <c r="M27" s="1410"/>
      <c r="N27" s="1410"/>
      <c r="O27" s="1410"/>
      <c r="P27" s="1535"/>
      <c r="Q27" s="1070" t="str">
        <f t="shared" ref="Q27:Q47" si="11">B27</f>
        <v>楼层</v>
      </c>
      <c r="R27" s="2087" t="s">
        <v>1142</v>
      </c>
      <c r="S27" s="2088">
        <f>F27</f>
        <v>100</v>
      </c>
      <c r="T27" s="2087" t="s">
        <v>1142</v>
      </c>
      <c r="U27" s="2088">
        <f>H27</f>
        <v>100</v>
      </c>
      <c r="V27" s="2087" t="s">
        <v>1142</v>
      </c>
      <c r="W27" s="2088">
        <f>J27</f>
        <v>100</v>
      </c>
      <c r="X27" s="1415"/>
      <c r="Y27" s="1518"/>
      <c r="Z27" s="1510" t="str">
        <f>Q27</f>
        <v>楼层</v>
      </c>
      <c r="AA27" s="1510">
        <f t="shared" si="3"/>
        <v>1</v>
      </c>
      <c r="AB27" s="1510">
        <f t="shared" si="4"/>
        <v>1</v>
      </c>
      <c r="AC27" s="2089">
        <f t="shared" si="5"/>
        <v>1</v>
      </c>
    </row>
    <row r="28" s="1371" customFormat="1" ht="15" spans="1:29">
      <c r="A28" s="1743"/>
      <c r="B28" s="2027" t="s">
        <v>1907</v>
      </c>
      <c r="C28" s="2099"/>
      <c r="D28" s="2100">
        <v>100</v>
      </c>
      <c r="E28" s="2101"/>
      <c r="F28" s="2028">
        <f>SUMIF(91:91,E28,92:92)-SUMIF(91:91,C28,92:92)+100</f>
        <v>100</v>
      </c>
      <c r="G28" s="2099"/>
      <c r="H28" s="2028">
        <f>SUMIF(91:91,G28,92:92)-SUMIF(91:91,C28,92:92)+100</f>
        <v>100</v>
      </c>
      <c r="I28" s="2101"/>
      <c r="J28" s="2028">
        <f>SUMIF(91:91,I28,92:92)-SUMIF(91:91,C28,92:92)+100</f>
        <v>100</v>
      </c>
      <c r="K28" s="1539"/>
      <c r="L28" s="1453"/>
      <c r="M28" s="1454"/>
      <c r="N28" s="1454"/>
      <c r="O28" s="1454"/>
      <c r="P28" s="1535"/>
      <c r="Q28" s="1224" t="str">
        <f t="shared" si="11"/>
        <v>朝向</v>
      </c>
      <c r="R28" s="2078" t="s">
        <v>1142</v>
      </c>
      <c r="S28" s="2079">
        <f>F28</f>
        <v>100</v>
      </c>
      <c r="T28" s="2078" t="s">
        <v>1142</v>
      </c>
      <c r="U28" s="2079">
        <f>H28</f>
        <v>100</v>
      </c>
      <c r="V28" s="2078" t="s">
        <v>1142</v>
      </c>
      <c r="W28" s="2079">
        <f>J28</f>
        <v>100</v>
      </c>
      <c r="X28" s="1459"/>
      <c r="Y28" s="1518"/>
      <c r="Z28" s="1462" t="str">
        <f>Q28</f>
        <v>朝向</v>
      </c>
      <c r="AA28" s="1510">
        <f t="shared" si="3"/>
        <v>1</v>
      </c>
      <c r="AB28" s="1510">
        <f t="shared" si="4"/>
        <v>1</v>
      </c>
      <c r="AC28" s="2089">
        <f t="shared" si="5"/>
        <v>1</v>
      </c>
    </row>
    <row r="29" ht="15" spans="1:29">
      <c r="A29" s="1695"/>
      <c r="B29" s="1669">
        <v>111</v>
      </c>
      <c r="C29" s="2097"/>
      <c r="D29" s="1931">
        <v>100</v>
      </c>
      <c r="E29" s="1927"/>
      <c r="F29" s="1934">
        <f>SUMIF(93:93,E29,94:94)-SUMIF(93:93,C29,94:94)+100</f>
        <v>100</v>
      </c>
      <c r="G29" s="2084"/>
      <c r="H29" s="1934">
        <f>SUMIF(93:93,G29,94:94)-SUMIF(93:93,C29,94:94)+100</f>
        <v>100</v>
      </c>
      <c r="I29" s="1927"/>
      <c r="J29" s="1934">
        <f>SUMIF(93:93,I29,94:94)-SUMIF(93:93,C29,94:94)+100</f>
        <v>100</v>
      </c>
      <c r="K29" s="1536"/>
      <c r="L29" s="1494"/>
      <c r="M29" s="1410"/>
      <c r="N29" s="1410"/>
      <c r="O29" s="1410"/>
      <c r="P29" s="1535"/>
      <c r="Q29" s="1070">
        <f t="shared" si="11"/>
        <v>111</v>
      </c>
      <c r="R29" s="2087" t="s">
        <v>1142</v>
      </c>
      <c r="S29" s="2088">
        <f t="shared" ref="S29:S47" si="12">F29</f>
        <v>100</v>
      </c>
      <c r="T29" s="2087" t="s">
        <v>1142</v>
      </c>
      <c r="U29" s="2088">
        <f t="shared" ref="U29:U47" si="13">H29</f>
        <v>100</v>
      </c>
      <c r="V29" s="2087" t="s">
        <v>1142</v>
      </c>
      <c r="W29" s="2088">
        <f t="shared" ref="W29:W47" si="14">J29</f>
        <v>100</v>
      </c>
      <c r="X29" s="1415"/>
      <c r="Y29" s="1518"/>
      <c r="Z29" s="1510">
        <f t="shared" ref="Z29:Z47" si="15">Q29</f>
        <v>111</v>
      </c>
      <c r="AA29" s="1510">
        <f t="shared" si="3"/>
        <v>1</v>
      </c>
      <c r="AB29" s="1510">
        <f t="shared" si="4"/>
        <v>1</v>
      </c>
      <c r="AC29" s="2089">
        <f t="shared" si="5"/>
        <v>1</v>
      </c>
    </row>
    <row r="30" ht="15" spans="1:29">
      <c r="A30" s="1695"/>
      <c r="B30" s="1669">
        <v>111</v>
      </c>
      <c r="C30" s="2097"/>
      <c r="D30" s="1931">
        <v>100</v>
      </c>
      <c r="E30" s="1927"/>
      <c r="F30" s="1934">
        <f>SUMIF(95:95,E30,96:96)-SUMIF(95:95,C30,96:96)+100</f>
        <v>100</v>
      </c>
      <c r="G30" s="2084"/>
      <c r="H30" s="1934">
        <f>SUMIF(95:95,G30,96:96)-SUMIF(95:95,C30,96:96)+100</f>
        <v>100</v>
      </c>
      <c r="I30" s="1927"/>
      <c r="J30" s="1934">
        <f>SUMIF(95:95,I30,96:96)-SUMIF(95:95,C30,96:96)+100</f>
        <v>100</v>
      </c>
      <c r="K30" s="1536"/>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2089">
        <f t="shared" si="5"/>
        <v>1</v>
      </c>
    </row>
    <row r="31" ht="15" spans="1:29">
      <c r="A31" s="1695"/>
      <c r="B31" s="1669">
        <v>111</v>
      </c>
      <c r="C31" s="2097"/>
      <c r="D31" s="1931">
        <v>100</v>
      </c>
      <c r="E31" s="1927"/>
      <c r="F31" s="1934">
        <f>SUMIF(97:97,E31,98:98)-SUMIF(97:97,C31,98:98)+100</f>
        <v>100</v>
      </c>
      <c r="G31" s="2084"/>
      <c r="H31" s="1934">
        <f>SUMIF(97:97,G31,98:98)-SUMIF(97:97,C31,98:98)+100</f>
        <v>100</v>
      </c>
      <c r="I31" s="1927"/>
      <c r="J31" s="1934">
        <f>SUMIF(97:97,I31,98:98)-SUMIF(97:97,C31,98:98)+100</f>
        <v>100</v>
      </c>
      <c r="K31" s="1536"/>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2089">
        <f t="shared" si="5"/>
        <v>1</v>
      </c>
    </row>
    <row r="32" ht="15.75" spans="1:29">
      <c r="A32" s="2085"/>
      <c r="B32" s="2029">
        <v>111</v>
      </c>
      <c r="C32" s="2102"/>
      <c r="D32" s="1984">
        <v>100</v>
      </c>
      <c r="E32" s="2031"/>
      <c r="F32" s="1933">
        <f>SUMIF(99:99,E32,100:100)-SUMIF(99:99,C32,100:100)+100</f>
        <v>100</v>
      </c>
      <c r="G32" s="2084"/>
      <c r="H32" s="1933">
        <f>SUMIF(99:99,G32,100:100)-SUMIF(99:99,C32,100:100)+100</f>
        <v>100</v>
      </c>
      <c r="I32" s="1927"/>
      <c r="J32" s="1933">
        <f>SUMIF(99:99,I32,100:100)-SUMIF(99:99,C32,100:100)+100</f>
        <v>100</v>
      </c>
      <c r="K32" s="1536"/>
      <c r="L32" s="1494"/>
      <c r="M32" s="1410"/>
      <c r="N32" s="1410"/>
      <c r="O32" s="1410"/>
      <c r="P32" s="1535"/>
      <c r="Q32" s="1070">
        <f t="shared" si="11"/>
        <v>111</v>
      </c>
      <c r="R32" s="2087" t="s">
        <v>1142</v>
      </c>
      <c r="S32" s="2088">
        <f t="shared" si="12"/>
        <v>100</v>
      </c>
      <c r="T32" s="2087" t="s">
        <v>1142</v>
      </c>
      <c r="U32" s="2088">
        <f t="shared" si="13"/>
        <v>100</v>
      </c>
      <c r="V32" s="2087" t="s">
        <v>1142</v>
      </c>
      <c r="W32" s="2088">
        <f t="shared" si="14"/>
        <v>100</v>
      </c>
      <c r="X32" s="1415"/>
      <c r="Y32" s="1518"/>
      <c r="Z32" s="1510">
        <f t="shared" si="15"/>
        <v>111</v>
      </c>
      <c r="AA32" s="1510">
        <f t="shared" si="3"/>
        <v>1</v>
      </c>
      <c r="AB32" s="1510">
        <f t="shared" si="4"/>
        <v>1</v>
      </c>
      <c r="AC32" s="2089">
        <f t="shared" si="5"/>
        <v>1</v>
      </c>
    </row>
    <row r="33" ht="15" spans="1:29">
      <c r="A33" s="1688" t="s">
        <v>1166</v>
      </c>
      <c r="B33" s="1916" t="s">
        <v>1167</v>
      </c>
      <c r="C33" s="1969"/>
      <c r="D33" s="1970">
        <v>100</v>
      </c>
      <c r="E33" s="1969"/>
      <c r="F33" s="1964">
        <f>SUMIF(101:101,E33,102:102)-SUMIF(101:101,C33,102:102)+100</f>
        <v>100</v>
      </c>
      <c r="G33" s="1969"/>
      <c r="H33" s="1934">
        <f>SUMIF(101:101,G33,102:102)-SUMIF(101:101,C33,102:102)+100</f>
        <v>100</v>
      </c>
      <c r="I33" s="1969"/>
      <c r="J33" s="1887">
        <f>SUMIF(101:101,I33,102:102)-SUMIF(101:101,C33,102:102)+100</f>
        <v>100</v>
      </c>
      <c r="K33" s="1539"/>
      <c r="L33" s="1494"/>
      <c r="M33" s="1410"/>
      <c r="N33" s="1410"/>
      <c r="O33" s="1410"/>
      <c r="P33" s="2103" t="s">
        <v>1169</v>
      </c>
      <c r="Q33" s="1070" t="str">
        <f t="shared" si="11"/>
        <v>建筑类型</v>
      </c>
      <c r="R33" s="2087" t="s">
        <v>1142</v>
      </c>
      <c r="S33" s="2088">
        <f t="shared" si="12"/>
        <v>100</v>
      </c>
      <c r="T33" s="2087" t="s">
        <v>1142</v>
      </c>
      <c r="U33" s="2088">
        <f t="shared" si="13"/>
        <v>100</v>
      </c>
      <c r="V33" s="2087" t="s">
        <v>1142</v>
      </c>
      <c r="W33" s="2088">
        <f t="shared" si="14"/>
        <v>100</v>
      </c>
      <c r="X33" s="1415"/>
      <c r="Y33" s="1545" t="s">
        <v>1169</v>
      </c>
      <c r="Z33" s="1510" t="str">
        <f t="shared" si="15"/>
        <v>建筑类型</v>
      </c>
      <c r="AA33" s="1510">
        <f t="shared" si="3"/>
        <v>1</v>
      </c>
      <c r="AB33" s="1510">
        <f t="shared" si="4"/>
        <v>1</v>
      </c>
      <c r="AC33" s="2089">
        <f t="shared" si="5"/>
        <v>1</v>
      </c>
    </row>
    <row r="34" s="1373" customFormat="1" ht="15" spans="1:29">
      <c r="A34" s="1764"/>
      <c r="B34" s="1922" t="s">
        <v>1170</v>
      </c>
      <c r="C34" s="1928"/>
      <c r="D34" s="1924">
        <v>100</v>
      </c>
      <c r="E34" s="2083"/>
      <c r="F34" s="1922" t="e">
        <f>LOOKUP(E34,104:104,105:105)-LOOKUP(C34,104:104,105:105)+100</f>
        <v>#N/A</v>
      </c>
      <c r="G34" s="2082"/>
      <c r="H34" s="1925" t="e">
        <f>LOOKUP(G34,104:104,105:105)-LOOKUP(C34,104:104,105:105)+100</f>
        <v>#N/A</v>
      </c>
      <c r="I34" s="2082"/>
      <c r="J34" s="1925" t="e">
        <f>LOOKUP(I34,104:104,105:105)-LOOKUP(C34,104:104,105:105)+100</f>
        <v>#N/A</v>
      </c>
      <c r="K34" s="1536"/>
      <c r="L34" s="1484"/>
      <c r="M34" s="1551"/>
      <c r="N34" s="1551"/>
      <c r="O34" s="1551"/>
      <c r="P34" s="2104"/>
      <c r="Q34" s="2105" t="str">
        <f t="shared" si="11"/>
        <v>项目建筑规模</v>
      </c>
      <c r="R34" s="2106" t="s">
        <v>1142</v>
      </c>
      <c r="S34" s="2107" t="e">
        <f t="shared" si="12"/>
        <v>#N/A</v>
      </c>
      <c r="T34" s="2106" t="s">
        <v>1142</v>
      </c>
      <c r="U34" s="2107" t="e">
        <f t="shared" si="13"/>
        <v>#N/A</v>
      </c>
      <c r="V34" s="2106" t="s">
        <v>1142</v>
      </c>
      <c r="W34" s="2107" t="e">
        <f t="shared" si="14"/>
        <v>#N/A</v>
      </c>
      <c r="X34" s="1556"/>
      <c r="Y34" s="1545"/>
      <c r="Z34" s="1557" t="str">
        <f t="shared" si="15"/>
        <v>项目建筑规模</v>
      </c>
      <c r="AA34" s="1510" t="e">
        <f t="shared" si="3"/>
        <v>#N/A</v>
      </c>
      <c r="AB34" s="1510" t="e">
        <f t="shared" si="4"/>
        <v>#N/A</v>
      </c>
      <c r="AC34" s="2089" t="e">
        <f t="shared" si="5"/>
        <v>#N/A</v>
      </c>
    </row>
    <row r="35" ht="15" spans="1:29">
      <c r="A35" s="1773"/>
      <c r="B35" s="1922" t="s">
        <v>1171</v>
      </c>
      <c r="C35" s="1978"/>
      <c r="D35" s="1931">
        <v>100</v>
      </c>
      <c r="E35" s="1978"/>
      <c r="F35" s="1964">
        <f>SUMIF(106:106,E35,107:107)-SUMIF(106:106,C35,107:107)+100</f>
        <v>100</v>
      </c>
      <c r="G35" s="1978"/>
      <c r="H35" s="1934">
        <f>SUMIF(106:106,G35,107:107)-SUMIF(106:106,C35,107:107)+100</f>
        <v>100</v>
      </c>
      <c r="I35" s="1978"/>
      <c r="J35" s="1934">
        <f>SUMIF(106:106,I35,107:107)-SUMIF(106:106,C35,107:107)+100</f>
        <v>100</v>
      </c>
      <c r="K35" s="1539"/>
      <c r="L35" s="1494"/>
      <c r="M35" s="1410"/>
      <c r="N35" s="1410"/>
      <c r="O35" s="1410"/>
      <c r="P35" s="2104"/>
      <c r="Q35" s="1070" t="str">
        <f t="shared" si="11"/>
        <v>建筑结构</v>
      </c>
      <c r="R35" s="2087" t="s">
        <v>1142</v>
      </c>
      <c r="S35" s="2088">
        <f t="shared" si="12"/>
        <v>100</v>
      </c>
      <c r="T35" s="2087" t="s">
        <v>1142</v>
      </c>
      <c r="U35" s="2088">
        <f t="shared" si="13"/>
        <v>100</v>
      </c>
      <c r="V35" s="2087" t="s">
        <v>1142</v>
      </c>
      <c r="W35" s="2088">
        <f t="shared" si="14"/>
        <v>100</v>
      </c>
      <c r="X35" s="1415"/>
      <c r="Y35" s="1545"/>
      <c r="Z35" s="1510" t="str">
        <f t="shared" si="15"/>
        <v>建筑结构</v>
      </c>
      <c r="AA35" s="1510">
        <f t="shared" si="3"/>
        <v>1</v>
      </c>
      <c r="AB35" s="1510">
        <f t="shared" si="4"/>
        <v>1</v>
      </c>
      <c r="AC35" s="2089">
        <f t="shared" si="5"/>
        <v>1</v>
      </c>
    </row>
    <row r="36" ht="15" spans="1:29">
      <c r="A36" s="1773"/>
      <c r="B36" s="1922" t="s">
        <v>1173</v>
      </c>
      <c r="C36" s="1978"/>
      <c r="D36" s="1931">
        <v>100</v>
      </c>
      <c r="E36" s="1978"/>
      <c r="F36" s="1964">
        <f>SUMIF(108:108,E36,109:109)-SUMIF(108:108,C36,109:109)+100</f>
        <v>100</v>
      </c>
      <c r="G36" s="1978"/>
      <c r="H36" s="1934">
        <f>SUMIF(108:108,G36,109:109)-SUMIF(108:108,C36,109:109)+100</f>
        <v>100</v>
      </c>
      <c r="I36" s="1978"/>
      <c r="J36" s="1934">
        <f>SUMIF(108:108,I36,109:109)-SUMIF(108:108,C36,109:109)+100</f>
        <v>100</v>
      </c>
      <c r="K36" s="1539"/>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5"/>
        <v>公共部分装修</v>
      </c>
      <c r="AA36" s="1510">
        <f t="shared" si="3"/>
        <v>1</v>
      </c>
      <c r="AB36" s="1510">
        <f t="shared" si="4"/>
        <v>1</v>
      </c>
      <c r="AC36" s="2089">
        <f t="shared" si="5"/>
        <v>1</v>
      </c>
    </row>
    <row r="37" ht="15" spans="1:29">
      <c r="A37" s="1773"/>
      <c r="B37" s="1922" t="s">
        <v>716</v>
      </c>
      <c r="C37" s="1972"/>
      <c r="D37" s="1931">
        <v>100</v>
      </c>
      <c r="E37" s="1972"/>
      <c r="F37" s="1964" t="e">
        <f>LOOKUP(E37,111:111,112:112)-LOOKUP(C37,111:111,112:112)+100</f>
        <v>#N/A</v>
      </c>
      <c r="G37" s="1972"/>
      <c r="H37" s="1964" t="e">
        <f>LOOKUP(G37,111:111,112:112)-LOOKUP(C37,111:111,112:112)+100</f>
        <v>#N/A</v>
      </c>
      <c r="I37" s="1972"/>
      <c r="J37" s="1934" t="e">
        <f>LOOKUP(I37,111:111,112:112)-LOOKUP(C37,111:111,112:112)+100</f>
        <v>#N/A</v>
      </c>
      <c r="K37" s="1539"/>
      <c r="L37" s="1494"/>
      <c r="M37" s="1410"/>
      <c r="N37" s="1410"/>
      <c r="O37" s="1410"/>
      <c r="P37" s="2104"/>
      <c r="Q37" s="1070" t="str">
        <f t="shared" si="11"/>
        <v>成新度</v>
      </c>
      <c r="R37" s="2087" t="s">
        <v>1142</v>
      </c>
      <c r="S37" s="2088" t="e">
        <f t="shared" si="12"/>
        <v>#N/A</v>
      </c>
      <c r="T37" s="2087" t="s">
        <v>1142</v>
      </c>
      <c r="U37" s="2088" t="e">
        <f t="shared" si="13"/>
        <v>#N/A</v>
      </c>
      <c r="V37" s="2087" t="s">
        <v>1142</v>
      </c>
      <c r="W37" s="2088" t="e">
        <f t="shared" si="14"/>
        <v>#N/A</v>
      </c>
      <c r="X37" s="1415"/>
      <c r="Y37" s="1545"/>
      <c r="Z37" s="1510" t="str">
        <f t="shared" si="15"/>
        <v>成新度</v>
      </c>
      <c r="AA37" s="1510" t="e">
        <f t="shared" si="3"/>
        <v>#N/A</v>
      </c>
      <c r="AB37" s="1510" t="e">
        <f t="shared" si="4"/>
        <v>#N/A</v>
      </c>
      <c r="AC37" s="2089" t="e">
        <f t="shared" si="5"/>
        <v>#N/A</v>
      </c>
    </row>
    <row r="38" s="1371" customFormat="1" ht="15" spans="1:29">
      <c r="A38" s="1980"/>
      <c r="B38" s="1922" t="s">
        <v>1947</v>
      </c>
      <c r="C38" s="1978"/>
      <c r="D38" s="1924">
        <v>100</v>
      </c>
      <c r="E38" s="1978"/>
      <c r="F38" s="1964">
        <f>SUMIF(113:113,E38,114:114)-SUMIF(113:113,C38,114:114)+100</f>
        <v>100</v>
      </c>
      <c r="G38" s="1978"/>
      <c r="H38" s="1934">
        <f>SUMIF(113:113,G38,114:114)-SUMIF(113:113,C38,114:114)+100</f>
        <v>100</v>
      </c>
      <c r="I38" s="1978"/>
      <c r="J38" s="1934">
        <f>SUMIF(113:113,I38,114:114)-SUMIF(113:113,C38,114:114)+100</f>
        <v>100</v>
      </c>
      <c r="K38" s="1539"/>
      <c r="L38" s="1453"/>
      <c r="M38" s="1454"/>
      <c r="N38" s="1454"/>
      <c r="O38" s="1454"/>
      <c r="P38" s="2104"/>
      <c r="Q38" s="1224" t="str">
        <f t="shared" si="11"/>
        <v>写字楼等级</v>
      </c>
      <c r="R38" s="2078" t="s">
        <v>1142</v>
      </c>
      <c r="S38" s="2079">
        <f t="shared" si="12"/>
        <v>100</v>
      </c>
      <c r="T38" s="2078" t="s">
        <v>1142</v>
      </c>
      <c r="U38" s="2079">
        <f t="shared" si="13"/>
        <v>100</v>
      </c>
      <c r="V38" s="2078" t="s">
        <v>1142</v>
      </c>
      <c r="W38" s="2079">
        <f t="shared" si="14"/>
        <v>100</v>
      </c>
      <c r="X38" s="1459"/>
      <c r="Y38" s="1545"/>
      <c r="Z38" s="1462" t="str">
        <f t="shared" si="15"/>
        <v>写字楼等级</v>
      </c>
      <c r="AA38" s="1462">
        <f t="shared" si="3"/>
        <v>1</v>
      </c>
      <c r="AB38" s="1462">
        <f t="shared" si="4"/>
        <v>1</v>
      </c>
      <c r="AC38" s="2080">
        <f t="shared" si="5"/>
        <v>1</v>
      </c>
    </row>
    <row r="39" ht="15" spans="1:29">
      <c r="A39" s="1773"/>
      <c r="B39" s="1922" t="s">
        <v>1175</v>
      </c>
      <c r="C39" s="1978"/>
      <c r="D39" s="1931">
        <v>100</v>
      </c>
      <c r="E39" s="1978"/>
      <c r="F39" s="1964">
        <f>SUMIF(115:115,E39,116:116)-SUMIF(115:115,C39,116:116)+100</f>
        <v>100</v>
      </c>
      <c r="G39" s="1978"/>
      <c r="H39" s="1934">
        <f>SUMIF(115:115,G39,116:116)-SUMIF(115:115,C39,116:116)+100</f>
        <v>100</v>
      </c>
      <c r="I39" s="1978"/>
      <c r="J39" s="1934">
        <f>SUMIF(115:115,I39,116:116)-SUMIF(115:115,C39,116:116)+100</f>
        <v>100</v>
      </c>
      <c r="K39" s="1539"/>
      <c r="L39" s="1494"/>
      <c r="M39" s="1410"/>
      <c r="N39" s="1410"/>
      <c r="O39" s="1410"/>
      <c r="P39" s="2104" t="s">
        <v>1169</v>
      </c>
      <c r="Q39" s="1070" t="str">
        <f t="shared" si="11"/>
        <v>物业管理</v>
      </c>
      <c r="R39" s="2087" t="s">
        <v>1142</v>
      </c>
      <c r="S39" s="2088">
        <f t="shared" si="12"/>
        <v>100</v>
      </c>
      <c r="T39" s="2087" t="s">
        <v>1142</v>
      </c>
      <c r="U39" s="2088">
        <f t="shared" si="13"/>
        <v>100</v>
      </c>
      <c r="V39" s="2087" t="s">
        <v>1142</v>
      </c>
      <c r="W39" s="2088">
        <f t="shared" si="14"/>
        <v>100</v>
      </c>
      <c r="X39" s="1415"/>
      <c r="Y39" s="1545" t="s">
        <v>1169</v>
      </c>
      <c r="Z39" s="1510" t="str">
        <f t="shared" si="15"/>
        <v>物业管理</v>
      </c>
      <c r="AA39" s="1510">
        <f t="shared" si="3"/>
        <v>1</v>
      </c>
      <c r="AB39" s="1510">
        <f t="shared" si="4"/>
        <v>1</v>
      </c>
      <c r="AC39" s="2089">
        <f t="shared" si="5"/>
        <v>1</v>
      </c>
    </row>
    <row r="40" ht="15" spans="1:29">
      <c r="A40" s="1773"/>
      <c r="B40" s="1922" t="s">
        <v>1176</v>
      </c>
      <c r="C40" s="1978"/>
      <c r="D40" s="1931">
        <v>100</v>
      </c>
      <c r="E40" s="1978"/>
      <c r="F40" s="1964">
        <f>SUMIF(117:117,E40,118:118)-SUMIF(117:117,C40,118:118)+100</f>
        <v>100</v>
      </c>
      <c r="G40" s="1978"/>
      <c r="H40" s="1934">
        <f>SUMIF(117:117,G40,118:118)-SUMIF(117:117,C40,118:118)+100</f>
        <v>100</v>
      </c>
      <c r="I40" s="1978"/>
      <c r="J40" s="1934">
        <f>SUMIF(117:117,I40,118:118)-SUMIF(117:117,C40,118:118)+100</f>
        <v>100</v>
      </c>
      <c r="K40" s="1539"/>
      <c r="L40" s="1494"/>
      <c r="M40" s="1410"/>
      <c r="N40" s="1410"/>
      <c r="O40" s="1410"/>
      <c r="P40" s="2104"/>
      <c r="Q40" s="1070" t="str">
        <f t="shared" si="11"/>
        <v>市政基础设施</v>
      </c>
      <c r="R40" s="2087" t="s">
        <v>1142</v>
      </c>
      <c r="S40" s="2088">
        <f t="shared" si="12"/>
        <v>100</v>
      </c>
      <c r="T40" s="2087" t="s">
        <v>1142</v>
      </c>
      <c r="U40" s="2088">
        <f t="shared" si="13"/>
        <v>100</v>
      </c>
      <c r="V40" s="2087" t="s">
        <v>1142</v>
      </c>
      <c r="W40" s="2088">
        <f t="shared" si="14"/>
        <v>100</v>
      </c>
      <c r="X40" s="1415"/>
      <c r="Y40" s="1545"/>
      <c r="Z40" s="1510" t="str">
        <f t="shared" si="15"/>
        <v>市政基础设施</v>
      </c>
      <c r="AA40" s="1510">
        <f t="shared" si="3"/>
        <v>1</v>
      </c>
      <c r="AB40" s="1510">
        <f t="shared" si="4"/>
        <v>1</v>
      </c>
      <c r="AC40" s="2089">
        <f t="shared" si="5"/>
        <v>1</v>
      </c>
    </row>
    <row r="41" ht="15" spans="1:29">
      <c r="A41" s="1773"/>
      <c r="B41" s="1922" t="s">
        <v>1940</v>
      </c>
      <c r="C41" s="1963"/>
      <c r="D41" s="1931">
        <v>100</v>
      </c>
      <c r="E41" s="1963"/>
      <c r="F41" s="1964">
        <f>SUMIF(119:119,E41,120:120)-SUMIF(119:119,C41,120:120)+100</f>
        <v>100</v>
      </c>
      <c r="G41" s="1963"/>
      <c r="H41" s="1934">
        <f>SUMIF(119:119,G41,120:120)-SUMIF(119:119,C41,120:120)+100</f>
        <v>100</v>
      </c>
      <c r="I41" s="1963"/>
      <c r="J41" s="1934">
        <f>SUMIF(119:119,I41,120:120)-SUMIF(119:119,C41,120:120)+100</f>
        <v>100</v>
      </c>
      <c r="K41" s="1539"/>
      <c r="L41" s="1494"/>
      <c r="M41" s="1410"/>
      <c r="N41" s="1410"/>
      <c r="O41" s="1410"/>
      <c r="P41" s="2104"/>
      <c r="Q41" s="1070" t="str">
        <f t="shared" si="11"/>
        <v>层高</v>
      </c>
      <c r="R41" s="2087" t="s">
        <v>1142</v>
      </c>
      <c r="S41" s="2088">
        <f t="shared" si="12"/>
        <v>100</v>
      </c>
      <c r="T41" s="2087" t="s">
        <v>1142</v>
      </c>
      <c r="U41" s="2088">
        <f t="shared" si="13"/>
        <v>100</v>
      </c>
      <c r="V41" s="2087" t="s">
        <v>1142</v>
      </c>
      <c r="W41" s="2088">
        <f t="shared" si="14"/>
        <v>100</v>
      </c>
      <c r="X41" s="1415"/>
      <c r="Y41" s="1545"/>
      <c r="Z41" s="1510" t="str">
        <f t="shared" si="15"/>
        <v>层高</v>
      </c>
      <c r="AA41" s="1510">
        <f t="shared" si="3"/>
        <v>1</v>
      </c>
      <c r="AB41" s="1510">
        <f t="shared" si="4"/>
        <v>1</v>
      </c>
      <c r="AC41" s="2089">
        <f t="shared" si="5"/>
        <v>1</v>
      </c>
    </row>
    <row r="42" s="1373" customFormat="1" ht="15" spans="1:29">
      <c r="A42" s="1764"/>
      <c r="B42" s="1964" t="s">
        <v>1948</v>
      </c>
      <c r="C42" s="1930"/>
      <c r="D42" s="1931">
        <v>100</v>
      </c>
      <c r="E42" s="1930"/>
      <c r="F42" s="1964">
        <f>SUMIF(121:121,E42,122:122)-SUMIF(121:121,C42,122:122)+100</f>
        <v>100</v>
      </c>
      <c r="G42" s="1930"/>
      <c r="H42" s="1934">
        <f>SUMIF(121:121,G42,122:122)-SUMIF(121:121,C42,122:122)+100</f>
        <v>100</v>
      </c>
      <c r="I42" s="1930"/>
      <c r="J42" s="1934">
        <f>SUMIF(121:121,I42,122:122)-SUMIF(121:121,C42,122:122)+100</f>
        <v>100</v>
      </c>
      <c r="K42" s="1536"/>
      <c r="L42" s="1484"/>
      <c r="M42" s="1551"/>
      <c r="N42" s="1551"/>
      <c r="O42" s="1551"/>
      <c r="P42" s="2104"/>
      <c r="Q42" s="2105" t="str">
        <f t="shared" si="11"/>
        <v>单套建筑面积</v>
      </c>
      <c r="R42" s="2106" t="s">
        <v>1142</v>
      </c>
      <c r="S42" s="2107">
        <f t="shared" si="12"/>
        <v>100</v>
      </c>
      <c r="T42" s="2106" t="s">
        <v>1142</v>
      </c>
      <c r="U42" s="2107">
        <f t="shared" si="13"/>
        <v>100</v>
      </c>
      <c r="V42" s="2106" t="s">
        <v>1142</v>
      </c>
      <c r="W42" s="2107">
        <f t="shared" si="14"/>
        <v>100</v>
      </c>
      <c r="X42" s="1556"/>
      <c r="Y42" s="1545"/>
      <c r="Z42" s="1557" t="str">
        <f t="shared" si="15"/>
        <v>单套建筑面积</v>
      </c>
      <c r="AA42" s="1510">
        <f t="shared" si="3"/>
        <v>1</v>
      </c>
      <c r="AB42" s="1510">
        <f t="shared" si="4"/>
        <v>1</v>
      </c>
      <c r="AC42" s="2089">
        <f t="shared" si="5"/>
        <v>1</v>
      </c>
    </row>
    <row r="43" ht="15" spans="1:29">
      <c r="A43" s="1773"/>
      <c r="B43" s="1922" t="s">
        <v>1177</v>
      </c>
      <c r="C43" s="1978"/>
      <c r="D43" s="1931">
        <v>100</v>
      </c>
      <c r="E43" s="1978"/>
      <c r="F43" s="1964">
        <f>SUMIF(123:123,E43,124:124)-SUMIF(123:123,C43,124:124)+100</f>
        <v>100</v>
      </c>
      <c r="G43" s="1978"/>
      <c r="H43" s="1934">
        <f>SUMIF(123:123,G43,124:124)-SUMIF(123:123,C43,124:124)+100</f>
        <v>100</v>
      </c>
      <c r="I43" s="1978"/>
      <c r="J43" s="1934">
        <f>SUMIF(123:123,I43,124:124)-SUMIF(123:123,C43,124:124)+100</f>
        <v>100</v>
      </c>
      <c r="K43" s="1539"/>
      <c r="L43" s="1494"/>
      <c r="M43" s="1410"/>
      <c r="N43" s="1410"/>
      <c r="O43" s="1410"/>
      <c r="P43" s="2104"/>
      <c r="Q43" s="1070" t="str">
        <f t="shared" si="11"/>
        <v>内部装修</v>
      </c>
      <c r="R43" s="2087" t="s">
        <v>1142</v>
      </c>
      <c r="S43" s="2088">
        <f t="shared" si="12"/>
        <v>100</v>
      </c>
      <c r="T43" s="2087" t="s">
        <v>1142</v>
      </c>
      <c r="U43" s="2088">
        <f t="shared" si="13"/>
        <v>100</v>
      </c>
      <c r="V43" s="2087" t="s">
        <v>1142</v>
      </c>
      <c r="W43" s="2088">
        <f t="shared" si="14"/>
        <v>100</v>
      </c>
      <c r="X43" s="1415"/>
      <c r="Y43" s="1545"/>
      <c r="Z43" s="1510" t="str">
        <f t="shared" si="15"/>
        <v>内部装修</v>
      </c>
      <c r="AA43" s="1510">
        <f t="shared" si="3"/>
        <v>1</v>
      </c>
      <c r="AB43" s="1510">
        <f t="shared" si="4"/>
        <v>1</v>
      </c>
      <c r="AC43" s="2089">
        <f t="shared" si="5"/>
        <v>1</v>
      </c>
    </row>
    <row r="44" ht="15" spans="1:29">
      <c r="A44" s="1773"/>
      <c r="B44" s="1922" t="s">
        <v>1911</v>
      </c>
      <c r="C44" s="1978"/>
      <c r="D44" s="1931">
        <v>100</v>
      </c>
      <c r="E44" s="2108"/>
      <c r="F44" s="1964">
        <f>SUMIF(125:125,E44,126:126)-SUMIF(125:125,C44,126:126)+100</f>
        <v>100</v>
      </c>
      <c r="G44" s="2108"/>
      <c r="H44" s="1934">
        <f>SUMIF(125:125,G44,126:126)-SUMIF(125:125,C44,126:126)+100</f>
        <v>100</v>
      </c>
      <c r="I44" s="2108"/>
      <c r="J44" s="1934">
        <f>SUMIF(125:125,I44,126:126)-SUMIF(125:125,C44,126:126)+100</f>
        <v>100</v>
      </c>
      <c r="K44" s="1539"/>
      <c r="L44" s="1494"/>
      <c r="M44" s="1410"/>
      <c r="N44" s="1410"/>
      <c r="O44" s="1410"/>
      <c r="P44" s="2104"/>
      <c r="Q44" s="1070" t="str">
        <f t="shared" si="11"/>
        <v>内部装修维护情况</v>
      </c>
      <c r="R44" s="2087" t="s">
        <v>1142</v>
      </c>
      <c r="S44" s="2088">
        <f t="shared" si="12"/>
        <v>100</v>
      </c>
      <c r="T44" s="2087" t="s">
        <v>1142</v>
      </c>
      <c r="U44" s="2088">
        <f t="shared" si="13"/>
        <v>100</v>
      </c>
      <c r="V44" s="2087" t="s">
        <v>1142</v>
      </c>
      <c r="W44" s="2088">
        <f t="shared" si="14"/>
        <v>100</v>
      </c>
      <c r="X44" s="1415"/>
      <c r="Y44" s="1545"/>
      <c r="Z44" s="1510" t="str">
        <f t="shared" si="15"/>
        <v>内部装修维护情况</v>
      </c>
      <c r="AA44" s="1510">
        <f t="shared" si="3"/>
        <v>1</v>
      </c>
      <c r="AB44" s="1510">
        <f t="shared" si="4"/>
        <v>1</v>
      </c>
      <c r="AC44" s="2089">
        <f t="shared" si="5"/>
        <v>1</v>
      </c>
    </row>
    <row r="45" s="1371" customFormat="1" ht="15" spans="1:29">
      <c r="A45" s="1980"/>
      <c r="B45" s="1668">
        <v>111</v>
      </c>
      <c r="C45" s="1928"/>
      <c r="D45" s="1924">
        <v>100</v>
      </c>
      <c r="E45" s="1927"/>
      <c r="F45" s="1922">
        <f>SUMIF(127:127,E45,128:128)-SUMIF(127:127,C45,128:128)+100</f>
        <v>100</v>
      </c>
      <c r="G45" s="1927"/>
      <c r="H45" s="1925">
        <f>SUMIF(127:127,G45,128:128)-SUMIF(127:127,C45,128:128)+100</f>
        <v>100</v>
      </c>
      <c r="I45" s="1927"/>
      <c r="J45" s="1925">
        <f>SUMIF(127:127,I45,128:128)-SUMIF(127:127,C45,128:128)+100</f>
        <v>100</v>
      </c>
      <c r="K45" s="1536"/>
      <c r="L45" s="1453"/>
      <c r="M45" s="1454"/>
      <c r="N45" s="1454"/>
      <c r="O45" s="1454"/>
      <c r="P45" s="2104"/>
      <c r="Q45" s="1224">
        <f t="shared" si="11"/>
        <v>111</v>
      </c>
      <c r="R45" s="2078" t="s">
        <v>1142</v>
      </c>
      <c r="S45" s="2079">
        <f t="shared" si="12"/>
        <v>100</v>
      </c>
      <c r="T45" s="2078" t="s">
        <v>1142</v>
      </c>
      <c r="U45" s="2079">
        <f t="shared" si="13"/>
        <v>100</v>
      </c>
      <c r="V45" s="2078" t="s">
        <v>1142</v>
      </c>
      <c r="W45" s="2079">
        <f t="shared" si="14"/>
        <v>100</v>
      </c>
      <c r="X45" s="1459"/>
      <c r="Y45" s="1545"/>
      <c r="Z45" s="1462">
        <f t="shared" si="15"/>
        <v>111</v>
      </c>
      <c r="AA45" s="1462">
        <f t="shared" si="3"/>
        <v>1</v>
      </c>
      <c r="AB45" s="1462">
        <f t="shared" si="4"/>
        <v>1</v>
      </c>
      <c r="AC45" s="2080">
        <f t="shared" si="5"/>
        <v>1</v>
      </c>
    </row>
    <row r="46" ht="15" spans="1:29">
      <c r="A46" s="1773"/>
      <c r="B46" s="1668">
        <v>111</v>
      </c>
      <c r="C46" s="1930"/>
      <c r="D46" s="1931">
        <v>100</v>
      </c>
      <c r="E46" s="1927"/>
      <c r="F46" s="1964">
        <f>SUMIF(129:129,E46,130:130)-SUMIF(129:129,C46,130:130)+100</f>
        <v>100</v>
      </c>
      <c r="G46" s="1927"/>
      <c r="H46" s="1934">
        <f>SUMIF(129:129,G46,130:130)-SUMIF(129:129,C46,130:130)+100</f>
        <v>100</v>
      </c>
      <c r="I46" s="1927"/>
      <c r="J46" s="1934">
        <f>SUMIF(129:129,I46,130:130)-SUMIF(129:129,C46,130:130)+100</f>
        <v>100</v>
      </c>
      <c r="K46" s="1536"/>
      <c r="L46" s="1494"/>
      <c r="M46" s="1410"/>
      <c r="N46" s="1410"/>
      <c r="O46" s="1410"/>
      <c r="P46" s="2104"/>
      <c r="Q46" s="1070">
        <f t="shared" si="11"/>
        <v>111</v>
      </c>
      <c r="R46" s="2087" t="s">
        <v>1142</v>
      </c>
      <c r="S46" s="2088">
        <f t="shared" si="12"/>
        <v>100</v>
      </c>
      <c r="T46" s="2087" t="s">
        <v>1142</v>
      </c>
      <c r="U46" s="2088">
        <f t="shared" si="13"/>
        <v>100</v>
      </c>
      <c r="V46" s="2087" t="s">
        <v>1142</v>
      </c>
      <c r="W46" s="2088">
        <f t="shared" si="14"/>
        <v>100</v>
      </c>
      <c r="X46" s="1415"/>
      <c r="Y46" s="1545"/>
      <c r="Z46" s="1510">
        <f t="shared" si="15"/>
        <v>111</v>
      </c>
      <c r="AA46" s="1510">
        <f t="shared" si="3"/>
        <v>1</v>
      </c>
      <c r="AB46" s="1510">
        <f t="shared" si="4"/>
        <v>1</v>
      </c>
      <c r="AC46" s="2089">
        <f t="shared" si="5"/>
        <v>1</v>
      </c>
    </row>
    <row r="47" ht="15.75" spans="1:29">
      <c r="A47" s="1981"/>
      <c r="B47" s="1982">
        <v>111</v>
      </c>
      <c r="C47" s="1983"/>
      <c r="D47" s="1984">
        <v>100</v>
      </c>
      <c r="E47" s="1927"/>
      <c r="F47" s="1985">
        <f>SUMIF(131:131,E47,132:132)-SUMIF(131:131,C47,132:132)+100</f>
        <v>100</v>
      </c>
      <c r="G47" s="1927"/>
      <c r="H47" s="1933">
        <f>SUMIF(131:131,G47,132:132)-SUMIF(131:131,C47,132:132)+100</f>
        <v>100</v>
      </c>
      <c r="I47" s="1927"/>
      <c r="J47" s="1933">
        <f>SUMIF(131:131,I47,132:132)-SUMIF(131:131,C47,132:132)+100</f>
        <v>100</v>
      </c>
      <c r="K47" s="1536"/>
      <c r="L47" s="1494"/>
      <c r="M47" s="1410"/>
      <c r="N47" s="1410"/>
      <c r="O47" s="1410"/>
      <c r="P47" s="2109"/>
      <c r="Q47" s="1070">
        <f t="shared" si="11"/>
        <v>111</v>
      </c>
      <c r="R47" s="2087" t="s">
        <v>1142</v>
      </c>
      <c r="S47" s="2088">
        <f t="shared" si="12"/>
        <v>100</v>
      </c>
      <c r="T47" s="2087" t="s">
        <v>1142</v>
      </c>
      <c r="U47" s="2088">
        <f t="shared" si="13"/>
        <v>100</v>
      </c>
      <c r="V47" s="2087" t="s">
        <v>1142</v>
      </c>
      <c r="W47" s="2088">
        <f t="shared" si="14"/>
        <v>100</v>
      </c>
      <c r="X47" s="1415"/>
      <c r="Y47" s="2110"/>
      <c r="Z47" s="1510">
        <f t="shared" si="15"/>
        <v>111</v>
      </c>
      <c r="AA47" s="1510">
        <f t="shared" si="3"/>
        <v>1</v>
      </c>
      <c r="AB47" s="1510">
        <f t="shared" si="4"/>
        <v>1</v>
      </c>
      <c r="AC47" s="2089">
        <f t="shared" si="5"/>
        <v>1</v>
      </c>
    </row>
    <row r="48" ht="15" spans="1:29">
      <c r="A48" s="1571" t="s">
        <v>1185</v>
      </c>
      <c r="B48" s="1986"/>
      <c r="C48" s="1987" t="s">
        <v>124</v>
      </c>
      <c r="D48" s="1817"/>
      <c r="E48" s="1575"/>
      <c r="F48" s="1576"/>
      <c r="G48" s="1577"/>
      <c r="H48" s="1578"/>
      <c r="I48" s="1575"/>
      <c r="J48" s="1578"/>
      <c r="K48" s="1579"/>
      <c r="L48" s="1580"/>
      <c r="M48" s="1410"/>
      <c r="N48" s="1410"/>
      <c r="O48" s="1410"/>
      <c r="P48" s="2081" t="str">
        <f>A48</f>
        <v>成交单价（元/平方米）</v>
      </c>
      <c r="Q48" s="1070"/>
      <c r="R48" s="1582">
        <f>E48</f>
        <v>0</v>
      </c>
      <c r="S48" s="1582"/>
      <c r="T48" s="1582">
        <f>G48</f>
        <v>0</v>
      </c>
      <c r="U48" s="1582"/>
      <c r="V48" s="1582">
        <f>I48</f>
        <v>0</v>
      </c>
      <c r="W48" s="1582"/>
      <c r="X48" s="1945"/>
      <c r="Y48" s="1584"/>
      <c r="Z48" s="1945"/>
      <c r="AA48" s="1945"/>
      <c r="AB48" s="1945"/>
      <c r="AC48" s="2090"/>
    </row>
    <row r="49" ht="15.75" spans="1:29">
      <c r="A49" s="1585" t="s">
        <v>1186</v>
      </c>
      <c r="B49" s="1988"/>
      <c r="C49" s="1590" t="e">
        <f>R50</f>
        <v>#DIV/0!</v>
      </c>
      <c r="D49" s="1818" t="s">
        <v>1187</v>
      </c>
      <c r="E49" s="1587" t="e">
        <f>R49</f>
        <v>#DIV/0!</v>
      </c>
      <c r="F49" s="1589"/>
      <c r="G49" s="1590" t="e">
        <f>T49</f>
        <v>#DIV/0!</v>
      </c>
      <c r="H49" s="1589"/>
      <c r="I49" s="1587" t="e">
        <f>V49</f>
        <v>#DIV/0!</v>
      </c>
      <c r="J49" s="1589"/>
      <c r="K49" s="1591">
        <f>F49+H49+J49</f>
        <v>0</v>
      </c>
      <c r="L49" s="1580"/>
      <c r="M49" s="1410"/>
      <c r="N49" s="1410"/>
      <c r="O49" s="1410"/>
      <c r="P49" s="2081" t="str">
        <f>A49</f>
        <v>比较价值（元/平方米）</v>
      </c>
      <c r="Q49" s="1070"/>
      <c r="R49" s="1582" t="e">
        <f>IF(F1="售价",ROUND(PRODUCT(R48,AA7:AA47),0),ROUND(PRODUCT(R48,AA7:AA47),1))</f>
        <v>#DIV/0!</v>
      </c>
      <c r="S49" s="1582"/>
      <c r="T49" s="1582" t="e">
        <f>IF(F1="售价",ROUND(PRODUCT(T48,AB7:AB47),0),ROUND(PRODUCT(T48,AB7:AB47),1))</f>
        <v>#DIV/0!</v>
      </c>
      <c r="U49" s="1582"/>
      <c r="V49" s="1582" t="e">
        <f>IF(F1="售价",ROUND(PRODUCT(V48,AC7:AC47),0),ROUND(PRODUCT(V48,AC7:AC47),1))</f>
        <v>#DIV/0!</v>
      </c>
      <c r="W49" s="1582"/>
      <c r="X49" s="1945"/>
      <c r="Y49" s="1945"/>
      <c r="Z49" s="1945"/>
      <c r="AA49" s="1945"/>
      <c r="AB49" s="1945"/>
      <c r="AC49" s="2090"/>
    </row>
    <row r="50" ht="15.75" spans="1:29">
      <c r="A50" s="1592" t="s">
        <v>1188</v>
      </c>
      <c r="B50" s="1593"/>
      <c r="C50" s="1594" t="e">
        <f>R50</f>
        <v>#DIV/0!</v>
      </c>
      <c r="D50" s="1787"/>
      <c r="E50" s="1787"/>
      <c r="F50" s="1787"/>
      <c r="G50" s="1787"/>
      <c r="H50" s="1787"/>
      <c r="I50" s="1787"/>
      <c r="J50" s="1819"/>
      <c r="K50" s="1989"/>
      <c r="L50" s="1580"/>
      <c r="M50" s="1410"/>
      <c r="N50" s="1410"/>
      <c r="O50" s="1410"/>
      <c r="P50" s="2111" t="str">
        <f>A50</f>
        <v>估价对象XX用房的比较价值（楼面单价，元/平方米）</v>
      </c>
      <c r="Q50" s="2112"/>
      <c r="R50" s="2113" t="e">
        <f>IF(F1="售价",ROUND(IF(D49="简单平均",AVERAGE(R49:V49),R49*F49+T49*H49+V49*J49),0),ROUND(IF(D49="简单平均",AVERAGE(R49:V49),R49*F49+T49*H49+V49*J49),1))</f>
        <v>#DIV/0!</v>
      </c>
      <c r="S50" s="2113"/>
      <c r="T50" s="2113"/>
      <c r="U50" s="2113"/>
      <c r="V50" s="2113"/>
      <c r="W50" s="2113"/>
      <c r="X50" s="2114"/>
      <c r="Y50" s="2114"/>
      <c r="Z50" s="2114"/>
      <c r="AA50" s="2114"/>
      <c r="AB50" s="2114"/>
      <c r="AC50" s="2115"/>
    </row>
    <row r="51" spans="1:29">
      <c r="A51" s="1581"/>
      <c r="B51" s="1581"/>
      <c r="C51" s="1581"/>
      <c r="D51" s="1581"/>
      <c r="E51" s="1581"/>
      <c r="F51" s="1581"/>
      <c r="G51" s="1600"/>
      <c r="H51" s="1581"/>
      <c r="I51" s="1581"/>
      <c r="J51" s="1581"/>
      <c r="K51" s="1601"/>
      <c r="L51" s="1602"/>
      <c r="M51" s="1581"/>
      <c r="N51" s="1581"/>
      <c r="O51" s="1581"/>
      <c r="P51" s="2044"/>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601"/>
      <c r="L52" s="1602"/>
      <c r="M52" s="1581"/>
      <c r="N52" s="1581"/>
      <c r="O52" s="1581"/>
      <c r="P52" s="2044"/>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601"/>
      <c r="L53" s="1602"/>
      <c r="M53" s="1581"/>
      <c r="N53" s="1581"/>
      <c r="O53" s="1581"/>
      <c r="P53" s="2044"/>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601"/>
      <c r="L54" s="1602"/>
      <c r="M54" s="1581"/>
      <c r="N54" s="1581"/>
      <c r="O54" s="1581"/>
      <c r="P54" s="2044"/>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606"/>
      <c r="L55" s="1607"/>
      <c r="M55" s="1605"/>
      <c r="N55" s="1605"/>
      <c r="O55" s="1605"/>
      <c r="P55" s="2045"/>
      <c r="Q55" s="1605"/>
      <c r="R55" s="1605"/>
      <c r="S55" s="1605"/>
      <c r="T55" s="1605"/>
      <c r="U55" s="1605"/>
      <c r="V55" s="1605"/>
      <c r="W55" s="1605"/>
      <c r="X55" s="1605"/>
      <c r="Y55" s="1605"/>
      <c r="Z55" s="1605"/>
      <c r="AA55" s="1605"/>
      <c r="AB55" s="1605"/>
      <c r="AC55" s="1605"/>
    </row>
    <row r="56" s="1374" customFormat="1" spans="1:29">
      <c r="A56" s="1605"/>
      <c r="B56" s="1608"/>
      <c r="C56" s="1992"/>
      <c r="D56" s="1605"/>
      <c r="E56" s="1605"/>
      <c r="F56" s="1605"/>
      <c r="G56" s="1605"/>
      <c r="H56" s="1605"/>
      <c r="I56" s="1605"/>
      <c r="J56" s="1605"/>
      <c r="K56" s="1606"/>
      <c r="L56" s="1607"/>
      <c r="M56" s="1605"/>
      <c r="N56" s="1605"/>
      <c r="O56" s="1605"/>
      <c r="P56" s="2045"/>
      <c r="Q56" s="1605"/>
      <c r="R56" s="1605"/>
      <c r="S56" s="1605"/>
      <c r="T56" s="1605"/>
      <c r="U56" s="1605"/>
      <c r="V56" s="1605"/>
      <c r="W56" s="1605"/>
      <c r="X56" s="1605"/>
      <c r="Y56" s="1605"/>
      <c r="Z56" s="1605"/>
      <c r="AA56" s="1605"/>
      <c r="AB56" s="1605"/>
      <c r="AC56" s="1605"/>
    </row>
    <row r="57" spans="1:29">
      <c r="A57" s="1581"/>
      <c r="B57" s="1608"/>
      <c r="C57" s="1992"/>
      <c r="D57" s="1581"/>
      <c r="E57" s="1581"/>
      <c r="F57" s="1581"/>
      <c r="G57" s="1581"/>
      <c r="H57" s="1581"/>
      <c r="I57" s="1581"/>
      <c r="J57" s="1581"/>
      <c r="K57" s="1601"/>
      <c r="L57" s="1602"/>
      <c r="M57" s="1581"/>
      <c r="N57" s="1581"/>
      <c r="O57" s="1581"/>
      <c r="P57" s="2044"/>
      <c r="Q57" s="1581"/>
      <c r="R57" s="1581"/>
      <c r="S57" s="1581"/>
      <c r="T57" s="1581"/>
      <c r="U57" s="1581"/>
      <c r="V57" s="1581"/>
      <c r="W57" s="1581"/>
      <c r="X57" s="1581"/>
      <c r="Y57" s="1581"/>
      <c r="Z57" s="1581"/>
      <c r="AA57" s="1581"/>
      <c r="AB57" s="1581"/>
      <c r="AC57" s="1581"/>
    </row>
    <row r="58" ht="21" spans="1:29">
      <c r="A58" s="1652" t="s">
        <v>1192</v>
      </c>
      <c r="B58" s="1583"/>
      <c r="C58" s="1653"/>
      <c r="D58" s="1653"/>
      <c r="E58" s="1653"/>
      <c r="F58" s="1654"/>
      <c r="G58" s="1654"/>
      <c r="H58" s="1653"/>
      <c r="I58" s="1653"/>
      <c r="J58" s="1653"/>
      <c r="K58" s="1655"/>
      <c r="L58" s="1845"/>
      <c r="M58" s="1657"/>
      <c r="N58" s="1658"/>
      <c r="O58" s="1658"/>
      <c r="P58" s="2049"/>
      <c r="Q58" s="1659"/>
      <c r="R58" s="1581"/>
      <c r="S58" s="1581"/>
      <c r="T58" s="1581"/>
      <c r="U58" s="1581"/>
      <c r="V58" s="1581"/>
      <c r="W58" s="1581"/>
      <c r="X58" s="1581"/>
      <c r="Y58" s="1581"/>
      <c r="Z58" s="1581"/>
      <c r="AA58" s="1581"/>
      <c r="AB58" s="1581"/>
      <c r="AC58" s="1581"/>
    </row>
    <row r="59" s="1376" customFormat="1" ht="15" spans="1:29">
      <c r="A59" s="1993" t="s">
        <v>1140</v>
      </c>
      <c r="B59" s="1994"/>
      <c r="C59" s="1995" t="str">
        <f>YEAR(C7)&amp;"-"&amp;MONTH(C7)</f>
        <v>2026-3</v>
      </c>
      <c r="D59" s="1996">
        <f>EDATE(C59,-1)</f>
        <v>46054</v>
      </c>
      <c r="E59" s="1996">
        <f>EDATE(D59,-1)</f>
        <v>46023</v>
      </c>
      <c r="F59" s="1996">
        <f t="shared" ref="F59:O59" si="16">EDATE(E59,-1)</f>
        <v>45992</v>
      </c>
      <c r="G59" s="1996">
        <f t="shared" si="16"/>
        <v>45962</v>
      </c>
      <c r="H59" s="1996">
        <f t="shared" si="16"/>
        <v>45931</v>
      </c>
      <c r="I59" s="1996">
        <f t="shared" si="16"/>
        <v>45901</v>
      </c>
      <c r="J59" s="1996">
        <f t="shared" si="16"/>
        <v>45870</v>
      </c>
      <c r="K59" s="1996">
        <f t="shared" si="16"/>
        <v>45839</v>
      </c>
      <c r="L59" s="1996">
        <f t="shared" si="16"/>
        <v>45809</v>
      </c>
      <c r="M59" s="1996">
        <f t="shared" si="16"/>
        <v>45778</v>
      </c>
      <c r="N59" s="1996">
        <f t="shared" si="16"/>
        <v>45748</v>
      </c>
      <c r="O59" s="1996">
        <f t="shared" si="16"/>
        <v>45717</v>
      </c>
      <c r="P59" s="2050"/>
      <c r="Q59" s="1664"/>
      <c r="R59" s="1664"/>
      <c r="S59" s="1664"/>
      <c r="T59" s="1664"/>
      <c r="U59" s="1664"/>
      <c r="V59" s="1664"/>
      <c r="W59" s="1664"/>
      <c r="X59" s="1664"/>
      <c r="Y59" s="1664"/>
      <c r="Z59" s="1664"/>
      <c r="AA59" s="1664"/>
      <c r="AB59" s="1664"/>
      <c r="AC59" s="1664"/>
    </row>
    <row r="60" s="1371" customFormat="1" ht="15" spans="1:29">
      <c r="A60" s="1997"/>
      <c r="B60" s="1678"/>
      <c r="C60" s="1998">
        <v>100</v>
      </c>
      <c r="D60" s="1686"/>
      <c r="E60" s="1686"/>
      <c r="F60" s="1686"/>
      <c r="G60" s="1686"/>
      <c r="H60" s="1686"/>
      <c r="I60" s="1686"/>
      <c r="J60" s="1686"/>
      <c r="K60" s="1686"/>
      <c r="L60" s="1686"/>
      <c r="M60" s="1926"/>
      <c r="N60" s="1686"/>
      <c r="O60" s="1926"/>
      <c r="P60" s="2052"/>
      <c r="Q60" s="1670"/>
      <c r="R60" s="1670"/>
      <c r="S60" s="1670"/>
      <c r="T60" s="1670"/>
      <c r="U60" s="1670"/>
      <c r="V60" s="1670"/>
      <c r="W60" s="1670"/>
      <c r="X60" s="1670"/>
      <c r="Y60" s="1670"/>
      <c r="Z60" s="1670"/>
      <c r="AA60" s="1670"/>
      <c r="AB60" s="1670"/>
      <c r="AC60" s="1670"/>
    </row>
    <row r="61" s="1371" customFormat="1" ht="15.75" spans="1:29">
      <c r="A61" s="1671" t="s">
        <v>1193</v>
      </c>
      <c r="B61" s="1672"/>
      <c r="C61" s="1673"/>
      <c r="D61" s="1674"/>
      <c r="E61" s="1674"/>
      <c r="F61" s="1674"/>
      <c r="G61" s="1674"/>
      <c r="H61" s="1674"/>
      <c r="I61" s="1674"/>
      <c r="J61" s="1674"/>
      <c r="K61" s="1674"/>
      <c r="L61" s="1674"/>
      <c r="M61" s="1675"/>
      <c r="N61" s="1674"/>
      <c r="O61" s="1675"/>
      <c r="P61" s="2052"/>
      <c r="Q61" s="1659"/>
      <c r="R61" s="1670"/>
      <c r="S61" s="1670"/>
      <c r="T61" s="1670"/>
      <c r="U61" s="1670"/>
      <c r="V61" s="1670"/>
      <c r="W61" s="1670"/>
      <c r="X61" s="1670"/>
      <c r="Y61" s="1670"/>
      <c r="Z61" s="1670"/>
      <c r="AA61" s="1670"/>
      <c r="AB61" s="1670"/>
      <c r="AC61" s="1670"/>
    </row>
    <row r="62" s="1371" customFormat="1" ht="15" spans="1:29">
      <c r="A62" s="1677" t="s">
        <v>1143</v>
      </c>
      <c r="B62" s="1678"/>
      <c r="C62" s="1679" t="s">
        <v>1194</v>
      </c>
      <c r="D62" s="1680"/>
      <c r="E62" s="1680"/>
      <c r="F62" s="1680"/>
      <c r="G62" s="1680"/>
      <c r="H62" s="1680"/>
      <c r="I62" s="1680"/>
      <c r="J62" s="1680"/>
      <c r="K62" s="1680"/>
      <c r="L62" s="1681"/>
      <c r="M62" s="1682"/>
      <c r="N62" s="1683"/>
      <c r="O62" s="1683"/>
      <c r="P62" s="2053"/>
      <c r="Q62" s="1659"/>
      <c r="R62" s="1670"/>
      <c r="S62" s="1670"/>
      <c r="T62" s="1670"/>
      <c r="U62" s="1670"/>
      <c r="V62" s="1670"/>
      <c r="W62" s="1670"/>
      <c r="X62" s="1670"/>
      <c r="Y62" s="1670"/>
      <c r="Z62" s="1670"/>
      <c r="AA62" s="1670"/>
      <c r="AB62" s="1670"/>
      <c r="AC62" s="1670"/>
    </row>
    <row r="63" s="1371" customFormat="1" ht="15.75" spans="1:29">
      <c r="A63" s="1677"/>
      <c r="B63" s="1678"/>
      <c r="C63" s="2116">
        <v>100</v>
      </c>
      <c r="D63" s="1686"/>
      <c r="E63" s="1686"/>
      <c r="F63" s="1686"/>
      <c r="G63" s="1686"/>
      <c r="H63" s="1686"/>
      <c r="I63" s="1686"/>
      <c r="J63" s="1686"/>
      <c r="K63" s="1686"/>
      <c r="L63" s="1686"/>
      <c r="M63" s="1687"/>
      <c r="N63" s="1683"/>
      <c r="O63" s="1683"/>
      <c r="P63" s="2052"/>
      <c r="Q63" s="1659"/>
      <c r="R63" s="1670"/>
      <c r="S63" s="1670"/>
      <c r="T63" s="1670"/>
      <c r="U63" s="1670"/>
      <c r="V63" s="1670"/>
      <c r="W63" s="1670"/>
      <c r="X63" s="1670"/>
      <c r="Y63" s="1670"/>
      <c r="Z63" s="1670"/>
      <c r="AA63" s="1670"/>
      <c r="AB63" s="1670"/>
      <c r="AC63" s="1670"/>
    </row>
    <row r="64" spans="1:29">
      <c r="A64" s="1688" t="s">
        <v>1196</v>
      </c>
      <c r="B64" s="1689" t="s">
        <v>1147</v>
      </c>
      <c r="C64" s="1618">
        <f>C9</f>
        <v>0</v>
      </c>
      <c r="D64" s="1690"/>
      <c r="E64" s="1690"/>
      <c r="F64" s="1690"/>
      <c r="G64" s="1690"/>
      <c r="H64" s="1690"/>
      <c r="I64" s="1690"/>
      <c r="J64" s="1690"/>
      <c r="K64" s="1691"/>
      <c r="L64" s="1692"/>
      <c r="M64" s="1693"/>
      <c r="N64" s="1694"/>
      <c r="O64" s="1694"/>
      <c r="P64" s="2054"/>
      <c r="Q64" s="1659"/>
      <c r="R64" s="1581"/>
      <c r="S64" s="1581"/>
      <c r="T64" s="1581"/>
      <c r="U64" s="1581"/>
      <c r="V64" s="1581"/>
      <c r="W64" s="1581"/>
      <c r="X64" s="1581"/>
      <c r="Y64" s="1581"/>
      <c r="Z64" s="1581"/>
      <c r="AA64" s="1581"/>
      <c r="AB64" s="1581"/>
      <c r="AC64" s="1581"/>
    </row>
    <row r="65" ht="15.75" spans="1:29">
      <c r="A65" s="1695"/>
      <c r="B65" s="1696"/>
      <c r="C65" s="1697">
        <v>100</v>
      </c>
      <c r="D65" s="1697"/>
      <c r="E65" s="1697"/>
      <c r="F65" s="1697"/>
      <c r="G65" s="1697"/>
      <c r="H65" s="1697"/>
      <c r="I65" s="1697"/>
      <c r="J65" s="1697"/>
      <c r="K65" s="1697"/>
      <c r="L65" s="1697"/>
      <c r="M65" s="1698"/>
      <c r="N65" s="1699"/>
      <c r="O65" s="1699"/>
      <c r="P65" s="2054"/>
      <c r="Q65" s="1659"/>
      <c r="R65" s="1581"/>
      <c r="S65" s="1581"/>
      <c r="T65" s="1581"/>
      <c r="U65" s="1581"/>
      <c r="V65" s="1581"/>
      <c r="W65" s="1581"/>
      <c r="X65" s="1581"/>
      <c r="Y65" s="1581"/>
      <c r="Z65" s="1581"/>
      <c r="AA65" s="1581"/>
      <c r="AB65" s="1581"/>
      <c r="AC65" s="1581"/>
    </row>
    <row r="66" ht="27.75" spans="1:29">
      <c r="A66" s="1695"/>
      <c r="B66" s="1700" t="s">
        <v>1151</v>
      </c>
      <c r="C66" s="1753"/>
      <c r="D66" s="1753"/>
      <c r="E66" s="1753"/>
      <c r="F66" s="1753"/>
      <c r="G66" s="1753"/>
      <c r="H66" s="1753"/>
      <c r="I66" s="1753"/>
      <c r="J66" s="1753"/>
      <c r="K66" s="1754"/>
      <c r="L66" s="1755"/>
      <c r="M66" s="1756"/>
      <c r="N66" s="1694"/>
      <c r="O66" s="1694"/>
      <c r="P66" s="2054"/>
      <c r="Q66" s="1659"/>
      <c r="R66" s="1581"/>
      <c r="S66" s="1581"/>
      <c r="T66" s="1581"/>
      <c r="U66" s="1581"/>
      <c r="V66" s="1581"/>
      <c r="W66" s="1581"/>
      <c r="X66" s="1581"/>
      <c r="Y66" s="1581"/>
      <c r="Z66" s="1581"/>
      <c r="AA66" s="1581"/>
      <c r="AB66" s="1581"/>
      <c r="AC66" s="1581"/>
    </row>
    <row r="67" ht="15.75" spans="1:29">
      <c r="A67" s="1695"/>
      <c r="B67" s="1705" t="s">
        <v>1199</v>
      </c>
      <c r="C67" s="1697"/>
      <c r="D67" s="1697"/>
      <c r="E67" s="1697"/>
      <c r="F67" s="1697"/>
      <c r="G67" s="1697"/>
      <c r="H67" s="1697"/>
      <c r="I67" s="1697"/>
      <c r="J67" s="1697"/>
      <c r="K67" s="1697"/>
      <c r="L67" s="1697"/>
      <c r="M67" s="1698"/>
      <c r="N67" s="1699"/>
      <c r="O67" s="1699"/>
      <c r="P67" s="2054"/>
      <c r="Q67" s="1659"/>
      <c r="R67" s="1581"/>
      <c r="S67" s="1581"/>
      <c r="T67" s="1581"/>
      <c r="U67" s="1581"/>
      <c r="V67" s="1581"/>
      <c r="W67" s="1581"/>
      <c r="X67" s="1581"/>
      <c r="Y67" s="1581"/>
      <c r="Z67" s="1581"/>
      <c r="AA67" s="1581"/>
      <c r="AB67" s="1581"/>
      <c r="AC67" s="1581"/>
    </row>
    <row r="68" ht="15.75" spans="1:29">
      <c r="A68" s="1695"/>
      <c r="B68" s="1708" t="s">
        <v>1154</v>
      </c>
      <c r="C68" s="1709" t="str">
        <f>C69&amp;"（含）"&amp;"-"&amp;D69</f>
        <v>0（含）-0.5</v>
      </c>
      <c r="D68" s="1709" t="str">
        <f t="shared" ref="D68:L68" si="17">D69&amp;"（含）"&amp;"-"&amp;E69</f>
        <v>0.5（含）-1</v>
      </c>
      <c r="E68" s="1709" t="str">
        <f t="shared" si="17"/>
        <v>1（含）-1.5</v>
      </c>
      <c r="F68" s="1709" t="str">
        <f t="shared" si="17"/>
        <v>1.5（含）-2</v>
      </c>
      <c r="G68" s="1709" t="str">
        <f t="shared" si="17"/>
        <v>2（含）-</v>
      </c>
      <c r="H68" s="1709" t="str">
        <f t="shared" si="17"/>
        <v>（含）-</v>
      </c>
      <c r="I68" s="1709" t="str">
        <f t="shared" si="17"/>
        <v>（含）-</v>
      </c>
      <c r="J68" s="1709" t="str">
        <f t="shared" si="17"/>
        <v>（含）-</v>
      </c>
      <c r="K68" s="1709" t="str">
        <f t="shared" si="17"/>
        <v>（含）-</v>
      </c>
      <c r="L68" s="1709" t="str">
        <f t="shared" si="17"/>
        <v>（含）-</v>
      </c>
      <c r="M68" s="1710" t="str">
        <f>M69&amp;"（含）"&amp;"-"&amp;P69</f>
        <v>（含）-</v>
      </c>
      <c r="N68" s="1699"/>
      <c r="O68" s="1699"/>
      <c r="P68" s="2054"/>
      <c r="Q68" s="1659"/>
      <c r="R68" s="1581"/>
      <c r="S68" s="1581"/>
      <c r="T68" s="1581"/>
      <c r="U68" s="1581"/>
      <c r="V68" s="1581"/>
      <c r="W68" s="1581"/>
      <c r="X68" s="1581"/>
      <c r="Y68" s="1581"/>
      <c r="Z68" s="1581"/>
      <c r="AA68" s="1581"/>
      <c r="AB68" s="1581"/>
      <c r="AC68" s="1581"/>
    </row>
    <row r="69" ht="15" spans="1:29">
      <c r="A69" s="1695"/>
      <c r="B69" s="1711"/>
      <c r="C69" s="1712">
        <v>0</v>
      </c>
      <c r="D69" s="1712">
        <v>0.5</v>
      </c>
      <c r="E69" s="1712">
        <v>1</v>
      </c>
      <c r="F69" s="1712">
        <v>1.5</v>
      </c>
      <c r="G69" s="1712">
        <v>2</v>
      </c>
      <c r="H69" s="1712"/>
      <c r="I69" s="1712"/>
      <c r="J69" s="1712"/>
      <c r="K69" s="1713"/>
      <c r="L69" s="1714"/>
      <c r="M69" s="1715"/>
      <c r="N69" s="1694"/>
      <c r="O69" s="1694"/>
      <c r="P69" s="2054"/>
      <c r="Q69" s="1659"/>
      <c r="R69" s="1581"/>
      <c r="S69" s="1581"/>
      <c r="T69" s="1581"/>
      <c r="U69" s="1581"/>
      <c r="V69" s="1581"/>
      <c r="W69" s="1581"/>
      <c r="X69" s="1581"/>
      <c r="Y69" s="1581"/>
      <c r="Z69" s="1581"/>
      <c r="AA69" s="1581"/>
      <c r="AB69" s="1581"/>
      <c r="AC69" s="1581"/>
    </row>
    <row r="70" ht="15.75" spans="1:29">
      <c r="A70" s="1695"/>
      <c r="B70" s="1696"/>
      <c r="C70" s="1706">
        <v>100</v>
      </c>
      <c r="D70" s="1706">
        <f t="shared" ref="D70:M70" si="18">C70-$K11</f>
        <v>100</v>
      </c>
      <c r="E70" s="1706">
        <f t="shared" si="18"/>
        <v>100</v>
      </c>
      <c r="F70" s="1706">
        <f t="shared" si="18"/>
        <v>100</v>
      </c>
      <c r="G70" s="1706">
        <f t="shared" si="18"/>
        <v>100</v>
      </c>
      <c r="H70" s="1706">
        <f t="shared" si="18"/>
        <v>100</v>
      </c>
      <c r="I70" s="1706">
        <f t="shared" si="18"/>
        <v>100</v>
      </c>
      <c r="J70" s="1706">
        <f t="shared" si="18"/>
        <v>100</v>
      </c>
      <c r="K70" s="1706">
        <f t="shared" si="18"/>
        <v>100</v>
      </c>
      <c r="L70" s="1706">
        <f t="shared" si="18"/>
        <v>100</v>
      </c>
      <c r="M70" s="1707">
        <f t="shared" si="18"/>
        <v>100</v>
      </c>
      <c r="N70" s="1699"/>
      <c r="O70" s="1699"/>
      <c r="P70" s="2054"/>
      <c r="Q70" s="1659"/>
      <c r="R70" s="1581"/>
      <c r="S70" s="1581"/>
      <c r="T70" s="1581"/>
      <c r="U70" s="1581"/>
      <c r="V70" s="1581"/>
      <c r="W70" s="1581"/>
      <c r="X70" s="1581"/>
      <c r="Y70" s="1581"/>
      <c r="Z70" s="1581"/>
      <c r="AA70" s="1581"/>
      <c r="AB70" s="1581"/>
      <c r="AC70" s="1581"/>
    </row>
    <row r="71" s="1373" customFormat="1" ht="15.75" spans="1:29">
      <c r="A71" s="1716"/>
      <c r="B71" s="1700">
        <f>B12</f>
        <v>111</v>
      </c>
      <c r="C71" s="1717"/>
      <c r="D71" s="1717"/>
      <c r="E71" s="1717"/>
      <c r="F71" s="1717"/>
      <c r="G71" s="1717"/>
      <c r="H71" s="1718"/>
      <c r="I71" s="1718"/>
      <c r="J71" s="1718"/>
      <c r="K71" s="1718"/>
      <c r="L71" s="1719"/>
      <c r="M71" s="1720"/>
      <c r="N71" s="1721"/>
      <c r="O71" s="1721"/>
      <c r="P71" s="2055"/>
      <c r="Q71" s="1722"/>
      <c r="R71" s="1723"/>
      <c r="S71" s="1723"/>
      <c r="T71" s="1723"/>
      <c r="U71" s="1723"/>
      <c r="V71" s="1723"/>
      <c r="W71" s="1723"/>
      <c r="X71" s="1723"/>
      <c r="Y71" s="1723"/>
      <c r="Z71" s="1723"/>
      <c r="AA71" s="1723"/>
      <c r="AB71" s="1723"/>
      <c r="AC71" s="1723"/>
    </row>
    <row r="72" s="1373" customFormat="1" ht="15.75" spans="1:29">
      <c r="A72" s="1716"/>
      <c r="B72" s="1705"/>
      <c r="C72" s="1724"/>
      <c r="D72" s="1697"/>
      <c r="E72" s="1697"/>
      <c r="F72" s="1697"/>
      <c r="G72" s="1697"/>
      <c r="H72" s="1697"/>
      <c r="I72" s="1697"/>
      <c r="J72" s="1697"/>
      <c r="K72" s="1697"/>
      <c r="L72" s="1697"/>
      <c r="M72" s="1698"/>
      <c r="N72" s="1699"/>
      <c r="O72" s="1699"/>
      <c r="P72" s="2055"/>
      <c r="Q72" s="1722"/>
      <c r="R72" s="1723"/>
      <c r="S72" s="1723"/>
      <c r="T72" s="1723"/>
      <c r="U72" s="1723"/>
      <c r="V72" s="1723"/>
      <c r="W72" s="1723"/>
      <c r="X72" s="1723"/>
      <c r="Y72" s="1723"/>
      <c r="Z72" s="1723"/>
      <c r="AA72" s="1723"/>
      <c r="AB72" s="1723"/>
      <c r="AC72" s="1723"/>
    </row>
    <row r="73" s="1373" customFormat="1" ht="15.75" spans="1:29">
      <c r="A73" s="1716"/>
      <c r="B73" s="1700">
        <f>B13</f>
        <v>111</v>
      </c>
      <c r="C73" s="1717"/>
      <c r="D73" s="1717"/>
      <c r="E73" s="1717"/>
      <c r="F73" s="1717"/>
      <c r="G73" s="1717"/>
      <c r="H73" s="1718"/>
      <c r="I73" s="1718"/>
      <c r="J73" s="1718"/>
      <c r="K73" s="1718"/>
      <c r="L73" s="1719"/>
      <c r="M73" s="1720"/>
      <c r="N73" s="1721"/>
      <c r="O73" s="1721"/>
      <c r="P73" s="2056"/>
      <c r="Q73" s="1725"/>
      <c r="R73" s="1723"/>
      <c r="S73" s="1723"/>
      <c r="T73" s="1723"/>
      <c r="U73" s="1723"/>
      <c r="V73" s="1723"/>
      <c r="W73" s="1723"/>
      <c r="X73" s="1723"/>
      <c r="Y73" s="1723"/>
      <c r="Z73" s="1723"/>
      <c r="AA73" s="1723"/>
      <c r="AB73" s="1723"/>
      <c r="AC73" s="1723"/>
    </row>
    <row r="74" s="1373" customFormat="1" ht="15.75" spans="1:29">
      <c r="A74" s="1716"/>
      <c r="B74" s="1705"/>
      <c r="C74" s="1724"/>
      <c r="D74" s="1724"/>
      <c r="E74" s="1724"/>
      <c r="F74" s="1724"/>
      <c r="G74" s="1724"/>
      <c r="H74" s="1726"/>
      <c r="I74" s="1726"/>
      <c r="J74" s="1726"/>
      <c r="K74" s="1726"/>
      <c r="L74" s="1726"/>
      <c r="M74" s="1727"/>
      <c r="N74" s="1721"/>
      <c r="O74" s="1721"/>
      <c r="P74" s="2055"/>
      <c r="Q74" s="1722"/>
      <c r="R74" s="1723"/>
      <c r="S74" s="1723"/>
      <c r="T74" s="1723"/>
      <c r="U74" s="1723"/>
      <c r="V74" s="1723"/>
      <c r="W74" s="1723"/>
      <c r="X74" s="1723"/>
      <c r="Y74" s="1723"/>
      <c r="Z74" s="1723"/>
      <c r="AA74" s="1723"/>
      <c r="AB74" s="1723"/>
      <c r="AC74" s="1723"/>
    </row>
    <row r="75" s="1373" customFormat="1" ht="15.75" spans="1:29">
      <c r="A75" s="1716"/>
      <c r="B75" s="1708">
        <f>B14</f>
        <v>111</v>
      </c>
      <c r="C75" s="1680"/>
      <c r="D75" s="1680"/>
      <c r="E75" s="1680"/>
      <c r="F75" s="1680"/>
      <c r="G75" s="1680"/>
      <c r="H75" s="1728"/>
      <c r="I75" s="1728"/>
      <c r="J75" s="1728"/>
      <c r="K75" s="1728"/>
      <c r="L75" s="1729"/>
      <c r="M75" s="1730"/>
      <c r="N75" s="1721"/>
      <c r="O75" s="1721"/>
      <c r="P75" s="2117"/>
      <c r="Q75" s="1722"/>
      <c r="R75" s="1723"/>
      <c r="S75" s="1723"/>
      <c r="T75" s="1723"/>
      <c r="U75" s="1723"/>
      <c r="V75" s="1723"/>
      <c r="W75" s="1723"/>
      <c r="X75" s="1723"/>
      <c r="Y75" s="1723"/>
      <c r="Z75" s="1723"/>
      <c r="AA75" s="1723"/>
      <c r="AB75" s="1723"/>
      <c r="AC75" s="1723"/>
    </row>
    <row r="76" s="1373" customFormat="1" ht="15.75" spans="1:29">
      <c r="A76" s="1732"/>
      <c r="B76" s="1733"/>
      <c r="C76" s="1734"/>
      <c r="D76" s="1734"/>
      <c r="E76" s="1734"/>
      <c r="F76" s="1734"/>
      <c r="G76" s="1734"/>
      <c r="H76" s="1735"/>
      <c r="I76" s="1735"/>
      <c r="J76" s="1735"/>
      <c r="K76" s="1735"/>
      <c r="L76" s="1735"/>
      <c r="M76" s="1736"/>
      <c r="N76" s="1721"/>
      <c r="O76" s="1721"/>
      <c r="P76" s="2055"/>
      <c r="Q76" s="1722"/>
      <c r="R76" s="1723"/>
      <c r="S76" s="1723"/>
      <c r="T76" s="1723"/>
      <c r="U76" s="1723"/>
      <c r="V76" s="1723"/>
      <c r="W76" s="1723"/>
      <c r="X76" s="1723"/>
      <c r="Y76" s="1723"/>
      <c r="Z76" s="1723"/>
      <c r="AA76" s="1723"/>
      <c r="AB76" s="1723"/>
      <c r="AC76" s="1723"/>
    </row>
    <row r="77" spans="1:29">
      <c r="A77" s="1688" t="s">
        <v>1155</v>
      </c>
      <c r="B77" s="1689" t="s">
        <v>1945</v>
      </c>
      <c r="C77" s="1737" t="s">
        <v>1200</v>
      </c>
      <c r="D77" s="1737" t="s">
        <v>1201</v>
      </c>
      <c r="E77" s="1737" t="s">
        <v>1202</v>
      </c>
      <c r="F77" s="1737" t="s">
        <v>1203</v>
      </c>
      <c r="G77" s="1737" t="s">
        <v>1204</v>
      </c>
      <c r="H77" s="1618"/>
      <c r="I77" s="1618"/>
      <c r="J77" s="1618"/>
      <c r="K77" s="1738"/>
      <c r="L77" s="1739"/>
      <c r="M77" s="1740"/>
      <c r="N77" s="1694"/>
      <c r="O77" s="1694"/>
      <c r="P77" s="2057"/>
      <c r="Q77" s="1659"/>
      <c r="R77" s="1581"/>
      <c r="S77" s="1581"/>
      <c r="T77" s="1581"/>
      <c r="U77" s="1581"/>
      <c r="V77" s="1581"/>
      <c r="W77" s="1581"/>
      <c r="X77" s="1581"/>
      <c r="Y77" s="1581"/>
      <c r="Z77" s="1581"/>
      <c r="AA77" s="1581"/>
      <c r="AB77" s="1581"/>
      <c r="AC77" s="1581"/>
    </row>
    <row r="78" ht="15.75" spans="1:29">
      <c r="A78" s="1695"/>
      <c r="B78" s="1705"/>
      <c r="C78" s="1706">
        <v>100</v>
      </c>
      <c r="D78" s="1706">
        <f>C78-$K15</f>
        <v>100</v>
      </c>
      <c r="E78" s="1706">
        <f>D78-$K15</f>
        <v>100</v>
      </c>
      <c r="F78" s="1706">
        <f>E78-$K15</f>
        <v>100</v>
      </c>
      <c r="G78" s="1706">
        <f>F78-$K15</f>
        <v>100</v>
      </c>
      <c r="H78" s="1706"/>
      <c r="I78" s="1706"/>
      <c r="J78" s="1706"/>
      <c r="K78" s="1706"/>
      <c r="L78" s="1706"/>
      <c r="M78" s="1707"/>
      <c r="N78" s="1699"/>
      <c r="O78" s="1699"/>
      <c r="P78" s="2054"/>
      <c r="Q78" s="1659"/>
      <c r="R78" s="1581"/>
      <c r="S78" s="1581"/>
      <c r="T78" s="1581"/>
      <c r="U78" s="1581"/>
      <c r="V78" s="1581"/>
      <c r="W78" s="1581"/>
      <c r="X78" s="1581"/>
      <c r="Y78" s="1581"/>
      <c r="Z78" s="1581"/>
      <c r="AA78" s="1581"/>
      <c r="AB78" s="1581"/>
      <c r="AC78" s="1581"/>
    </row>
    <row r="79" ht="15.75" spans="1:29">
      <c r="A79" s="1695"/>
      <c r="B79" s="1700" t="s">
        <v>1159</v>
      </c>
      <c r="C79" s="1742" t="s">
        <v>1200</v>
      </c>
      <c r="D79" s="1742" t="s">
        <v>1201</v>
      </c>
      <c r="E79" s="1742" t="s">
        <v>1202</v>
      </c>
      <c r="F79" s="1742" t="s">
        <v>1203</v>
      </c>
      <c r="G79" s="1742" t="s">
        <v>1204</v>
      </c>
      <c r="H79" s="1701"/>
      <c r="I79" s="1701"/>
      <c r="J79" s="1701"/>
      <c r="K79" s="1702"/>
      <c r="L79" s="1703"/>
      <c r="M79" s="1704"/>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C80-$K17</f>
        <v>100</v>
      </c>
      <c r="E80" s="1706">
        <f>D80-$K17</f>
        <v>100</v>
      </c>
      <c r="F80" s="1706">
        <f>E80-$K17</f>
        <v>100</v>
      </c>
      <c r="G80" s="1706">
        <f>F80-$K17</f>
        <v>100</v>
      </c>
      <c r="H80" s="1706"/>
      <c r="I80" s="1706"/>
      <c r="J80" s="1706"/>
      <c r="K80" s="1706"/>
      <c r="L80" s="1706"/>
      <c r="M80" s="1707"/>
      <c r="N80" s="1699"/>
      <c r="O80" s="1699"/>
      <c r="P80" s="2054"/>
      <c r="Q80" s="1659"/>
      <c r="R80" s="1581"/>
      <c r="S80" s="1581"/>
      <c r="T80" s="1581"/>
      <c r="U80" s="1581"/>
      <c r="V80" s="1581"/>
      <c r="W80" s="1581"/>
      <c r="X80" s="1581"/>
      <c r="Y80" s="1581"/>
      <c r="Z80" s="1581"/>
      <c r="AA80" s="1581"/>
      <c r="AB80" s="1581"/>
      <c r="AC80" s="1581"/>
    </row>
    <row r="81" ht="15.75" spans="1:29">
      <c r="A81" s="1695"/>
      <c r="B81" s="1700" t="s">
        <v>1160</v>
      </c>
      <c r="C81" s="1742" t="s">
        <v>1200</v>
      </c>
      <c r="D81" s="1742" t="s">
        <v>1201</v>
      </c>
      <c r="E81" s="1742" t="s">
        <v>1202</v>
      </c>
      <c r="F81" s="1742" t="s">
        <v>1203</v>
      </c>
      <c r="G81" s="1742" t="s">
        <v>1204</v>
      </c>
      <c r="H81" s="1701"/>
      <c r="I81" s="1701"/>
      <c r="J81" s="1701"/>
      <c r="K81" s="1702"/>
      <c r="L81" s="1703"/>
      <c r="M81" s="1704"/>
      <c r="N81" s="1694"/>
      <c r="O81" s="1694"/>
      <c r="P81" s="2054"/>
      <c r="Q81" s="1659"/>
      <c r="R81" s="1581"/>
      <c r="S81" s="1581"/>
      <c r="T81" s="1581"/>
      <c r="U81" s="1581"/>
      <c r="V81" s="1581"/>
      <c r="W81" s="1581"/>
      <c r="X81" s="1581"/>
      <c r="Y81" s="1581"/>
      <c r="Z81" s="1581"/>
      <c r="AA81" s="1581"/>
      <c r="AB81" s="1581"/>
      <c r="AC81" s="1581"/>
    </row>
    <row r="82" ht="15.75" spans="1:29">
      <c r="A82" s="1695"/>
      <c r="B82" s="1705"/>
      <c r="C82" s="1706">
        <v>100</v>
      </c>
      <c r="D82" s="1706">
        <f>C82-$K19</f>
        <v>100</v>
      </c>
      <c r="E82" s="1706">
        <f>D82-$K19</f>
        <v>100</v>
      </c>
      <c r="F82" s="1706">
        <f>E82-$K19</f>
        <v>100</v>
      </c>
      <c r="G82" s="1706">
        <f>F82-$K19</f>
        <v>100</v>
      </c>
      <c r="H82" s="1706"/>
      <c r="I82" s="1706"/>
      <c r="J82" s="1706"/>
      <c r="K82" s="1706"/>
      <c r="L82" s="1706"/>
      <c r="M82" s="1707"/>
      <c r="N82" s="1699"/>
      <c r="O82" s="1699"/>
      <c r="P82" s="2054"/>
      <c r="Q82" s="1659"/>
      <c r="R82" s="1581"/>
      <c r="S82" s="1581"/>
      <c r="T82" s="1581"/>
      <c r="U82" s="1581"/>
      <c r="V82" s="1581"/>
      <c r="W82" s="1581"/>
      <c r="X82" s="1581"/>
      <c r="Y82" s="1581"/>
      <c r="Z82" s="1581"/>
      <c r="AA82" s="1581"/>
      <c r="AB82" s="1581"/>
      <c r="AC82" s="1581"/>
    </row>
    <row r="83" ht="15.75" spans="1:29">
      <c r="A83" s="1695"/>
      <c r="B83" s="1708" t="s">
        <v>1162</v>
      </c>
      <c r="C83" s="1518" t="s">
        <v>1205</v>
      </c>
      <c r="D83" s="1518" t="s">
        <v>1206</v>
      </c>
      <c r="E83" s="1518" t="s">
        <v>1207</v>
      </c>
      <c r="F83" s="1518" t="s">
        <v>1208</v>
      </c>
      <c r="G83" s="1518" t="s">
        <v>1209</v>
      </c>
      <c r="H83" s="1701"/>
      <c r="I83" s="1701"/>
      <c r="J83" s="1701"/>
      <c r="K83" s="1701"/>
      <c r="L83" s="1701"/>
      <c r="M83" s="1999"/>
      <c r="N83" s="1699"/>
      <c r="O83" s="1699"/>
      <c r="P83" s="2054"/>
      <c r="Q83" s="1659"/>
      <c r="R83" s="1581"/>
      <c r="S83" s="1581"/>
      <c r="T83" s="1581"/>
      <c r="U83" s="1581"/>
      <c r="V83" s="1581"/>
      <c r="W83" s="1581"/>
      <c r="X83" s="1581"/>
      <c r="Y83" s="1581"/>
      <c r="Z83" s="1581"/>
      <c r="AA83" s="1581"/>
      <c r="AB83" s="1581"/>
      <c r="AC83" s="1581"/>
    </row>
    <row r="84" ht="15.75" spans="1:29">
      <c r="A84" s="1695"/>
      <c r="B84" s="1708"/>
      <c r="C84" s="1706">
        <v>100</v>
      </c>
      <c r="D84" s="1706">
        <f>C84-$K21</f>
        <v>100</v>
      </c>
      <c r="E84" s="1706">
        <f>D84-$K21</f>
        <v>100</v>
      </c>
      <c r="F84" s="1706">
        <f>E84-$K21</f>
        <v>100</v>
      </c>
      <c r="G84" s="1706">
        <f>F84-$K21</f>
        <v>100</v>
      </c>
      <c r="H84" s="1518"/>
      <c r="I84" s="1518"/>
      <c r="J84" s="1518"/>
      <c r="K84" s="1518"/>
      <c r="L84" s="1518"/>
      <c r="M84" s="1948"/>
      <c r="N84" s="1699"/>
      <c r="O84" s="1699"/>
      <c r="P84" s="2054"/>
      <c r="Q84" s="1659"/>
      <c r="R84" s="1581"/>
      <c r="S84" s="1581"/>
      <c r="T84" s="1581"/>
      <c r="U84" s="1581"/>
      <c r="V84" s="1581"/>
      <c r="W84" s="1581"/>
      <c r="X84" s="1581"/>
      <c r="Y84" s="1581"/>
      <c r="Z84" s="1581"/>
      <c r="AA84" s="1581"/>
      <c r="AB84" s="1581"/>
      <c r="AC84" s="1581"/>
    </row>
    <row r="85" ht="15.75" spans="1:29">
      <c r="A85" s="1695"/>
      <c r="B85" s="1700" t="s">
        <v>1163</v>
      </c>
      <c r="C85" s="1742" t="s">
        <v>1200</v>
      </c>
      <c r="D85" s="1742" t="s">
        <v>1201</v>
      </c>
      <c r="E85" s="1742" t="s">
        <v>1202</v>
      </c>
      <c r="F85" s="1742" t="s">
        <v>1203</v>
      </c>
      <c r="G85" s="1742" t="s">
        <v>1204</v>
      </c>
      <c r="H85" s="1701"/>
      <c r="I85" s="1701"/>
      <c r="J85" s="1701"/>
      <c r="K85" s="1702"/>
      <c r="L85" s="1703"/>
      <c r="M85" s="1704"/>
      <c r="N85" s="1694"/>
      <c r="O85" s="1694"/>
      <c r="P85" s="2054"/>
      <c r="Q85" s="1659"/>
      <c r="R85" s="1581"/>
      <c r="S85" s="1581"/>
      <c r="T85" s="1581"/>
      <c r="U85" s="1581"/>
      <c r="V85" s="1581"/>
      <c r="W85" s="1581"/>
      <c r="X85" s="1581"/>
      <c r="Y85" s="1581"/>
      <c r="Z85" s="1581"/>
      <c r="AA85" s="1581"/>
      <c r="AB85" s="1581"/>
      <c r="AC85" s="1581"/>
    </row>
    <row r="86" ht="15.75" spans="1:29">
      <c r="A86" s="1695"/>
      <c r="B86" s="1705"/>
      <c r="C86" s="1706">
        <v>100</v>
      </c>
      <c r="D86" s="1706">
        <f>C86-$K23</f>
        <v>100</v>
      </c>
      <c r="E86" s="1706">
        <f>D86-$K23</f>
        <v>100</v>
      </c>
      <c r="F86" s="1706">
        <f>E86-$K23</f>
        <v>100</v>
      </c>
      <c r="G86" s="1706">
        <f>F86-$K23</f>
        <v>100</v>
      </c>
      <c r="H86" s="1706"/>
      <c r="I86" s="1706"/>
      <c r="J86" s="1706"/>
      <c r="K86" s="1706"/>
      <c r="L86" s="1706"/>
      <c r="M86" s="1707"/>
      <c r="N86" s="1699"/>
      <c r="O86" s="1699"/>
      <c r="P86" s="2054"/>
      <c r="Q86" s="1659"/>
      <c r="R86" s="1581"/>
      <c r="S86" s="1581"/>
      <c r="T86" s="1581"/>
      <c r="U86" s="1581"/>
      <c r="V86" s="1581"/>
      <c r="W86" s="1581"/>
      <c r="X86" s="1581"/>
      <c r="Y86" s="1581"/>
      <c r="Z86" s="1581"/>
      <c r="AA86" s="1581"/>
      <c r="AB86" s="1581"/>
      <c r="AC86" s="1581"/>
    </row>
    <row r="87" s="1371" customFormat="1" ht="27.75" spans="1:29">
      <c r="A87" s="1743"/>
      <c r="B87" s="1700" t="s">
        <v>1946</v>
      </c>
      <c r="C87" s="1717"/>
      <c r="D87" s="1717"/>
      <c r="E87" s="1717"/>
      <c r="F87" s="1717"/>
      <c r="G87" s="1717"/>
      <c r="H87" s="1717"/>
      <c r="I87" s="1717"/>
      <c r="J87" s="1717"/>
      <c r="K87" s="1717"/>
      <c r="L87" s="2000"/>
      <c r="M87" s="2001"/>
      <c r="N87" s="1683"/>
      <c r="O87" s="1683"/>
      <c r="P87" s="2054"/>
      <c r="Q87" s="1659"/>
      <c r="R87" s="1670"/>
      <c r="S87" s="1670"/>
      <c r="T87" s="1670"/>
      <c r="U87" s="1670"/>
      <c r="V87" s="1670"/>
      <c r="W87" s="1670"/>
      <c r="X87" s="1670"/>
      <c r="Y87" s="1670"/>
      <c r="Z87" s="1670"/>
      <c r="AA87" s="1670"/>
      <c r="AB87" s="1670"/>
      <c r="AC87" s="1670"/>
    </row>
    <row r="88" s="1371" customFormat="1" ht="15.75" spans="1:29">
      <c r="A88" s="1743"/>
      <c r="B88" s="1705"/>
      <c r="C88" s="1746">
        <v>100</v>
      </c>
      <c r="D88" s="1706">
        <f t="shared" ref="D88:M88" si="19">C88-$K25</f>
        <v>100</v>
      </c>
      <c r="E88" s="1706">
        <f t="shared" si="19"/>
        <v>100</v>
      </c>
      <c r="F88" s="1706">
        <f t="shared" si="19"/>
        <v>100</v>
      </c>
      <c r="G88" s="1706">
        <f t="shared" si="19"/>
        <v>100</v>
      </c>
      <c r="H88" s="1706">
        <f t="shared" si="19"/>
        <v>100</v>
      </c>
      <c r="I88" s="1706">
        <f t="shared" si="19"/>
        <v>100</v>
      </c>
      <c r="J88" s="1706">
        <f t="shared" si="19"/>
        <v>100</v>
      </c>
      <c r="K88" s="1706">
        <f t="shared" si="19"/>
        <v>100</v>
      </c>
      <c r="L88" s="1706">
        <f t="shared" si="19"/>
        <v>100</v>
      </c>
      <c r="M88" s="1706">
        <f t="shared" si="19"/>
        <v>100</v>
      </c>
      <c r="N88" s="1699"/>
      <c r="O88" s="1699"/>
      <c r="P88" s="2054"/>
      <c r="Q88" s="1659"/>
      <c r="R88" s="1670"/>
      <c r="S88" s="1670"/>
      <c r="T88" s="1670"/>
      <c r="U88" s="1670"/>
      <c r="V88" s="1670"/>
      <c r="W88" s="1670"/>
      <c r="X88" s="1670"/>
      <c r="Y88" s="1670"/>
      <c r="Z88" s="1670"/>
      <c r="AA88" s="1670"/>
      <c r="AB88" s="1670"/>
      <c r="AC88" s="1670"/>
    </row>
    <row r="89" s="1371" customFormat="1" ht="15.75" spans="1:29">
      <c r="A89" s="1743"/>
      <c r="B89" s="1700" t="str">
        <f>B27</f>
        <v>楼层</v>
      </c>
      <c r="C89" s="1717"/>
      <c r="D89" s="1717"/>
      <c r="E89" s="1717"/>
      <c r="F89" s="2118"/>
      <c r="G89" s="1717"/>
      <c r="H89" s="1717"/>
      <c r="I89" s="1717"/>
      <c r="J89" s="1717"/>
      <c r="K89" s="1717"/>
      <c r="L89" s="1717"/>
      <c r="M89" s="2001"/>
      <c r="N89" s="1683"/>
      <c r="O89" s="1683"/>
      <c r="P89" s="2054"/>
      <c r="Q89" s="1659"/>
      <c r="R89" s="1670"/>
      <c r="S89" s="1670"/>
      <c r="T89" s="1670"/>
      <c r="U89" s="1670"/>
      <c r="V89" s="1670"/>
      <c r="W89" s="1670"/>
      <c r="X89" s="1670"/>
      <c r="Y89" s="1670"/>
      <c r="Z89" s="1670"/>
      <c r="AA89" s="1670"/>
      <c r="AB89" s="1670"/>
      <c r="AC89" s="1670"/>
    </row>
    <row r="90" s="1371" customFormat="1" ht="15.75" spans="1:29">
      <c r="A90" s="1743"/>
      <c r="B90" s="1705"/>
      <c r="C90" s="1746">
        <v>100</v>
      </c>
      <c r="D90" s="1706">
        <f>C90-$K27</f>
        <v>100</v>
      </c>
      <c r="E90" s="1706">
        <f t="shared" ref="E90:M90" si="20">D90-$K27</f>
        <v>100</v>
      </c>
      <c r="F90" s="1706">
        <f t="shared" si="20"/>
        <v>100</v>
      </c>
      <c r="G90" s="1706">
        <f t="shared" si="20"/>
        <v>100</v>
      </c>
      <c r="H90" s="1706">
        <f t="shared" si="20"/>
        <v>100</v>
      </c>
      <c r="I90" s="1706">
        <f t="shared" si="20"/>
        <v>100</v>
      </c>
      <c r="J90" s="1706">
        <f t="shared" si="20"/>
        <v>100</v>
      </c>
      <c r="K90" s="1706">
        <f t="shared" si="20"/>
        <v>100</v>
      </c>
      <c r="L90" s="1706">
        <f t="shared" si="20"/>
        <v>100</v>
      </c>
      <c r="M90" s="1706">
        <f t="shared" si="20"/>
        <v>100</v>
      </c>
      <c r="N90" s="1699"/>
      <c r="O90" s="1699"/>
      <c r="P90" s="2054"/>
      <c r="Q90" s="1659"/>
      <c r="R90" s="1670"/>
      <c r="S90" s="1670"/>
      <c r="T90" s="1670"/>
      <c r="U90" s="1670"/>
      <c r="V90" s="1670"/>
      <c r="W90" s="1670"/>
      <c r="X90" s="1670"/>
      <c r="Y90" s="1670"/>
      <c r="Z90" s="1670"/>
      <c r="AA90" s="1670"/>
      <c r="AB90" s="1670"/>
      <c r="AC90" s="1670"/>
    </row>
    <row r="91" s="1373" customFormat="1" ht="15.75" spans="1:29">
      <c r="A91" s="1716"/>
      <c r="B91" s="1700" t="str">
        <f>B28</f>
        <v>朝向</v>
      </c>
      <c r="C91" s="1717"/>
      <c r="D91" s="1717"/>
      <c r="E91" s="1717"/>
      <c r="F91" s="1717"/>
      <c r="G91" s="1717"/>
      <c r="H91" s="1718"/>
      <c r="I91" s="1718"/>
      <c r="J91" s="1718"/>
      <c r="K91" s="1718"/>
      <c r="L91" s="1719"/>
      <c r="M91" s="1720"/>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46">
        <v>100</v>
      </c>
      <c r="D92" s="1706">
        <f t="shared" ref="D92:M92" si="21">C92-$K28</f>
        <v>100</v>
      </c>
      <c r="E92" s="1706">
        <f t="shared" si="21"/>
        <v>100</v>
      </c>
      <c r="F92" s="1706">
        <f t="shared" si="21"/>
        <v>100</v>
      </c>
      <c r="G92" s="1706">
        <f t="shared" si="21"/>
        <v>100</v>
      </c>
      <c r="H92" s="1706">
        <f t="shared" si="21"/>
        <v>100</v>
      </c>
      <c r="I92" s="1706">
        <f t="shared" si="21"/>
        <v>100</v>
      </c>
      <c r="J92" s="1706">
        <f t="shared" si="21"/>
        <v>100</v>
      </c>
      <c r="K92" s="1706">
        <f t="shared" si="21"/>
        <v>100</v>
      </c>
      <c r="L92" s="1706">
        <f t="shared" si="21"/>
        <v>100</v>
      </c>
      <c r="M92" s="1706">
        <f t="shared" si="21"/>
        <v>100</v>
      </c>
      <c r="N92" s="1721"/>
      <c r="O92" s="1721"/>
      <c r="P92" s="2055"/>
      <c r="Q92" s="1722"/>
      <c r="R92" s="1723"/>
      <c r="S92" s="1723"/>
      <c r="T92" s="1723"/>
      <c r="U92" s="1723"/>
      <c r="V92" s="1723"/>
      <c r="W92" s="1723"/>
      <c r="X92" s="1723"/>
      <c r="Y92" s="1723"/>
      <c r="Z92" s="1723"/>
      <c r="AA92" s="1723"/>
      <c r="AB92" s="1723"/>
      <c r="AC92" s="1723"/>
    </row>
    <row r="93" ht="15.75" spans="1:29">
      <c r="A93" s="1695"/>
      <c r="B93" s="1700">
        <f>B29</f>
        <v>111</v>
      </c>
      <c r="C93" s="1717"/>
      <c r="D93" s="1717"/>
      <c r="E93" s="1717"/>
      <c r="F93" s="1717"/>
      <c r="G93" s="1717"/>
      <c r="H93" s="1717"/>
      <c r="I93" s="1717"/>
      <c r="J93" s="1717"/>
      <c r="K93" s="1717"/>
      <c r="L93" s="2000"/>
      <c r="M93" s="2001"/>
      <c r="N93" s="1694"/>
      <c r="O93" s="1694"/>
      <c r="P93" s="2054"/>
      <c r="Q93" s="1659"/>
      <c r="R93" s="1581"/>
      <c r="S93" s="1581"/>
      <c r="T93" s="1581"/>
      <c r="U93" s="1581"/>
      <c r="V93" s="1581"/>
      <c r="W93" s="1581"/>
      <c r="X93" s="1581"/>
      <c r="Y93" s="1581"/>
      <c r="Z93" s="1581"/>
      <c r="AA93" s="1581"/>
      <c r="AB93" s="1581"/>
      <c r="AC93" s="1581"/>
    </row>
    <row r="94" ht="15.75" spans="1:29">
      <c r="A94" s="1695"/>
      <c r="B94" s="1705"/>
      <c r="C94" s="1724"/>
      <c r="D94" s="1697"/>
      <c r="E94" s="1697"/>
      <c r="F94" s="1697"/>
      <c r="G94" s="1697"/>
      <c r="H94" s="1697"/>
      <c r="I94" s="1697"/>
      <c r="J94" s="1697"/>
      <c r="K94" s="1697"/>
      <c r="L94" s="1697"/>
      <c r="M94" s="1698"/>
      <c r="N94" s="1699"/>
      <c r="O94" s="1699"/>
      <c r="P94" s="2054"/>
      <c r="Q94" s="1659"/>
      <c r="R94" s="1581"/>
      <c r="S94" s="1581"/>
      <c r="T94" s="1581"/>
      <c r="U94" s="1581"/>
      <c r="V94" s="1581"/>
      <c r="W94" s="1581"/>
      <c r="X94" s="1581"/>
      <c r="Y94" s="1581"/>
      <c r="Z94" s="1581"/>
      <c r="AA94" s="1581"/>
      <c r="AB94" s="1581"/>
      <c r="AC94" s="1581"/>
    </row>
    <row r="95" ht="15.75" spans="1:29">
      <c r="A95" s="1695"/>
      <c r="B95" s="1700">
        <f>B30</f>
        <v>111</v>
      </c>
      <c r="C95" s="1717"/>
      <c r="D95" s="1717"/>
      <c r="E95" s="1717"/>
      <c r="F95" s="1717"/>
      <c r="G95" s="1753"/>
      <c r="H95" s="1753"/>
      <c r="I95" s="1753"/>
      <c r="J95" s="1753"/>
      <c r="K95" s="1754"/>
      <c r="L95" s="1755"/>
      <c r="M95" s="1756"/>
      <c r="N95" s="1694"/>
      <c r="O95" s="1694"/>
      <c r="P95" s="2054"/>
      <c r="Q95" s="1659"/>
      <c r="R95" s="1581"/>
      <c r="S95" s="1581"/>
      <c r="T95" s="1581"/>
      <c r="U95" s="1581"/>
      <c r="V95" s="1581"/>
      <c r="W95" s="1581"/>
      <c r="X95" s="1581"/>
      <c r="Y95" s="1581"/>
      <c r="Z95" s="1581"/>
      <c r="AA95" s="1581"/>
      <c r="AB95" s="1581"/>
      <c r="AC95" s="1581"/>
    </row>
    <row r="96" ht="15.75" spans="1:29">
      <c r="A96" s="1695"/>
      <c r="B96" s="1705"/>
      <c r="C96" s="1724"/>
      <c r="D96" s="1724"/>
      <c r="E96" s="1724"/>
      <c r="F96" s="1724"/>
      <c r="G96" s="1697"/>
      <c r="H96" s="1697"/>
      <c r="I96" s="1697"/>
      <c r="J96" s="1697"/>
      <c r="K96" s="1697"/>
      <c r="L96" s="1697"/>
      <c r="M96" s="1698"/>
      <c r="N96" s="1699"/>
      <c r="O96" s="1699"/>
      <c r="P96" s="2054"/>
      <c r="Q96" s="1659"/>
      <c r="R96" s="1581"/>
      <c r="S96" s="1581"/>
      <c r="T96" s="1581"/>
      <c r="U96" s="1581"/>
      <c r="V96" s="1581"/>
      <c r="W96" s="1581"/>
      <c r="X96" s="1581"/>
      <c r="Y96" s="1581"/>
      <c r="Z96" s="1581"/>
      <c r="AA96" s="1581"/>
      <c r="AB96" s="1581"/>
      <c r="AC96" s="1581"/>
    </row>
    <row r="97" ht="15.75" spans="1:29">
      <c r="A97" s="1695"/>
      <c r="B97" s="1700">
        <f>B31</f>
        <v>111</v>
      </c>
      <c r="C97" s="1717"/>
      <c r="D97" s="1717"/>
      <c r="E97" s="1717"/>
      <c r="F97" s="1717"/>
      <c r="G97" s="1753"/>
      <c r="H97" s="1753"/>
      <c r="I97" s="1753"/>
      <c r="J97" s="1753"/>
      <c r="K97" s="1754"/>
      <c r="L97" s="1755"/>
      <c r="M97" s="1756"/>
      <c r="N97" s="1694"/>
      <c r="O97" s="1694"/>
      <c r="P97" s="2054"/>
      <c r="Q97" s="1659"/>
      <c r="R97" s="1581"/>
      <c r="S97" s="1581"/>
      <c r="T97" s="1581"/>
      <c r="U97" s="1581"/>
      <c r="V97" s="1581"/>
      <c r="W97" s="1581"/>
      <c r="X97" s="1581"/>
      <c r="Y97" s="1581"/>
      <c r="Z97" s="1581"/>
      <c r="AA97" s="1581"/>
      <c r="AB97" s="1581"/>
      <c r="AC97" s="1581"/>
    </row>
    <row r="98" ht="15.75" spans="1:29">
      <c r="A98" s="1695"/>
      <c r="B98" s="1705"/>
      <c r="C98" s="1724"/>
      <c r="D98" s="1697"/>
      <c r="E98" s="1697"/>
      <c r="F98" s="1697"/>
      <c r="G98" s="1697"/>
      <c r="H98" s="1697"/>
      <c r="I98" s="1697"/>
      <c r="J98" s="1697"/>
      <c r="K98" s="1697"/>
      <c r="L98" s="1697"/>
      <c r="M98" s="1698"/>
      <c r="N98" s="1699"/>
      <c r="O98" s="1699"/>
      <c r="P98" s="2054"/>
      <c r="Q98" s="1659"/>
      <c r="R98" s="1581"/>
      <c r="S98" s="1581"/>
      <c r="T98" s="1581"/>
      <c r="U98" s="1581"/>
      <c r="V98" s="1581"/>
      <c r="W98" s="1581"/>
      <c r="X98" s="1581"/>
      <c r="Y98" s="1581"/>
      <c r="Z98" s="1581"/>
      <c r="AA98" s="1581"/>
      <c r="AB98" s="1581"/>
      <c r="AC98" s="1581"/>
    </row>
    <row r="99" ht="15.75" spans="1:29">
      <c r="A99" s="1695"/>
      <c r="B99" s="1708">
        <f>B32</f>
        <v>111</v>
      </c>
      <c r="C99" s="1680"/>
      <c r="D99" s="1680"/>
      <c r="E99" s="1680"/>
      <c r="F99" s="1680"/>
      <c r="G99" s="1757"/>
      <c r="H99" s="1757"/>
      <c r="I99" s="1757"/>
      <c r="J99" s="1757"/>
      <c r="K99" s="1758"/>
      <c r="L99" s="1759"/>
      <c r="M99" s="1760"/>
      <c r="N99" s="1694"/>
      <c r="O99" s="1694"/>
      <c r="P99" s="2054"/>
      <c r="Q99" s="1659"/>
      <c r="R99" s="1581"/>
      <c r="S99" s="1581"/>
      <c r="T99" s="1581"/>
      <c r="U99" s="1581"/>
      <c r="V99" s="1581"/>
      <c r="W99" s="1581"/>
      <c r="X99" s="1581"/>
      <c r="Y99" s="1581"/>
      <c r="Z99" s="1581"/>
      <c r="AA99" s="1581"/>
      <c r="AB99" s="1581"/>
      <c r="AC99" s="1581"/>
    </row>
    <row r="100" ht="15.75" spans="1:29">
      <c r="A100" s="2085"/>
      <c r="B100" s="1733"/>
      <c r="C100" s="1734"/>
      <c r="D100" s="1734"/>
      <c r="E100" s="1734"/>
      <c r="F100" s="1734"/>
      <c r="G100" s="1761"/>
      <c r="H100" s="1761"/>
      <c r="I100" s="1761"/>
      <c r="J100" s="1761"/>
      <c r="K100" s="1761"/>
      <c r="L100" s="1761"/>
      <c r="M100" s="1762"/>
      <c r="N100" s="1699"/>
      <c r="O100" s="1699"/>
      <c r="P100" s="2054"/>
      <c r="Q100" s="1659"/>
      <c r="R100" s="1581"/>
      <c r="S100" s="1581"/>
      <c r="T100" s="1581"/>
      <c r="U100" s="1581"/>
      <c r="V100" s="1581"/>
      <c r="W100" s="1581"/>
      <c r="X100" s="1581"/>
      <c r="Y100" s="1581"/>
      <c r="Z100" s="1581"/>
      <c r="AA100" s="1581"/>
      <c r="AB100" s="1581"/>
      <c r="AC100" s="1581"/>
    </row>
    <row r="101" spans="1:29">
      <c r="A101" s="1688" t="s">
        <v>1166</v>
      </c>
      <c r="B101" s="1689" t="s">
        <v>1167</v>
      </c>
      <c r="C101" s="1690"/>
      <c r="D101" s="1690"/>
      <c r="E101" s="1690"/>
      <c r="F101" s="1690"/>
      <c r="G101" s="1690"/>
      <c r="H101" s="1690"/>
      <c r="I101" s="1690"/>
      <c r="J101" s="1690"/>
      <c r="K101" s="1691"/>
      <c r="L101" s="1692"/>
      <c r="M101" s="1693"/>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06">
        <v>100</v>
      </c>
      <c r="D102" s="1706">
        <f t="shared" ref="D102:M102" si="22">C102-$K33</f>
        <v>100</v>
      </c>
      <c r="E102" s="1706">
        <f t="shared" si="22"/>
        <v>100</v>
      </c>
      <c r="F102" s="1706">
        <f t="shared" si="22"/>
        <v>100</v>
      </c>
      <c r="G102" s="1706">
        <f t="shared" si="22"/>
        <v>100</v>
      </c>
      <c r="H102" s="1706">
        <f t="shared" si="22"/>
        <v>100</v>
      </c>
      <c r="I102" s="1706">
        <f t="shared" si="22"/>
        <v>100</v>
      </c>
      <c r="J102" s="1706">
        <f t="shared" si="22"/>
        <v>100</v>
      </c>
      <c r="K102" s="1706">
        <f t="shared" si="22"/>
        <v>100</v>
      </c>
      <c r="L102" s="1706">
        <f t="shared" si="22"/>
        <v>100</v>
      </c>
      <c r="M102" s="1707">
        <f t="shared" si="22"/>
        <v>100</v>
      </c>
      <c r="N102" s="1699"/>
      <c r="O102" s="1699"/>
      <c r="P102" s="2054"/>
      <c r="Q102" s="1659"/>
      <c r="R102" s="1581"/>
      <c r="S102" s="1581"/>
      <c r="T102" s="1581"/>
      <c r="U102" s="1581"/>
      <c r="V102" s="1581"/>
      <c r="W102" s="1581"/>
      <c r="X102" s="1581"/>
      <c r="Y102" s="1581"/>
      <c r="Z102" s="1581"/>
      <c r="AA102" s="1581"/>
      <c r="AB102" s="1581"/>
      <c r="AC102" s="1581"/>
    </row>
    <row r="103" ht="15.75" spans="1:29">
      <c r="A103" s="1695"/>
      <c r="B103" s="1700" t="s">
        <v>1170</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45" t="str">
        <f>M104&amp;"(含)"&amp;"-"&amp;P104</f>
        <v>(含)-</v>
      </c>
      <c r="N103" s="1683"/>
      <c r="O103" s="1683"/>
      <c r="P103" s="2054"/>
      <c r="Q103" s="1659"/>
      <c r="R103" s="1581"/>
      <c r="S103" s="1581"/>
      <c r="T103" s="1581"/>
      <c r="U103" s="1581"/>
      <c r="V103" s="1581"/>
      <c r="W103" s="1581"/>
      <c r="X103" s="1581"/>
      <c r="Y103" s="1581"/>
      <c r="Z103" s="1581"/>
      <c r="AA103" s="1581"/>
      <c r="AB103" s="1581"/>
      <c r="AC103" s="1581"/>
    </row>
    <row r="104" s="1373" customFormat="1" ht="15" spans="1:29">
      <c r="A104" s="1764"/>
      <c r="B104" s="1765"/>
      <c r="C104" s="1667"/>
      <c r="D104" s="1667"/>
      <c r="E104" s="1667"/>
      <c r="F104" s="1667"/>
      <c r="G104" s="1667"/>
      <c r="H104" s="1667"/>
      <c r="I104" s="1667"/>
      <c r="J104" s="1766"/>
      <c r="K104" s="1766"/>
      <c r="L104" s="1767"/>
      <c r="M104" s="1768"/>
      <c r="N104" s="1721"/>
      <c r="O104" s="1721"/>
      <c r="P104" s="2055"/>
      <c r="Q104" s="1722"/>
      <c r="R104" s="1723"/>
      <c r="S104" s="1723"/>
      <c r="T104" s="1723"/>
      <c r="U104" s="1723"/>
      <c r="V104" s="1723"/>
      <c r="W104" s="1723"/>
      <c r="X104" s="1723"/>
      <c r="Y104" s="1723"/>
      <c r="Z104" s="1723"/>
      <c r="AA104" s="1723"/>
      <c r="AB104" s="1723"/>
      <c r="AC104" s="1723"/>
    </row>
    <row r="105" s="1373" customFormat="1" ht="15.75" spans="1:29">
      <c r="A105" s="1716"/>
      <c r="B105" s="1705"/>
      <c r="C105" s="1724"/>
      <c r="D105" s="1697"/>
      <c r="E105" s="1697"/>
      <c r="F105" s="1697"/>
      <c r="G105" s="1697"/>
      <c r="H105" s="1697"/>
      <c r="I105" s="1697"/>
      <c r="J105" s="1697"/>
      <c r="K105" s="1697"/>
      <c r="L105" s="1697"/>
      <c r="M105" s="1698"/>
      <c r="N105" s="1699"/>
      <c r="O105" s="1699"/>
      <c r="P105" s="2055"/>
      <c r="Q105" s="1722"/>
      <c r="R105" s="1723"/>
      <c r="S105" s="1723"/>
      <c r="T105" s="1723"/>
      <c r="U105" s="1723"/>
      <c r="V105" s="1723"/>
      <c r="W105" s="1723"/>
      <c r="X105" s="1723"/>
      <c r="Y105" s="1723"/>
      <c r="Z105" s="1723"/>
      <c r="AA105" s="1723"/>
      <c r="AB105" s="1723"/>
      <c r="AC105" s="1723"/>
    </row>
    <row r="106" ht="15.75" spans="1:29">
      <c r="A106" s="1773"/>
      <c r="B106" s="1700" t="s">
        <v>1171</v>
      </c>
      <c r="C106" s="1717"/>
      <c r="D106" s="1717"/>
      <c r="E106" s="1753"/>
      <c r="F106" s="1753"/>
      <c r="G106" s="1753"/>
      <c r="H106" s="1753"/>
      <c r="I106" s="1753"/>
      <c r="J106" s="1753"/>
      <c r="K106" s="1754"/>
      <c r="L106" s="1755"/>
      <c r="M106" s="1756"/>
      <c r="N106" s="1694"/>
      <c r="O106" s="1694"/>
      <c r="P106" s="2054"/>
      <c r="Q106" s="1659"/>
      <c r="R106" s="1581"/>
      <c r="S106" s="1581"/>
      <c r="T106" s="1581"/>
      <c r="U106" s="1581"/>
      <c r="V106" s="1581"/>
      <c r="W106" s="1581"/>
      <c r="X106" s="1581"/>
      <c r="Y106" s="1581"/>
      <c r="Z106" s="1581"/>
      <c r="AA106" s="1581"/>
      <c r="AB106" s="1581"/>
      <c r="AC106" s="1581"/>
    </row>
    <row r="107" ht="15.75" spans="1:29">
      <c r="A107" s="1695"/>
      <c r="B107" s="1705"/>
      <c r="C107" s="1706">
        <v>100</v>
      </c>
      <c r="D107" s="1706">
        <f t="shared" ref="D107:M107" si="24">C107-$K35</f>
        <v>100</v>
      </c>
      <c r="E107" s="1706">
        <f t="shared" si="24"/>
        <v>100</v>
      </c>
      <c r="F107" s="1706">
        <f t="shared" si="24"/>
        <v>100</v>
      </c>
      <c r="G107" s="1706">
        <f t="shared" si="24"/>
        <v>100</v>
      </c>
      <c r="H107" s="1706">
        <f t="shared" si="24"/>
        <v>100</v>
      </c>
      <c r="I107" s="1706">
        <f t="shared" si="24"/>
        <v>100</v>
      </c>
      <c r="J107" s="1706">
        <f t="shared" si="24"/>
        <v>100</v>
      </c>
      <c r="K107" s="1706">
        <f t="shared" si="24"/>
        <v>100</v>
      </c>
      <c r="L107" s="1706">
        <f t="shared" si="24"/>
        <v>100</v>
      </c>
      <c r="M107" s="1707">
        <f t="shared" si="24"/>
        <v>100</v>
      </c>
      <c r="N107" s="1699"/>
      <c r="O107" s="1699"/>
      <c r="P107" s="2054"/>
      <c r="Q107" s="1659"/>
      <c r="R107" s="1581"/>
      <c r="S107" s="1581"/>
      <c r="T107" s="1581"/>
      <c r="U107" s="1581"/>
      <c r="V107" s="1581"/>
      <c r="W107" s="1581"/>
      <c r="X107" s="1581"/>
      <c r="Y107" s="1581"/>
      <c r="Z107" s="1581"/>
      <c r="AA107" s="1581"/>
      <c r="AB107" s="1581"/>
      <c r="AC107" s="1581"/>
    </row>
    <row r="108" ht="15.75" spans="1:29">
      <c r="A108" s="1773"/>
      <c r="B108" s="1700" t="s">
        <v>1173</v>
      </c>
      <c r="C108" s="1717"/>
      <c r="D108" s="1717"/>
      <c r="E108" s="1717"/>
      <c r="F108" s="1753"/>
      <c r="G108" s="1753"/>
      <c r="H108" s="1753"/>
      <c r="I108" s="1753"/>
      <c r="J108" s="1753"/>
      <c r="K108" s="1754"/>
      <c r="L108" s="1755"/>
      <c r="M108" s="1756"/>
      <c r="N108" s="1694"/>
      <c r="O108" s="1694"/>
      <c r="P108" s="2054"/>
      <c r="Q108" s="1659"/>
      <c r="R108" s="1581"/>
      <c r="S108" s="1581"/>
      <c r="T108" s="1581"/>
      <c r="U108" s="1581"/>
      <c r="V108" s="1581"/>
      <c r="W108" s="1581"/>
      <c r="X108" s="1581"/>
      <c r="Y108" s="1581"/>
      <c r="Z108" s="1581"/>
      <c r="AA108" s="1581"/>
      <c r="AB108" s="1581"/>
      <c r="AC108" s="1581"/>
    </row>
    <row r="109" ht="15.75" spans="1:29">
      <c r="A109" s="1695"/>
      <c r="B109" s="1705"/>
      <c r="C109" s="1706">
        <v>100</v>
      </c>
      <c r="D109" s="1706">
        <f t="shared" ref="D109:M109" si="25">C109-$K36</f>
        <v>100</v>
      </c>
      <c r="E109" s="1706">
        <f t="shared" si="25"/>
        <v>100</v>
      </c>
      <c r="F109" s="1706">
        <f t="shared" si="25"/>
        <v>100</v>
      </c>
      <c r="G109" s="1706">
        <f t="shared" si="25"/>
        <v>100</v>
      </c>
      <c r="H109" s="1706">
        <f t="shared" si="25"/>
        <v>100</v>
      </c>
      <c r="I109" s="1706">
        <f t="shared" si="25"/>
        <v>100</v>
      </c>
      <c r="J109" s="1706">
        <f t="shared" si="25"/>
        <v>100</v>
      </c>
      <c r="K109" s="1706">
        <f t="shared" si="25"/>
        <v>100</v>
      </c>
      <c r="L109" s="1706">
        <f t="shared" si="25"/>
        <v>100</v>
      </c>
      <c r="M109" s="1707">
        <f t="shared" si="25"/>
        <v>100</v>
      </c>
      <c r="N109" s="1699"/>
      <c r="O109" s="1699"/>
      <c r="P109" s="2054"/>
      <c r="Q109" s="1659"/>
      <c r="R109" s="1581"/>
      <c r="S109" s="1581"/>
      <c r="T109" s="1581"/>
      <c r="U109" s="1581"/>
      <c r="V109" s="1581"/>
      <c r="W109" s="1581"/>
      <c r="X109" s="1581"/>
      <c r="Y109" s="1581"/>
      <c r="Z109" s="1581"/>
      <c r="AA109" s="1581"/>
      <c r="AB109" s="1581"/>
      <c r="AC109" s="1581"/>
    </row>
    <row r="110" ht="26.25" customHeight="1" spans="1:29">
      <c r="A110" s="1773"/>
      <c r="B110" s="1700" t="s">
        <v>716</v>
      </c>
      <c r="C110" s="1742" t="str">
        <f>C111&amp;"(含)"&amp;"-"&amp;D111</f>
        <v>0.5(含)-0.55</v>
      </c>
      <c r="D110" s="1742" t="str">
        <f>D111&amp;"(含)"&amp;"-"&amp;E111</f>
        <v>0.55(含)-0.6</v>
      </c>
      <c r="E110" s="1742" t="str">
        <f>E111&amp;"(含)"&amp;"-"&amp;F111</f>
        <v>0.6(含)-0.65</v>
      </c>
      <c r="F110" s="1742" t="str">
        <f>F111&amp;"(含)"&amp;"-"&amp;G111</f>
        <v>0.65(含)-0.7</v>
      </c>
      <c r="G110" s="1742" t="str">
        <f t="shared" ref="G110:K110" si="26">G111&amp;"(含)"&amp;"-"&amp;H111</f>
        <v>0.7(含)-0.75</v>
      </c>
      <c r="H110" s="1742" t="str">
        <f t="shared" si="26"/>
        <v>0.75(含)-0.8</v>
      </c>
      <c r="I110" s="1742" t="str">
        <f t="shared" si="26"/>
        <v>0.8(含)-0.85</v>
      </c>
      <c r="J110" s="1742" t="str">
        <f t="shared" si="26"/>
        <v>0.85(含)-0.9</v>
      </c>
      <c r="K110" s="1742" t="str">
        <f t="shared" si="26"/>
        <v>0.9(含)-0.95</v>
      </c>
      <c r="L110" s="1742" t="str">
        <f t="shared" ref="L110" si="27">L111&amp;"(含)"&amp;"-"&amp;ROUND(M111,0)&amp;"(含)"</f>
        <v>0.95(含)-1(含)</v>
      </c>
      <c r="M110" s="1742"/>
      <c r="N110" s="1694"/>
      <c r="O110" s="1694"/>
      <c r="P110" s="2054"/>
      <c r="Q110" s="1659"/>
      <c r="R110" s="1581"/>
      <c r="S110" s="1581"/>
      <c r="T110" s="1581"/>
      <c r="U110" s="1581"/>
      <c r="V110" s="1581"/>
      <c r="W110" s="1581"/>
      <c r="X110" s="1581"/>
      <c r="Y110" s="1581"/>
      <c r="Z110" s="1581"/>
      <c r="AA110" s="1581"/>
      <c r="AB110" s="1581"/>
      <c r="AC110" s="1581"/>
    </row>
    <row r="111" ht="15" spans="1:29">
      <c r="A111" s="1773"/>
      <c r="B111" s="1708"/>
      <c r="C111" s="1188">
        <v>0.5</v>
      </c>
      <c r="D111" s="1188">
        <v>0.55</v>
      </c>
      <c r="E111" s="1188">
        <v>0.6</v>
      </c>
      <c r="F111" s="1188">
        <v>0.65</v>
      </c>
      <c r="G111" s="1188">
        <v>0.7</v>
      </c>
      <c r="H111" s="1188">
        <v>0.75</v>
      </c>
      <c r="I111" s="1188">
        <v>0.8</v>
      </c>
      <c r="J111" s="1188">
        <v>0.85</v>
      </c>
      <c r="K111" s="1188">
        <v>0.9</v>
      </c>
      <c r="L111" s="1188">
        <v>0.95</v>
      </c>
      <c r="M111" s="1188">
        <v>1.0001</v>
      </c>
      <c r="N111" s="1694"/>
      <c r="O111" s="1694"/>
      <c r="P111" s="2054"/>
      <c r="Q111" s="1659"/>
      <c r="R111" s="1581"/>
      <c r="S111" s="1581"/>
      <c r="T111" s="1581"/>
      <c r="U111" s="1581"/>
      <c r="V111" s="1581"/>
      <c r="W111" s="1581"/>
      <c r="X111" s="1581"/>
      <c r="Y111" s="1581"/>
      <c r="Z111" s="1581"/>
      <c r="AA111" s="1581"/>
      <c r="AB111" s="1581"/>
      <c r="AC111" s="1581"/>
    </row>
    <row r="112" ht="15.75" spans="1:29">
      <c r="A112" s="1695"/>
      <c r="B112" s="1705"/>
      <c r="C112" s="1746">
        <v>100</v>
      </c>
      <c r="D112" s="1706">
        <f>C112+$K37</f>
        <v>100</v>
      </c>
      <c r="E112" s="1706">
        <f t="shared" ref="E112:M112" si="28">D112+$K37</f>
        <v>100</v>
      </c>
      <c r="F112" s="1706">
        <f t="shared" si="28"/>
        <v>100</v>
      </c>
      <c r="G112" s="1706">
        <f t="shared" si="28"/>
        <v>100</v>
      </c>
      <c r="H112" s="1706">
        <f t="shared" si="28"/>
        <v>100</v>
      </c>
      <c r="I112" s="1706">
        <f t="shared" si="28"/>
        <v>100</v>
      </c>
      <c r="J112" s="1706">
        <f t="shared" si="28"/>
        <v>100</v>
      </c>
      <c r="K112" s="1706">
        <f t="shared" si="28"/>
        <v>100</v>
      </c>
      <c r="L112" s="1706">
        <f t="shared" si="28"/>
        <v>100</v>
      </c>
      <c r="M112" s="1706">
        <f t="shared" si="28"/>
        <v>100</v>
      </c>
      <c r="N112" s="1699"/>
      <c r="O112" s="1699"/>
      <c r="P112" s="2054"/>
      <c r="Q112" s="1659"/>
      <c r="R112" s="1581"/>
      <c r="S112" s="1581"/>
      <c r="T112" s="1581"/>
      <c r="U112" s="1581"/>
      <c r="V112" s="1581"/>
      <c r="W112" s="1581"/>
      <c r="X112" s="1581"/>
      <c r="Y112" s="1581"/>
      <c r="Z112" s="1581"/>
      <c r="AA112" s="1581"/>
      <c r="AB112" s="1581"/>
      <c r="AC112" s="1581"/>
    </row>
    <row r="113" s="1373" customFormat="1" ht="15.75" spans="1:29">
      <c r="A113" s="1764"/>
      <c r="B113" s="1700" t="s">
        <v>1947</v>
      </c>
      <c r="C113" s="1717"/>
      <c r="D113" s="1717"/>
      <c r="E113" s="1717"/>
      <c r="F113" s="1717"/>
      <c r="G113" s="1717"/>
      <c r="H113" s="1753"/>
      <c r="I113" s="1753"/>
      <c r="J113" s="1753"/>
      <c r="K113" s="1754"/>
      <c r="L113" s="1755"/>
      <c r="M113" s="1756"/>
      <c r="N113" s="1721"/>
      <c r="O113" s="1721"/>
      <c r="P113" s="2055"/>
      <c r="Q113" s="1722"/>
      <c r="R113" s="1723"/>
      <c r="S113" s="1723"/>
      <c r="T113" s="1723"/>
      <c r="U113" s="1723"/>
      <c r="V113" s="1723"/>
      <c r="W113" s="1723"/>
      <c r="X113" s="1723"/>
      <c r="Y113" s="1723"/>
      <c r="Z113" s="1723"/>
      <c r="AA113" s="1723"/>
      <c r="AB113" s="1723"/>
      <c r="AC113" s="1723"/>
    </row>
    <row r="114" s="1373" customFormat="1" ht="15.75" spans="1:29">
      <c r="A114" s="1716"/>
      <c r="B114" s="1705"/>
      <c r="C114" s="1706">
        <v>100</v>
      </c>
      <c r="D114" s="1706">
        <f>C114-$K38</f>
        <v>100</v>
      </c>
      <c r="E114" s="1706">
        <f t="shared" ref="E114:M114" si="29">D114-$K38</f>
        <v>100</v>
      </c>
      <c r="F114" s="1706">
        <f t="shared" si="29"/>
        <v>100</v>
      </c>
      <c r="G114" s="1706">
        <f t="shared" si="29"/>
        <v>100</v>
      </c>
      <c r="H114" s="1706">
        <f t="shared" si="29"/>
        <v>100</v>
      </c>
      <c r="I114" s="1706">
        <f t="shared" si="29"/>
        <v>100</v>
      </c>
      <c r="J114" s="1706">
        <f t="shared" si="29"/>
        <v>100</v>
      </c>
      <c r="K114" s="1706">
        <f t="shared" si="29"/>
        <v>100</v>
      </c>
      <c r="L114" s="1706">
        <f t="shared" si="29"/>
        <v>100</v>
      </c>
      <c r="M114" s="1706">
        <f t="shared" si="29"/>
        <v>100</v>
      </c>
      <c r="N114" s="1721"/>
      <c r="O114" s="1721"/>
      <c r="P114" s="2055"/>
      <c r="Q114" s="1722"/>
      <c r="R114" s="1723"/>
      <c r="S114" s="1723"/>
      <c r="T114" s="1723"/>
      <c r="U114" s="1723"/>
      <c r="V114" s="1723"/>
      <c r="W114" s="1723"/>
      <c r="X114" s="1723"/>
      <c r="Y114" s="1723"/>
      <c r="Z114" s="1723"/>
      <c r="AA114" s="1723"/>
      <c r="AB114" s="1723"/>
      <c r="AC114" s="1723"/>
    </row>
    <row r="115" ht="15.75" spans="1:29">
      <c r="A115" s="1773"/>
      <c r="B115" s="1700" t="s">
        <v>1175</v>
      </c>
      <c r="C115" s="1717"/>
      <c r="D115" s="1717"/>
      <c r="E115" s="1753"/>
      <c r="F115" s="1753"/>
      <c r="G115" s="1753"/>
      <c r="H115" s="1753"/>
      <c r="I115" s="1753"/>
      <c r="J115" s="1753"/>
      <c r="K115" s="1754"/>
      <c r="L115" s="1755"/>
      <c r="M115" s="1756"/>
      <c r="N115" s="1694"/>
      <c r="O115" s="1694"/>
      <c r="P115" s="2054"/>
      <c r="Q115" s="1659"/>
      <c r="R115" s="1581"/>
      <c r="S115" s="1581"/>
      <c r="T115" s="1581"/>
      <c r="U115" s="1581"/>
      <c r="V115" s="1581"/>
      <c r="W115" s="1581"/>
      <c r="X115" s="1581"/>
      <c r="Y115" s="1581"/>
      <c r="Z115" s="1581"/>
      <c r="AA115" s="1581"/>
      <c r="AB115" s="1581"/>
      <c r="AC115" s="1581"/>
    </row>
    <row r="116" ht="15.75" spans="1:29">
      <c r="A116" s="1695"/>
      <c r="B116" s="1705"/>
      <c r="C116" s="1706">
        <v>100</v>
      </c>
      <c r="D116" s="1706">
        <f t="shared" ref="D116:M116" si="30">C116-$K39</f>
        <v>100</v>
      </c>
      <c r="E116" s="1706">
        <f t="shared" si="30"/>
        <v>100</v>
      </c>
      <c r="F116" s="1706">
        <f t="shared" si="30"/>
        <v>100</v>
      </c>
      <c r="G116" s="1706">
        <f t="shared" si="30"/>
        <v>100</v>
      </c>
      <c r="H116" s="1706">
        <f t="shared" si="30"/>
        <v>100</v>
      </c>
      <c r="I116" s="1706">
        <f t="shared" si="30"/>
        <v>100</v>
      </c>
      <c r="J116" s="1706">
        <f t="shared" si="30"/>
        <v>100</v>
      </c>
      <c r="K116" s="1706">
        <f t="shared" si="30"/>
        <v>100</v>
      </c>
      <c r="L116" s="1706">
        <f t="shared" si="30"/>
        <v>100</v>
      </c>
      <c r="M116" s="1707">
        <f t="shared" si="30"/>
        <v>100</v>
      </c>
      <c r="N116" s="1699"/>
      <c r="O116" s="1699"/>
      <c r="P116" s="2054"/>
      <c r="Q116" s="1659"/>
      <c r="R116" s="1581"/>
      <c r="S116" s="1581"/>
      <c r="T116" s="1581"/>
      <c r="U116" s="1581"/>
      <c r="V116" s="1581"/>
      <c r="W116" s="1581"/>
      <c r="X116" s="1581"/>
      <c r="Y116" s="1581"/>
      <c r="Z116" s="1581"/>
      <c r="AA116" s="1581"/>
      <c r="AB116" s="1581"/>
      <c r="AC116" s="1581"/>
    </row>
    <row r="117" ht="15.75" spans="1:29">
      <c r="A117" s="1773"/>
      <c r="B117" s="1700" t="s">
        <v>1176</v>
      </c>
      <c r="C117" s="1717"/>
      <c r="D117" s="1717"/>
      <c r="E117" s="1717"/>
      <c r="F117" s="1717"/>
      <c r="G117" s="1717"/>
      <c r="H117" s="1753"/>
      <c r="I117" s="1753"/>
      <c r="J117" s="1753"/>
      <c r="K117" s="1754"/>
      <c r="L117" s="1755"/>
      <c r="M117" s="1756"/>
      <c r="N117" s="1694"/>
      <c r="O117" s="1694"/>
      <c r="P117" s="2054"/>
      <c r="Q117" s="1659"/>
      <c r="R117" s="1581"/>
      <c r="S117" s="1581"/>
      <c r="T117" s="1581"/>
      <c r="U117" s="1581"/>
      <c r="V117" s="1581"/>
      <c r="W117" s="1581"/>
      <c r="X117" s="1581"/>
      <c r="Y117" s="1581"/>
      <c r="Z117" s="1581"/>
      <c r="AA117" s="1581"/>
      <c r="AB117" s="1581"/>
      <c r="AC117" s="1581"/>
    </row>
    <row r="118" ht="15.75" spans="1:29">
      <c r="A118" s="1695"/>
      <c r="B118" s="1705"/>
      <c r="C118" s="1706">
        <v>100</v>
      </c>
      <c r="D118" s="1706">
        <f>C118-$K40</f>
        <v>100</v>
      </c>
      <c r="E118" s="1706">
        <f>D118-$K40</f>
        <v>100</v>
      </c>
      <c r="F118" s="1706">
        <f>E118-$K40</f>
        <v>100</v>
      </c>
      <c r="G118" s="1706">
        <f>F118-$K40</f>
        <v>100</v>
      </c>
      <c r="H118" s="1706"/>
      <c r="I118" s="1706"/>
      <c r="J118" s="1706"/>
      <c r="K118" s="1706"/>
      <c r="L118" s="1706"/>
      <c r="M118" s="1707"/>
      <c r="N118" s="1699"/>
      <c r="O118" s="1699"/>
      <c r="P118" s="2054"/>
      <c r="Q118" s="1659"/>
      <c r="R118" s="1581"/>
      <c r="S118" s="1581"/>
      <c r="T118" s="1581"/>
      <c r="U118" s="1581"/>
      <c r="V118" s="1581"/>
      <c r="W118" s="1581"/>
      <c r="X118" s="1581"/>
      <c r="Y118" s="1581"/>
      <c r="Z118" s="1581"/>
      <c r="AA118" s="1581"/>
      <c r="AB118" s="1581"/>
      <c r="AC118" s="1581"/>
    </row>
    <row r="119" ht="15.75" spans="1:29">
      <c r="A119" s="1773"/>
      <c r="B119" s="2002" t="s">
        <v>1949</v>
      </c>
      <c r="C119" s="1753"/>
      <c r="D119" s="1753"/>
      <c r="E119" s="1753"/>
      <c r="F119" s="1753"/>
      <c r="G119" s="1753"/>
      <c r="H119" s="1753"/>
      <c r="I119" s="1753"/>
      <c r="J119" s="1753"/>
      <c r="K119" s="1753"/>
      <c r="L119" s="2119"/>
      <c r="M119" s="2120"/>
      <c r="N119" s="1699"/>
      <c r="O119" s="1699"/>
      <c r="P119" s="2062"/>
      <c r="Q119" s="2003"/>
      <c r="R119" s="1581"/>
      <c r="S119" s="1581"/>
      <c r="T119" s="1581"/>
      <c r="U119" s="1581"/>
      <c r="V119" s="1581"/>
      <c r="W119" s="1581"/>
      <c r="X119" s="1581"/>
      <c r="Y119" s="1581"/>
      <c r="Z119" s="1581"/>
      <c r="AA119" s="1581"/>
      <c r="AB119" s="1581"/>
      <c r="AC119" s="1581"/>
    </row>
    <row r="120" ht="15.75" spans="1:29">
      <c r="A120" s="1695"/>
      <c r="B120" s="1705"/>
      <c r="C120" s="1746">
        <v>100</v>
      </c>
      <c r="D120" s="1706">
        <f>C120-$K41</f>
        <v>100</v>
      </c>
      <c r="E120" s="1706">
        <f t="shared" ref="E120:M120" si="31">D120-$K41</f>
        <v>100</v>
      </c>
      <c r="F120" s="1706">
        <f t="shared" si="31"/>
        <v>100</v>
      </c>
      <c r="G120" s="1706">
        <f t="shared" si="31"/>
        <v>100</v>
      </c>
      <c r="H120" s="1706">
        <f t="shared" si="31"/>
        <v>100</v>
      </c>
      <c r="I120" s="1706">
        <f t="shared" si="31"/>
        <v>100</v>
      </c>
      <c r="J120" s="1706">
        <f t="shared" si="31"/>
        <v>100</v>
      </c>
      <c r="K120" s="1706">
        <f t="shared" si="31"/>
        <v>100</v>
      </c>
      <c r="L120" s="1706">
        <f t="shared" si="31"/>
        <v>100</v>
      </c>
      <c r="M120" s="1706">
        <f t="shared" si="31"/>
        <v>100</v>
      </c>
      <c r="N120" s="1699"/>
      <c r="O120" s="1699"/>
      <c r="P120" s="2054"/>
      <c r="Q120" s="1659"/>
      <c r="R120" s="1581"/>
      <c r="S120" s="1581"/>
      <c r="T120" s="1581"/>
      <c r="U120" s="1581"/>
      <c r="V120" s="1581"/>
      <c r="W120" s="1581"/>
      <c r="X120" s="1581"/>
      <c r="Y120" s="1581"/>
      <c r="Z120" s="1581"/>
      <c r="AA120" s="1581"/>
      <c r="AB120" s="1581"/>
      <c r="AC120" s="1581"/>
    </row>
    <row r="121" s="1373" customFormat="1" ht="15.75" spans="1:29">
      <c r="A121" s="1764"/>
      <c r="B121" s="1700" t="s">
        <v>1941</v>
      </c>
      <c r="C121" s="1717"/>
      <c r="D121" s="1717"/>
      <c r="E121" s="1717"/>
      <c r="F121" s="1753"/>
      <c r="G121" s="1718"/>
      <c r="H121" s="1718"/>
      <c r="I121" s="1718"/>
      <c r="J121" s="1718"/>
      <c r="K121" s="1718"/>
      <c r="L121" s="1719"/>
      <c r="M121" s="1720"/>
      <c r="N121" s="1721"/>
      <c r="O121" s="1721"/>
      <c r="P121" s="2055"/>
      <c r="Q121" s="1722"/>
      <c r="R121" s="1723"/>
      <c r="S121" s="1723"/>
      <c r="T121" s="1723"/>
      <c r="U121" s="1723"/>
      <c r="V121" s="1723"/>
      <c r="W121" s="1723"/>
      <c r="X121" s="1723"/>
      <c r="Y121" s="1723"/>
      <c r="Z121" s="1723"/>
      <c r="AA121" s="1723"/>
      <c r="AB121" s="1723"/>
      <c r="AC121" s="1723"/>
    </row>
    <row r="122" s="1373" customFormat="1" ht="15.75" spans="1:29">
      <c r="A122" s="1716"/>
      <c r="B122" s="1696"/>
      <c r="C122" s="1724"/>
      <c r="D122" s="1724"/>
      <c r="E122" s="1724"/>
      <c r="F122" s="1724"/>
      <c r="G122" s="1724"/>
      <c r="H122" s="1724"/>
      <c r="I122" s="1724"/>
      <c r="J122" s="1724"/>
      <c r="K122" s="1724"/>
      <c r="L122" s="1724"/>
      <c r="M122" s="1724"/>
      <c r="N122" s="1721"/>
      <c r="O122" s="1721"/>
      <c r="P122" s="2055"/>
      <c r="Q122" s="1722"/>
      <c r="R122" s="1723"/>
      <c r="S122" s="1723"/>
      <c r="T122" s="1723"/>
      <c r="U122" s="1723"/>
      <c r="V122" s="1723"/>
      <c r="W122" s="1723"/>
      <c r="X122" s="1723"/>
      <c r="Y122" s="1723"/>
      <c r="Z122" s="1723"/>
      <c r="AA122" s="1723"/>
      <c r="AB122" s="1723"/>
      <c r="AC122" s="1723"/>
    </row>
    <row r="123" ht="15.75" spans="1:29">
      <c r="A123" s="1773"/>
      <c r="B123" s="1700" t="s">
        <v>1177</v>
      </c>
      <c r="C123" s="1717"/>
      <c r="D123" s="1717"/>
      <c r="E123" s="1717"/>
      <c r="F123" s="1753"/>
      <c r="G123" s="1753"/>
      <c r="H123" s="1753"/>
      <c r="I123" s="1753"/>
      <c r="J123" s="1753"/>
      <c r="K123" s="1754"/>
      <c r="L123" s="1755"/>
      <c r="M123" s="1756"/>
      <c r="N123" s="1694"/>
      <c r="O123" s="1694"/>
      <c r="P123" s="2054"/>
      <c r="Q123" s="1659"/>
      <c r="R123" s="1581"/>
      <c r="S123" s="1581"/>
      <c r="T123" s="1581"/>
      <c r="U123" s="1581"/>
      <c r="V123" s="1581"/>
      <c r="W123" s="1581"/>
      <c r="X123" s="1581"/>
      <c r="Y123" s="1581"/>
      <c r="Z123" s="1581"/>
      <c r="AA123" s="1581"/>
      <c r="AB123" s="1581"/>
      <c r="AC123" s="1581"/>
    </row>
    <row r="124" ht="15.75" spans="1:29">
      <c r="A124" s="1695"/>
      <c r="B124" s="1705"/>
      <c r="C124" s="1706">
        <v>100</v>
      </c>
      <c r="D124" s="1706">
        <f t="shared" ref="D124:M124" si="32">C124-$K43</f>
        <v>100</v>
      </c>
      <c r="E124" s="1706">
        <f t="shared" si="32"/>
        <v>100</v>
      </c>
      <c r="F124" s="1706">
        <f t="shared" si="32"/>
        <v>100</v>
      </c>
      <c r="G124" s="1706">
        <f t="shared" si="32"/>
        <v>100</v>
      </c>
      <c r="H124" s="1706">
        <f t="shared" si="32"/>
        <v>100</v>
      </c>
      <c r="I124" s="1706">
        <f t="shared" si="32"/>
        <v>100</v>
      </c>
      <c r="J124" s="1706">
        <f t="shared" si="32"/>
        <v>100</v>
      </c>
      <c r="K124" s="1706">
        <f t="shared" si="32"/>
        <v>100</v>
      </c>
      <c r="L124" s="1706">
        <f t="shared" si="32"/>
        <v>100</v>
      </c>
      <c r="M124" s="1707">
        <f t="shared" si="32"/>
        <v>100</v>
      </c>
      <c r="N124" s="1699"/>
      <c r="O124" s="1699"/>
      <c r="P124" s="2054"/>
      <c r="Q124" s="1659"/>
      <c r="R124" s="1581"/>
      <c r="S124" s="1581"/>
      <c r="T124" s="1581"/>
      <c r="U124" s="1581"/>
      <c r="V124" s="1581"/>
      <c r="W124" s="1581"/>
      <c r="X124" s="1581"/>
      <c r="Y124" s="1581"/>
      <c r="Z124" s="1581"/>
      <c r="AA124" s="1581"/>
      <c r="AB124" s="1581"/>
      <c r="AC124" s="1581"/>
    </row>
    <row r="125" ht="15.75" spans="1:29">
      <c r="A125" s="1773"/>
      <c r="B125" s="1700" t="s">
        <v>1911</v>
      </c>
      <c r="C125" s="1742" t="s">
        <v>1200</v>
      </c>
      <c r="D125" s="1742" t="s">
        <v>1201</v>
      </c>
      <c r="E125" s="1742" t="s">
        <v>1202</v>
      </c>
      <c r="F125" s="1742" t="s">
        <v>1203</v>
      </c>
      <c r="G125" s="1742" t="s">
        <v>1204</v>
      </c>
      <c r="H125" s="1701"/>
      <c r="I125" s="1701"/>
      <c r="J125" s="1701"/>
      <c r="K125" s="1702"/>
      <c r="L125" s="1703"/>
      <c r="M125" s="1704"/>
      <c r="N125" s="1694"/>
      <c r="O125" s="1694"/>
      <c r="P125" s="2055"/>
      <c r="Q125" s="1659"/>
      <c r="R125" s="1581"/>
      <c r="S125" s="1581"/>
      <c r="T125" s="1581"/>
      <c r="U125" s="1581"/>
      <c r="V125" s="1581"/>
      <c r="W125" s="1581"/>
      <c r="X125" s="1581"/>
      <c r="Y125" s="1581"/>
      <c r="Z125" s="1581"/>
      <c r="AA125" s="1581"/>
      <c r="AB125" s="1581"/>
      <c r="AC125" s="1581"/>
    </row>
    <row r="126" ht="15.75" spans="1:29">
      <c r="A126" s="1695"/>
      <c r="B126" s="1705"/>
      <c r="C126" s="1706">
        <v>100</v>
      </c>
      <c r="D126" s="1706">
        <f>C126-$K44</f>
        <v>100</v>
      </c>
      <c r="E126" s="1706">
        <f>D126-$K44</f>
        <v>100</v>
      </c>
      <c r="F126" s="1706">
        <f>E126-$K44</f>
        <v>100</v>
      </c>
      <c r="G126" s="1706">
        <f>F126-$K44</f>
        <v>100</v>
      </c>
      <c r="H126" s="1706"/>
      <c r="I126" s="1706"/>
      <c r="J126" s="1706"/>
      <c r="K126" s="1706"/>
      <c r="L126" s="1706"/>
      <c r="M126" s="1707"/>
      <c r="N126" s="1699"/>
      <c r="O126" s="1699"/>
      <c r="P126" s="2054"/>
      <c r="Q126" s="1659"/>
      <c r="R126" s="1581"/>
      <c r="S126" s="1581"/>
      <c r="T126" s="1581"/>
      <c r="U126" s="1581"/>
      <c r="V126" s="1581"/>
      <c r="W126" s="1581"/>
      <c r="X126" s="1581"/>
      <c r="Y126" s="1581"/>
      <c r="Z126" s="1581"/>
      <c r="AA126" s="1581"/>
      <c r="AB126" s="1581"/>
      <c r="AC126" s="1581"/>
    </row>
    <row r="127" s="1373" customFormat="1" ht="15.75" spans="1:29">
      <c r="A127" s="1764"/>
      <c r="B127" s="1700">
        <f>B45</f>
        <v>111</v>
      </c>
      <c r="C127" s="1717"/>
      <c r="D127" s="1717"/>
      <c r="E127" s="1717"/>
      <c r="F127" s="1717"/>
      <c r="G127" s="1717"/>
      <c r="H127" s="1718"/>
      <c r="I127" s="1718"/>
      <c r="J127" s="1718"/>
      <c r="K127" s="1718"/>
      <c r="L127" s="1719"/>
      <c r="M127" s="1720"/>
      <c r="N127" s="1721"/>
      <c r="O127" s="1721"/>
      <c r="P127" s="2055"/>
      <c r="Q127" s="1722"/>
      <c r="R127" s="1723"/>
      <c r="S127" s="1723"/>
      <c r="T127" s="1723"/>
      <c r="U127" s="1723"/>
      <c r="V127" s="1723"/>
      <c r="W127" s="1723"/>
      <c r="X127" s="1723"/>
      <c r="Y127" s="1723"/>
      <c r="Z127" s="1723"/>
      <c r="AA127" s="1723"/>
      <c r="AB127" s="1723"/>
      <c r="AC127" s="1723"/>
    </row>
    <row r="128" s="1373" customFormat="1" ht="15.75" spans="1:29">
      <c r="A128" s="1716"/>
      <c r="B128" s="1705"/>
      <c r="C128" s="1724"/>
      <c r="D128" s="1697"/>
      <c r="E128" s="1697"/>
      <c r="F128" s="1697"/>
      <c r="G128" s="1724"/>
      <c r="H128" s="1726"/>
      <c r="I128" s="1726"/>
      <c r="J128" s="1726"/>
      <c r="K128" s="1726"/>
      <c r="L128" s="1726"/>
      <c r="M128" s="1727"/>
      <c r="N128" s="1721"/>
      <c r="O128" s="1721"/>
      <c r="P128" s="2055"/>
      <c r="Q128" s="1722"/>
      <c r="R128" s="1723"/>
      <c r="S128" s="1723"/>
      <c r="T128" s="1723"/>
      <c r="U128" s="1723"/>
      <c r="V128" s="1723"/>
      <c r="W128" s="1723"/>
      <c r="X128" s="1723"/>
      <c r="Y128" s="1723"/>
      <c r="Z128" s="1723"/>
      <c r="AA128" s="1723"/>
      <c r="AB128" s="1723"/>
      <c r="AC128" s="1723"/>
    </row>
    <row r="129" ht="15.75" spans="1:29">
      <c r="A129" s="1773"/>
      <c r="B129" s="1700">
        <f>B46</f>
        <v>111</v>
      </c>
      <c r="C129" s="1717"/>
      <c r="D129" s="1717"/>
      <c r="E129" s="1717"/>
      <c r="F129" s="1717"/>
      <c r="G129" s="1753"/>
      <c r="H129" s="1753"/>
      <c r="I129" s="1753"/>
      <c r="J129" s="1753"/>
      <c r="K129" s="1754"/>
      <c r="L129" s="1755"/>
      <c r="M129" s="1756"/>
      <c r="N129" s="1694"/>
      <c r="O129" s="1694"/>
      <c r="P129" s="2054"/>
      <c r="Q129" s="1659"/>
      <c r="R129" s="1581"/>
      <c r="S129" s="1581"/>
      <c r="T129" s="1581"/>
      <c r="U129" s="1581"/>
      <c r="V129" s="1581"/>
      <c r="W129" s="1581"/>
      <c r="X129" s="1581"/>
      <c r="Y129" s="1581"/>
      <c r="Z129" s="1581"/>
      <c r="AA129" s="1581"/>
      <c r="AB129" s="1581"/>
      <c r="AC129" s="1581"/>
    </row>
    <row r="130" ht="15.75" spans="1:29">
      <c r="A130" s="1695"/>
      <c r="B130" s="1705"/>
      <c r="C130" s="1724"/>
      <c r="D130" s="1724"/>
      <c r="E130" s="1724"/>
      <c r="F130" s="1724"/>
      <c r="G130" s="1697"/>
      <c r="H130" s="1697"/>
      <c r="I130" s="1697"/>
      <c r="J130" s="1697"/>
      <c r="K130" s="1697"/>
      <c r="L130" s="1697"/>
      <c r="M130" s="1698"/>
      <c r="N130" s="1699"/>
      <c r="O130" s="1699"/>
      <c r="P130" s="2054"/>
      <c r="Q130" s="1659"/>
      <c r="R130" s="1581"/>
      <c r="S130" s="1581"/>
      <c r="T130" s="1581"/>
      <c r="U130" s="1581"/>
      <c r="V130" s="1581"/>
      <c r="W130" s="1581"/>
      <c r="X130" s="1581"/>
      <c r="Y130" s="1581"/>
      <c r="Z130" s="1581"/>
      <c r="AA130" s="1581"/>
      <c r="AB130" s="1581"/>
      <c r="AC130" s="1581"/>
    </row>
    <row r="131" ht="15.75" spans="1:29">
      <c r="A131" s="1773"/>
      <c r="B131" s="1708">
        <f>B47</f>
        <v>111</v>
      </c>
      <c r="C131" s="1680"/>
      <c r="D131" s="1680"/>
      <c r="E131" s="1680"/>
      <c r="F131" s="1680"/>
      <c r="G131" s="1757"/>
      <c r="H131" s="1757"/>
      <c r="I131" s="1757"/>
      <c r="J131" s="1757"/>
      <c r="K131" s="1680"/>
      <c r="L131" s="1681"/>
      <c r="M131" s="1760"/>
      <c r="N131" s="1694"/>
      <c r="O131" s="1694"/>
      <c r="P131" s="2054"/>
      <c r="Q131" s="1659"/>
      <c r="R131" s="1581"/>
      <c r="S131" s="1581"/>
      <c r="T131" s="1581"/>
      <c r="U131" s="1581"/>
      <c r="V131" s="1581"/>
      <c r="W131" s="1581"/>
      <c r="X131" s="1581"/>
      <c r="Y131" s="1581"/>
      <c r="Z131" s="1581"/>
      <c r="AA131" s="1581"/>
      <c r="AB131" s="1581"/>
      <c r="AC131" s="1581"/>
    </row>
    <row r="132" ht="15.75" spans="1:29">
      <c r="A132" s="2085"/>
      <c r="B132" s="1733"/>
      <c r="C132" s="1734"/>
      <c r="D132" s="1734"/>
      <c r="E132" s="1734"/>
      <c r="F132" s="1734"/>
      <c r="G132" s="1761"/>
      <c r="H132" s="1761"/>
      <c r="I132" s="1761"/>
      <c r="J132" s="1761"/>
      <c r="K132" s="1761"/>
      <c r="L132" s="1761"/>
      <c r="M132" s="1762"/>
      <c r="N132" s="1699"/>
      <c r="O132" s="1699"/>
      <c r="P132" s="2054"/>
      <c r="Q132" s="1659"/>
      <c r="R132" s="1581"/>
      <c r="S132" s="1581"/>
      <c r="T132" s="1581"/>
      <c r="U132" s="1581"/>
      <c r="V132" s="1581"/>
      <c r="W132" s="1581"/>
      <c r="X132" s="1581"/>
      <c r="Y132" s="1581"/>
      <c r="Z132" s="1581"/>
      <c r="AA132" s="1581"/>
      <c r="AB132" s="1581"/>
      <c r="AC132"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1950</v>
      </c>
      <c r="B1" s="1865" t="s">
        <v>1951</v>
      </c>
      <c r="C1" s="1866" t="s">
        <v>1118</v>
      </c>
      <c r="D1" s="1867"/>
      <c r="E1" s="1868"/>
      <c r="F1" s="1869"/>
      <c r="G1" s="2008" t="s">
        <v>1121</v>
      </c>
      <c r="H1" s="2009"/>
      <c r="I1" s="2009"/>
      <c r="J1" s="2009"/>
      <c r="K1" s="2010"/>
      <c r="L1" s="2011"/>
      <c r="M1" s="2012"/>
      <c r="N1" s="2012"/>
      <c r="O1" s="2012"/>
      <c r="P1" s="2013"/>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IF(C2="含税",D2,ROUND(D2/(1+H3),0))</f>
        <v>0</v>
      </c>
      <c r="C2" s="1878"/>
      <c r="D2" s="1879" t="b">
        <f ca="1">IF(E1="项目模式",IF(E2="——",IF(B37="元/平方米",ROUND(C39*D3/10000,0),ROUND(F3*C39/10000,0)),IF(B37="元/平方米",ROUND(C39*D3/10000,0),ROUND(F3*C39/10000,0))-F2),IF(E1="单套模式",IF(E2="——",IF(B37="元/平方米",ROUND(C39*D3/10000,0),ROUND(F3*C39/10000,0)),IF(B37="元/平方米",ROUND(C39*D3/10000,0),ROUND(F3*C39/10000,0))-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2014"/>
      <c r="Q2" s="1388"/>
      <c r="R2" s="1388"/>
      <c r="S2" s="1388"/>
      <c r="T2" s="1388"/>
      <c r="U2" s="1388"/>
      <c r="V2" s="1388"/>
      <c r="W2" s="1388"/>
      <c r="X2" s="1388"/>
      <c r="Y2" s="1388"/>
      <c r="Z2" s="1388"/>
      <c r="AA2" s="1388"/>
      <c r="AB2" s="1388"/>
      <c r="AC2" s="1389"/>
    </row>
    <row r="3" s="1370" customFormat="1" ht="28.5" customHeight="1" spans="1:29">
      <c r="A3" s="439" t="s">
        <v>1125</v>
      </c>
      <c r="B3" s="1883" t="e">
        <f ca="1">IF(AND(E2="——",B37="元/平方米"),C39,ROUND(B2*10000/D3,0))</f>
        <v>#DIV/0!</v>
      </c>
      <c r="C3" s="1884" t="s">
        <v>1126</v>
      </c>
      <c r="D3" s="1883">
        <f>SUMIF('数据-汇总表'!$C19:$C33,D1,'数据-汇总表'!$E19:$E33)</f>
        <v>0</v>
      </c>
      <c r="E3" s="1884" t="s">
        <v>1952</v>
      </c>
      <c r="F3" s="1396">
        <f>SUMIF('数据-取费表'!A5:A15,D1,'数据-取费表'!AH5:AH15)</f>
        <v>0</v>
      </c>
      <c r="G3" s="1885" t="s">
        <v>1127</v>
      </c>
      <c r="H3" s="1886">
        <v>0.09</v>
      </c>
      <c r="I3" s="1391"/>
      <c r="J3" s="1391"/>
      <c r="K3" s="1393"/>
      <c r="L3" s="1394"/>
      <c r="M3" s="1395" t="e">
        <f ca="1">IF(E2="——",IF(B37="元/平方米",ROUND(C39*D3/10000,0),ROUND(F3*C39/10000,0)),IF(B37="元/平方米",ROUND(C39*D3/10000,0),ROUND(F3*C39/10000,0))-F2)</f>
        <v>#DIV/0!</v>
      </c>
      <c r="N3" s="1395"/>
      <c r="O3" s="1395"/>
      <c r="P3" s="2014"/>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1901</v>
      </c>
      <c r="F5" s="1895"/>
      <c r="G5" s="1892" t="s">
        <v>1902</v>
      </c>
      <c r="H5" s="1893"/>
      <c r="I5" s="1892" t="s">
        <v>1903</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SUMIF(48:48,YEAR(E7)&amp;"-"&amp;MONTH(E7),49:49)</f>
        <v>0</v>
      </c>
      <c r="G7" s="1908"/>
      <c r="H7" s="1911">
        <f>SUMIF(48:48,YEAR(G7)&amp;"-"&amp;MONTH(G7),49:49)</f>
        <v>0</v>
      </c>
      <c r="I7" s="1908"/>
      <c r="J7" s="1911">
        <f>SUMIF(48:48,YEAR(I7)&amp;"-"&amp;MONTH(I7),49:49)</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SUMIF(51:51,E8,52:52)-SUMIF(51:51,C8,52:52)+100</f>
        <v>100</v>
      </c>
      <c r="G8" s="1914"/>
      <c r="H8" s="1911">
        <f>SUMIF(51:51,G8,52:52)-SUMIF(51:51,C8,52:52)+100</f>
        <v>100</v>
      </c>
      <c r="I8" s="1914"/>
      <c r="J8" s="1911">
        <f>SUMIF(51:51,I8,52:52)-SUMIF(51:51,C8,52:52)+100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6" si="3">D8/F8</f>
        <v>1</v>
      </c>
      <c r="AB8" s="1462">
        <f t="shared" ref="AB8:AB36" si="4">D8/H8</f>
        <v>1</v>
      </c>
      <c r="AC8" s="1462">
        <f t="shared" ref="AC8:AC36" si="5">D8/J8</f>
        <v>1</v>
      </c>
    </row>
    <row r="9" s="1371" customFormat="1" spans="1:29">
      <c r="A9" s="2015" t="s">
        <v>1146</v>
      </c>
      <c r="B9" s="2016" t="s">
        <v>1147</v>
      </c>
      <c r="C9" s="1917"/>
      <c r="D9" s="1918">
        <v>100</v>
      </c>
      <c r="E9" s="1919"/>
      <c r="F9" s="1920">
        <f>SUMIF(53:53,E9,54:54)-SUMIF(53:53,C9,54:54)+100</f>
        <v>100</v>
      </c>
      <c r="G9" s="2017"/>
      <c r="H9" s="1920">
        <f>SUMIF(53:53,G9,54:54)-SUMIF(53:53,C9,54:54)+100</f>
        <v>100</v>
      </c>
      <c r="I9" s="2017"/>
      <c r="J9" s="1920">
        <f>SUMIF(53:53,I9,54:54)-SUMIF(53:53,C9,54:54)+100</f>
        <v>100</v>
      </c>
      <c r="K9" s="1452"/>
      <c r="L9" s="1453"/>
      <c r="M9" s="1454"/>
      <c r="N9" s="1454"/>
      <c r="O9" s="1454"/>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2018"/>
      <c r="B10" s="2019" t="s">
        <v>1151</v>
      </c>
      <c r="C10" s="1923"/>
      <c r="D10" s="1924">
        <v>100</v>
      </c>
      <c r="E10" s="1923"/>
      <c r="F10" s="1925">
        <f>SUMIF(55:55,E10,56:56)-SUMIF(55:55,C10,56:56)+100</f>
        <v>100</v>
      </c>
      <c r="G10" s="2020"/>
      <c r="H10" s="1925">
        <f>SUMIF(55:55,G10,56:56)-SUMIF(55:55,C10,56:56)+100</f>
        <v>100</v>
      </c>
      <c r="I10" s="1923"/>
      <c r="J10" s="1925">
        <f>SUMIF(55:55,I10,56:56)-SUMIF(55:55,C10,56:56)+100</f>
        <v>100</v>
      </c>
      <c r="K10" s="1452"/>
      <c r="L10" s="1477"/>
      <c r="M10" s="1478"/>
      <c r="N10" s="1478"/>
      <c r="O10" s="1478"/>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2021"/>
      <c r="B11" s="2022">
        <v>111</v>
      </c>
      <c r="C11" s="1927"/>
      <c r="D11" s="1924">
        <v>100</v>
      </c>
      <c r="E11" s="1927"/>
      <c r="F11" s="1925">
        <f>SUMIF(57:57,E11,58:58)-SUMIF(57:57,C11,58:58)+100</f>
        <v>100</v>
      </c>
      <c r="G11" s="1927"/>
      <c r="H11" s="1925">
        <f>SUMIF(57:57,G11,58:58)-SUMIF(57:57,C11,58:58)+100</f>
        <v>100</v>
      </c>
      <c r="I11" s="1927"/>
      <c r="J11" s="1925">
        <f>SUMIF(57:57,I11,58:58)-SUMIF(57:57,C11,58:58)+100</f>
        <v>100</v>
      </c>
      <c r="K11" s="1536"/>
      <c r="L11" s="1484"/>
      <c r="M11" s="1410"/>
      <c r="N11" s="1410"/>
      <c r="O11" s="1410"/>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2023"/>
      <c r="B12" s="2022">
        <v>111</v>
      </c>
      <c r="C12" s="1927"/>
      <c r="D12" s="1929">
        <v>100</v>
      </c>
      <c r="E12" s="1927"/>
      <c r="F12" s="1925">
        <f>SUMIF(59:59,E12,60:60)-SUMIF(59:59,C12,60:60)+100</f>
        <v>100</v>
      </c>
      <c r="G12" s="1927"/>
      <c r="H12" s="1925">
        <f>SUMIF(59:59,G12,60:60)-SUMIF(59:59,C12,60:60)+100</f>
        <v>100</v>
      </c>
      <c r="I12" s="1927"/>
      <c r="J12" s="1925">
        <f>SUMIF(59:59,I12,60:60)-SUMIF(59:59,C12,60:60)+100</f>
        <v>100</v>
      </c>
      <c r="K12" s="1536"/>
      <c r="L12" s="1453"/>
      <c r="M12" s="1454"/>
      <c r="N12" s="1454"/>
      <c r="O12" s="1454"/>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2024"/>
      <c r="B13" s="2022">
        <v>111</v>
      </c>
      <c r="C13" s="1930"/>
      <c r="D13" s="1931">
        <v>100</v>
      </c>
      <c r="E13" s="1927"/>
      <c r="F13" s="1925">
        <f>SUMIF(61:61,E13,62:62)-SUMIF(61:61,C13,62:62)+100</f>
        <v>100</v>
      </c>
      <c r="G13" s="1927"/>
      <c r="H13" s="1934">
        <f>SUMIF(61:61,G13,62:62)-SUMIF(61:61,C13,62:62)+100</f>
        <v>100</v>
      </c>
      <c r="I13" s="1927"/>
      <c r="J13" s="1934">
        <f>SUMIF(61:61,I13,62:62)-SUMIF(61:61,C13,62:62)+100</f>
        <v>100</v>
      </c>
      <c r="K13" s="1536"/>
      <c r="L13" s="1494"/>
      <c r="M13" s="1410"/>
      <c r="N13" s="1410"/>
      <c r="O13" s="1410"/>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781" t="s">
        <v>1155</v>
      </c>
      <c r="B14" s="2025" t="s">
        <v>1159</v>
      </c>
      <c r="C14" s="1936" t="str">
        <f>IF(B1="工业",估价对象房地状况!G4,估价对象房地状况!C6)</f>
        <v>估价对象周边道路状况、公共交通通达情况、停车便捷程度，综合评价交通便捷度较好</v>
      </c>
      <c r="D14" s="1937">
        <v>100</v>
      </c>
      <c r="E14" s="1938"/>
      <c r="F14" s="1939">
        <f>SUMIF(63:63,E15,64:64)-SUMIF(63:63,C15,64:64)+100</f>
        <v>100</v>
      </c>
      <c r="G14" s="1940"/>
      <c r="H14" s="1941">
        <f>SUMIF(63:63,G15,64:64)-SUMIF(63:63,C15,64:64)+100</f>
        <v>100</v>
      </c>
      <c r="I14" s="1938"/>
      <c r="J14" s="1941">
        <f>SUMIF(63:63,I15,64:64)-SUMIF(63:63,C15,64:64)+100</f>
        <v>100</v>
      </c>
      <c r="K14" s="1942"/>
      <c r="L14" s="1494"/>
      <c r="M14" s="1410"/>
      <c r="N14" s="1410"/>
      <c r="O14" s="1410"/>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784"/>
      <c r="B15" s="2026"/>
      <c r="C15" s="1946"/>
      <c r="D15" s="1947"/>
      <c r="E15" s="1946"/>
      <c r="F15" s="1902"/>
      <c r="G15" s="1946"/>
      <c r="H15" s="1948"/>
      <c r="I15" s="1946"/>
      <c r="J15" s="1710"/>
      <c r="K15" s="1949"/>
      <c r="L15" s="1494"/>
      <c r="M15" s="1410"/>
      <c r="N15" s="1410"/>
      <c r="O15" s="1410"/>
      <c r="P15" s="1518"/>
      <c r="Q15" s="1626"/>
      <c r="R15" s="1943"/>
      <c r="S15" s="1944"/>
      <c r="T15" s="1943"/>
      <c r="U15" s="1944"/>
      <c r="V15" s="1943"/>
      <c r="W15" s="1944"/>
      <c r="X15" s="1415"/>
      <c r="Y15" s="1518"/>
      <c r="Z15" s="1510"/>
      <c r="AA15" s="1510">
        <v>1</v>
      </c>
      <c r="AB15" s="1510">
        <v>1</v>
      </c>
      <c r="AC15" s="1510">
        <v>1</v>
      </c>
    </row>
    <row r="16" ht="40.5" spans="1:29">
      <c r="A16" s="1784"/>
      <c r="B16" s="2027" t="s">
        <v>1160</v>
      </c>
      <c r="C16" s="1951" t="str">
        <f>IF(B1="工业",估价对象房地状况!G5,估价对象房地状况!C7)</f>
        <v>估价对象所在区域公共配套设施齐备情况</v>
      </c>
      <c r="D16" s="1952">
        <v>100</v>
      </c>
      <c r="E16" s="1953"/>
      <c r="F16" s="1890">
        <f>SUMIF(65:65,E17,66:66)-SUMIF(65:65,C17,66:66)+100</f>
        <v>100</v>
      </c>
      <c r="G16" s="1954"/>
      <c r="H16" s="1955">
        <f>SUMIF(65:65,G17,66:66)-SUMIF(65:65,C17,66:66)+100</f>
        <v>100</v>
      </c>
      <c r="I16" s="1953"/>
      <c r="J16" s="1955">
        <f>SUMIF(65:65,I17,66:66)-SUMIF(65:65,C17,66:66)+100</f>
        <v>100</v>
      </c>
      <c r="K16" s="1942"/>
      <c r="L16" s="1494"/>
      <c r="M16" s="1410"/>
      <c r="N16" s="1410"/>
      <c r="O16" s="1410"/>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784"/>
      <c r="B17" s="2028"/>
      <c r="C17" s="1957"/>
      <c r="D17" s="1947"/>
      <c r="E17" s="1946"/>
      <c r="F17" s="1902"/>
      <c r="G17" s="1946"/>
      <c r="H17" s="1710"/>
      <c r="I17" s="1946"/>
      <c r="J17" s="1710"/>
      <c r="K17" s="1949"/>
      <c r="L17" s="1494"/>
      <c r="M17" s="1410"/>
      <c r="N17" s="1410"/>
      <c r="O17" s="1410"/>
      <c r="P17" s="1518"/>
      <c r="Q17" s="1626"/>
      <c r="R17" s="1943"/>
      <c r="S17" s="1944"/>
      <c r="T17" s="1943"/>
      <c r="U17" s="1944"/>
      <c r="V17" s="1943"/>
      <c r="W17" s="1944"/>
      <c r="X17" s="1415"/>
      <c r="Y17" s="1518"/>
      <c r="Z17" s="1510"/>
      <c r="AA17" s="1510">
        <v>1</v>
      </c>
      <c r="AB17" s="1510">
        <v>1</v>
      </c>
      <c r="AC17" s="1510">
        <v>1</v>
      </c>
    </row>
    <row r="18" ht="27" spans="1:29">
      <c r="A18" s="1784"/>
      <c r="B18" s="1967" t="s">
        <v>1162</v>
      </c>
      <c r="C18" s="1951" t="str">
        <f>IF(B1="工业",估价对象房地状况!G6,估价对象房地状况!C8)</f>
        <v>估价对象所在区域基础设施水平</v>
      </c>
      <c r="D18" s="1961">
        <v>100</v>
      </c>
      <c r="E18" s="1959"/>
      <c r="F18" s="1890">
        <f>SUMIF(67:67,E19,68:68)-SUMIF(67:67,C19,68:68)+100</f>
        <v>100</v>
      </c>
      <c r="G18" s="1960"/>
      <c r="H18" s="1955">
        <f>SUMIF(67:67,G19,68:68)-SUMIF(67:67,C19,68:68)+100</f>
        <v>100</v>
      </c>
      <c r="I18" s="1959"/>
      <c r="J18" s="1955">
        <f>SUMIF(67:67,I19,68:68)-SUMIF(67:67,C19,68:68)+100</f>
        <v>100</v>
      </c>
      <c r="K18" s="1942"/>
      <c r="L18" s="1494"/>
      <c r="M18" s="1410"/>
      <c r="N18" s="1410"/>
      <c r="O18" s="1410"/>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784"/>
      <c r="B19" s="1967"/>
      <c r="C19" s="1957"/>
      <c r="D19" s="1961"/>
      <c r="E19" s="1957"/>
      <c r="F19" s="1896"/>
      <c r="G19" s="1957"/>
      <c r="H19" s="1710"/>
      <c r="I19" s="1946"/>
      <c r="J19" s="1710"/>
      <c r="K19" s="1962"/>
      <c r="L19" s="1494"/>
      <c r="M19" s="1410"/>
      <c r="N19" s="1410"/>
      <c r="O19" s="1410"/>
      <c r="P19" s="1518"/>
      <c r="Q19" s="1626"/>
      <c r="R19" s="1943"/>
      <c r="S19" s="1944"/>
      <c r="T19" s="1943"/>
      <c r="U19" s="1944"/>
      <c r="V19" s="1943"/>
      <c r="W19" s="1944"/>
      <c r="X19" s="1415"/>
      <c r="Y19" s="1518"/>
      <c r="Z19" s="1510"/>
      <c r="AA19" s="1510">
        <v>1</v>
      </c>
      <c r="AB19" s="1510">
        <v>1</v>
      </c>
      <c r="AC19" s="1510">
        <v>1</v>
      </c>
    </row>
    <row r="20" ht="54" spans="1:29">
      <c r="A20" s="1784"/>
      <c r="B20" s="2027" t="s">
        <v>1905</v>
      </c>
      <c r="C20" s="1951" t="str">
        <f>IF(B1="工业",估价对象房地状况!G7,估价对象房地状况!C9)</f>
        <v>区域自然环境：；人文环境；综合评价环境状况一般</v>
      </c>
      <c r="D20" s="1952">
        <v>100</v>
      </c>
      <c r="E20" s="1953"/>
      <c r="F20" s="1890">
        <f>SUMIF(69:69,E21,70:70)-SUMIF(69:69,C21,70:70)+100</f>
        <v>100</v>
      </c>
      <c r="G20" s="1954"/>
      <c r="H20" s="1948">
        <f>SUMIF(69:69,G21,70:70)-SUMIF(69:69,C21,70:70)+100</f>
        <v>100</v>
      </c>
      <c r="I20" s="1959"/>
      <c r="J20" s="1948">
        <f>SUMIF(69:69,I21,70:70)-SUMIF(69:69,C21,70:70)+100</f>
        <v>100</v>
      </c>
      <c r="K20" s="1942"/>
      <c r="L20" s="1494"/>
      <c r="M20" s="1410"/>
      <c r="N20" s="1410"/>
      <c r="O20" s="1410"/>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784"/>
      <c r="B21" s="2028"/>
      <c r="C21" s="1946"/>
      <c r="D21" s="1947"/>
      <c r="E21" s="1946"/>
      <c r="F21" s="1902"/>
      <c r="G21" s="1946"/>
      <c r="H21" s="1710"/>
      <c r="I21" s="1946"/>
      <c r="J21" s="1710"/>
      <c r="K21" s="1949"/>
      <c r="L21" s="1494"/>
      <c r="M21" s="1410"/>
      <c r="N21" s="1410"/>
      <c r="O21" s="1410"/>
      <c r="P21" s="1518"/>
      <c r="Q21" s="1626"/>
      <c r="R21" s="1943"/>
      <c r="S21" s="1944"/>
      <c r="T21" s="1943"/>
      <c r="U21" s="1944"/>
      <c r="V21" s="1943"/>
      <c r="W21" s="1944"/>
      <c r="X21" s="1415"/>
      <c r="Y21" s="1518"/>
      <c r="Z21" s="1510"/>
      <c r="AA21" s="1510">
        <v>1</v>
      </c>
      <c r="AB21" s="1510">
        <v>1</v>
      </c>
      <c r="AC21" s="1510">
        <v>1</v>
      </c>
    </row>
    <row r="22" ht="15" spans="1:29">
      <c r="A22" s="1784"/>
      <c r="B22" s="2027" t="s">
        <v>1937</v>
      </c>
      <c r="C22" s="1963"/>
      <c r="D22" s="1961">
        <v>100</v>
      </c>
      <c r="E22" s="1963"/>
      <c r="F22" s="1964">
        <f>SUMIF(71:71,E22,72:72)-SUMIF(71:71,C22,72:72)+100</f>
        <v>100</v>
      </c>
      <c r="G22" s="1963"/>
      <c r="H22" s="1934">
        <f>SUMIF(71:71,G22,72:72)-SUMIF(71:71,C22,72:72)+100</f>
        <v>100</v>
      </c>
      <c r="I22" s="1963"/>
      <c r="J22" s="1934">
        <f>SUMIF(71:71,I22,72:72)-SUMIF(71:71,C22,72:72)+100</f>
        <v>100</v>
      </c>
      <c r="K22" s="1539"/>
      <c r="L22" s="1494"/>
      <c r="M22" s="1410"/>
      <c r="N22" s="1410"/>
      <c r="O22" s="1410"/>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687">
        <v>111</v>
      </c>
      <c r="C23" s="1927"/>
      <c r="D23" s="1931">
        <v>100</v>
      </c>
      <c r="E23" s="1927"/>
      <c r="F23" s="1964">
        <f>SUMIF(73:73,E23,74:74)-SUMIF(73:73,C23,74:74)+100</f>
        <v>100</v>
      </c>
      <c r="G23" s="1927"/>
      <c r="H23" s="1934">
        <f>SUMIF(73:73,G23,74:74)-SUMIF(73:73,C23,74:74)+100</f>
        <v>100</v>
      </c>
      <c r="I23" s="1927"/>
      <c r="J23" s="1934">
        <f>SUMIF(73:73,I23,74:74)-SUMIF(73:73,C23,74:74)+100</f>
        <v>100</v>
      </c>
      <c r="K23" s="1536"/>
      <c r="L23" s="1494"/>
      <c r="M23" s="1410"/>
      <c r="N23" s="1410"/>
      <c r="O23" s="1410"/>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784"/>
      <c r="B24" s="1687">
        <v>111</v>
      </c>
      <c r="C24" s="1927"/>
      <c r="D24" s="1931">
        <v>100</v>
      </c>
      <c r="E24" s="1927"/>
      <c r="F24" s="1964">
        <f>SUMIF(75:75,E24,76:76)-SUMIF(75:75,C24,76:76)+100</f>
        <v>100</v>
      </c>
      <c r="G24" s="1927"/>
      <c r="H24" s="1934">
        <f>SUMIF(75:75,G24,76:76)-SUMIF(75:75,C24,76:76)+100</f>
        <v>100</v>
      </c>
      <c r="I24" s="1927"/>
      <c r="J24" s="1934">
        <f>SUMIF(75:75,I24,76:76)-SUMIF(75:75,C24,76:76)+100</f>
        <v>100</v>
      </c>
      <c r="K24" s="1536"/>
      <c r="L24" s="1494"/>
      <c r="M24" s="1410"/>
      <c r="N24" s="1410"/>
      <c r="O24" s="1410"/>
      <c r="P24" s="1518"/>
      <c r="Q24" s="1626">
        <f t="shared" ref="Q24:Q36"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997"/>
      <c r="B25" s="2029">
        <v>111</v>
      </c>
      <c r="C25" s="1983"/>
      <c r="D25" s="2030">
        <v>100</v>
      </c>
      <c r="E25" s="2031"/>
      <c r="F25" s="2032">
        <f>SUMIF(77:77,E25,78:78)-SUMIF(77:77,C25,78:78)+100</f>
        <v>100</v>
      </c>
      <c r="G25" s="2031"/>
      <c r="H25" s="2033">
        <f>SUMIF(77:77,G25,78:78)-SUMIF(77:77,C25,78:78)+100</f>
        <v>100</v>
      </c>
      <c r="I25" s="2031"/>
      <c r="J25" s="2033">
        <f>SUMIF(77:77,I25,78:78)-SUMIF(77:77,C25,78:78)+100</f>
        <v>100</v>
      </c>
      <c r="K25" s="1536"/>
      <c r="L25" s="1453"/>
      <c r="M25" s="1454"/>
      <c r="N25" s="1454"/>
      <c r="O25" s="1454"/>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2034" t="s">
        <v>1166</v>
      </c>
      <c r="B26" s="1920" t="s">
        <v>1953</v>
      </c>
      <c r="C26" s="2035" t="str">
        <f>B1</f>
        <v>车库</v>
      </c>
      <c r="D26" s="1947">
        <v>100</v>
      </c>
      <c r="E26" s="1946"/>
      <c r="F26" s="1902">
        <f>SUMIF(79:79,E26,80:80)-SUMIF(79:79,C26,80:80)+100</f>
        <v>0</v>
      </c>
      <c r="G26" s="1946"/>
      <c r="H26" s="1710">
        <f>SUMIF(79:79,G26,80:80)-SUMIF(79:79,C26,80:80)+100</f>
        <v>0</v>
      </c>
      <c r="I26" s="1946"/>
      <c r="J26" s="1710">
        <f>SUMIF(79:79,I26,80:80)-SUMIF(79:79,C26,80:80)+100</f>
        <v>0</v>
      </c>
      <c r="K26" s="1539"/>
      <c r="L26" s="1494"/>
      <c r="M26" s="1410"/>
      <c r="N26" s="1410"/>
      <c r="O26" s="1410"/>
      <c r="P26" s="1971" t="s">
        <v>1169</v>
      </c>
      <c r="Q26" s="1626" t="str">
        <f t="shared" si="11"/>
        <v>配套类型</v>
      </c>
      <c r="R26" s="1943" t="s">
        <v>1142</v>
      </c>
      <c r="S26" s="1944">
        <f t="shared" ref="S26:S36" si="12">F26</f>
        <v>0</v>
      </c>
      <c r="T26" s="1943" t="s">
        <v>1142</v>
      </c>
      <c r="U26" s="1944">
        <f t="shared" ref="U26:U36" si="13">H26</f>
        <v>0</v>
      </c>
      <c r="V26" s="1943" t="s">
        <v>1142</v>
      </c>
      <c r="W26" s="1944">
        <f t="shared" ref="W26:W36" si="14">J26</f>
        <v>0</v>
      </c>
      <c r="X26" s="1415"/>
      <c r="Y26" s="1545" t="s">
        <v>1169</v>
      </c>
      <c r="Z26" s="1510" t="str">
        <f t="shared" ref="Z26:Z36" si="15">Q26</f>
        <v>配套类型</v>
      </c>
      <c r="AA26" s="1510" t="e">
        <f t="shared" si="3"/>
        <v>#DIV/0!</v>
      </c>
      <c r="AB26" s="1510" t="e">
        <f t="shared" si="4"/>
        <v>#DIV/0!</v>
      </c>
      <c r="AC26" s="1510" t="e">
        <f t="shared" si="5"/>
        <v>#DIV/0!</v>
      </c>
    </row>
    <row r="27" s="1373" customFormat="1" ht="15" spans="1:29">
      <c r="A27" s="2036"/>
      <c r="B27" s="1925" t="s">
        <v>1954</v>
      </c>
      <c r="C27" s="2037"/>
      <c r="D27" s="1924">
        <v>100</v>
      </c>
      <c r="E27" s="2037"/>
      <c r="F27" s="1964">
        <f>SUMIF(81:81,E27,82:82)-SUMIF(81:81,C27,82:82)+100</f>
        <v>100</v>
      </c>
      <c r="G27" s="2037"/>
      <c r="H27" s="1934">
        <f>SUMIF(81:81,G27,82:82)-SUMIF(81:81,C27,82:82)+100</f>
        <v>100</v>
      </c>
      <c r="I27" s="2037"/>
      <c r="J27" s="1934">
        <f>SUMIF(81:81,I27,82:82)-SUMIF(81:81,C27,82:82)+100</f>
        <v>100</v>
      </c>
      <c r="K27" s="1536"/>
      <c r="L27" s="1484"/>
      <c r="M27" s="1551"/>
      <c r="N27" s="1551"/>
      <c r="O27" s="1551"/>
      <c r="P27" s="1545"/>
      <c r="Q27" s="1975" t="str">
        <f t="shared" si="11"/>
        <v>项目停车位配比</v>
      </c>
      <c r="R27" s="1976" t="s">
        <v>1142</v>
      </c>
      <c r="S27" s="1977">
        <f t="shared" si="12"/>
        <v>100</v>
      </c>
      <c r="T27" s="1976" t="s">
        <v>1142</v>
      </c>
      <c r="U27" s="1977">
        <f t="shared" si="13"/>
        <v>100</v>
      </c>
      <c r="V27" s="1976" t="s">
        <v>1142</v>
      </c>
      <c r="W27" s="1977">
        <f t="shared" si="14"/>
        <v>100</v>
      </c>
      <c r="X27" s="1556"/>
      <c r="Y27" s="1545"/>
      <c r="Z27" s="1557" t="str">
        <f t="shared" si="15"/>
        <v>项目停车位配比</v>
      </c>
      <c r="AA27" s="1510">
        <f t="shared" si="3"/>
        <v>1</v>
      </c>
      <c r="AB27" s="1510">
        <f t="shared" si="4"/>
        <v>1</v>
      </c>
      <c r="AC27" s="1510">
        <f t="shared" si="5"/>
        <v>1</v>
      </c>
    </row>
    <row r="28" ht="15" spans="1:29">
      <c r="A28" s="2038"/>
      <c r="B28" s="1925" t="s">
        <v>1173</v>
      </c>
      <c r="C28" s="1978"/>
      <c r="D28" s="1931">
        <v>100</v>
      </c>
      <c r="E28" s="1978"/>
      <c r="F28" s="1964">
        <f>SUMIF(83:83,E28,84:84)-SUMIF(83:83,C28,84:84)+100</f>
        <v>100</v>
      </c>
      <c r="G28" s="1978"/>
      <c r="H28" s="1934">
        <f>SUMIF(83:83,G28,84:84)-SUMIF(83:83,C28,84:84)+100</f>
        <v>100</v>
      </c>
      <c r="I28" s="1978"/>
      <c r="J28" s="1934">
        <f>SUMIF(83:83,I28,84:84)-SUMIF(83:83,C28,84:84)+100</f>
        <v>100</v>
      </c>
      <c r="K28" s="1539"/>
      <c r="L28" s="1494"/>
      <c r="M28" s="1410"/>
      <c r="N28" s="1410"/>
      <c r="O28" s="1410"/>
      <c r="P28" s="1545"/>
      <c r="Q28" s="1626" t="str">
        <f t="shared" si="11"/>
        <v>公共部分装修</v>
      </c>
      <c r="R28" s="1943" t="s">
        <v>1142</v>
      </c>
      <c r="S28" s="1944">
        <f t="shared" si="12"/>
        <v>100</v>
      </c>
      <c r="T28" s="1943" t="s">
        <v>1142</v>
      </c>
      <c r="U28" s="1944">
        <f t="shared" si="13"/>
        <v>100</v>
      </c>
      <c r="V28" s="1943" t="s">
        <v>1142</v>
      </c>
      <c r="W28" s="1944">
        <f t="shared" si="14"/>
        <v>100</v>
      </c>
      <c r="X28" s="1415"/>
      <c r="Y28" s="1545"/>
      <c r="Z28" s="1510" t="str">
        <f t="shared" si="15"/>
        <v>公共部分装修</v>
      </c>
      <c r="AA28" s="1510">
        <f t="shared" si="3"/>
        <v>1</v>
      </c>
      <c r="AB28" s="1510">
        <f t="shared" si="4"/>
        <v>1</v>
      </c>
      <c r="AC28" s="1510">
        <f t="shared" si="5"/>
        <v>1</v>
      </c>
    </row>
    <row r="29" ht="15" spans="1:29">
      <c r="A29" s="2038"/>
      <c r="B29" s="1925" t="s">
        <v>1955</v>
      </c>
      <c r="C29" s="1972"/>
      <c r="D29" s="1931">
        <v>100</v>
      </c>
      <c r="E29" s="1972"/>
      <c r="F29" s="1964" t="e">
        <f>LOOKUP(E29,86:86,87:87)-LOOKUP(C29,86:86,87:87)+100</f>
        <v>#N/A</v>
      </c>
      <c r="G29" s="1972"/>
      <c r="H29" s="1964" t="e">
        <f>LOOKUP(G29,86:86,87:87)-LOOKUP(C29,86:86,87:87)+100</f>
        <v>#N/A</v>
      </c>
      <c r="I29" s="1972"/>
      <c r="J29" s="1934" t="e">
        <f>LOOKUP(I29,86:86,87:87)-LOOKUP(C29,86:86,87:87)+100</f>
        <v>#N/A</v>
      </c>
      <c r="K29" s="1539"/>
      <c r="L29" s="1494"/>
      <c r="M29" s="1410"/>
      <c r="N29" s="1410"/>
      <c r="O29" s="1410"/>
      <c r="P29" s="1545"/>
      <c r="Q29" s="1626" t="str">
        <f t="shared" si="11"/>
        <v>成新率</v>
      </c>
      <c r="R29" s="1943" t="s">
        <v>1142</v>
      </c>
      <c r="S29" s="1944" t="e">
        <f t="shared" si="12"/>
        <v>#N/A</v>
      </c>
      <c r="T29" s="1943" t="s">
        <v>1142</v>
      </c>
      <c r="U29" s="1944" t="e">
        <f t="shared" si="13"/>
        <v>#N/A</v>
      </c>
      <c r="V29" s="1943" t="s">
        <v>1142</v>
      </c>
      <c r="W29" s="1944" t="e">
        <f t="shared" si="14"/>
        <v>#N/A</v>
      </c>
      <c r="X29" s="1415"/>
      <c r="Y29" s="1545"/>
      <c r="Z29" s="1510" t="str">
        <f t="shared" si="15"/>
        <v>成新率</v>
      </c>
      <c r="AA29" s="1510" t="e">
        <f t="shared" si="3"/>
        <v>#N/A</v>
      </c>
      <c r="AB29" s="1510" t="e">
        <f t="shared" si="4"/>
        <v>#N/A</v>
      </c>
      <c r="AC29" s="1510" t="e">
        <f t="shared" si="5"/>
        <v>#N/A</v>
      </c>
    </row>
    <row r="30" ht="15" spans="1:29">
      <c r="A30" s="2038"/>
      <c r="B30" s="1925" t="s">
        <v>1956</v>
      </c>
      <c r="C30" s="1979"/>
      <c r="D30" s="1931">
        <v>100</v>
      </c>
      <c r="E30" s="1979"/>
      <c r="F30" s="1964">
        <f>SUMIF(88:88,E30,89:89)-SUMIF(88:88,C30,89:89)+100</f>
        <v>100</v>
      </c>
      <c r="G30" s="1979"/>
      <c r="H30" s="1934">
        <f>SUMIF(88:88,E30,89:89)-SUMIF(88:88,C30,89:89)+100</f>
        <v>100</v>
      </c>
      <c r="I30" s="1979"/>
      <c r="J30" s="1934">
        <f>SUMIF(88:88,E30,89:89)-SUMIF(88:88,C30,89:89)+100</f>
        <v>100</v>
      </c>
      <c r="K30" s="1539"/>
      <c r="L30" s="1494"/>
      <c r="M30" s="1410"/>
      <c r="N30" s="1410"/>
      <c r="O30" s="1410"/>
      <c r="P30" s="1545"/>
      <c r="Q30" s="1626" t="str">
        <f t="shared" si="11"/>
        <v>物业等级</v>
      </c>
      <c r="R30" s="1943" t="s">
        <v>1142</v>
      </c>
      <c r="S30" s="1944">
        <f t="shared" si="12"/>
        <v>100</v>
      </c>
      <c r="T30" s="1943" t="s">
        <v>1142</v>
      </c>
      <c r="U30" s="1944">
        <f t="shared" si="13"/>
        <v>100</v>
      </c>
      <c r="V30" s="1943" t="s">
        <v>1142</v>
      </c>
      <c r="W30" s="1944">
        <f t="shared" si="14"/>
        <v>100</v>
      </c>
      <c r="X30" s="1415"/>
      <c r="Y30" s="1545"/>
      <c r="Z30" s="1510" t="str">
        <f t="shared" si="15"/>
        <v>物业等级</v>
      </c>
      <c r="AA30" s="1510">
        <f t="shared" si="3"/>
        <v>1</v>
      </c>
      <c r="AB30" s="1510">
        <f t="shared" si="4"/>
        <v>1</v>
      </c>
      <c r="AC30" s="1510">
        <f t="shared" si="5"/>
        <v>1</v>
      </c>
    </row>
    <row r="31" s="1371" customFormat="1" ht="15" spans="1:29">
      <c r="A31" s="2039"/>
      <c r="B31" s="1925" t="s">
        <v>1957</v>
      </c>
      <c r="C31" s="1928"/>
      <c r="D31" s="1924">
        <v>100</v>
      </c>
      <c r="E31" s="1928"/>
      <c r="F31" s="1964" t="e">
        <f>LOOKUP(E31,91:91,92:92)-LOOKUP(C31,91:91,92:92)+100</f>
        <v>#N/A</v>
      </c>
      <c r="G31" s="1928"/>
      <c r="H31" s="1934" t="e">
        <f>LOOKUP(G31,91:91,92:92)-LOOKUP(C31,91:91,92:92)+100</f>
        <v>#N/A</v>
      </c>
      <c r="I31" s="1928"/>
      <c r="J31" s="1934" t="e">
        <f>LOOKUP(I31,91:91,92:92)-LOOKUP(C31,91:91,92:92)+100</f>
        <v>#N/A</v>
      </c>
      <c r="K31" s="1539"/>
      <c r="L31" s="1453"/>
      <c r="M31" s="1454"/>
      <c r="N31" s="1454"/>
      <c r="O31" s="1454"/>
      <c r="P31" s="1545"/>
      <c r="Q31" s="1188" t="str">
        <f t="shared" si="11"/>
        <v>停车位面积</v>
      </c>
      <c r="R31" s="1913" t="s">
        <v>1142</v>
      </c>
      <c r="S31" s="1461" t="e">
        <f t="shared" si="12"/>
        <v>#N/A</v>
      </c>
      <c r="T31" s="1913" t="s">
        <v>1142</v>
      </c>
      <c r="U31" s="1461" t="e">
        <f t="shared" si="13"/>
        <v>#N/A</v>
      </c>
      <c r="V31" s="1913" t="s">
        <v>1142</v>
      </c>
      <c r="W31" s="1461" t="e">
        <f t="shared" si="14"/>
        <v>#N/A</v>
      </c>
      <c r="X31" s="1459"/>
      <c r="Y31" s="1545"/>
      <c r="Z31" s="1462" t="str">
        <f t="shared" si="15"/>
        <v>停车位面积</v>
      </c>
      <c r="AA31" s="1462" t="e">
        <f t="shared" si="3"/>
        <v>#N/A</v>
      </c>
      <c r="AB31" s="1462" t="e">
        <f t="shared" si="4"/>
        <v>#N/A</v>
      </c>
      <c r="AC31" s="1462" t="e">
        <f t="shared" si="5"/>
        <v>#N/A</v>
      </c>
    </row>
    <row r="32" ht="15" spans="1:29">
      <c r="A32" s="2038"/>
      <c r="B32" s="1925" t="s">
        <v>1958</v>
      </c>
      <c r="C32" s="1978"/>
      <c r="D32" s="1931">
        <v>100</v>
      </c>
      <c r="E32" s="1978"/>
      <c r="F32" s="1964">
        <f>SUMIF(93:93,E32,94:94)-SUMIF(93:93,C32,94:94)+100</f>
        <v>100</v>
      </c>
      <c r="G32" s="1978"/>
      <c r="H32" s="1934">
        <f>SUMIF(93:93,G32,94:94)-SUMIF(93:93,C32,94:94)+100</f>
        <v>100</v>
      </c>
      <c r="I32" s="1978"/>
      <c r="J32" s="1934">
        <f>SUMIF(93:93,I32,94:94)-SUMIF(93:93,C32,94:94)+100</f>
        <v>100</v>
      </c>
      <c r="K32" s="1539"/>
      <c r="L32" s="1494"/>
      <c r="M32" s="1410"/>
      <c r="N32" s="1410"/>
      <c r="O32" s="1410"/>
      <c r="P32" s="1545" t="s">
        <v>1169</v>
      </c>
      <c r="Q32" s="1626" t="str">
        <f t="shared" si="11"/>
        <v>车位类型</v>
      </c>
      <c r="R32" s="1943" t="s">
        <v>1142</v>
      </c>
      <c r="S32" s="1944">
        <f t="shared" si="12"/>
        <v>100</v>
      </c>
      <c r="T32" s="1943" t="s">
        <v>1142</v>
      </c>
      <c r="U32" s="1944">
        <f t="shared" si="13"/>
        <v>100</v>
      </c>
      <c r="V32" s="1943" t="s">
        <v>1142</v>
      </c>
      <c r="W32" s="1944">
        <f t="shared" si="14"/>
        <v>100</v>
      </c>
      <c r="X32" s="1415"/>
      <c r="Y32" s="1545" t="s">
        <v>1169</v>
      </c>
      <c r="Z32" s="1510" t="str">
        <f t="shared" si="15"/>
        <v>车位类型</v>
      </c>
      <c r="AA32" s="1510">
        <f t="shared" si="3"/>
        <v>1</v>
      </c>
      <c r="AB32" s="1510">
        <f t="shared" si="4"/>
        <v>1</v>
      </c>
      <c r="AC32" s="1510">
        <f t="shared" si="5"/>
        <v>1</v>
      </c>
    </row>
    <row r="33" ht="15" spans="1:29">
      <c r="A33" s="2038"/>
      <c r="B33" s="1925" t="s">
        <v>1959</v>
      </c>
      <c r="C33" s="1978"/>
      <c r="D33" s="1931">
        <v>100</v>
      </c>
      <c r="E33" s="1978"/>
      <c r="F33" s="1964">
        <f>SUMIF(95:95,E33,96:96)-SUMIF(95:95,C33,96:96)+100</f>
        <v>100</v>
      </c>
      <c r="G33" s="1978"/>
      <c r="H33" s="1934">
        <f>SUMIF(95:95,G33,96:96)-SUMIF(95:95,C33,96:96)+100</f>
        <v>100</v>
      </c>
      <c r="I33" s="1978"/>
      <c r="J33" s="1934">
        <f>SUMIF(95:95,I33,96:96)-SUMIF(95:95,C33,96:96)+100</f>
        <v>100</v>
      </c>
      <c r="K33" s="1539"/>
      <c r="L33" s="1494"/>
      <c r="M33" s="1410"/>
      <c r="N33" s="1410"/>
      <c r="O33" s="1410"/>
      <c r="P33" s="1545"/>
      <c r="Q33" s="1626" t="str">
        <f t="shared" si="11"/>
        <v>是否直接入户</v>
      </c>
      <c r="R33" s="1943" t="s">
        <v>1142</v>
      </c>
      <c r="S33" s="1944">
        <f t="shared" si="12"/>
        <v>100</v>
      </c>
      <c r="T33" s="1943" t="s">
        <v>1142</v>
      </c>
      <c r="U33" s="1944">
        <f t="shared" si="13"/>
        <v>100</v>
      </c>
      <c r="V33" s="1943" t="s">
        <v>1142</v>
      </c>
      <c r="W33" s="1944">
        <f t="shared" si="14"/>
        <v>100</v>
      </c>
      <c r="X33" s="1415"/>
      <c r="Y33" s="1545"/>
      <c r="Z33" s="1510" t="str">
        <f t="shared" si="15"/>
        <v>是否直接入户</v>
      </c>
      <c r="AA33" s="1510">
        <f t="shared" si="3"/>
        <v>1</v>
      </c>
      <c r="AB33" s="1510">
        <f t="shared" si="4"/>
        <v>1</v>
      </c>
      <c r="AC33" s="1510">
        <f t="shared" si="5"/>
        <v>1</v>
      </c>
    </row>
    <row r="34" ht="15" spans="1:29">
      <c r="A34" s="2038"/>
      <c r="B34" s="1687">
        <v>111</v>
      </c>
      <c r="C34" s="1927"/>
      <c r="D34" s="1931">
        <v>100</v>
      </c>
      <c r="E34" s="1927"/>
      <c r="F34" s="1964">
        <f>SUMIF(97:97,E34,98:98)-SUMIF(97:97,C34,98:98)+100</f>
        <v>100</v>
      </c>
      <c r="G34" s="1927"/>
      <c r="H34" s="1934">
        <f>SUMIF(97:97,G34,98:98)-SUMIF(97:97,C34,98:98)+100</f>
        <v>100</v>
      </c>
      <c r="I34" s="1927"/>
      <c r="J34" s="1934">
        <f>SUMIF(97:97,I34,98:98)-SUMIF(97:97,C34,98:98)+100</f>
        <v>100</v>
      </c>
      <c r="K34" s="1536"/>
      <c r="L34" s="1494"/>
      <c r="M34" s="1410"/>
      <c r="N34" s="1410"/>
      <c r="O34" s="1410"/>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s="1373" customFormat="1" ht="15" spans="1:29">
      <c r="A35" s="2036"/>
      <c r="B35" s="1687">
        <v>111</v>
      </c>
      <c r="C35" s="1927"/>
      <c r="D35" s="1931">
        <v>100</v>
      </c>
      <c r="E35" s="1927"/>
      <c r="F35" s="1964">
        <f>SUMIF(99:99,E35,100:100)-SUMIF(99:99,C35,100:100)+100</f>
        <v>100</v>
      </c>
      <c r="G35" s="1927"/>
      <c r="H35" s="1934">
        <f>SUMIF(99:99,G35,100:100)-SUMIF(99:99,C35,100:100)+100</f>
        <v>100</v>
      </c>
      <c r="I35" s="1927"/>
      <c r="J35" s="1934">
        <f>SUMIF(99:99,I35,100:100)-SUMIF(99:99,C35,100:100)+100</f>
        <v>100</v>
      </c>
      <c r="K35" s="1536"/>
      <c r="L35" s="1484"/>
      <c r="M35" s="1551"/>
      <c r="N35" s="1551"/>
      <c r="O35" s="1551"/>
      <c r="P35" s="1545"/>
      <c r="Q35" s="1975">
        <f t="shared" si="11"/>
        <v>111</v>
      </c>
      <c r="R35" s="1976" t="s">
        <v>1142</v>
      </c>
      <c r="S35" s="1977">
        <f t="shared" si="12"/>
        <v>100</v>
      </c>
      <c r="T35" s="1976" t="s">
        <v>1142</v>
      </c>
      <c r="U35" s="1977">
        <f t="shared" si="13"/>
        <v>100</v>
      </c>
      <c r="V35" s="1976" t="s">
        <v>1142</v>
      </c>
      <c r="W35" s="1977">
        <f t="shared" si="14"/>
        <v>100</v>
      </c>
      <c r="X35" s="1556"/>
      <c r="Y35" s="1545"/>
      <c r="Z35" s="1557">
        <f t="shared" si="15"/>
        <v>111</v>
      </c>
      <c r="AA35" s="1510">
        <f t="shared" si="3"/>
        <v>1</v>
      </c>
      <c r="AB35" s="1510">
        <f t="shared" si="4"/>
        <v>1</v>
      </c>
      <c r="AC35" s="1510">
        <f t="shared" si="5"/>
        <v>1</v>
      </c>
    </row>
    <row r="36" ht="15.75" spans="1:29">
      <c r="A36" s="2040"/>
      <c r="B36" s="2029">
        <v>111</v>
      </c>
      <c r="C36" s="1930"/>
      <c r="D36" s="1931">
        <v>100</v>
      </c>
      <c r="E36" s="1927"/>
      <c r="F36" s="1964">
        <f>SUMIF(101:101,E36,102:102)-SUMIF(101:101,C36,102:102)+100</f>
        <v>100</v>
      </c>
      <c r="G36" s="1927"/>
      <c r="H36" s="1934">
        <f>SUMIF(101:101,G36,102:102)-SUMIF(101:101,C36,102:102)+100</f>
        <v>100</v>
      </c>
      <c r="I36" s="1927"/>
      <c r="J36" s="1934">
        <f>SUMIF(101:101,I36,102:102)-SUMIF(101:101,C36,102:102)+100</f>
        <v>100</v>
      </c>
      <c r="K36" s="1536"/>
      <c r="L36" s="1494"/>
      <c r="M36" s="1410"/>
      <c r="N36" s="1410"/>
      <c r="O36" s="1410"/>
      <c r="P36" s="1545"/>
      <c r="Q36" s="1626">
        <f t="shared" si="11"/>
        <v>111</v>
      </c>
      <c r="R36" s="1943" t="s">
        <v>1142</v>
      </c>
      <c r="S36" s="1944">
        <f t="shared" si="12"/>
        <v>100</v>
      </c>
      <c r="T36" s="1943" t="s">
        <v>1142</v>
      </c>
      <c r="U36" s="1944">
        <f t="shared" si="13"/>
        <v>100</v>
      </c>
      <c r="V36" s="1943" t="s">
        <v>1142</v>
      </c>
      <c r="W36" s="1944">
        <f t="shared" si="14"/>
        <v>100</v>
      </c>
      <c r="X36" s="1415"/>
      <c r="Y36" s="1545"/>
      <c r="Z36" s="1510">
        <f t="shared" si="15"/>
        <v>111</v>
      </c>
      <c r="AA36" s="1510">
        <f t="shared" si="3"/>
        <v>1</v>
      </c>
      <c r="AB36" s="1510">
        <f t="shared" si="4"/>
        <v>1</v>
      </c>
      <c r="AC36" s="1510">
        <f t="shared" si="5"/>
        <v>1</v>
      </c>
    </row>
    <row r="37" ht="15" spans="1:29">
      <c r="A37" s="1571" t="s">
        <v>1960</v>
      </c>
      <c r="B37" s="2041" t="s">
        <v>1961</v>
      </c>
      <c r="C37" s="1987" t="s">
        <v>124</v>
      </c>
      <c r="D37" s="1817"/>
      <c r="E37" s="1575"/>
      <c r="F37" s="1576"/>
      <c r="G37" s="1577"/>
      <c r="H37" s="1578"/>
      <c r="I37" s="1575"/>
      <c r="J37" s="1578"/>
      <c r="K37" s="2042"/>
      <c r="L37" s="1580"/>
      <c r="M37" s="1581"/>
      <c r="N37" s="1410"/>
      <c r="O37" s="1581"/>
      <c r="P37" s="1626" t="str">
        <f>A37</f>
        <v>成交单价</v>
      </c>
      <c r="Q37" s="1626"/>
      <c r="R37" s="1510">
        <f>E37</f>
        <v>0</v>
      </c>
      <c r="S37" s="1510"/>
      <c r="T37" s="1510">
        <f>G37</f>
        <v>0</v>
      </c>
      <c r="U37" s="1510"/>
      <c r="V37" s="1510">
        <f>I37</f>
        <v>0</v>
      </c>
      <c r="W37" s="1510"/>
      <c r="X37" s="1583"/>
      <c r="Y37" s="1584"/>
      <c r="Z37" s="1583"/>
      <c r="AA37" s="1583"/>
      <c r="AB37" s="1583"/>
      <c r="AC37" s="1583"/>
    </row>
    <row r="38" ht="15.75" spans="1:29">
      <c r="A38" s="1585" t="s">
        <v>1186</v>
      </c>
      <c r="B38" s="1988" t="str">
        <f>B37</f>
        <v>元/平方米</v>
      </c>
      <c r="C38" s="1590" t="e">
        <f>R39</f>
        <v>#DIV/0!</v>
      </c>
      <c r="D38" s="1818" t="s">
        <v>1187</v>
      </c>
      <c r="E38" s="1587" t="e">
        <f>R38</f>
        <v>#DIV/0!</v>
      </c>
      <c r="F38" s="1589"/>
      <c r="G38" s="1590" t="e">
        <f>T38</f>
        <v>#DIV/0!</v>
      </c>
      <c r="H38" s="1589"/>
      <c r="I38" s="1587" t="e">
        <f>V38</f>
        <v>#DIV/0!</v>
      </c>
      <c r="J38" s="1589"/>
      <c r="K38" s="1591">
        <f>F38+H38+J38</f>
        <v>0</v>
      </c>
      <c r="L38" s="1580"/>
      <c r="M38" s="1581"/>
      <c r="N38" s="1581"/>
      <c r="O38" s="1581"/>
      <c r="P38" s="1626" t="str">
        <f>A38</f>
        <v>比较价值（元/平方米）</v>
      </c>
      <c r="Q38" s="1626"/>
      <c r="R38" s="1510" t="e">
        <f>IF(F1="售价",ROUND(PRODUCT(R37,AA7:AA36),0),ROUND(PRODUCT(R37,AA7:AA36),1))</f>
        <v>#DIV/0!</v>
      </c>
      <c r="S38" s="1510"/>
      <c r="T38" s="1510" t="e">
        <f>IF(F1="售价",ROUND(PRODUCT(T37,AB7:AB36),0),ROUND(PRODUCT(T37,AB7:AB36),1))</f>
        <v>#DIV/0!</v>
      </c>
      <c r="U38" s="1510"/>
      <c r="V38" s="1510" t="e">
        <f>IF(F1="售价",ROUND(PRODUCT(V37,AC7:AC36),0),ROUND(PRODUCT(V37,AC7:AC36),1))</f>
        <v>#DIV/0!</v>
      </c>
      <c r="W38" s="1510"/>
      <c r="X38" s="1583"/>
      <c r="Y38" s="1583"/>
      <c r="Z38" s="1583"/>
      <c r="AA38" s="1583"/>
      <c r="AB38" s="1583"/>
      <c r="AC38" s="1583"/>
    </row>
    <row r="39" ht="15.75" spans="1:29">
      <c r="A39" s="1592" t="s">
        <v>1962</v>
      </c>
      <c r="B39" s="1593"/>
      <c r="C39" s="1594" t="e">
        <f>R39</f>
        <v>#DIV/0!</v>
      </c>
      <c r="D39" s="1787"/>
      <c r="E39" s="1787"/>
      <c r="F39" s="1787"/>
      <c r="G39" s="1787"/>
      <c r="H39" s="1787"/>
      <c r="I39" s="1787"/>
      <c r="J39" s="1787"/>
      <c r="K39" s="2043"/>
      <c r="L39" s="1580"/>
      <c r="M39" s="1581"/>
      <c r="N39" s="1581"/>
      <c r="O39" s="1581"/>
      <c r="P39" s="1964" t="str">
        <f>A39</f>
        <v>估价对象XX用房的比较价值（楼面单价，元/平方米）</v>
      </c>
      <c r="Q39" s="1990"/>
      <c r="R39" s="1991" t="e">
        <f>IF(F1="售价",ROUND(IF(D38="简单平均",AVERAGE(R38:W38),R38*F38+T38*H38+V38*J38),0),ROUND(IF(D38="简单平均",AVERAGE(R38:V38),R38*F38+T38*H38+V38*J38),1))</f>
        <v>#DIV/0!</v>
      </c>
      <c r="S39" s="1991"/>
      <c r="T39" s="1991"/>
      <c r="U39" s="1991"/>
      <c r="V39" s="1991"/>
      <c r="W39" s="1991"/>
      <c r="X39" s="1583"/>
      <c r="Y39" s="1583"/>
      <c r="Z39" s="1583"/>
      <c r="AA39" s="1583"/>
      <c r="AB39" s="1583"/>
      <c r="AC39" s="1583"/>
    </row>
    <row r="40" spans="1:29">
      <c r="A40" s="1581"/>
      <c r="B40" s="1581"/>
      <c r="C40" s="1581"/>
      <c r="D40" s="1581"/>
      <c r="E40" s="1581"/>
      <c r="F40" s="1581"/>
      <c r="G40" s="1600"/>
      <c r="H40" s="1581"/>
      <c r="I40" s="1581"/>
      <c r="J40" s="1581"/>
      <c r="K40" s="1601"/>
      <c r="L40" s="1602"/>
      <c r="M40" s="1581"/>
      <c r="N40" s="1581"/>
      <c r="O40" s="1581"/>
      <c r="P40" s="2044"/>
      <c r="Q40" s="1581"/>
      <c r="R40" s="1581"/>
      <c r="S40" s="1581"/>
      <c r="T40" s="1581"/>
      <c r="U40" s="1581"/>
      <c r="V40" s="1581"/>
      <c r="W40" s="1581"/>
      <c r="X40" s="1581"/>
      <c r="Y40" s="1581"/>
      <c r="Z40" s="1581"/>
      <c r="AA40" s="1581"/>
      <c r="AB40" s="1581"/>
      <c r="AC40" s="1581"/>
    </row>
    <row r="41" spans="1:29">
      <c r="A41" s="1581"/>
      <c r="B41" s="1581"/>
      <c r="C41" s="1581"/>
      <c r="D41" s="1581"/>
      <c r="E41" s="1581"/>
      <c r="F41" s="1581"/>
      <c r="G41" s="1581"/>
      <c r="H41" s="1581"/>
      <c r="I41" s="1581"/>
      <c r="J41" s="1581"/>
      <c r="K41" s="1601"/>
      <c r="L41" s="1602"/>
      <c r="M41" s="1581"/>
      <c r="N41" s="1581"/>
      <c r="O41" s="1581"/>
      <c r="P41" s="2044"/>
      <c r="Q41" s="1581"/>
      <c r="R41" s="1581"/>
      <c r="S41" s="1581"/>
      <c r="T41" s="1581"/>
      <c r="U41" s="1581"/>
      <c r="V41" s="1581"/>
      <c r="W41" s="1581"/>
      <c r="X41" s="1581"/>
      <c r="Y41" s="1581"/>
      <c r="Z41" s="1581"/>
      <c r="AA41" s="1581"/>
      <c r="AB41" s="1581"/>
      <c r="AC41" s="1581"/>
    </row>
    <row r="42" ht="13.5" customHeight="1" spans="1:29">
      <c r="A42" s="1581"/>
      <c r="B42" s="1581"/>
      <c r="C42" s="701" t="s">
        <v>1189</v>
      </c>
      <c r="D42" s="1142"/>
      <c r="E42" s="1603" t="e">
        <f>IF(E37&lt;E38,E38/E37-1,E37/E38-1)</f>
        <v>#DIV/0!</v>
      </c>
      <c r="F42" s="1604" t="e">
        <f>IF(OR(E42&gt;=0.3,E42&lt;=-0.3),"超过30%","")</f>
        <v>#DIV/0!</v>
      </c>
      <c r="G42" s="1603" t="e">
        <f>IF(G37&lt;G38,G38/G37-1,G37/G38-1)</f>
        <v>#DIV/0!</v>
      </c>
      <c r="H42" s="1604" t="e">
        <f>IF(OR(G42&gt;=0.3,G42&lt;=-0.3),"超过30%","")</f>
        <v>#DIV/0!</v>
      </c>
      <c r="I42" s="1603" t="e">
        <f>IF(I37&lt;I38,I38/I37-1,I37/I38-1)</f>
        <v>#DIV/0!</v>
      </c>
      <c r="J42" s="1604" t="e">
        <f>IF(OR(I42&gt;=0.3,I42&lt;=-0.3),"超过30%","")</f>
        <v>#DIV/0!</v>
      </c>
      <c r="K42" s="1601"/>
      <c r="L42" s="1602"/>
      <c r="M42" s="1581"/>
      <c r="N42" s="1581"/>
      <c r="O42" s="1581"/>
      <c r="P42" s="2044"/>
      <c r="Q42" s="1581"/>
      <c r="R42" s="1581"/>
      <c r="S42" s="1581"/>
      <c r="T42" s="1581"/>
      <c r="U42" s="1581"/>
      <c r="V42" s="1581"/>
      <c r="W42" s="1581"/>
      <c r="X42" s="1581"/>
      <c r="Y42" s="1581"/>
      <c r="Z42" s="1581"/>
      <c r="AA42" s="1581"/>
      <c r="AB42" s="1581"/>
      <c r="AC42" s="1581"/>
    </row>
    <row r="43" ht="13.5" customHeight="1" spans="1:29">
      <c r="A43" s="1581"/>
      <c r="B43" s="1581"/>
      <c r="C43" s="701" t="s">
        <v>1190</v>
      </c>
      <c r="D43" s="1141"/>
      <c r="E43" s="1603" t="e">
        <f>IF(E38&lt;G38,G38/E38-1,E38/G38-1)</f>
        <v>#DIV/0!</v>
      </c>
      <c r="F43" s="1604" t="e">
        <f>IF(OR(E43&gt;=0.2,E43&lt;=-0.2),"超过20%","")</f>
        <v>#DIV/0!</v>
      </c>
      <c r="G43" s="1603" t="e">
        <f>IF(G38&lt;I38,I38/G38-1,G38/I38-1)</f>
        <v>#DIV/0!</v>
      </c>
      <c r="H43" s="1604" t="e">
        <f>IF(OR(G43&gt;=0.2,G43&lt;=-0.2),"超过20%","")</f>
        <v>#DIV/0!</v>
      </c>
      <c r="I43" s="1603" t="e">
        <f>IF(I38&lt;E38,E38/I38-1,I38/E38-1)</f>
        <v>#DIV/0!</v>
      </c>
      <c r="J43" s="1604" t="e">
        <f>IF(OR(I43&gt;=0.2,I43&lt;=-0.2),"超过20%","")</f>
        <v>#DIV/0!</v>
      </c>
      <c r="K43" s="1601"/>
      <c r="L43" s="1602"/>
      <c r="M43" s="1581"/>
      <c r="N43" s="1581"/>
      <c r="O43" s="1581"/>
      <c r="P43" s="2044"/>
      <c r="Q43" s="1581"/>
      <c r="R43" s="1581"/>
      <c r="S43" s="1581"/>
      <c r="T43" s="1581"/>
      <c r="U43" s="1581"/>
      <c r="V43" s="1581"/>
      <c r="W43" s="1581"/>
      <c r="X43" s="1581"/>
      <c r="Y43" s="1581"/>
      <c r="Z43" s="1581"/>
      <c r="AA43" s="1581"/>
      <c r="AB43" s="1581"/>
      <c r="AC43" s="1581"/>
    </row>
    <row r="44" s="1374" customFormat="1" ht="13.5" customHeight="1" spans="1:29">
      <c r="A44" s="1605"/>
      <c r="B44" s="1605"/>
      <c r="C44" s="701" t="s">
        <v>1191</v>
      </c>
      <c r="D44" s="1141"/>
      <c r="E44" s="1603" t="e">
        <f>IF(E37&lt;G37,G37/E37-1,E37/G37-1)</f>
        <v>#DIV/0!</v>
      </c>
      <c r="F44" s="1604" t="e">
        <f>IF(OR(E44&gt;=0.3,E44&lt;=-0.3),"超过30%","")</f>
        <v>#DIV/0!</v>
      </c>
      <c r="G44" s="1603" t="e">
        <f>IF(G37&lt;I37,I37/G37-1,G37/I37-1)</f>
        <v>#DIV/0!</v>
      </c>
      <c r="H44" s="1604" t="e">
        <f>IF(OR(G44&gt;=0.3,G44&lt;=-0.3),"超过30%","")</f>
        <v>#DIV/0!</v>
      </c>
      <c r="I44" s="1603" t="e">
        <f>IF(I37&lt;E37,E37/I37-1,I37/E37-1)</f>
        <v>#DIV/0!</v>
      </c>
      <c r="J44" s="1604" t="e">
        <f>IF(OR(I44&gt;=0.3,I44&lt;=-0.3),"超过30%","")</f>
        <v>#DIV/0!</v>
      </c>
      <c r="K44" s="1606"/>
      <c r="L44" s="1607"/>
      <c r="M44" s="1605"/>
      <c r="N44" s="1605"/>
      <c r="O44" s="1605"/>
      <c r="P44" s="2045"/>
      <c r="Q44" s="1605"/>
      <c r="R44" s="1605"/>
      <c r="S44" s="1605"/>
      <c r="T44" s="1605"/>
      <c r="U44" s="1605"/>
      <c r="V44" s="1605"/>
      <c r="W44" s="1605"/>
      <c r="X44" s="1605"/>
      <c r="Y44" s="1605"/>
      <c r="Z44" s="1605"/>
      <c r="AA44" s="1605"/>
      <c r="AB44" s="1605"/>
      <c r="AC44" s="1605"/>
    </row>
    <row r="45" s="1374" customFormat="1" spans="1:29">
      <c r="A45" s="1605"/>
      <c r="B45" s="1608"/>
      <c r="C45" s="1992"/>
      <c r="D45" s="1605"/>
      <c r="E45" s="1605"/>
      <c r="F45" s="1605"/>
      <c r="G45" s="1605"/>
      <c r="H45" s="1605"/>
      <c r="I45" s="1605"/>
      <c r="J45" s="1605"/>
      <c r="K45" s="1606"/>
      <c r="L45" s="1607"/>
      <c r="M45" s="1605"/>
      <c r="N45" s="1605"/>
      <c r="O45" s="1605"/>
      <c r="P45" s="2045"/>
      <c r="Q45" s="1605"/>
      <c r="R45" s="1605"/>
      <c r="S45" s="1605"/>
      <c r="T45" s="1605"/>
      <c r="U45" s="1605"/>
      <c r="V45" s="1605"/>
      <c r="W45" s="1605"/>
      <c r="X45" s="1605"/>
      <c r="Y45" s="1605"/>
      <c r="Z45" s="1605"/>
      <c r="AA45" s="1605"/>
      <c r="AB45" s="1605"/>
      <c r="AC45" s="1605"/>
    </row>
    <row r="46" spans="1:29">
      <c r="A46" s="1581"/>
      <c r="B46" s="1608"/>
      <c r="C46" s="1992"/>
      <c r="D46" s="1581"/>
      <c r="E46" s="1581"/>
      <c r="F46" s="1581"/>
      <c r="G46" s="1581"/>
      <c r="H46" s="1581"/>
      <c r="I46" s="1581"/>
      <c r="J46" s="1581"/>
      <c r="K46" s="1601"/>
      <c r="L46" s="1602"/>
      <c r="M46" s="1581"/>
      <c r="N46" s="1581"/>
      <c r="O46" s="1581"/>
      <c r="P46" s="2044"/>
      <c r="Q46" s="1581"/>
      <c r="R46" s="1581"/>
      <c r="S46" s="1581"/>
      <c r="T46" s="1581"/>
      <c r="U46" s="1581"/>
      <c r="V46" s="1581"/>
      <c r="W46" s="1581"/>
      <c r="X46" s="1581"/>
      <c r="Y46" s="1581"/>
      <c r="Z46" s="1581"/>
      <c r="AA46" s="1581"/>
      <c r="AB46" s="1581"/>
      <c r="AC46" s="1581"/>
    </row>
    <row r="47" ht="21" spans="1:29">
      <c r="A47" s="2046" t="s">
        <v>1192</v>
      </c>
      <c r="B47" s="1646"/>
      <c r="C47" s="1657"/>
      <c r="D47" s="1657"/>
      <c r="E47" s="1657"/>
      <c r="F47" s="2047"/>
      <c r="G47" s="2047"/>
      <c r="H47" s="1657"/>
      <c r="I47" s="1657"/>
      <c r="J47" s="1657"/>
      <c r="K47" s="2048"/>
      <c r="L47" s="1845"/>
      <c r="M47" s="1657"/>
      <c r="N47" s="1658"/>
      <c r="O47" s="1658"/>
      <c r="P47" s="2049"/>
      <c r="Q47" s="1659"/>
      <c r="R47" s="1581"/>
      <c r="S47" s="1581"/>
      <c r="T47" s="1581"/>
      <c r="U47" s="1581"/>
      <c r="V47" s="1581"/>
      <c r="W47" s="1581"/>
      <c r="X47" s="1581"/>
      <c r="Y47" s="1581"/>
      <c r="Z47" s="1581"/>
      <c r="AA47" s="1581"/>
      <c r="AB47" s="1581"/>
      <c r="AC47" s="1581"/>
    </row>
    <row r="48" s="1376" customFormat="1" ht="15" spans="1:29">
      <c r="A48" s="1993" t="s">
        <v>1140</v>
      </c>
      <c r="B48" s="1994"/>
      <c r="C48" s="1995" t="str">
        <f>YEAR(C7)&amp;"-"&amp;MONTH(C7)</f>
        <v>2026-3</v>
      </c>
      <c r="D48" s="1996">
        <f>EDATE(C48,-1)</f>
        <v>46054</v>
      </c>
      <c r="E48" s="1996">
        <f t="shared" ref="E48:O48" si="16">EDATE(D48,-1)</f>
        <v>46023</v>
      </c>
      <c r="F48" s="1996">
        <f t="shared" si="16"/>
        <v>45992</v>
      </c>
      <c r="G48" s="1996">
        <f t="shared" si="16"/>
        <v>45962</v>
      </c>
      <c r="H48" s="1996">
        <f t="shared" si="16"/>
        <v>45931</v>
      </c>
      <c r="I48" s="1996">
        <f t="shared" si="16"/>
        <v>45901</v>
      </c>
      <c r="J48" s="1996">
        <f t="shared" si="16"/>
        <v>45870</v>
      </c>
      <c r="K48" s="1996">
        <f t="shared" si="16"/>
        <v>45839</v>
      </c>
      <c r="L48" s="1996">
        <f t="shared" si="16"/>
        <v>45809</v>
      </c>
      <c r="M48" s="1996">
        <f t="shared" si="16"/>
        <v>45778</v>
      </c>
      <c r="N48" s="1996">
        <f t="shared" si="16"/>
        <v>45748</v>
      </c>
      <c r="O48" s="1996">
        <f t="shared" si="16"/>
        <v>45717</v>
      </c>
      <c r="P48" s="2050"/>
      <c r="Q48" s="1664"/>
      <c r="R48" s="1664"/>
      <c r="S48" s="1664"/>
      <c r="T48" s="1664"/>
      <c r="U48" s="1664"/>
      <c r="V48" s="1664"/>
      <c r="W48" s="1664"/>
      <c r="X48" s="1664"/>
      <c r="Y48" s="1664"/>
      <c r="Z48" s="1664"/>
      <c r="AA48" s="1664"/>
      <c r="AB48" s="1664"/>
      <c r="AC48" s="1664"/>
    </row>
    <row r="49" s="1371" customFormat="1" ht="15" spans="1:29">
      <c r="A49" s="1997"/>
      <c r="B49" s="1678"/>
      <c r="C49" s="2051">
        <v>100</v>
      </c>
      <c r="D49" s="1686"/>
      <c r="E49" s="1686"/>
      <c r="F49" s="1686"/>
      <c r="G49" s="1686"/>
      <c r="H49" s="1686"/>
      <c r="I49" s="1686"/>
      <c r="J49" s="1686"/>
      <c r="K49" s="1686"/>
      <c r="L49" s="1686"/>
      <c r="M49" s="1926"/>
      <c r="N49" s="1686"/>
      <c r="O49" s="1926"/>
      <c r="P49" s="2052"/>
      <c r="Q49" s="1670"/>
      <c r="R49" s="1670"/>
      <c r="S49" s="1670"/>
      <c r="T49" s="1670"/>
      <c r="U49" s="1670"/>
      <c r="V49" s="1670"/>
      <c r="W49" s="1670"/>
      <c r="X49" s="1670"/>
      <c r="Y49" s="1670"/>
      <c r="Z49" s="1670"/>
      <c r="AA49" s="1670"/>
      <c r="AB49" s="1670"/>
      <c r="AC49" s="1670"/>
    </row>
    <row r="50" s="1371" customFormat="1" ht="15.75" spans="1:29">
      <c r="A50" s="1671" t="s">
        <v>1193</v>
      </c>
      <c r="B50" s="1672"/>
      <c r="C50" s="1673"/>
      <c r="D50" s="1674"/>
      <c r="E50" s="1674"/>
      <c r="F50" s="1674"/>
      <c r="G50" s="1674"/>
      <c r="H50" s="1674"/>
      <c r="I50" s="1674"/>
      <c r="J50" s="1674"/>
      <c r="K50" s="1674"/>
      <c r="L50" s="1674"/>
      <c r="M50" s="1675"/>
      <c r="N50" s="1674"/>
      <c r="O50" s="1675"/>
      <c r="P50" s="2052"/>
      <c r="Q50" s="1659"/>
      <c r="R50" s="1670"/>
      <c r="S50" s="1670"/>
      <c r="T50" s="1670"/>
      <c r="U50" s="1670"/>
      <c r="V50" s="1670"/>
      <c r="W50" s="1670"/>
      <c r="X50" s="1670"/>
      <c r="Y50" s="1670"/>
      <c r="Z50" s="1670"/>
      <c r="AA50" s="1670"/>
      <c r="AB50" s="1670"/>
      <c r="AC50" s="1670"/>
    </row>
    <row r="51" s="1371" customFormat="1" ht="15" spans="1:29">
      <c r="A51" s="1677" t="s">
        <v>1143</v>
      </c>
      <c r="B51" s="1678"/>
      <c r="C51" s="1679" t="s">
        <v>1194</v>
      </c>
      <c r="D51" s="1680"/>
      <c r="E51" s="1680"/>
      <c r="F51" s="1680"/>
      <c r="G51" s="1680"/>
      <c r="H51" s="1680"/>
      <c r="I51" s="1680"/>
      <c r="J51" s="1680"/>
      <c r="K51" s="1680"/>
      <c r="L51" s="1681"/>
      <c r="M51" s="1682"/>
      <c r="N51" s="1683"/>
      <c r="O51" s="1683"/>
      <c r="P51" s="2053"/>
      <c r="Q51" s="1659"/>
      <c r="R51" s="1670"/>
      <c r="S51" s="1670"/>
      <c r="T51" s="1670"/>
      <c r="U51" s="1670"/>
      <c r="V51" s="1670"/>
      <c r="W51" s="1670"/>
      <c r="X51" s="1670"/>
      <c r="Y51" s="1670"/>
      <c r="Z51" s="1670"/>
      <c r="AA51" s="1670"/>
      <c r="AB51" s="1670"/>
      <c r="AC51" s="1670"/>
    </row>
    <row r="52" s="1371" customFormat="1" ht="15.75" spans="1:29">
      <c r="A52" s="1677"/>
      <c r="B52" s="1678"/>
      <c r="C52" s="1685">
        <v>100</v>
      </c>
      <c r="D52" s="1686"/>
      <c r="E52" s="1686"/>
      <c r="F52" s="1686"/>
      <c r="G52" s="1686"/>
      <c r="H52" s="1686"/>
      <c r="I52" s="1686"/>
      <c r="J52" s="1686"/>
      <c r="K52" s="1686"/>
      <c r="L52" s="1686"/>
      <c r="M52" s="1687"/>
      <c r="N52" s="1683"/>
      <c r="O52" s="1683"/>
      <c r="P52" s="2052"/>
      <c r="Q52" s="1659"/>
      <c r="R52" s="1670"/>
      <c r="S52" s="1670"/>
      <c r="T52" s="1670"/>
      <c r="U52" s="1670"/>
      <c r="V52" s="1670"/>
      <c r="W52" s="1670"/>
      <c r="X52" s="1670"/>
      <c r="Y52" s="1670"/>
      <c r="Z52" s="1670"/>
      <c r="AA52" s="1670"/>
      <c r="AB52" s="1670"/>
      <c r="AC52" s="1670"/>
    </row>
    <row r="53" spans="1:29">
      <c r="A53" s="1688" t="s">
        <v>1196</v>
      </c>
      <c r="B53" s="1689" t="s">
        <v>1147</v>
      </c>
      <c r="C53" s="1618">
        <f>C9</f>
        <v>0</v>
      </c>
      <c r="D53" s="1690"/>
      <c r="E53" s="1690"/>
      <c r="F53" s="1690"/>
      <c r="G53" s="1690"/>
      <c r="H53" s="1690"/>
      <c r="I53" s="1690"/>
      <c r="J53" s="1690"/>
      <c r="K53" s="1691"/>
      <c r="L53" s="1692"/>
      <c r="M53" s="1693"/>
      <c r="N53" s="1694"/>
      <c r="O53" s="1694"/>
      <c r="P53" s="2054"/>
      <c r="Q53" s="1659"/>
      <c r="R53" s="1581"/>
      <c r="S53" s="1581"/>
      <c r="T53" s="1581"/>
      <c r="U53" s="1581"/>
      <c r="V53" s="1581"/>
      <c r="W53" s="1581"/>
      <c r="X53" s="1581"/>
      <c r="Y53" s="1581"/>
      <c r="Z53" s="1581"/>
      <c r="AA53" s="1581"/>
      <c r="AB53" s="1581"/>
      <c r="AC53" s="1581"/>
    </row>
    <row r="54" ht="15.75" spans="1:29">
      <c r="A54" s="1695"/>
      <c r="B54" s="1696"/>
      <c r="C54" s="1697">
        <v>100</v>
      </c>
      <c r="D54" s="1697"/>
      <c r="E54" s="1697"/>
      <c r="F54" s="1697"/>
      <c r="G54" s="1697"/>
      <c r="H54" s="1697"/>
      <c r="I54" s="1697"/>
      <c r="J54" s="1697"/>
      <c r="K54" s="1697"/>
      <c r="L54" s="1697"/>
      <c r="M54" s="1698"/>
      <c r="N54" s="1699"/>
      <c r="O54" s="1699"/>
      <c r="P54" s="2054"/>
      <c r="Q54" s="1659"/>
      <c r="R54" s="1581"/>
      <c r="S54" s="1581"/>
      <c r="T54" s="1581"/>
      <c r="U54" s="1581"/>
      <c r="V54" s="1581"/>
      <c r="W54" s="1581"/>
      <c r="X54" s="1581"/>
      <c r="Y54" s="1581"/>
      <c r="Z54" s="1581"/>
      <c r="AA54" s="1581"/>
      <c r="AB54" s="1581"/>
      <c r="AC54" s="1581"/>
    </row>
    <row r="55" ht="27.75" spans="1:29">
      <c r="A55" s="1695"/>
      <c r="B55" s="1700" t="s">
        <v>1151</v>
      </c>
      <c r="C55" s="1753"/>
      <c r="D55" s="1753"/>
      <c r="E55" s="1753"/>
      <c r="F55" s="1753"/>
      <c r="G55" s="1753"/>
      <c r="H55" s="1753"/>
      <c r="I55" s="1753"/>
      <c r="J55" s="1753"/>
      <c r="K55" s="1754"/>
      <c r="L55" s="1755"/>
      <c r="M55" s="1756"/>
      <c r="N55" s="1694"/>
      <c r="O55" s="1694"/>
      <c r="P55" s="2054"/>
      <c r="Q55" s="1659"/>
      <c r="R55" s="1581"/>
      <c r="S55" s="1581"/>
      <c r="T55" s="1581"/>
      <c r="U55" s="1581"/>
      <c r="V55" s="1581"/>
      <c r="W55" s="1581"/>
      <c r="X55" s="1581"/>
      <c r="Y55" s="1581"/>
      <c r="Z55" s="1581"/>
      <c r="AA55" s="1581"/>
      <c r="AB55" s="1581"/>
      <c r="AC55" s="1581"/>
    </row>
    <row r="56" ht="15.75" spans="1:29">
      <c r="A56" s="1695"/>
      <c r="B56" s="1705" t="s">
        <v>1199</v>
      </c>
      <c r="C56" s="1697"/>
      <c r="D56" s="1697"/>
      <c r="E56" s="1697"/>
      <c r="F56" s="1697"/>
      <c r="G56" s="1697"/>
      <c r="H56" s="1697"/>
      <c r="I56" s="1697"/>
      <c r="J56" s="1697"/>
      <c r="K56" s="1697"/>
      <c r="L56" s="1697"/>
      <c r="M56" s="1698"/>
      <c r="N56" s="1699"/>
      <c r="O56" s="1699"/>
      <c r="P56" s="2054"/>
      <c r="Q56" s="1659"/>
      <c r="R56" s="1581"/>
      <c r="S56" s="1581"/>
      <c r="T56" s="1581"/>
      <c r="U56" s="1581"/>
      <c r="V56" s="1581"/>
      <c r="W56" s="1581"/>
      <c r="X56" s="1581"/>
      <c r="Y56" s="1581"/>
      <c r="Z56" s="1581"/>
      <c r="AA56" s="1581"/>
      <c r="AB56" s="1581"/>
      <c r="AC56" s="1581"/>
    </row>
    <row r="57" ht="15.75" spans="1:29">
      <c r="A57" s="1695"/>
      <c r="B57" s="1518">
        <f>B11</f>
        <v>111</v>
      </c>
      <c r="C57" s="1712"/>
      <c r="D57" s="1712"/>
      <c r="E57" s="1712"/>
      <c r="F57" s="1712"/>
      <c r="G57" s="1712"/>
      <c r="H57" s="1712"/>
      <c r="I57" s="1712"/>
      <c r="J57" s="1712"/>
      <c r="K57" s="1713"/>
      <c r="L57" s="1714"/>
      <c r="M57" s="1715"/>
      <c r="N57" s="1694"/>
      <c r="O57" s="1694"/>
      <c r="P57" s="2054"/>
      <c r="Q57" s="1659"/>
      <c r="R57" s="1581"/>
      <c r="S57" s="1581"/>
      <c r="T57" s="1581"/>
      <c r="U57" s="1581"/>
      <c r="V57" s="1581"/>
      <c r="W57" s="1581"/>
      <c r="X57" s="1581"/>
      <c r="Y57" s="1581"/>
      <c r="Z57" s="1581"/>
      <c r="AA57" s="1581"/>
      <c r="AB57" s="1581"/>
      <c r="AC57" s="1581"/>
    </row>
    <row r="58" ht="15.75" spans="1:29">
      <c r="A58" s="1695"/>
      <c r="B58" s="1696"/>
      <c r="C58" s="1724"/>
      <c r="D58" s="1697"/>
      <c r="E58" s="1697"/>
      <c r="F58" s="1697"/>
      <c r="G58" s="1697"/>
      <c r="H58" s="1697"/>
      <c r="I58" s="1697"/>
      <c r="J58" s="1697"/>
      <c r="K58" s="1697"/>
      <c r="L58" s="1697"/>
      <c r="M58" s="1698"/>
      <c r="N58" s="1699"/>
      <c r="O58" s="1699"/>
      <c r="P58" s="2054"/>
      <c r="Q58" s="1659"/>
      <c r="R58" s="1581"/>
      <c r="S58" s="1581"/>
      <c r="T58" s="1581"/>
      <c r="U58" s="1581"/>
      <c r="V58" s="1581"/>
      <c r="W58" s="1581"/>
      <c r="X58" s="1581"/>
      <c r="Y58" s="1581"/>
      <c r="Z58" s="1581"/>
      <c r="AA58" s="1581"/>
      <c r="AB58" s="1581"/>
      <c r="AC58" s="1581"/>
    </row>
    <row r="59" s="1373" customFormat="1" ht="15.75" spans="1:29">
      <c r="A59" s="1716"/>
      <c r="B59" s="1700">
        <f>B12</f>
        <v>111</v>
      </c>
      <c r="C59" s="1712"/>
      <c r="D59" s="1712"/>
      <c r="E59" s="1712"/>
      <c r="F59" s="1712"/>
      <c r="G59" s="1717"/>
      <c r="H59" s="1718"/>
      <c r="I59" s="1718"/>
      <c r="J59" s="1718"/>
      <c r="K59" s="1718"/>
      <c r="L59" s="1719"/>
      <c r="M59" s="1720"/>
      <c r="N59" s="1721"/>
      <c r="O59" s="1721"/>
      <c r="P59" s="2055"/>
      <c r="Q59" s="1722"/>
      <c r="R59" s="1723"/>
      <c r="S59" s="1723"/>
      <c r="T59" s="1723"/>
      <c r="U59" s="1723"/>
      <c r="V59" s="1723"/>
      <c r="W59" s="1723"/>
      <c r="X59" s="1723"/>
      <c r="Y59" s="1723"/>
      <c r="Z59" s="1723"/>
      <c r="AA59" s="1723"/>
      <c r="AB59" s="1723"/>
      <c r="AC59" s="1723"/>
    </row>
    <row r="60" s="1373" customFormat="1" ht="15.75" spans="1:29">
      <c r="A60" s="1716"/>
      <c r="B60" s="1705"/>
      <c r="C60" s="1724"/>
      <c r="D60" s="1697"/>
      <c r="E60" s="1697"/>
      <c r="F60" s="1697"/>
      <c r="G60" s="1697"/>
      <c r="H60" s="1697"/>
      <c r="I60" s="1697"/>
      <c r="J60" s="1697"/>
      <c r="K60" s="1697"/>
      <c r="L60" s="1697"/>
      <c r="M60" s="1698"/>
      <c r="N60" s="1699"/>
      <c r="O60" s="1699"/>
      <c r="P60" s="2055"/>
      <c r="Q60" s="1722"/>
      <c r="R60" s="1723"/>
      <c r="S60" s="1723"/>
      <c r="T60" s="1723"/>
      <c r="U60" s="1723"/>
      <c r="V60" s="1723"/>
      <c r="W60" s="1723"/>
      <c r="X60" s="1723"/>
      <c r="Y60" s="1723"/>
      <c r="Z60" s="1723"/>
      <c r="AA60" s="1723"/>
      <c r="AB60" s="1723"/>
      <c r="AC60" s="1723"/>
    </row>
    <row r="61" s="1373" customFormat="1" ht="15.75" spans="1:29">
      <c r="A61" s="1716"/>
      <c r="B61" s="1700">
        <f>B13</f>
        <v>111</v>
      </c>
      <c r="C61" s="1717"/>
      <c r="D61" s="1717"/>
      <c r="E61" s="1717"/>
      <c r="F61" s="1717"/>
      <c r="G61" s="1717"/>
      <c r="H61" s="1718"/>
      <c r="I61" s="1718"/>
      <c r="J61" s="1718"/>
      <c r="K61" s="1718"/>
      <c r="L61" s="1719"/>
      <c r="M61" s="1720"/>
      <c r="N61" s="1721"/>
      <c r="O61" s="1721"/>
      <c r="P61" s="2056"/>
      <c r="Q61" s="1725"/>
      <c r="R61" s="1723"/>
      <c r="S61" s="1723"/>
      <c r="T61" s="1723"/>
      <c r="U61" s="1723"/>
      <c r="V61" s="1723"/>
      <c r="W61" s="1723"/>
      <c r="X61" s="1723"/>
      <c r="Y61" s="1723"/>
      <c r="Z61" s="1723"/>
      <c r="AA61" s="1723"/>
      <c r="AB61" s="1723"/>
      <c r="AC61" s="1723"/>
    </row>
    <row r="62" s="1373" customFormat="1" ht="15.75" spans="1:29">
      <c r="A62" s="1716"/>
      <c r="B62" s="1705"/>
      <c r="C62" s="1724"/>
      <c r="D62" s="1724"/>
      <c r="E62" s="1724"/>
      <c r="F62" s="1724"/>
      <c r="G62" s="1724"/>
      <c r="H62" s="1726"/>
      <c r="I62" s="1726"/>
      <c r="J62" s="1726"/>
      <c r="K62" s="1726"/>
      <c r="L62" s="1726"/>
      <c r="M62" s="1727"/>
      <c r="N62" s="1721"/>
      <c r="O62" s="1721"/>
      <c r="P62" s="2055"/>
      <c r="Q62" s="1722"/>
      <c r="R62" s="1723"/>
      <c r="S62" s="1723"/>
      <c r="T62" s="1723"/>
      <c r="U62" s="1723"/>
      <c r="V62" s="1723"/>
      <c r="W62" s="1723"/>
      <c r="X62" s="1723"/>
      <c r="Y62" s="1723"/>
      <c r="Z62" s="1723"/>
      <c r="AA62" s="1723"/>
      <c r="AB62" s="1723"/>
      <c r="AC62" s="1723"/>
    </row>
    <row r="63" ht="15" spans="1:29">
      <c r="A63" s="1688" t="s">
        <v>1155</v>
      </c>
      <c r="B63" s="1689" t="s">
        <v>1159</v>
      </c>
      <c r="C63" s="1737" t="s">
        <v>1200</v>
      </c>
      <c r="D63" s="1737" t="s">
        <v>1201</v>
      </c>
      <c r="E63" s="1737" t="s">
        <v>1202</v>
      </c>
      <c r="F63" s="1737" t="s">
        <v>1203</v>
      </c>
      <c r="G63" s="1737" t="s">
        <v>1204</v>
      </c>
      <c r="H63" s="1618"/>
      <c r="I63" s="1618"/>
      <c r="J63" s="1618"/>
      <c r="K63" s="1738"/>
      <c r="L63" s="1739"/>
      <c r="M63" s="1740"/>
      <c r="N63" s="1694"/>
      <c r="O63" s="1694"/>
      <c r="P63" s="2057"/>
      <c r="Q63" s="1659"/>
      <c r="R63" s="1581"/>
      <c r="S63" s="1581"/>
      <c r="T63" s="1581"/>
      <c r="U63" s="1581"/>
      <c r="V63" s="1581"/>
      <c r="W63" s="1581"/>
      <c r="X63" s="1581"/>
      <c r="Y63" s="1581"/>
      <c r="Z63" s="1581"/>
      <c r="AA63" s="1581"/>
      <c r="AB63" s="1581"/>
      <c r="AC63" s="1581"/>
    </row>
    <row r="64" ht="15.75" spans="1:29">
      <c r="A64" s="1695"/>
      <c r="B64" s="1705"/>
      <c r="C64" s="1706">
        <v>100</v>
      </c>
      <c r="D64" s="1706">
        <f>C64-$K14</f>
        <v>100</v>
      </c>
      <c r="E64" s="1706">
        <f>D64-$K14</f>
        <v>100</v>
      </c>
      <c r="F64" s="1706">
        <f>E64-$K14</f>
        <v>100</v>
      </c>
      <c r="G64" s="1706">
        <f>F64-$K14</f>
        <v>100</v>
      </c>
      <c r="H64" s="1706"/>
      <c r="I64" s="1706"/>
      <c r="J64" s="1706"/>
      <c r="K64" s="1706"/>
      <c r="L64" s="1706"/>
      <c r="M64" s="1707"/>
      <c r="N64" s="1699"/>
      <c r="O64" s="1699"/>
      <c r="P64" s="2054"/>
      <c r="Q64" s="1659"/>
      <c r="R64" s="1581"/>
      <c r="S64" s="1581"/>
      <c r="T64" s="1581"/>
      <c r="U64" s="1581"/>
      <c r="V64" s="1581"/>
      <c r="W64" s="1581"/>
      <c r="X64" s="1581"/>
      <c r="Y64" s="1581"/>
      <c r="Z64" s="1581"/>
      <c r="AA64" s="1581"/>
      <c r="AB64" s="1581"/>
      <c r="AC64" s="1581"/>
    </row>
    <row r="65" ht="15.75" spans="1:29">
      <c r="A65" s="1695"/>
      <c r="B65" s="1700" t="s">
        <v>1160</v>
      </c>
      <c r="C65" s="1742" t="s">
        <v>1200</v>
      </c>
      <c r="D65" s="1742" t="s">
        <v>1201</v>
      </c>
      <c r="E65" s="1742" t="s">
        <v>1202</v>
      </c>
      <c r="F65" s="1742" t="s">
        <v>1203</v>
      </c>
      <c r="G65" s="1742" t="s">
        <v>1204</v>
      </c>
      <c r="H65" s="1701"/>
      <c r="I65" s="1701"/>
      <c r="J65" s="1701"/>
      <c r="K65" s="1702"/>
      <c r="L65" s="1703"/>
      <c r="M65" s="1704"/>
      <c r="N65" s="1694"/>
      <c r="O65" s="1694"/>
      <c r="P65" s="2054"/>
      <c r="Q65" s="1659"/>
      <c r="R65" s="1581"/>
      <c r="S65" s="1581"/>
      <c r="T65" s="1581"/>
      <c r="U65" s="1581"/>
      <c r="V65" s="1581"/>
      <c r="W65" s="1581"/>
      <c r="X65" s="1581"/>
      <c r="Y65" s="1581"/>
      <c r="Z65" s="1581"/>
      <c r="AA65" s="1581"/>
      <c r="AB65" s="1581"/>
      <c r="AC65" s="1581"/>
    </row>
    <row r="66" ht="15.75" spans="1:29">
      <c r="A66" s="1695"/>
      <c r="B66" s="1705"/>
      <c r="C66" s="1706">
        <v>100</v>
      </c>
      <c r="D66" s="1706">
        <f>C66-$K16</f>
        <v>100</v>
      </c>
      <c r="E66" s="1706">
        <f>D66-$K16</f>
        <v>100</v>
      </c>
      <c r="F66" s="1706">
        <f>E66-$K16</f>
        <v>100</v>
      </c>
      <c r="G66" s="1706">
        <f>F66-$K16</f>
        <v>100</v>
      </c>
      <c r="H66" s="1706"/>
      <c r="I66" s="1706"/>
      <c r="J66" s="1706"/>
      <c r="K66" s="1706"/>
      <c r="L66" s="1706"/>
      <c r="M66" s="1707"/>
      <c r="N66" s="1699"/>
      <c r="O66" s="1699"/>
      <c r="P66" s="2054"/>
      <c r="Q66" s="1659"/>
      <c r="R66" s="1581"/>
      <c r="S66" s="1581"/>
      <c r="T66" s="1581"/>
      <c r="U66" s="1581"/>
      <c r="V66" s="1581"/>
      <c r="W66" s="1581"/>
      <c r="X66" s="1581"/>
      <c r="Y66" s="1581"/>
      <c r="Z66" s="1581"/>
      <c r="AA66" s="1581"/>
      <c r="AB66" s="1581"/>
      <c r="AC66" s="1581"/>
    </row>
    <row r="67" ht="15.75" spans="1:29">
      <c r="A67" s="1695"/>
      <c r="B67" s="1708" t="s">
        <v>1162</v>
      </c>
      <c r="C67" s="1518" t="s">
        <v>1205</v>
      </c>
      <c r="D67" s="1518" t="s">
        <v>1206</v>
      </c>
      <c r="E67" s="1518" t="s">
        <v>1207</v>
      </c>
      <c r="F67" s="1518" t="s">
        <v>1208</v>
      </c>
      <c r="G67" s="1518" t="s">
        <v>1209</v>
      </c>
      <c r="H67" s="1701"/>
      <c r="I67" s="1701"/>
      <c r="J67" s="1701"/>
      <c r="K67" s="1701"/>
      <c r="L67" s="1701"/>
      <c r="M67" s="1999"/>
      <c r="N67" s="1699"/>
      <c r="O67" s="1699"/>
      <c r="P67" s="2054"/>
      <c r="Q67" s="1659"/>
      <c r="R67" s="1581"/>
      <c r="S67" s="1581"/>
      <c r="T67" s="1581"/>
      <c r="U67" s="1581"/>
      <c r="V67" s="1581"/>
      <c r="W67" s="1581"/>
      <c r="X67" s="1581"/>
      <c r="Y67" s="1581"/>
      <c r="Z67" s="1581"/>
      <c r="AA67" s="1581"/>
      <c r="AB67" s="1581"/>
      <c r="AC67" s="1581"/>
    </row>
    <row r="68" ht="15.75" spans="1:29">
      <c r="A68" s="1695"/>
      <c r="B68" s="1708"/>
      <c r="C68" s="1706">
        <v>100</v>
      </c>
      <c r="D68" s="1706">
        <f>C68-$K18</f>
        <v>100</v>
      </c>
      <c r="E68" s="1706">
        <f>D68-$K18</f>
        <v>100</v>
      </c>
      <c r="F68" s="1706">
        <f>E68-$K18</f>
        <v>100</v>
      </c>
      <c r="G68" s="1706">
        <f>F68-$K18</f>
        <v>100</v>
      </c>
      <c r="H68" s="1518"/>
      <c r="I68" s="1518"/>
      <c r="J68" s="1518"/>
      <c r="K68" s="1518"/>
      <c r="L68" s="1518"/>
      <c r="M68" s="1948"/>
      <c r="N68" s="1699"/>
      <c r="O68" s="1699"/>
      <c r="P68" s="2054"/>
      <c r="Q68" s="1659"/>
      <c r="R68" s="1581"/>
      <c r="S68" s="1581"/>
      <c r="T68" s="1581"/>
      <c r="U68" s="1581"/>
      <c r="V68" s="1581"/>
      <c r="W68" s="1581"/>
      <c r="X68" s="1581"/>
      <c r="Y68" s="1581"/>
      <c r="Z68" s="1581"/>
      <c r="AA68" s="1581"/>
      <c r="AB68" s="1581"/>
      <c r="AC68" s="1581"/>
    </row>
    <row r="69" ht="15.75" spans="1:29">
      <c r="A69" s="1695"/>
      <c r="B69" s="1700" t="s">
        <v>1905</v>
      </c>
      <c r="C69" s="1742" t="s">
        <v>1200</v>
      </c>
      <c r="D69" s="1742" t="s">
        <v>1201</v>
      </c>
      <c r="E69" s="1742" t="s">
        <v>1202</v>
      </c>
      <c r="F69" s="1742" t="s">
        <v>1203</v>
      </c>
      <c r="G69" s="1742" t="s">
        <v>1204</v>
      </c>
      <c r="H69" s="1701"/>
      <c r="I69" s="1701"/>
      <c r="J69" s="1701"/>
      <c r="K69" s="1702"/>
      <c r="L69" s="1703"/>
      <c r="M69" s="1704"/>
      <c r="N69" s="1694"/>
      <c r="O69" s="1694"/>
      <c r="P69" s="2054"/>
      <c r="Q69" s="1659"/>
      <c r="R69" s="1581"/>
      <c r="S69" s="1581"/>
      <c r="T69" s="1581"/>
      <c r="U69" s="1581"/>
      <c r="V69" s="1581"/>
      <c r="W69" s="1581"/>
      <c r="X69" s="1581"/>
      <c r="Y69" s="1581"/>
      <c r="Z69" s="1581"/>
      <c r="AA69" s="1581"/>
      <c r="AB69" s="1581"/>
      <c r="AC69" s="1581"/>
    </row>
    <row r="70" ht="15.75" spans="1:29">
      <c r="A70" s="1695"/>
      <c r="B70" s="1705"/>
      <c r="C70" s="1706">
        <v>100</v>
      </c>
      <c r="D70" s="1706">
        <f>C70-$K20</f>
        <v>100</v>
      </c>
      <c r="E70" s="1706">
        <f>D70-$K20</f>
        <v>100</v>
      </c>
      <c r="F70" s="1706">
        <f>E70-$K20</f>
        <v>100</v>
      </c>
      <c r="G70" s="1706">
        <f>F70-$K20</f>
        <v>100</v>
      </c>
      <c r="H70" s="1706"/>
      <c r="I70" s="1706"/>
      <c r="J70" s="1706"/>
      <c r="K70" s="1706"/>
      <c r="L70" s="1706"/>
      <c r="M70" s="1707"/>
      <c r="N70" s="1699"/>
      <c r="O70" s="1699"/>
      <c r="P70" s="2054"/>
      <c r="Q70" s="1659"/>
      <c r="R70" s="1581"/>
      <c r="S70" s="1581"/>
      <c r="T70" s="1581"/>
      <c r="U70" s="1581"/>
      <c r="V70" s="1581"/>
      <c r="W70" s="1581"/>
      <c r="X70" s="1581"/>
      <c r="Y70" s="1581"/>
      <c r="Z70" s="1581"/>
      <c r="AA70" s="1581"/>
      <c r="AB70" s="1581"/>
      <c r="AC70" s="1581"/>
    </row>
    <row r="71" ht="15.75" spans="1:29">
      <c r="A71" s="1695"/>
      <c r="B71" s="1700" t="s">
        <v>1937</v>
      </c>
      <c r="C71" s="1717"/>
      <c r="D71" s="1717"/>
      <c r="E71" s="1717"/>
      <c r="F71" s="1717"/>
      <c r="G71" s="1717"/>
      <c r="H71" s="1753"/>
      <c r="I71" s="1753"/>
      <c r="J71" s="1753"/>
      <c r="K71" s="1754"/>
      <c r="L71" s="1755"/>
      <c r="M71" s="1756"/>
      <c r="N71" s="1694"/>
      <c r="O71" s="1694"/>
      <c r="P71" s="2054"/>
      <c r="Q71" s="1659"/>
      <c r="R71" s="1581"/>
      <c r="S71" s="1581"/>
      <c r="T71" s="1581"/>
      <c r="U71" s="1581"/>
      <c r="V71" s="1581"/>
      <c r="W71" s="1581"/>
      <c r="X71" s="1581"/>
      <c r="Y71" s="1581"/>
      <c r="Z71" s="1581"/>
      <c r="AA71" s="1581"/>
      <c r="AB71" s="1581"/>
      <c r="AC71" s="1581"/>
    </row>
    <row r="72" ht="15.75" spans="1:29">
      <c r="A72" s="1695"/>
      <c r="B72" s="1705"/>
      <c r="C72" s="1706">
        <v>100</v>
      </c>
      <c r="D72" s="1706">
        <f>C72-$K22</f>
        <v>100</v>
      </c>
      <c r="E72" s="1706">
        <f>D72-$K22</f>
        <v>100</v>
      </c>
      <c r="F72" s="1706">
        <f>E72-$K22</f>
        <v>100</v>
      </c>
      <c r="G72" s="1706">
        <f>F72-$K22</f>
        <v>100</v>
      </c>
      <c r="H72" s="1706"/>
      <c r="I72" s="1706"/>
      <c r="J72" s="1706"/>
      <c r="K72" s="1706"/>
      <c r="L72" s="1706"/>
      <c r="M72" s="1707"/>
      <c r="N72" s="1699"/>
      <c r="O72" s="1699"/>
      <c r="P72" s="2054"/>
      <c r="Q72" s="1659"/>
      <c r="R72" s="1581"/>
      <c r="S72" s="1581"/>
      <c r="T72" s="1581"/>
      <c r="U72" s="1581"/>
      <c r="V72" s="1581"/>
      <c r="W72" s="1581"/>
      <c r="X72" s="1581"/>
      <c r="Y72" s="1581"/>
      <c r="Z72" s="1581"/>
      <c r="AA72" s="1581"/>
      <c r="AB72" s="1581"/>
      <c r="AC72" s="1581"/>
    </row>
    <row r="73" s="1371" customFormat="1" ht="15.75" spans="1:29">
      <c r="A73" s="1743"/>
      <c r="B73" s="1700">
        <f>B23</f>
        <v>111</v>
      </c>
      <c r="C73" s="1712"/>
      <c r="D73" s="1712"/>
      <c r="E73" s="1712"/>
      <c r="F73" s="1712"/>
      <c r="G73" s="1717"/>
      <c r="H73" s="1717"/>
      <c r="I73" s="1717"/>
      <c r="J73" s="1717"/>
      <c r="K73" s="1717"/>
      <c r="L73" s="2000"/>
      <c r="M73" s="2001"/>
      <c r="N73" s="1683"/>
      <c r="O73" s="1683"/>
      <c r="P73" s="2054"/>
      <c r="Q73" s="1659"/>
      <c r="R73" s="1670"/>
      <c r="S73" s="1670"/>
      <c r="T73" s="1670"/>
      <c r="U73" s="1670"/>
      <c r="V73" s="1670"/>
      <c r="W73" s="1670"/>
      <c r="X73" s="1670"/>
      <c r="Y73" s="1670"/>
      <c r="Z73" s="1670"/>
      <c r="AA73" s="1670"/>
      <c r="AB73" s="1670"/>
      <c r="AC73" s="1670"/>
    </row>
    <row r="74" s="1371" customFormat="1" ht="15.75" spans="1:29">
      <c r="A74" s="1743"/>
      <c r="B74" s="1705"/>
      <c r="C74" s="1724"/>
      <c r="D74" s="1697"/>
      <c r="E74" s="1697"/>
      <c r="F74" s="1697"/>
      <c r="G74" s="1697"/>
      <c r="H74" s="1697"/>
      <c r="I74" s="1697"/>
      <c r="J74" s="1697"/>
      <c r="K74" s="1697"/>
      <c r="L74" s="1697"/>
      <c r="M74" s="1698"/>
      <c r="N74" s="1699"/>
      <c r="O74" s="1699"/>
      <c r="P74" s="2054"/>
      <c r="Q74" s="1659"/>
      <c r="R74" s="1670"/>
      <c r="S74" s="1670"/>
      <c r="T74" s="1670"/>
      <c r="U74" s="1670"/>
      <c r="V74" s="1670"/>
      <c r="W74" s="1670"/>
      <c r="X74" s="1670"/>
      <c r="Y74" s="1670"/>
      <c r="Z74" s="1670"/>
      <c r="AA74" s="1670"/>
      <c r="AB74" s="1670"/>
      <c r="AC74" s="1670"/>
    </row>
    <row r="75" s="1371" customFormat="1" ht="15.75" spans="1:29">
      <c r="A75" s="1743"/>
      <c r="B75" s="1700">
        <f>B24</f>
        <v>111</v>
      </c>
      <c r="C75" s="1712"/>
      <c r="D75" s="1712"/>
      <c r="E75" s="1712"/>
      <c r="F75" s="1712"/>
      <c r="G75" s="1717"/>
      <c r="H75" s="1717"/>
      <c r="I75" s="1717"/>
      <c r="J75" s="1717"/>
      <c r="K75" s="1717"/>
      <c r="L75" s="1717"/>
      <c r="M75" s="2001"/>
      <c r="N75" s="1683"/>
      <c r="O75" s="1683"/>
      <c r="P75" s="2054"/>
      <c r="Q75" s="1659"/>
      <c r="R75" s="1670"/>
      <c r="S75" s="1670"/>
      <c r="T75" s="1670"/>
      <c r="U75" s="1670"/>
      <c r="V75" s="1670"/>
      <c r="W75" s="1670"/>
      <c r="X75" s="1670"/>
      <c r="Y75" s="1670"/>
      <c r="Z75" s="1670"/>
      <c r="AA75" s="1670"/>
      <c r="AB75" s="1670"/>
      <c r="AC75" s="1670"/>
    </row>
    <row r="76" s="1371" customFormat="1" ht="15.75" spans="1:29">
      <c r="A76" s="1743"/>
      <c r="B76" s="1705"/>
      <c r="C76" s="1724"/>
      <c r="D76" s="1697"/>
      <c r="E76" s="1697"/>
      <c r="F76" s="1697"/>
      <c r="G76" s="1697"/>
      <c r="H76" s="1697"/>
      <c r="I76" s="1697"/>
      <c r="J76" s="1697"/>
      <c r="K76" s="1697"/>
      <c r="L76" s="1697"/>
      <c r="M76" s="1698"/>
      <c r="N76" s="1699"/>
      <c r="O76" s="1699"/>
      <c r="P76" s="2054"/>
      <c r="Q76" s="1659"/>
      <c r="R76" s="1670"/>
      <c r="S76" s="1670"/>
      <c r="T76" s="1670"/>
      <c r="U76" s="1670"/>
      <c r="V76" s="1670"/>
      <c r="W76" s="1670"/>
      <c r="X76" s="1670"/>
      <c r="Y76" s="1670"/>
      <c r="Z76" s="1670"/>
      <c r="AA76" s="1670"/>
      <c r="AB76" s="1670"/>
      <c r="AC76" s="1670"/>
    </row>
    <row r="77" s="1373" customFormat="1" ht="15.75" spans="1:29">
      <c r="A77" s="1716"/>
      <c r="B77" s="1700">
        <f>B25</f>
        <v>111</v>
      </c>
      <c r="C77" s="1717"/>
      <c r="D77" s="1717"/>
      <c r="E77" s="1717"/>
      <c r="F77" s="1717"/>
      <c r="G77" s="1717"/>
      <c r="H77" s="1718"/>
      <c r="I77" s="1718"/>
      <c r="J77" s="1718"/>
      <c r="K77" s="1718"/>
      <c r="L77" s="1719"/>
      <c r="M77" s="1720"/>
      <c r="N77" s="1721"/>
      <c r="O77" s="1721"/>
      <c r="P77" s="2055"/>
      <c r="Q77" s="1722"/>
      <c r="R77" s="1723"/>
      <c r="S77" s="1723"/>
      <c r="T77" s="1723"/>
      <c r="U77" s="1723"/>
      <c r="V77" s="1723"/>
      <c r="W77" s="1723"/>
      <c r="X77" s="1723"/>
      <c r="Y77" s="1723"/>
      <c r="Z77" s="1723"/>
      <c r="AA77" s="1723"/>
      <c r="AB77" s="1723"/>
      <c r="AC77" s="1723"/>
    </row>
    <row r="78" s="1373" customFormat="1" ht="15.75" spans="1:29">
      <c r="A78" s="1716"/>
      <c r="B78" s="1705"/>
      <c r="C78" s="1724"/>
      <c r="D78" s="1724"/>
      <c r="E78" s="1724"/>
      <c r="F78" s="1724"/>
      <c r="G78" s="1697"/>
      <c r="H78" s="1697"/>
      <c r="I78" s="1697"/>
      <c r="J78" s="1697"/>
      <c r="K78" s="1697"/>
      <c r="L78" s="1697"/>
      <c r="M78" s="1698"/>
      <c r="N78" s="1721"/>
      <c r="O78" s="1721"/>
      <c r="P78" s="2055"/>
      <c r="Q78" s="1722"/>
      <c r="R78" s="1723"/>
      <c r="S78" s="1723"/>
      <c r="T78" s="1723"/>
      <c r="U78" s="1723"/>
      <c r="V78" s="1723"/>
      <c r="W78" s="1723"/>
      <c r="X78" s="1723"/>
      <c r="Y78" s="1723"/>
      <c r="Z78" s="1723"/>
      <c r="AA78" s="1723"/>
      <c r="AB78" s="1723"/>
      <c r="AC78" s="1723"/>
    </row>
    <row r="79" ht="27.75" spans="1:29">
      <c r="A79" s="1688" t="s">
        <v>1166</v>
      </c>
      <c r="B79" s="1689" t="s">
        <v>1963</v>
      </c>
      <c r="C79" s="1618" t="str">
        <f>C26</f>
        <v>车库</v>
      </c>
      <c r="D79" s="1690"/>
      <c r="E79" s="1690"/>
      <c r="F79" s="1690"/>
      <c r="G79" s="1690"/>
      <c r="H79" s="1690"/>
      <c r="I79" s="1690"/>
      <c r="J79" s="1690"/>
      <c r="K79" s="1691"/>
      <c r="L79" s="1692"/>
      <c r="M79" s="1693"/>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 t="shared" ref="D80:M80" si="17">C80-$K26</f>
        <v>100</v>
      </c>
      <c r="E80" s="1706">
        <f t="shared" si="17"/>
        <v>100</v>
      </c>
      <c r="F80" s="1706">
        <f t="shared" si="17"/>
        <v>100</v>
      </c>
      <c r="G80" s="1706">
        <f t="shared" si="17"/>
        <v>100</v>
      </c>
      <c r="H80" s="1706">
        <f t="shared" si="17"/>
        <v>100</v>
      </c>
      <c r="I80" s="1706">
        <f t="shared" si="17"/>
        <v>100</v>
      </c>
      <c r="J80" s="1706">
        <f t="shared" si="17"/>
        <v>100</v>
      </c>
      <c r="K80" s="1706">
        <f t="shared" si="17"/>
        <v>100</v>
      </c>
      <c r="L80" s="1706">
        <f t="shared" si="17"/>
        <v>100</v>
      </c>
      <c r="M80" s="1707">
        <f t="shared" si="17"/>
        <v>100</v>
      </c>
      <c r="N80" s="1699"/>
      <c r="O80" s="1699"/>
      <c r="P80" s="2054"/>
      <c r="Q80" s="1659"/>
      <c r="R80" s="1581"/>
      <c r="S80" s="1581"/>
      <c r="T80" s="1581"/>
      <c r="U80" s="1581"/>
      <c r="V80" s="1581"/>
      <c r="W80" s="1581"/>
      <c r="X80" s="1581"/>
      <c r="Y80" s="1581"/>
      <c r="Z80" s="1581"/>
      <c r="AA80" s="1581"/>
      <c r="AB80" s="1581"/>
      <c r="AC80" s="1581"/>
    </row>
    <row r="81" ht="15.75" spans="1:29">
      <c r="A81" s="1695"/>
      <c r="B81" s="1700" t="s">
        <v>1954</v>
      </c>
      <c r="C81" s="2058"/>
      <c r="D81" s="2058"/>
      <c r="E81" s="2058"/>
      <c r="F81" s="2058"/>
      <c r="G81" s="2058"/>
      <c r="H81" s="2058"/>
      <c r="I81" s="2058"/>
      <c r="J81" s="2058"/>
      <c r="K81" s="2059"/>
      <c r="L81" s="2060"/>
      <c r="M81" s="2061"/>
      <c r="N81" s="1683"/>
      <c r="O81" s="1683"/>
      <c r="P81" s="2054"/>
      <c r="Q81" s="1659"/>
      <c r="R81" s="1581"/>
      <c r="S81" s="1581"/>
      <c r="T81" s="1581"/>
      <c r="U81" s="1581"/>
      <c r="V81" s="1581"/>
      <c r="W81" s="1581"/>
      <c r="X81" s="1581"/>
      <c r="Y81" s="1581"/>
      <c r="Z81" s="1581"/>
      <c r="AA81" s="1581"/>
      <c r="AB81" s="1581"/>
      <c r="AC81" s="1581"/>
    </row>
    <row r="82" s="1373" customFormat="1" ht="15.75" spans="1:29">
      <c r="A82" s="1716"/>
      <c r="B82" s="1705"/>
      <c r="C82" s="1724"/>
      <c r="D82" s="1697"/>
      <c r="E82" s="1697"/>
      <c r="F82" s="1697"/>
      <c r="G82" s="1697"/>
      <c r="H82" s="1697"/>
      <c r="I82" s="1697"/>
      <c r="J82" s="1697"/>
      <c r="K82" s="1697"/>
      <c r="L82" s="1697"/>
      <c r="M82" s="1698"/>
      <c r="N82" s="1699"/>
      <c r="O82" s="1699"/>
      <c r="P82" s="2055"/>
      <c r="Q82" s="1722"/>
      <c r="R82" s="1723"/>
      <c r="S82" s="1723"/>
      <c r="T82" s="1723"/>
      <c r="U82" s="1723"/>
      <c r="V82" s="1723"/>
      <c r="W82" s="1723"/>
      <c r="X82" s="1723"/>
      <c r="Y82" s="1723"/>
      <c r="Z82" s="1723"/>
      <c r="AA82" s="1723"/>
      <c r="AB82" s="1723"/>
      <c r="AC82" s="1723"/>
    </row>
    <row r="83" ht="15.75" spans="1:29">
      <c r="A83" s="1773"/>
      <c r="B83" s="1700" t="s">
        <v>1173</v>
      </c>
      <c r="C83" s="1717"/>
      <c r="D83" s="1717"/>
      <c r="E83" s="1753"/>
      <c r="F83" s="1753"/>
      <c r="G83" s="1753"/>
      <c r="H83" s="1753"/>
      <c r="I83" s="1753"/>
      <c r="J83" s="1753"/>
      <c r="K83" s="1754"/>
      <c r="L83" s="1755"/>
      <c r="M83" s="1756"/>
      <c r="N83" s="1694"/>
      <c r="O83" s="1694"/>
      <c r="P83" s="2054"/>
      <c r="Q83" s="1659"/>
      <c r="R83" s="1581"/>
      <c r="S83" s="1581"/>
      <c r="T83" s="1581"/>
      <c r="U83" s="1581"/>
      <c r="V83" s="1581"/>
      <c r="W83" s="1581"/>
      <c r="X83" s="1581"/>
      <c r="Y83" s="1581"/>
      <c r="Z83" s="1581"/>
      <c r="AA83" s="1581"/>
      <c r="AB83" s="1581"/>
      <c r="AC83" s="1581"/>
    </row>
    <row r="84" ht="15.75" spans="1:29">
      <c r="A84" s="1695"/>
      <c r="B84" s="1705"/>
      <c r="C84" s="1706">
        <v>100</v>
      </c>
      <c r="D84" s="1706">
        <f t="shared" ref="D84:M84" si="18">C84-$K28</f>
        <v>100</v>
      </c>
      <c r="E84" s="1706">
        <f t="shared" si="18"/>
        <v>100</v>
      </c>
      <c r="F84" s="1706">
        <f t="shared" si="18"/>
        <v>100</v>
      </c>
      <c r="G84" s="1706">
        <f t="shared" si="18"/>
        <v>100</v>
      </c>
      <c r="H84" s="1706">
        <f t="shared" si="18"/>
        <v>100</v>
      </c>
      <c r="I84" s="1706">
        <f t="shared" si="18"/>
        <v>100</v>
      </c>
      <c r="J84" s="1706">
        <f t="shared" si="18"/>
        <v>100</v>
      </c>
      <c r="K84" s="1706">
        <f t="shared" si="18"/>
        <v>100</v>
      </c>
      <c r="L84" s="1706">
        <f t="shared" si="18"/>
        <v>100</v>
      </c>
      <c r="M84" s="1707">
        <f t="shared" si="18"/>
        <v>100</v>
      </c>
      <c r="N84" s="1699"/>
      <c r="O84" s="1699"/>
      <c r="P84" s="2054"/>
      <c r="Q84" s="1659"/>
      <c r="R84" s="1581"/>
      <c r="S84" s="1581"/>
      <c r="T84" s="1581"/>
      <c r="U84" s="1581"/>
      <c r="V84" s="1581"/>
      <c r="W84" s="1581"/>
      <c r="X84" s="1581"/>
      <c r="Y84" s="1581"/>
      <c r="Z84" s="1581"/>
      <c r="AA84" s="1581"/>
      <c r="AB84" s="1581"/>
      <c r="AC84" s="1581"/>
    </row>
    <row r="85" ht="15.75" spans="1:29">
      <c r="A85" s="1773"/>
      <c r="B85" s="1700" t="s">
        <v>1955</v>
      </c>
      <c r="C85" s="1742" t="str">
        <f>C86&amp;"(含)"&amp;"-"&amp;D86</f>
        <v>0.5(含)-0.55</v>
      </c>
      <c r="D85" s="1742" t="str">
        <f>D86&amp;"(含)"&amp;"-"&amp;E86</f>
        <v>0.55(含)-0.6</v>
      </c>
      <c r="E85" s="1742" t="str">
        <f>E86&amp;"(含)"&amp;"-"&amp;F86</f>
        <v>0.6(含)-0.65</v>
      </c>
      <c r="F85" s="1742" t="str">
        <f>F86&amp;"(含)"&amp;"-"&amp;G86</f>
        <v>0.65(含)-0.7</v>
      </c>
      <c r="G85" s="1742" t="str">
        <f t="shared" ref="G85:K85" si="19">G86&amp;"(含)"&amp;"-"&amp;H86</f>
        <v>0.7(含)-0.75</v>
      </c>
      <c r="H85" s="1742" t="str">
        <f t="shared" si="19"/>
        <v>0.75(含)-0.8</v>
      </c>
      <c r="I85" s="1742" t="str">
        <f t="shared" si="19"/>
        <v>0.8(含)-0.85</v>
      </c>
      <c r="J85" s="1742" t="str">
        <f t="shared" si="19"/>
        <v>0.85(含)-0.9</v>
      </c>
      <c r="K85" s="1742" t="str">
        <f t="shared" si="19"/>
        <v>0.9(含)-0.95</v>
      </c>
      <c r="L85" s="1742" t="str">
        <f t="shared" ref="L85" si="20">L86&amp;"(含)"&amp;"-"&amp;ROUND(M86,0)&amp;"(含)"</f>
        <v>0.95(含)-1(含)</v>
      </c>
      <c r="M85" s="1742"/>
      <c r="N85" s="1694"/>
      <c r="O85" s="1694"/>
      <c r="P85" s="2054"/>
      <c r="Q85" s="1659"/>
      <c r="R85" s="1581"/>
      <c r="S85" s="1581"/>
      <c r="T85" s="1581"/>
      <c r="U85" s="1581"/>
      <c r="V85" s="1581"/>
      <c r="W85" s="1581"/>
      <c r="X85" s="1581"/>
      <c r="Y85" s="1581"/>
      <c r="Z85" s="1581"/>
      <c r="AA85" s="1581"/>
      <c r="AB85" s="1581"/>
      <c r="AC85" s="1581"/>
    </row>
    <row r="86" ht="15" spans="1:29">
      <c r="A86" s="1773"/>
      <c r="B86" s="1708"/>
      <c r="C86" s="1188">
        <v>0.5</v>
      </c>
      <c r="D86" s="1188">
        <v>0.55</v>
      </c>
      <c r="E86" s="1188">
        <v>0.6</v>
      </c>
      <c r="F86" s="1188">
        <v>0.65</v>
      </c>
      <c r="G86" s="1188">
        <v>0.7</v>
      </c>
      <c r="H86" s="1188">
        <v>0.75</v>
      </c>
      <c r="I86" s="1188">
        <v>0.8</v>
      </c>
      <c r="J86" s="1188">
        <v>0.85</v>
      </c>
      <c r="K86" s="1188">
        <v>0.9</v>
      </c>
      <c r="L86" s="1188">
        <v>0.95</v>
      </c>
      <c r="M86" s="1188">
        <v>1.0001</v>
      </c>
      <c r="N86" s="1694"/>
      <c r="O86" s="1694"/>
      <c r="P86" s="2054"/>
      <c r="Q86" s="1659"/>
      <c r="R86" s="1581"/>
      <c r="S86" s="1581"/>
      <c r="T86" s="1581"/>
      <c r="U86" s="1581"/>
      <c r="V86" s="1581"/>
      <c r="W86" s="1581"/>
      <c r="X86" s="1581"/>
      <c r="Y86" s="1581"/>
      <c r="Z86" s="1581"/>
      <c r="AA86" s="1581"/>
      <c r="AB86" s="1581"/>
      <c r="AC86" s="1581"/>
    </row>
    <row r="87" ht="15.75" spans="1:29">
      <c r="A87" s="1695"/>
      <c r="B87" s="1705"/>
      <c r="C87" s="1746">
        <v>100</v>
      </c>
      <c r="D87" s="1706">
        <f>C87+$K$29</f>
        <v>100</v>
      </c>
      <c r="E87" s="1706">
        <f t="shared" ref="E87:M87" si="21">D87+$K$29</f>
        <v>100</v>
      </c>
      <c r="F87" s="1706">
        <f t="shared" si="21"/>
        <v>100</v>
      </c>
      <c r="G87" s="1706">
        <f t="shared" si="21"/>
        <v>100</v>
      </c>
      <c r="H87" s="1706">
        <f t="shared" si="21"/>
        <v>100</v>
      </c>
      <c r="I87" s="1706">
        <f t="shared" si="21"/>
        <v>100</v>
      </c>
      <c r="J87" s="1706">
        <f t="shared" si="21"/>
        <v>100</v>
      </c>
      <c r="K87" s="1706">
        <f t="shared" si="21"/>
        <v>100</v>
      </c>
      <c r="L87" s="1706">
        <f t="shared" si="21"/>
        <v>100</v>
      </c>
      <c r="M87" s="1706">
        <f t="shared" si="21"/>
        <v>100</v>
      </c>
      <c r="N87" s="1699"/>
      <c r="O87" s="1699"/>
      <c r="P87" s="2054"/>
      <c r="Q87" s="1659"/>
      <c r="R87" s="1581"/>
      <c r="S87" s="1581"/>
      <c r="T87" s="1581"/>
      <c r="U87" s="1581"/>
      <c r="V87" s="1581"/>
      <c r="W87" s="1581"/>
      <c r="X87" s="1581"/>
      <c r="Y87" s="1581"/>
      <c r="Z87" s="1581"/>
      <c r="AA87" s="1581"/>
      <c r="AB87" s="1581"/>
      <c r="AC87" s="1581"/>
    </row>
    <row r="88" ht="15.75" spans="1:29">
      <c r="A88" s="1773"/>
      <c r="B88" s="1708" t="s">
        <v>1956</v>
      </c>
      <c r="C88" s="1690"/>
      <c r="D88" s="1690"/>
      <c r="E88" s="1690"/>
      <c r="F88" s="1690"/>
      <c r="G88" s="1690"/>
      <c r="H88" s="1690"/>
      <c r="I88" s="1690"/>
      <c r="J88" s="1690"/>
      <c r="K88" s="1691"/>
      <c r="L88" s="1692"/>
      <c r="M88" s="1693"/>
      <c r="N88" s="1694"/>
      <c r="O88" s="1694"/>
      <c r="P88" s="2054"/>
      <c r="Q88" s="1659"/>
      <c r="R88" s="1581"/>
      <c r="S88" s="1581"/>
      <c r="T88" s="1581"/>
      <c r="U88" s="1581"/>
      <c r="V88" s="1581"/>
      <c r="W88" s="1581"/>
      <c r="X88" s="1581"/>
      <c r="Y88" s="1581"/>
      <c r="Z88" s="1581"/>
      <c r="AA88" s="1581"/>
      <c r="AB88" s="1581"/>
      <c r="AC88" s="1581"/>
    </row>
    <row r="89" ht="15.75" spans="1:29">
      <c r="A89" s="1695"/>
      <c r="B89" s="1705"/>
      <c r="C89" s="1746">
        <v>100</v>
      </c>
      <c r="D89" s="1706">
        <f t="shared" ref="D89:M89" si="22">C89+$K30</f>
        <v>100</v>
      </c>
      <c r="E89" s="1706">
        <f t="shared" si="22"/>
        <v>100</v>
      </c>
      <c r="F89" s="1706">
        <f t="shared" si="22"/>
        <v>100</v>
      </c>
      <c r="G89" s="1706">
        <f t="shared" si="22"/>
        <v>100</v>
      </c>
      <c r="H89" s="1706">
        <f t="shared" si="22"/>
        <v>100</v>
      </c>
      <c r="I89" s="1706">
        <f t="shared" si="22"/>
        <v>100</v>
      </c>
      <c r="J89" s="1706">
        <f t="shared" si="22"/>
        <v>100</v>
      </c>
      <c r="K89" s="1706">
        <f t="shared" si="22"/>
        <v>100</v>
      </c>
      <c r="L89" s="1706">
        <f t="shared" si="22"/>
        <v>100</v>
      </c>
      <c r="M89" s="1706">
        <f t="shared" si="22"/>
        <v>100</v>
      </c>
      <c r="N89" s="1699"/>
      <c r="O89" s="1699"/>
      <c r="P89" s="2054"/>
      <c r="Q89" s="1659"/>
      <c r="R89" s="1581"/>
      <c r="S89" s="1581"/>
      <c r="T89" s="1581"/>
      <c r="U89" s="1581"/>
      <c r="V89" s="1581"/>
      <c r="W89" s="1581"/>
      <c r="X89" s="1581"/>
      <c r="Y89" s="1581"/>
      <c r="Z89" s="1581"/>
      <c r="AA89" s="1581"/>
      <c r="AB89" s="1581"/>
      <c r="AC89" s="1581"/>
    </row>
    <row r="90" s="1373" customFormat="1" ht="15.75" spans="1:29">
      <c r="A90" s="1764"/>
      <c r="B90" s="1700" t="s">
        <v>1957</v>
      </c>
      <c r="C90" s="1742" t="str">
        <f>C91&amp;"(含)"&amp;"-"&amp;D91</f>
        <v>(含)-</v>
      </c>
      <c r="D90" s="1742" t="str">
        <f t="shared" ref="D90:L90" si="23">D91&amp;"(含)"&amp;"-"&amp;E91</f>
        <v>(含)-</v>
      </c>
      <c r="E90" s="1742" t="str">
        <f t="shared" si="23"/>
        <v>(含)-</v>
      </c>
      <c r="F90" s="1742" t="str">
        <f t="shared" si="23"/>
        <v>(含)-</v>
      </c>
      <c r="G90" s="1742" t="str">
        <f t="shared" si="23"/>
        <v>(含)-</v>
      </c>
      <c r="H90" s="1742" t="str">
        <f t="shared" si="23"/>
        <v>(含)-</v>
      </c>
      <c r="I90" s="1742" t="str">
        <f t="shared" si="23"/>
        <v>(含)-</v>
      </c>
      <c r="J90" s="1742" t="str">
        <f t="shared" si="23"/>
        <v>(含)-</v>
      </c>
      <c r="K90" s="1742" t="str">
        <f t="shared" si="23"/>
        <v>(含)-</v>
      </c>
      <c r="L90" s="1742" t="str">
        <f t="shared" si="23"/>
        <v>(含)-</v>
      </c>
      <c r="M90" s="1745" t="str">
        <f>M91&amp;"(含)"&amp;"-"&amp;P91</f>
        <v>(含)-</v>
      </c>
      <c r="N90" s="1721"/>
      <c r="O90" s="1721"/>
      <c r="P90" s="2055"/>
      <c r="Q90" s="1722"/>
      <c r="R90" s="1723"/>
      <c r="S90" s="1723"/>
      <c r="T90" s="1723"/>
      <c r="U90" s="1723"/>
      <c r="V90" s="1723"/>
      <c r="W90" s="1723"/>
      <c r="X90" s="1723"/>
      <c r="Y90" s="1723"/>
      <c r="Z90" s="1723"/>
      <c r="AA90" s="1723"/>
      <c r="AB90" s="1723"/>
      <c r="AC90" s="1723"/>
    </row>
    <row r="91" s="1373" customFormat="1" ht="15" spans="1:29">
      <c r="A91" s="1764"/>
      <c r="B91" s="1708"/>
      <c r="C91" s="1667"/>
      <c r="D91" s="1667"/>
      <c r="E91" s="1667"/>
      <c r="F91" s="1667"/>
      <c r="G91" s="1667"/>
      <c r="H91" s="1667"/>
      <c r="I91" s="1667"/>
      <c r="J91" s="1766"/>
      <c r="K91" s="1766"/>
      <c r="L91" s="1767"/>
      <c r="M91" s="1768"/>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24"/>
      <c r="D92" s="1697"/>
      <c r="E92" s="1697"/>
      <c r="F92" s="1697"/>
      <c r="G92" s="1697"/>
      <c r="H92" s="1697"/>
      <c r="I92" s="1697"/>
      <c r="J92" s="1697"/>
      <c r="K92" s="1697"/>
      <c r="L92" s="1697"/>
      <c r="M92" s="1698"/>
      <c r="N92" s="1721"/>
      <c r="O92" s="1721"/>
      <c r="P92" s="2055"/>
      <c r="Q92" s="1722"/>
      <c r="R92" s="1723"/>
      <c r="S92" s="1723"/>
      <c r="T92" s="1723"/>
      <c r="U92" s="1723"/>
      <c r="V92" s="1723"/>
      <c r="W92" s="1723"/>
      <c r="X92" s="1723"/>
      <c r="Y92" s="1723"/>
      <c r="Z92" s="1723"/>
      <c r="AA92" s="1723"/>
      <c r="AB92" s="1723"/>
      <c r="AC92" s="1723"/>
    </row>
    <row r="93" ht="15.75" spans="1:29">
      <c r="A93" s="1773"/>
      <c r="B93" s="1700" t="s">
        <v>1958</v>
      </c>
      <c r="C93" s="1717"/>
      <c r="D93" s="1717"/>
      <c r="E93" s="1753"/>
      <c r="F93" s="1753"/>
      <c r="G93" s="1753"/>
      <c r="H93" s="1753"/>
      <c r="I93" s="1753"/>
      <c r="J93" s="1753"/>
      <c r="K93" s="1754"/>
      <c r="L93" s="1755"/>
      <c r="M93" s="1756"/>
      <c r="N93" s="1694"/>
      <c r="O93" s="1694"/>
      <c r="P93" s="2054"/>
      <c r="Q93" s="1659"/>
      <c r="R93" s="1581"/>
      <c r="S93" s="1581"/>
      <c r="T93" s="1581"/>
      <c r="U93" s="1581"/>
      <c r="V93" s="1581"/>
      <c r="W93" s="1581"/>
      <c r="X93" s="1581"/>
      <c r="Y93" s="1581"/>
      <c r="Z93" s="1581"/>
      <c r="AA93" s="1581"/>
      <c r="AB93" s="1581"/>
      <c r="AC93" s="1581"/>
    </row>
    <row r="94" ht="15.75" spans="1:29">
      <c r="A94" s="1695"/>
      <c r="B94" s="1705"/>
      <c r="C94" s="1706">
        <v>100</v>
      </c>
      <c r="D94" s="1706">
        <f t="shared" ref="D94:M94" si="24">C94-$K32</f>
        <v>100</v>
      </c>
      <c r="E94" s="1706">
        <f t="shared" si="24"/>
        <v>100</v>
      </c>
      <c r="F94" s="1706">
        <f t="shared" si="24"/>
        <v>100</v>
      </c>
      <c r="G94" s="1706">
        <f t="shared" si="24"/>
        <v>100</v>
      </c>
      <c r="H94" s="1706">
        <f t="shared" si="24"/>
        <v>100</v>
      </c>
      <c r="I94" s="1706">
        <f t="shared" si="24"/>
        <v>100</v>
      </c>
      <c r="J94" s="1706">
        <f t="shared" si="24"/>
        <v>100</v>
      </c>
      <c r="K94" s="1706">
        <f t="shared" si="24"/>
        <v>100</v>
      </c>
      <c r="L94" s="1706">
        <f t="shared" si="24"/>
        <v>100</v>
      </c>
      <c r="M94" s="1707">
        <f t="shared" si="24"/>
        <v>100</v>
      </c>
      <c r="N94" s="1699"/>
      <c r="O94" s="1699"/>
      <c r="P94" s="2054"/>
      <c r="Q94" s="1659"/>
      <c r="R94" s="1581"/>
      <c r="S94" s="1581"/>
      <c r="T94" s="1581"/>
      <c r="U94" s="1581"/>
      <c r="V94" s="1581"/>
      <c r="W94" s="1581"/>
      <c r="X94" s="1581"/>
      <c r="Y94" s="1581"/>
      <c r="Z94" s="1581"/>
      <c r="AA94" s="1581"/>
      <c r="AB94" s="1581"/>
      <c r="AC94" s="1581"/>
    </row>
    <row r="95" ht="15.75" spans="1:29">
      <c r="A95" s="1773"/>
      <c r="B95" s="1700" t="s">
        <v>1959</v>
      </c>
      <c r="C95" s="1690"/>
      <c r="D95" s="1690"/>
      <c r="E95" s="1690"/>
      <c r="F95" s="1690"/>
      <c r="G95" s="1690"/>
      <c r="H95" s="1690"/>
      <c r="I95" s="1690"/>
      <c r="J95" s="1690"/>
      <c r="K95" s="1691"/>
      <c r="L95" s="1692"/>
      <c r="M95" s="1693"/>
      <c r="N95" s="1694"/>
      <c r="O95" s="1694"/>
      <c r="P95" s="2054"/>
      <c r="Q95" s="1659"/>
      <c r="R95" s="1581"/>
      <c r="S95" s="1581"/>
      <c r="T95" s="1581"/>
      <c r="U95" s="1581"/>
      <c r="V95" s="1581"/>
      <c r="W95" s="1581"/>
      <c r="X95" s="1581"/>
      <c r="Y95" s="1581"/>
      <c r="Z95" s="1581"/>
      <c r="AA95" s="1581"/>
      <c r="AB95" s="1581"/>
      <c r="AC95" s="1581"/>
    </row>
    <row r="96" ht="15.75" spans="1:29">
      <c r="A96" s="1695"/>
      <c r="B96" s="1705"/>
      <c r="C96" s="1706">
        <v>100</v>
      </c>
      <c r="D96" s="1706">
        <f>C96-$K33</f>
        <v>100</v>
      </c>
      <c r="E96" s="1706">
        <f>D96-$K33</f>
        <v>100</v>
      </c>
      <c r="F96" s="1706">
        <f>E96-$K33</f>
        <v>100</v>
      </c>
      <c r="G96" s="1706">
        <f>F96-$K33</f>
        <v>100</v>
      </c>
      <c r="H96" s="1706"/>
      <c r="I96" s="1706"/>
      <c r="J96" s="1706"/>
      <c r="K96" s="1706"/>
      <c r="L96" s="1706"/>
      <c r="M96" s="1707"/>
      <c r="N96" s="1699"/>
      <c r="O96" s="1699"/>
      <c r="P96" s="2054"/>
      <c r="Q96" s="1659"/>
      <c r="R96" s="1581"/>
      <c r="S96" s="1581"/>
      <c r="T96" s="1581"/>
      <c r="U96" s="1581"/>
      <c r="V96" s="1581"/>
      <c r="W96" s="1581"/>
      <c r="X96" s="1581"/>
      <c r="Y96" s="1581"/>
      <c r="Z96" s="1581"/>
      <c r="AA96" s="1581"/>
      <c r="AB96" s="1581"/>
      <c r="AC96" s="1581"/>
    </row>
    <row r="97" ht="15.75" spans="1:29">
      <c r="A97" s="1773"/>
      <c r="B97" s="2002">
        <f>B34</f>
        <v>111</v>
      </c>
      <c r="C97" s="1712"/>
      <c r="D97" s="1712"/>
      <c r="E97" s="1712"/>
      <c r="F97" s="1712"/>
      <c r="G97" s="1717"/>
      <c r="H97" s="1718"/>
      <c r="I97" s="1718"/>
      <c r="J97" s="1718"/>
      <c r="K97" s="1718"/>
      <c r="L97" s="1719"/>
      <c r="M97" s="1720"/>
      <c r="N97" s="1699"/>
      <c r="O97" s="1699"/>
      <c r="P97" s="2062"/>
      <c r="Q97" s="2003"/>
      <c r="R97" s="1581"/>
      <c r="S97" s="1581"/>
      <c r="T97" s="1581"/>
      <c r="U97" s="1581"/>
      <c r="V97" s="1581"/>
      <c r="W97" s="1581"/>
      <c r="X97" s="1581"/>
      <c r="Y97" s="1581"/>
      <c r="Z97" s="1581"/>
      <c r="AA97" s="1581"/>
      <c r="AB97" s="1581"/>
      <c r="AC97" s="1581"/>
    </row>
    <row r="98" ht="15.75" spans="1:29">
      <c r="A98" s="1695"/>
      <c r="B98" s="1705"/>
      <c r="C98" s="1724"/>
      <c r="D98" s="1697"/>
      <c r="E98" s="1697"/>
      <c r="F98" s="1697"/>
      <c r="G98" s="1724"/>
      <c r="H98" s="1726"/>
      <c r="I98" s="1726"/>
      <c r="J98" s="1726"/>
      <c r="K98" s="1726"/>
      <c r="L98" s="1726"/>
      <c r="M98" s="1727"/>
      <c r="N98" s="1699"/>
      <c r="O98" s="1699"/>
      <c r="P98" s="2054"/>
      <c r="Q98" s="1659"/>
      <c r="R98" s="1581"/>
      <c r="S98" s="1581"/>
      <c r="T98" s="1581"/>
      <c r="U98" s="1581"/>
      <c r="V98" s="1581"/>
      <c r="W98" s="1581"/>
      <c r="X98" s="1581"/>
      <c r="Y98" s="1581"/>
      <c r="Z98" s="1581"/>
      <c r="AA98" s="1581"/>
      <c r="AB98" s="1581"/>
      <c r="AC98" s="1581"/>
    </row>
    <row r="99" s="1373" customFormat="1" ht="15.75" spans="1:29">
      <c r="A99" s="1764"/>
      <c r="B99" s="1700">
        <f>B35</f>
        <v>111</v>
      </c>
      <c r="C99" s="1712"/>
      <c r="D99" s="1712"/>
      <c r="E99" s="1712"/>
      <c r="F99" s="1712"/>
      <c r="G99" s="1717"/>
      <c r="H99" s="1718"/>
      <c r="I99" s="1718"/>
      <c r="J99" s="1718"/>
      <c r="K99" s="1718"/>
      <c r="L99" s="1719"/>
      <c r="M99" s="1720"/>
      <c r="N99" s="1721"/>
      <c r="O99" s="1721"/>
      <c r="P99" s="2055"/>
      <c r="Q99" s="1722"/>
      <c r="R99" s="1723"/>
      <c r="S99" s="1723"/>
      <c r="T99" s="1723"/>
      <c r="U99" s="1723"/>
      <c r="V99" s="1723"/>
      <c r="W99" s="1723"/>
      <c r="X99" s="1723"/>
      <c r="Y99" s="1723"/>
      <c r="Z99" s="1723"/>
      <c r="AA99" s="1723"/>
      <c r="AB99" s="1723"/>
      <c r="AC99" s="1723"/>
    </row>
    <row r="100" s="1373" customFormat="1" ht="15.75" spans="1:29">
      <c r="A100" s="1716"/>
      <c r="B100" s="1696"/>
      <c r="C100" s="1724"/>
      <c r="D100" s="1697"/>
      <c r="E100" s="1697"/>
      <c r="F100" s="1697"/>
      <c r="G100" s="1724"/>
      <c r="H100" s="1726"/>
      <c r="I100" s="1726"/>
      <c r="J100" s="1726"/>
      <c r="K100" s="1726"/>
      <c r="L100" s="1726"/>
      <c r="M100" s="1727"/>
      <c r="N100" s="1721"/>
      <c r="O100" s="1721"/>
      <c r="P100" s="2055"/>
      <c r="Q100" s="1722"/>
      <c r="R100" s="1723"/>
      <c r="S100" s="1723"/>
      <c r="T100" s="1723"/>
      <c r="U100" s="1723"/>
      <c r="V100" s="1723"/>
      <c r="W100" s="1723"/>
      <c r="X100" s="1723"/>
      <c r="Y100" s="1723"/>
      <c r="Z100" s="1723"/>
      <c r="AA100" s="1723"/>
      <c r="AB100" s="1723"/>
      <c r="AC100" s="1723"/>
    </row>
    <row r="101" ht="15.75" spans="1:29">
      <c r="A101" s="1773"/>
      <c r="B101" s="1700">
        <f>B36</f>
        <v>111</v>
      </c>
      <c r="C101" s="1717"/>
      <c r="D101" s="1717"/>
      <c r="E101" s="1717"/>
      <c r="F101" s="1717"/>
      <c r="G101" s="1717"/>
      <c r="H101" s="1718"/>
      <c r="I101" s="1718"/>
      <c r="J101" s="1718"/>
      <c r="K101" s="1718"/>
      <c r="L101" s="1719"/>
      <c r="M101" s="1720"/>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24"/>
      <c r="D102" s="1724"/>
      <c r="E102" s="1724"/>
      <c r="F102" s="1724"/>
      <c r="G102" s="1724"/>
      <c r="H102" s="1726"/>
      <c r="I102" s="1726"/>
      <c r="J102" s="1726"/>
      <c r="K102" s="1726"/>
      <c r="L102" s="1726"/>
      <c r="M102" s="1727"/>
      <c r="N102" s="1699"/>
      <c r="O102" s="1699"/>
      <c r="P102" s="2054"/>
      <c r="Q102" s="1659"/>
      <c r="R102" s="1581"/>
      <c r="S102" s="1581"/>
      <c r="T102" s="1581"/>
      <c r="U102" s="1581"/>
      <c r="V102" s="1581"/>
      <c r="W102" s="1581"/>
      <c r="X102" s="1581"/>
      <c r="Y102" s="1581"/>
      <c r="Z102" s="1581"/>
      <c r="AA102" s="1581"/>
      <c r="AB102" s="1581"/>
      <c r="AC102" s="1581"/>
    </row>
    <row r="103" ht="15" spans="1:29">
      <c r="N103" s="1581"/>
      <c r="O103" s="1581"/>
      <c r="P103" s="2044"/>
      <c r="Q103" s="1581"/>
      <c r="R103" s="1581"/>
      <c r="S103" s="1581"/>
      <c r="T103" s="1581"/>
      <c r="U103" s="1581"/>
      <c r="V103" s="1581"/>
      <c r="W103" s="1581"/>
      <c r="X103" s="1581"/>
      <c r="Y103" s="1581"/>
      <c r="Z103" s="1581"/>
      <c r="AA103" s="1581"/>
      <c r="AB103" s="1581"/>
      <c r="AC103"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1950</v>
      </c>
      <c r="B1" s="1865" t="s">
        <v>1964</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IF(E1="项目模式",IF(E2="——",ROUND(C37*D3/10000,0),ROUND(C37*D3/10000,0)-F2),IF(E1="单套模式",IF(E2="——",ROUND(C37*D3/10000,4),ROUND(C37*D3/10000,4)-F2)))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t="e">
        <f ca="1">IF(E2="——",C37,ROUND(B2*10000/D3,0))</f>
        <v>#DIV/0!</v>
      </c>
      <c r="C3" s="1884" t="s">
        <v>1126</v>
      </c>
      <c r="D3" s="1883">
        <f>SUMIF('数据-汇总表'!$C19:$C33,D1,'数据-汇总表'!$E19:$E33)</f>
        <v>0</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1901</v>
      </c>
      <c r="F5" s="1895"/>
      <c r="G5" s="1892" t="s">
        <v>1902</v>
      </c>
      <c r="H5" s="1893"/>
      <c r="I5" s="1892" t="s">
        <v>1903</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SUMIF(46:46,YEAR(E7)&amp;"-"&amp;MONTH(E7),47:47)</f>
        <v>0</v>
      </c>
      <c r="G7" s="1910"/>
      <c r="H7" s="1911">
        <f>SUMIF(46:46,YEAR(G7)&amp;"-"&amp;MONTH(G7),47:47)</f>
        <v>0</v>
      </c>
      <c r="I7" s="1908"/>
      <c r="J7" s="1911">
        <f>SUMIF(46:46,YEAR(I7)&amp;"-"&amp;MONTH(I7),47:47)</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SUMIF(49:49,E8,50:50)-SUMIF(49:49,C8,50:50)+100</f>
        <v>100</v>
      </c>
      <c r="G8" s="1914"/>
      <c r="H8" s="1911">
        <f>SUMIF(49:49,G8,50:50)-SUMIF(49:49,C8,50:50)+100</f>
        <v>100</v>
      </c>
      <c r="I8" s="1914"/>
      <c r="J8" s="1911">
        <f>SUMIF(49:49,I8,50:50)-SUMIF(49:49,C8,50:50)+100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4" si="3">D8/F8</f>
        <v>1</v>
      </c>
      <c r="AB8" s="1462">
        <f t="shared" ref="AB8:AB34" si="4">D8/H8</f>
        <v>1</v>
      </c>
      <c r="AC8" s="1462">
        <f t="shared" ref="AC8:AC34" si="5">D8/J8</f>
        <v>1</v>
      </c>
    </row>
    <row r="9" s="1371" customFormat="1" spans="1:29">
      <c r="A9" s="1915" t="s">
        <v>1146</v>
      </c>
      <c r="B9" s="1916" t="s">
        <v>1147</v>
      </c>
      <c r="C9" s="1917"/>
      <c r="D9" s="1918">
        <v>100</v>
      </c>
      <c r="E9" s="1919"/>
      <c r="F9" s="1916">
        <f>SUMIF(51:51,E9,52:52)-SUMIF(51:51,C9,52:52)+100</f>
        <v>100</v>
      </c>
      <c r="G9" s="1919"/>
      <c r="H9" s="1920">
        <f>SUMIF(51:51,G9,52:52)-SUMIF(51:51,C9,52:52)+100</f>
        <v>100</v>
      </c>
      <c r="I9" s="1919"/>
      <c r="J9" s="1920">
        <f>SUMIF(51:51,I9,52:52)-SUMIF(51:51,C9,52:52)+100</f>
        <v>100</v>
      </c>
      <c r="K9" s="1452"/>
      <c r="L9" s="1453"/>
      <c r="M9" s="1454"/>
      <c r="N9" s="1454"/>
      <c r="O9" s="1470"/>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1921"/>
      <c r="B10" s="1922" t="s">
        <v>1151</v>
      </c>
      <c r="C10" s="1923"/>
      <c r="D10" s="1924">
        <v>100</v>
      </c>
      <c r="E10" s="1923"/>
      <c r="F10" s="1922">
        <f>SUMIF(53:53,E10,54:54)-SUMIF(53:53,C10,54:54)+100</f>
        <v>100</v>
      </c>
      <c r="G10" s="1923"/>
      <c r="H10" s="1925">
        <f>SUMIF(53:53,G10,54:54)-SUMIF(53:53,C10,54:54)+100</f>
        <v>100</v>
      </c>
      <c r="I10" s="1923"/>
      <c r="J10" s="1925">
        <f>SUMIF(53:53,I10,54:54)-SUMIF(53:53,C10,54:54)+100</f>
        <v>100</v>
      </c>
      <c r="K10" s="1452"/>
      <c r="L10" s="1477"/>
      <c r="M10" s="1478"/>
      <c r="N10" s="1478"/>
      <c r="O10" s="1479"/>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1695"/>
      <c r="B11" s="1926">
        <v>111</v>
      </c>
      <c r="C11" s="1927"/>
      <c r="D11" s="1924">
        <v>100</v>
      </c>
      <c r="E11" s="1928"/>
      <c r="F11" s="1922">
        <f>SUMIF(55:55,E11,56:56)-SUMIF(55:55,C11,56:56)+100</f>
        <v>100</v>
      </c>
      <c r="G11" s="1928"/>
      <c r="H11" s="1925">
        <f>SUMIF(55:55,G11,56:56)-SUMIF(55:55,C11,56:56)+100</f>
        <v>100</v>
      </c>
      <c r="I11" s="1928"/>
      <c r="J11" s="1925">
        <f>SUMIF(55:55,I11,56:56)-SUMIF(55:55,C11,56:56)+100</f>
        <v>100</v>
      </c>
      <c r="K11" s="1536"/>
      <c r="L11" s="1484"/>
      <c r="M11" s="1410"/>
      <c r="N11" s="1410"/>
      <c r="O11" s="1485"/>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1743"/>
      <c r="B12" s="1926">
        <v>111</v>
      </c>
      <c r="C12" s="1927"/>
      <c r="D12" s="1929">
        <v>100</v>
      </c>
      <c r="E12" s="1928"/>
      <c r="F12" s="1922">
        <f>SUMIF(57:57,E12,58:58)-SUMIF(57:57,C12,58:58)+100</f>
        <v>100</v>
      </c>
      <c r="G12" s="1928"/>
      <c r="H12" s="1925">
        <f>SUMIF(57:57,G12,58:58)-SUMIF(57:57,C12,58:58)+100</f>
        <v>100</v>
      </c>
      <c r="I12" s="1928"/>
      <c r="J12" s="1925">
        <f>SUMIF(57:57,I12,58:58)-SUMIF(57:57,C12,58:58)+100</f>
        <v>100</v>
      </c>
      <c r="K12" s="1536"/>
      <c r="L12" s="1453"/>
      <c r="M12" s="1454"/>
      <c r="N12" s="1454"/>
      <c r="O12" s="1470"/>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1695"/>
      <c r="B13" s="1926">
        <v>111</v>
      </c>
      <c r="C13" s="1930"/>
      <c r="D13" s="1931">
        <v>100</v>
      </c>
      <c r="E13" s="1928"/>
      <c r="F13" s="1922">
        <f>SUMIF(59:59,E13,60:60)-SUMIF(59:59,C13,60:60)+100</f>
        <v>100</v>
      </c>
      <c r="G13" s="1932"/>
      <c r="H13" s="1933">
        <f>SUMIF(59:59,G13,60:60)-SUMIF(59:59,C13,60:60)+100</f>
        <v>100</v>
      </c>
      <c r="I13" s="1928"/>
      <c r="J13" s="1934">
        <f>SUMIF(59:59,I13,60:60)-SUMIF(59:59,C13,60:60)+100</f>
        <v>100</v>
      </c>
      <c r="K13" s="1536"/>
      <c r="L13" s="1494"/>
      <c r="M13" s="1410"/>
      <c r="N13" s="1410"/>
      <c r="O13" s="1485"/>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688" t="s">
        <v>1155</v>
      </c>
      <c r="B14" s="1935" t="s">
        <v>1159</v>
      </c>
      <c r="C14" s="1936" t="str">
        <f>IF(B1="工业",估价对象房地状况!G4,估价对象房地状况!C6)</f>
        <v>估价对象周边道路状况、公共交通通达情况、停车便捷程度，综合评价交通便捷度较好</v>
      </c>
      <c r="D14" s="1937">
        <v>100</v>
      </c>
      <c r="E14" s="1938"/>
      <c r="F14" s="1939">
        <f>SUMIF(61:61,E15,62:62)-SUMIF(61:61,C15,62:62)+100</f>
        <v>100</v>
      </c>
      <c r="G14" s="1940"/>
      <c r="H14" s="1941">
        <f>SUMIF(61:61,G15,62:62)-SUMIF(61:61,C15,62:62)+100</f>
        <v>100</v>
      </c>
      <c r="I14" s="1938"/>
      <c r="J14" s="1941">
        <f>SUMIF(61:61,I15,62:62)-SUMIF(61:61,C15,62:62)+100</f>
        <v>100</v>
      </c>
      <c r="K14" s="1942"/>
      <c r="L14" s="1494"/>
      <c r="M14" s="1410"/>
      <c r="N14" s="1410"/>
      <c r="O14" s="1485"/>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695"/>
      <c r="B15" s="1945"/>
      <c r="C15" s="1946"/>
      <c r="D15" s="1947"/>
      <c r="E15" s="1946"/>
      <c r="F15" s="1902"/>
      <c r="G15" s="1946"/>
      <c r="H15" s="1948"/>
      <c r="I15" s="1946"/>
      <c r="J15" s="1710"/>
      <c r="K15" s="1949"/>
      <c r="L15" s="1494"/>
      <c r="M15" s="1410"/>
      <c r="N15" s="1410"/>
      <c r="O15" s="1485"/>
      <c r="P15" s="1518"/>
      <c r="Q15" s="1626"/>
      <c r="R15" s="1943"/>
      <c r="S15" s="1944"/>
      <c r="T15" s="1943"/>
      <c r="U15" s="1944"/>
      <c r="V15" s="1943"/>
      <c r="W15" s="1944"/>
      <c r="X15" s="1415"/>
      <c r="Y15" s="1518"/>
      <c r="Z15" s="1510"/>
      <c r="AA15" s="1510">
        <v>1</v>
      </c>
      <c r="AB15" s="1510">
        <v>1</v>
      </c>
      <c r="AC15" s="1510">
        <v>1</v>
      </c>
    </row>
    <row r="16" ht="40.5" spans="1:29">
      <c r="A16" s="1695"/>
      <c r="B16" s="1950" t="s">
        <v>1160</v>
      </c>
      <c r="C16" s="1951" t="str">
        <f>IF(B1="工业",估价对象房地状况!G5,估价对象房地状况!C7)</f>
        <v>估价对象所在区域公共配套设施齐备情况</v>
      </c>
      <c r="D16" s="1952">
        <v>100</v>
      </c>
      <c r="E16" s="1953"/>
      <c r="F16" s="1890">
        <f>SUMIF(63:63,E17,64:64)-SUMIF(63:63,C17,64:64)+100</f>
        <v>100</v>
      </c>
      <c r="G16" s="1954"/>
      <c r="H16" s="1955">
        <f>SUMIF(63:63,G17,64:64)-SUMIF(63:63,C17,64:64)+100</f>
        <v>100</v>
      </c>
      <c r="I16" s="1953"/>
      <c r="J16" s="1955">
        <f>SUMIF(63:63,I17,64:64)-SUMIF(63:63,C17,64:64)+100</f>
        <v>100</v>
      </c>
      <c r="K16" s="1942"/>
      <c r="L16" s="1494"/>
      <c r="M16" s="1410"/>
      <c r="N16" s="1410"/>
      <c r="O16" s="1485"/>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695"/>
      <c r="B17" s="1956"/>
      <c r="C17" s="1957"/>
      <c r="D17" s="1947"/>
      <c r="E17" s="1946"/>
      <c r="F17" s="1902"/>
      <c r="G17" s="1946"/>
      <c r="H17" s="1710"/>
      <c r="I17" s="1946"/>
      <c r="J17" s="1710"/>
      <c r="K17" s="1949"/>
      <c r="L17" s="1494"/>
      <c r="M17" s="1410"/>
      <c r="N17" s="1410"/>
      <c r="O17" s="1485"/>
      <c r="P17" s="1518"/>
      <c r="Q17" s="1626"/>
      <c r="R17" s="1943"/>
      <c r="S17" s="1944"/>
      <c r="T17" s="1943"/>
      <c r="U17" s="1944"/>
      <c r="V17" s="1943"/>
      <c r="W17" s="1944"/>
      <c r="X17" s="1415"/>
      <c r="Y17" s="1518"/>
      <c r="Z17" s="1510"/>
      <c r="AA17" s="1510">
        <v>1</v>
      </c>
      <c r="AB17" s="1510">
        <v>1</v>
      </c>
      <c r="AC17" s="1510">
        <v>1</v>
      </c>
    </row>
    <row r="18" ht="27" spans="1:29">
      <c r="A18" s="1695"/>
      <c r="B18" s="1958" t="s">
        <v>1162</v>
      </c>
      <c r="C18" s="1951" t="str">
        <f>IF(B1="工业",估价对象房地状况!G6,估价对象房地状况!C8)</f>
        <v>估价对象所在区域基础设施水平</v>
      </c>
      <c r="D18" s="1952">
        <v>100</v>
      </c>
      <c r="E18" s="1959"/>
      <c r="F18" s="1890">
        <f>SUMIF(65:65,E19,66:66)-SUMIF(65:65,C19,66:66)+100</f>
        <v>100</v>
      </c>
      <c r="G18" s="1960"/>
      <c r="H18" s="1955">
        <f>SUMIF(65:65,G19,66:66)-SUMIF(65:65,C19,66:66)+100</f>
        <v>100</v>
      </c>
      <c r="I18" s="1953"/>
      <c r="J18" s="1955">
        <f>SUMIF(65:65,I19,66:66)-SUMIF(65:65,C19,66:66)+100</f>
        <v>100</v>
      </c>
      <c r="K18" s="1942"/>
      <c r="L18" s="1494"/>
      <c r="M18" s="1410"/>
      <c r="N18" s="1410"/>
      <c r="O18" s="1485"/>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695"/>
      <c r="B19" s="1958"/>
      <c r="C19" s="1957"/>
      <c r="D19" s="1961"/>
      <c r="E19" s="1957"/>
      <c r="F19" s="1896"/>
      <c r="G19" s="1957"/>
      <c r="H19" s="1710"/>
      <c r="I19" s="1946"/>
      <c r="J19" s="1710"/>
      <c r="K19" s="1962"/>
      <c r="L19" s="1494"/>
      <c r="M19" s="1410"/>
      <c r="N19" s="1410"/>
      <c r="O19" s="1485"/>
      <c r="P19" s="1518"/>
      <c r="Q19" s="1626"/>
      <c r="R19" s="1943"/>
      <c r="S19" s="1944"/>
      <c r="T19" s="1943"/>
      <c r="U19" s="1944"/>
      <c r="V19" s="1943"/>
      <c r="W19" s="1944"/>
      <c r="X19" s="1415"/>
      <c r="Y19" s="1518"/>
      <c r="Z19" s="1510"/>
      <c r="AA19" s="1510">
        <v>1</v>
      </c>
      <c r="AB19" s="1510">
        <v>1</v>
      </c>
      <c r="AC19" s="1510">
        <v>1</v>
      </c>
    </row>
    <row r="20" ht="54" spans="1:29">
      <c r="A20" s="1695"/>
      <c r="B20" s="1950" t="s">
        <v>1905</v>
      </c>
      <c r="C20" s="1951" t="str">
        <f>IF(B1="工业",估价对象房地状况!G7,估价对象房地状况!C9)</f>
        <v>区域自然环境：；人文环境；综合评价环境状况一般</v>
      </c>
      <c r="D20" s="1952">
        <v>100</v>
      </c>
      <c r="E20" s="1953"/>
      <c r="F20" s="1890">
        <f>SUMIF(67:67,E21,68:68)-SUMIF(67:67,C21,68:68)+100</f>
        <v>100</v>
      </c>
      <c r="G20" s="1954"/>
      <c r="H20" s="1948">
        <f>SUMIF(67:67,G21,68:68)-SUMIF(67:67,C21,68:68)+100</f>
        <v>100</v>
      </c>
      <c r="I20" s="1959"/>
      <c r="J20" s="1948">
        <f>SUMIF(67:67,I21,68:68)-SUMIF(67:67,C21,68:68)+100</f>
        <v>100</v>
      </c>
      <c r="K20" s="1942"/>
      <c r="L20" s="1494"/>
      <c r="M20" s="1410"/>
      <c r="N20" s="1410"/>
      <c r="O20" s="1485"/>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695"/>
      <c r="B21" s="1956"/>
      <c r="C21" s="1946"/>
      <c r="D21" s="1947"/>
      <c r="E21" s="1946"/>
      <c r="F21" s="1902"/>
      <c r="G21" s="1946"/>
      <c r="H21" s="1710"/>
      <c r="I21" s="1946"/>
      <c r="J21" s="1710"/>
      <c r="K21" s="1949"/>
      <c r="L21" s="1494"/>
      <c r="M21" s="1410"/>
      <c r="N21" s="1410"/>
      <c r="O21" s="1485"/>
      <c r="P21" s="1518"/>
      <c r="Q21" s="1626"/>
      <c r="R21" s="1943"/>
      <c r="S21" s="1944"/>
      <c r="T21" s="1943"/>
      <c r="U21" s="1944"/>
      <c r="V21" s="1943"/>
      <c r="W21" s="1944"/>
      <c r="X21" s="1415"/>
      <c r="Y21" s="1518"/>
      <c r="Z21" s="1510"/>
      <c r="AA21" s="1510">
        <v>1</v>
      </c>
      <c r="AB21" s="1510">
        <v>1</v>
      </c>
      <c r="AC21" s="1510">
        <v>1</v>
      </c>
    </row>
    <row r="22" ht="15" spans="1:29">
      <c r="A22" s="1695"/>
      <c r="B22" s="1950" t="s">
        <v>1937</v>
      </c>
      <c r="C22" s="1963"/>
      <c r="D22" s="1961">
        <v>100</v>
      </c>
      <c r="E22" s="1963"/>
      <c r="F22" s="1964">
        <f>SUMIF(69:69,E22,70:70)-SUMIF(69:69,C22,70:70)+100</f>
        <v>100</v>
      </c>
      <c r="G22" s="1963"/>
      <c r="H22" s="1934">
        <f>SUMIF(69:69,G22,70:70)-SUMIF(69:69,C22,70:70)+100</f>
        <v>100</v>
      </c>
      <c r="I22" s="1963"/>
      <c r="J22" s="1934">
        <f>SUMIF(69:69,I22,70:70)-SUMIF(69:69,C22,70:70)+100</f>
        <v>100</v>
      </c>
      <c r="K22" s="1539"/>
      <c r="L22" s="1494"/>
      <c r="M22" s="1410"/>
      <c r="N22" s="1410"/>
      <c r="O22" s="1485"/>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926">
        <v>111</v>
      </c>
      <c r="C23" s="1927"/>
      <c r="D23" s="1931">
        <v>100</v>
      </c>
      <c r="E23" s="1930"/>
      <c r="F23" s="1964">
        <f>SUMIF(71:71,E23,72:72)-SUMIF(71:71,C23,72:72)+100</f>
        <v>100</v>
      </c>
      <c r="G23" s="1930"/>
      <c r="H23" s="1934">
        <f>SUMIF(71:71,G23,72:72)-SUMIF(71:71,C23,72:72)+100</f>
        <v>100</v>
      </c>
      <c r="I23" s="1930"/>
      <c r="J23" s="1934">
        <f>SUMIF(71:71,I23,72:72)-SUMIF(71:71,C23,72:72)+100</f>
        <v>100</v>
      </c>
      <c r="K23" s="1536"/>
      <c r="L23" s="1494"/>
      <c r="M23" s="1410"/>
      <c r="N23" s="1410"/>
      <c r="O23" s="1485"/>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695"/>
      <c r="B24" s="1926">
        <v>111</v>
      </c>
      <c r="C24" s="1927"/>
      <c r="D24" s="1931">
        <v>100</v>
      </c>
      <c r="E24" s="1930"/>
      <c r="F24" s="1964">
        <f>SUMIF(73:73,E24,74:74)-SUMIF(73:73,C24,74:74)+100</f>
        <v>100</v>
      </c>
      <c r="G24" s="1930"/>
      <c r="H24" s="1934">
        <f>SUMIF(73:73,G24,74:74)-SUMIF(73:73,C24,74:74)+100</f>
        <v>100</v>
      </c>
      <c r="I24" s="1930"/>
      <c r="J24" s="1934">
        <f>SUMIF(73:73,I24,74:74)-SUMIF(73:73,C24,74:74)+100</f>
        <v>100</v>
      </c>
      <c r="K24" s="1536"/>
      <c r="L24" s="1494"/>
      <c r="M24" s="1410"/>
      <c r="N24" s="1410"/>
      <c r="O24" s="1485"/>
      <c r="P24" s="1518"/>
      <c r="Q24" s="1626">
        <f t="shared" ref="Q24:Q34"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743"/>
      <c r="B25" s="1926">
        <v>111</v>
      </c>
      <c r="C25" s="1965"/>
      <c r="D25" s="1966">
        <v>100</v>
      </c>
      <c r="E25" s="1965"/>
      <c r="F25" s="1958">
        <f>SUMIF(75:75,E25,76:76)-SUMIF(75:75,C25,76:76)+100</f>
        <v>100</v>
      </c>
      <c r="G25" s="1965"/>
      <c r="H25" s="1967">
        <f>SUMIF(75:75,G25,76:76)-SUMIF(75:75,C25,76:76)+100</f>
        <v>100</v>
      </c>
      <c r="I25" s="1965"/>
      <c r="J25" s="1967">
        <f>SUMIF(75:75,I25,76:76)-SUMIF(75:75,C25,76:76)+100</f>
        <v>100</v>
      </c>
      <c r="K25" s="1536"/>
      <c r="L25" s="1453"/>
      <c r="M25" s="1454"/>
      <c r="N25" s="1454"/>
      <c r="O25" s="1470"/>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1968" t="s">
        <v>1166</v>
      </c>
      <c r="B26" s="1916" t="s">
        <v>1173</v>
      </c>
      <c r="C26" s="1969"/>
      <c r="D26" s="1970">
        <v>100</v>
      </c>
      <c r="E26" s="1969"/>
      <c r="F26" s="1889">
        <f>SUMIF(77:77,E26,78:78)-SUMIF(77:77,C26,78:78)+100</f>
        <v>100</v>
      </c>
      <c r="G26" s="1969"/>
      <c r="H26" s="1887">
        <f>SUMIF(77:77,G26,78:78)-SUMIF(77:77,C26,78:78)+100</f>
        <v>100</v>
      </c>
      <c r="I26" s="1969"/>
      <c r="J26" s="1887">
        <f>SUMIF(77:77,I26,78:78)-SUMIF(77:77,C26,78:78)+100</f>
        <v>100</v>
      </c>
      <c r="K26" s="1539"/>
      <c r="L26" s="1494"/>
      <c r="M26" s="1410"/>
      <c r="N26" s="1410"/>
      <c r="O26" s="1485"/>
      <c r="P26" s="1971" t="s">
        <v>1169</v>
      </c>
      <c r="Q26" s="1626" t="str">
        <f t="shared" si="11"/>
        <v>公共部分装修</v>
      </c>
      <c r="R26" s="1943" t="s">
        <v>1142</v>
      </c>
      <c r="S26" s="1944">
        <f t="shared" ref="S26:S34" si="12">F26</f>
        <v>100</v>
      </c>
      <c r="T26" s="1943" t="s">
        <v>1142</v>
      </c>
      <c r="U26" s="1944">
        <f t="shared" ref="U26:U34" si="13">H26</f>
        <v>100</v>
      </c>
      <c r="V26" s="1943" t="s">
        <v>1142</v>
      </c>
      <c r="W26" s="1944">
        <f t="shared" ref="W26:W34" si="14">J26</f>
        <v>100</v>
      </c>
      <c r="X26" s="1415"/>
      <c r="Y26" s="1545" t="s">
        <v>1169</v>
      </c>
      <c r="Z26" s="1510" t="str">
        <f t="shared" ref="Z26:Z34" si="15">Q26</f>
        <v>公共部分装修</v>
      </c>
      <c r="AA26" s="1510">
        <f t="shared" si="3"/>
        <v>1</v>
      </c>
      <c r="AB26" s="1510">
        <f t="shared" si="4"/>
        <v>1</v>
      </c>
      <c r="AC26" s="1510">
        <f t="shared" si="5"/>
        <v>1</v>
      </c>
    </row>
    <row r="27" s="1373" customFormat="1" ht="15" spans="1:29">
      <c r="A27" s="1764"/>
      <c r="B27" s="1922" t="s">
        <v>1955</v>
      </c>
      <c r="C27" s="1972"/>
      <c r="D27" s="1924">
        <v>100</v>
      </c>
      <c r="E27" s="1973"/>
      <c r="F27" s="1964" t="e">
        <f>LOOKUP(E27,80:80,81:81)-LOOKUP(C27,80:80,81:81)+100</f>
        <v>#N/A</v>
      </c>
      <c r="G27" s="1974"/>
      <c r="H27" s="1934" t="e">
        <f>LOOKUP(G27,80:80,81:81)-LOOKUP(C27,80:80,81:81)+100</f>
        <v>#N/A</v>
      </c>
      <c r="I27" s="1974"/>
      <c r="J27" s="1934" t="e">
        <f>LOOKUP(I27,80:80,81:81)-LOOKUP(C27,80:80,81:81)+100</f>
        <v>#N/A</v>
      </c>
      <c r="K27" s="1539"/>
      <c r="L27" s="1484"/>
      <c r="M27" s="1551"/>
      <c r="N27" s="1551"/>
      <c r="O27" s="1552"/>
      <c r="P27" s="1545"/>
      <c r="Q27" s="1975" t="str">
        <f t="shared" si="11"/>
        <v>成新率</v>
      </c>
      <c r="R27" s="1976" t="s">
        <v>1142</v>
      </c>
      <c r="S27" s="1977" t="e">
        <f t="shared" si="12"/>
        <v>#N/A</v>
      </c>
      <c r="T27" s="1976" t="s">
        <v>1142</v>
      </c>
      <c r="U27" s="1977" t="e">
        <f t="shared" si="13"/>
        <v>#N/A</v>
      </c>
      <c r="V27" s="1976" t="s">
        <v>1142</v>
      </c>
      <c r="W27" s="1977" t="e">
        <f t="shared" si="14"/>
        <v>#N/A</v>
      </c>
      <c r="X27" s="1556"/>
      <c r="Y27" s="1545"/>
      <c r="Z27" s="1557" t="str">
        <f t="shared" si="15"/>
        <v>成新率</v>
      </c>
      <c r="AA27" s="1510" t="e">
        <f t="shared" si="3"/>
        <v>#N/A</v>
      </c>
      <c r="AB27" s="1510" t="e">
        <f t="shared" si="4"/>
        <v>#N/A</v>
      </c>
      <c r="AC27" s="1510" t="e">
        <f t="shared" si="5"/>
        <v>#N/A</v>
      </c>
    </row>
    <row r="28" ht="15" spans="1:29">
      <c r="A28" s="1773"/>
      <c r="B28" s="1922" t="s">
        <v>1956</v>
      </c>
      <c r="C28" s="1978"/>
      <c r="D28" s="1931">
        <v>100</v>
      </c>
      <c r="E28" s="1978"/>
      <c r="F28" s="1964">
        <f>SUMIF(82:82,E28,83:83)-SUMIF(82:82,C28,83:83)+100</f>
        <v>100</v>
      </c>
      <c r="G28" s="1978"/>
      <c r="H28" s="1934">
        <f>SUMIF(82:82,G28,83:83)-SUMIF(82:82,C28,83:83)+100</f>
        <v>100</v>
      </c>
      <c r="I28" s="1978"/>
      <c r="J28" s="1934">
        <f>SUMIF(82:82,I28,83:83)-SUMIF(82:82,C28,83:83)+100</f>
        <v>100</v>
      </c>
      <c r="K28" s="1539"/>
      <c r="L28" s="1494"/>
      <c r="M28" s="1410"/>
      <c r="N28" s="1410"/>
      <c r="O28" s="1485"/>
      <c r="P28" s="1545"/>
      <c r="Q28" s="1626" t="str">
        <f t="shared" si="11"/>
        <v>物业等级</v>
      </c>
      <c r="R28" s="1943" t="s">
        <v>1142</v>
      </c>
      <c r="S28" s="1944">
        <f t="shared" si="12"/>
        <v>100</v>
      </c>
      <c r="T28" s="1943" t="s">
        <v>1142</v>
      </c>
      <c r="U28" s="1944">
        <f t="shared" si="13"/>
        <v>100</v>
      </c>
      <c r="V28" s="1943" t="s">
        <v>1142</v>
      </c>
      <c r="W28" s="1944">
        <f t="shared" si="14"/>
        <v>100</v>
      </c>
      <c r="X28" s="1415"/>
      <c r="Y28" s="1545"/>
      <c r="Z28" s="1510" t="str">
        <f t="shared" si="15"/>
        <v>物业等级</v>
      </c>
      <c r="AA28" s="1510">
        <f t="shared" si="3"/>
        <v>1</v>
      </c>
      <c r="AB28" s="1510">
        <f t="shared" si="4"/>
        <v>1</v>
      </c>
      <c r="AC28" s="1510">
        <f t="shared" si="5"/>
        <v>1</v>
      </c>
    </row>
    <row r="29" ht="15" spans="1:29">
      <c r="A29" s="1773"/>
      <c r="B29" s="1922" t="s">
        <v>1965</v>
      </c>
      <c r="C29" s="1979"/>
      <c r="D29" s="1931">
        <v>100</v>
      </c>
      <c r="E29" s="1979"/>
      <c r="F29" s="1964">
        <f>SUMIF(84:84,E29,85:85)-SUMIF(84:84,C29,85:85)+100</f>
        <v>100</v>
      </c>
      <c r="G29" s="1979"/>
      <c r="H29" s="1934">
        <f>SUMIF(84:84,G29,85:85)-SUMIF(84:84,C29,85:85)+100</f>
        <v>100</v>
      </c>
      <c r="I29" s="1979"/>
      <c r="J29" s="1934">
        <f>SUMIF(84:84,I29,85:85)-SUMIF(84:84,C29,85:85)+100</f>
        <v>100</v>
      </c>
      <c r="K29" s="1539"/>
      <c r="L29" s="1494"/>
      <c r="M29" s="1410"/>
      <c r="N29" s="1410"/>
      <c r="O29" s="1485"/>
      <c r="P29" s="1545"/>
      <c r="Q29" s="1626" t="str">
        <f t="shared" si="11"/>
        <v>有无电梯</v>
      </c>
      <c r="R29" s="1943" t="s">
        <v>1142</v>
      </c>
      <c r="S29" s="1944">
        <f t="shared" si="12"/>
        <v>100</v>
      </c>
      <c r="T29" s="1943" t="s">
        <v>1142</v>
      </c>
      <c r="U29" s="1944">
        <f t="shared" si="13"/>
        <v>100</v>
      </c>
      <c r="V29" s="1943" t="s">
        <v>1142</v>
      </c>
      <c r="W29" s="1944">
        <f t="shared" si="14"/>
        <v>100</v>
      </c>
      <c r="X29" s="1415"/>
      <c r="Y29" s="1545"/>
      <c r="Z29" s="1510" t="str">
        <f t="shared" si="15"/>
        <v>有无电梯</v>
      </c>
      <c r="AA29" s="1510">
        <f t="shared" si="3"/>
        <v>1</v>
      </c>
      <c r="AB29" s="1510">
        <f t="shared" si="4"/>
        <v>1</v>
      </c>
      <c r="AC29" s="1510">
        <f t="shared" si="5"/>
        <v>1</v>
      </c>
    </row>
    <row r="30" ht="15" spans="1:29">
      <c r="A30" s="1773"/>
      <c r="B30" s="1922" t="s">
        <v>676</v>
      </c>
      <c r="C30" s="1928"/>
      <c r="D30" s="1931">
        <v>100</v>
      </c>
      <c r="E30" s="1928"/>
      <c r="F30" s="1964" t="e">
        <f>LOOKUP(E30,87:87,88:88)-LOOKUP(C30,87:87,88:88)+100</f>
        <v>#N/A</v>
      </c>
      <c r="G30" s="1928"/>
      <c r="H30" s="1934" t="e">
        <f>LOOKUP(G30,87:87,88:88)-LOOKUP(C30,87:87,88:88)+100</f>
        <v>#N/A</v>
      </c>
      <c r="I30" s="1928"/>
      <c r="J30" s="1934" t="e">
        <f>LOOKUP(I30,87:87,88:88)-LOOKUP(C30,87:87,88:88)+100</f>
        <v>#N/A</v>
      </c>
      <c r="K30" s="1536"/>
      <c r="L30" s="1494"/>
      <c r="M30" s="1410"/>
      <c r="N30" s="1410"/>
      <c r="O30" s="1485"/>
      <c r="P30" s="1545"/>
      <c r="Q30" s="1626" t="str">
        <f t="shared" si="11"/>
        <v>建筑面积</v>
      </c>
      <c r="R30" s="1943" t="s">
        <v>1142</v>
      </c>
      <c r="S30" s="1944" t="e">
        <f t="shared" si="12"/>
        <v>#N/A</v>
      </c>
      <c r="T30" s="1943" t="s">
        <v>1142</v>
      </c>
      <c r="U30" s="1944" t="e">
        <f t="shared" si="13"/>
        <v>#N/A</v>
      </c>
      <c r="V30" s="1943" t="s">
        <v>1142</v>
      </c>
      <c r="W30" s="1944" t="e">
        <f t="shared" si="14"/>
        <v>#N/A</v>
      </c>
      <c r="X30" s="1415"/>
      <c r="Y30" s="1545"/>
      <c r="Z30" s="1510" t="str">
        <f t="shared" si="15"/>
        <v>建筑面积</v>
      </c>
      <c r="AA30" s="1510" t="e">
        <f t="shared" si="3"/>
        <v>#N/A</v>
      </c>
      <c r="AB30" s="1510" t="e">
        <f t="shared" si="4"/>
        <v>#N/A</v>
      </c>
      <c r="AC30" s="1510" t="e">
        <f t="shared" si="5"/>
        <v>#N/A</v>
      </c>
    </row>
    <row r="31" s="1371" customFormat="1" ht="15" spans="1:29">
      <c r="A31" s="1980"/>
      <c r="B31" s="1922" t="s">
        <v>1966</v>
      </c>
      <c r="C31" s="1979"/>
      <c r="D31" s="1924">
        <v>100</v>
      </c>
      <c r="E31" s="1979"/>
      <c r="F31" s="1964">
        <f>SUMIF(89:89,E31,90:90)-SUMIF(89:89,C31,90:90)+100</f>
        <v>100</v>
      </c>
      <c r="G31" s="1979"/>
      <c r="H31" s="1934">
        <f>SUMIF(89:89,G31,90:90)-SUMIF(89:89,C31,90:90)+100</f>
        <v>100</v>
      </c>
      <c r="I31" s="1979"/>
      <c r="J31" s="1934">
        <f>SUMIF(89:89,I31,90:90)-SUMIF(89:89,C31,90:90)+100</f>
        <v>100</v>
      </c>
      <c r="K31" s="1539"/>
      <c r="L31" s="1453"/>
      <c r="M31" s="1454"/>
      <c r="N31" s="1454"/>
      <c r="O31" s="1470"/>
      <c r="P31" s="1545"/>
      <c r="Q31" s="1188" t="str">
        <f t="shared" si="11"/>
        <v>是否封闭</v>
      </c>
      <c r="R31" s="1913" t="s">
        <v>1142</v>
      </c>
      <c r="S31" s="1461">
        <f t="shared" si="12"/>
        <v>100</v>
      </c>
      <c r="T31" s="1913" t="s">
        <v>1142</v>
      </c>
      <c r="U31" s="1461">
        <f t="shared" si="13"/>
        <v>100</v>
      </c>
      <c r="V31" s="1913" t="s">
        <v>1142</v>
      </c>
      <c r="W31" s="1461">
        <f t="shared" si="14"/>
        <v>100</v>
      </c>
      <c r="X31" s="1459"/>
      <c r="Y31" s="1545"/>
      <c r="Z31" s="1462" t="str">
        <f t="shared" si="15"/>
        <v>是否封闭</v>
      </c>
      <c r="AA31" s="1462">
        <f t="shared" si="3"/>
        <v>1</v>
      </c>
      <c r="AB31" s="1462">
        <f t="shared" si="4"/>
        <v>1</v>
      </c>
      <c r="AC31" s="1462">
        <f t="shared" si="5"/>
        <v>1</v>
      </c>
    </row>
    <row r="32" ht="15" spans="1:29">
      <c r="A32" s="1773"/>
      <c r="B32" s="1926">
        <v>111</v>
      </c>
      <c r="C32" s="1927"/>
      <c r="D32" s="1931">
        <v>100</v>
      </c>
      <c r="E32" s="1928"/>
      <c r="F32" s="1964">
        <f>SUMIF(91:91,E32,92:92)-SUMIF(91:91,C32,92:92)+100</f>
        <v>100</v>
      </c>
      <c r="G32" s="1928"/>
      <c r="H32" s="1934">
        <f>SUMIF(91:91,G32,92:92)-SUMIF(91:91,C32,92:92)+100</f>
        <v>100</v>
      </c>
      <c r="I32" s="1928"/>
      <c r="J32" s="1934">
        <f>SUMIF(91:91,I32,92:92)-SUMIF(91:91,C32,92:92)+100</f>
        <v>100</v>
      </c>
      <c r="K32" s="1536"/>
      <c r="L32" s="1494"/>
      <c r="M32" s="1410"/>
      <c r="N32" s="1410"/>
      <c r="O32" s="1485"/>
      <c r="P32" s="1545" t="s">
        <v>1169</v>
      </c>
      <c r="Q32" s="1626">
        <f t="shared" si="11"/>
        <v>111</v>
      </c>
      <c r="R32" s="1943" t="s">
        <v>1142</v>
      </c>
      <c r="S32" s="1944">
        <f t="shared" si="12"/>
        <v>100</v>
      </c>
      <c r="T32" s="1943" t="s">
        <v>1142</v>
      </c>
      <c r="U32" s="1944">
        <f t="shared" si="13"/>
        <v>100</v>
      </c>
      <c r="V32" s="1943" t="s">
        <v>1142</v>
      </c>
      <c r="W32" s="1944">
        <f t="shared" si="14"/>
        <v>100</v>
      </c>
      <c r="X32" s="1415"/>
      <c r="Y32" s="1545" t="s">
        <v>1169</v>
      </c>
      <c r="Z32" s="1510">
        <f t="shared" si="15"/>
        <v>111</v>
      </c>
      <c r="AA32" s="1510">
        <f t="shared" si="3"/>
        <v>1</v>
      </c>
      <c r="AB32" s="1510">
        <f t="shared" si="4"/>
        <v>1</v>
      </c>
      <c r="AC32" s="1510">
        <f t="shared" si="5"/>
        <v>1</v>
      </c>
    </row>
    <row r="33" ht="15" spans="1:30">
      <c r="A33" s="1773"/>
      <c r="B33" s="1926">
        <v>111</v>
      </c>
      <c r="C33" s="1927"/>
      <c r="D33" s="1931">
        <v>100</v>
      </c>
      <c r="E33" s="1928"/>
      <c r="F33" s="1964">
        <f>SUMIF(93:93,E33,94:94)-SUMIF(93:93,C33,94:94)+100</f>
        <v>100</v>
      </c>
      <c r="G33" s="1928"/>
      <c r="H33" s="1934">
        <f>SUMIF(93:93,G33,94:94)-SUMIF(93:93,C33,94:94)+100</f>
        <v>100</v>
      </c>
      <c r="I33" s="1928"/>
      <c r="J33" s="1934">
        <f>SUMIF(93:93,I33,94:94)-SUMIF(93:93,C33,94:94)+100</f>
        <v>100</v>
      </c>
      <c r="K33" s="1536"/>
      <c r="L33" s="1494"/>
      <c r="M33" s="1410"/>
      <c r="N33" s="1410"/>
      <c r="O33" s="1485"/>
      <c r="P33" s="1545"/>
      <c r="Q33" s="1626">
        <f t="shared" si="11"/>
        <v>111</v>
      </c>
      <c r="R33" s="1943" t="s">
        <v>1142</v>
      </c>
      <c r="S33" s="1944">
        <f t="shared" si="12"/>
        <v>100</v>
      </c>
      <c r="T33" s="1943" t="s">
        <v>1142</v>
      </c>
      <c r="U33" s="1944">
        <f t="shared" si="13"/>
        <v>100</v>
      </c>
      <c r="V33" s="1943" t="s">
        <v>1142</v>
      </c>
      <c r="W33" s="1944">
        <f t="shared" si="14"/>
        <v>100</v>
      </c>
      <c r="X33" s="1415"/>
      <c r="Y33" s="1545"/>
      <c r="Z33" s="1510">
        <f t="shared" si="15"/>
        <v>111</v>
      </c>
      <c r="AA33" s="1510">
        <f t="shared" si="3"/>
        <v>1</v>
      </c>
      <c r="AB33" s="1510">
        <f t="shared" si="4"/>
        <v>1</v>
      </c>
      <c r="AC33" s="1510">
        <f t="shared" si="5"/>
        <v>1</v>
      </c>
    </row>
    <row r="34" ht="15.75" spans="1:30">
      <c r="A34" s="1981"/>
      <c r="B34" s="1982">
        <v>111</v>
      </c>
      <c r="C34" s="1983"/>
      <c r="D34" s="1984">
        <v>100</v>
      </c>
      <c r="E34" s="1932"/>
      <c r="F34" s="1985">
        <f>SUMIF(95:95,E34,96:96)-SUMIF(95:95,C34,96:96)+100</f>
        <v>100</v>
      </c>
      <c r="G34" s="1932"/>
      <c r="H34" s="1933">
        <f>SUMIF(95:95,G34,96:96)-SUMIF(95:95,C34,96:96)+100</f>
        <v>100</v>
      </c>
      <c r="I34" s="1932"/>
      <c r="J34" s="1933">
        <f>SUMIF(95:95,I34,96:96)-SUMIF(95:95,C34,96:96)+100</f>
        <v>100</v>
      </c>
      <c r="K34" s="1536"/>
      <c r="L34" s="1494"/>
      <c r="M34" s="1410"/>
      <c r="N34" s="1410"/>
      <c r="O34" s="1485"/>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ht="15" spans="1:30">
      <c r="A35" s="1571" t="s">
        <v>1185</v>
      </c>
      <c r="B35" s="1986"/>
      <c r="C35" s="1987" t="s">
        <v>124</v>
      </c>
      <c r="D35" s="1817"/>
      <c r="E35" s="1575"/>
      <c r="F35" s="1576"/>
      <c r="G35" s="1577"/>
      <c r="H35" s="1578"/>
      <c r="I35" s="1575"/>
      <c r="J35" s="1578"/>
      <c r="K35" s="1579"/>
      <c r="L35" s="1580"/>
      <c r="M35" s="1581"/>
      <c r="N35" s="1410"/>
      <c r="O35" s="1581"/>
      <c r="P35" s="1626" t="str">
        <f>A35</f>
        <v>成交单价（元/平方米）</v>
      </c>
      <c r="Q35" s="1626"/>
      <c r="R35" s="1510">
        <f>E35</f>
        <v>0</v>
      </c>
      <c r="S35" s="1510"/>
      <c r="T35" s="1510">
        <f>G35</f>
        <v>0</v>
      </c>
      <c r="U35" s="1510"/>
      <c r="V35" s="1510">
        <f>I35</f>
        <v>0</v>
      </c>
      <c r="W35" s="1510"/>
      <c r="X35" s="1583"/>
      <c r="Y35" s="1584"/>
      <c r="Z35" s="1583"/>
      <c r="AA35" s="1583"/>
      <c r="AB35" s="1583"/>
      <c r="AC35" s="1583"/>
    </row>
    <row r="36" ht="15.75" spans="1:30">
      <c r="A36" s="1585" t="s">
        <v>1186</v>
      </c>
      <c r="B36" s="1988"/>
      <c r="C36" s="1590" t="e">
        <f>R37</f>
        <v>#DIV/0!</v>
      </c>
      <c r="D36" s="1818" t="s">
        <v>1187</v>
      </c>
      <c r="E36" s="1587" t="e">
        <f>R36</f>
        <v>#DIV/0!</v>
      </c>
      <c r="F36" s="1589"/>
      <c r="G36" s="1590" t="e">
        <f>T36</f>
        <v>#DIV/0!</v>
      </c>
      <c r="H36" s="1589"/>
      <c r="I36" s="1587" t="e">
        <f>V36</f>
        <v>#DIV/0!</v>
      </c>
      <c r="J36" s="1589"/>
      <c r="K36" s="1591">
        <f>F36+H36+J36</f>
        <v>0</v>
      </c>
      <c r="L36" s="1580"/>
      <c r="M36" s="1581"/>
      <c r="N36" s="1410"/>
      <c r="O36" s="1581"/>
      <c r="P36" s="1626" t="str">
        <f>A36</f>
        <v>比较价值（元/平方米）</v>
      </c>
      <c r="Q36" s="1626"/>
      <c r="R36" s="1510" t="e">
        <f>IF(F1="售价",ROUND(PRODUCT(R35,AA7:AA34),0),ROUND(PRODUCT(R35,AA7:AA34),1))</f>
        <v>#DIV/0!</v>
      </c>
      <c r="S36" s="1510"/>
      <c r="T36" s="1510" t="e">
        <f>IF(F1="售价",ROUND(PRODUCT(T35,AB7:AB34),0),ROUND(PRODUCT(T35,AB7:AB34),1))</f>
        <v>#DIV/0!</v>
      </c>
      <c r="U36" s="1510"/>
      <c r="V36" s="1510" t="e">
        <f>IF(F1="售价",ROUND(PRODUCT(V35,AC7:AC34),0),ROUND(PRODUCT(V35,AC7:AC34),1))</f>
        <v>#DIV/0!</v>
      </c>
      <c r="W36" s="1510"/>
      <c r="X36" s="1583"/>
      <c r="Y36" s="1583"/>
      <c r="Z36" s="1583"/>
      <c r="AA36" s="1583"/>
      <c r="AB36" s="1583"/>
      <c r="AC36" s="1583"/>
    </row>
    <row r="37" ht="15.75" spans="1:30">
      <c r="A37" s="1592" t="s">
        <v>1188</v>
      </c>
      <c r="B37" s="1593"/>
      <c r="C37" s="1594" t="e">
        <f>R37</f>
        <v>#DIV/0!</v>
      </c>
      <c r="D37" s="1787"/>
      <c r="E37" s="1787"/>
      <c r="F37" s="1787"/>
      <c r="G37" s="1787"/>
      <c r="H37" s="1787"/>
      <c r="I37" s="1787"/>
      <c r="J37" s="1787"/>
      <c r="K37" s="1989"/>
      <c r="L37" s="1580"/>
      <c r="M37" s="1581"/>
      <c r="N37" s="1581"/>
      <c r="O37" s="1581"/>
      <c r="P37" s="1964" t="str">
        <f>A37</f>
        <v>估价对象XX用房的比较价值（楼面单价，元/平方米）</v>
      </c>
      <c r="Q37" s="1990"/>
      <c r="R37" s="1991" t="e">
        <f>IF(F1="售价",ROUND(IF(D36="简单平均",AVERAGE(R36:W36),R36*F36+T36*H36+V36*J36),0),ROUND(IF(D36="简单平均",AVERAGE(R36:V36),R36*F36+T36*H36+V36*J36),1))</f>
        <v>#DIV/0!</v>
      </c>
      <c r="S37" s="1991"/>
      <c r="T37" s="1991"/>
      <c r="U37" s="1991"/>
      <c r="V37" s="1991"/>
      <c r="W37" s="1991"/>
      <c r="X37" s="1583"/>
      <c r="Y37" s="1583"/>
      <c r="Z37" s="1583"/>
      <c r="AA37" s="1583"/>
      <c r="AB37" s="1583"/>
      <c r="AC37" s="1583"/>
    </row>
    <row r="38" spans="1:30">
      <c r="A38" s="1581"/>
      <c r="B38" s="1581"/>
      <c r="C38" s="1581"/>
      <c r="D38" s="1581"/>
      <c r="E38" s="1581"/>
      <c r="F38" s="1581"/>
      <c r="G38" s="1600"/>
      <c r="H38" s="1581"/>
      <c r="I38" s="1581"/>
      <c r="J38" s="1581"/>
      <c r="K38" s="1601"/>
      <c r="L38" s="1602"/>
      <c r="M38" s="1581"/>
      <c r="N38" s="1581"/>
      <c r="O38" s="1581"/>
      <c r="P38" s="1581"/>
      <c r="Q38" s="1581"/>
      <c r="R38" s="1581"/>
      <c r="S38" s="1581"/>
      <c r="T38" s="1581"/>
      <c r="U38" s="1581"/>
      <c r="V38" s="1581"/>
      <c r="W38" s="1581"/>
      <c r="X38" s="1581"/>
      <c r="Y38" s="1581"/>
      <c r="Z38" s="1581"/>
      <c r="AA38" s="1581"/>
      <c r="AB38" s="1581"/>
      <c r="AC38" s="1581"/>
      <c r="AD38" s="1581"/>
    </row>
    <row r="39" spans="1:30">
      <c r="A39" s="1581"/>
      <c r="B39" s="1581"/>
      <c r="C39" s="1581"/>
      <c r="D39" s="1581"/>
      <c r="E39" s="1581"/>
      <c r="F39" s="1581"/>
      <c r="G39" s="1581"/>
      <c r="H39" s="1581"/>
      <c r="I39" s="1581"/>
      <c r="J39" s="1581"/>
      <c r="K39" s="1601"/>
      <c r="L39" s="1602"/>
      <c r="M39" s="1581"/>
      <c r="N39" s="1581"/>
      <c r="O39" s="1581"/>
      <c r="P39" s="1581"/>
      <c r="Q39" s="1581"/>
      <c r="R39" s="1581"/>
      <c r="S39" s="1581"/>
      <c r="T39" s="1581"/>
      <c r="U39" s="1581"/>
      <c r="V39" s="1581"/>
      <c r="W39" s="1581"/>
      <c r="X39" s="1581"/>
      <c r="Y39" s="1581"/>
      <c r="Z39" s="1581"/>
      <c r="AA39" s="1581"/>
      <c r="AB39" s="1581"/>
      <c r="AC39" s="1581"/>
      <c r="AD39" s="1581"/>
    </row>
    <row r="40" ht="13.5" customHeight="1" spans="1:30">
      <c r="A40" s="1581"/>
      <c r="B40" s="1581"/>
      <c r="C40" s="701" t="s">
        <v>1189</v>
      </c>
      <c r="D40" s="1142"/>
      <c r="E40" s="1603" t="e">
        <f>IF(E35&lt;E36,E36/E35-1,E35/E36-1)</f>
        <v>#DIV/0!</v>
      </c>
      <c r="F40" s="1604" t="e">
        <f>IF(OR(E40&gt;=0.3,E40&lt;=-0.3),"超过30%","")</f>
        <v>#DIV/0!</v>
      </c>
      <c r="G40" s="1603" t="e">
        <f>IF(G35&lt;G36,G36/G35-1,G35/G36-1)</f>
        <v>#DIV/0!</v>
      </c>
      <c r="H40" s="1604" t="e">
        <f>IF(OR(G40&gt;=0.3,G40&lt;=-0.3),"超过30%","")</f>
        <v>#DIV/0!</v>
      </c>
      <c r="I40" s="1603" t="e">
        <f>IF(I35&lt;I36,I36/I35-1,I35/I36-1)</f>
        <v>#DIV/0!</v>
      </c>
      <c r="J40" s="1604" t="e">
        <f>IF(OR(I40&gt;=0.3,I40&lt;=-0.3),"超过30%","")</f>
        <v>#DIV/0!</v>
      </c>
      <c r="K40" s="1601"/>
      <c r="L40" s="1602"/>
      <c r="M40" s="1581"/>
      <c r="N40" s="1581"/>
      <c r="O40" s="1581"/>
      <c r="P40" s="1581"/>
      <c r="Q40" s="1581"/>
      <c r="R40" s="1581"/>
      <c r="S40" s="1581"/>
      <c r="T40" s="1581"/>
      <c r="U40" s="1581"/>
      <c r="V40" s="1581"/>
      <c r="W40" s="1581"/>
      <c r="X40" s="1581"/>
      <c r="Y40" s="1581"/>
      <c r="Z40" s="1581"/>
      <c r="AA40" s="1581"/>
      <c r="AB40" s="1581"/>
      <c r="AC40" s="1581"/>
      <c r="AD40" s="1581"/>
    </row>
    <row r="41" ht="13.5" customHeight="1" spans="1:30">
      <c r="A41" s="1581"/>
      <c r="B41" s="1581"/>
      <c r="C41" s="701" t="s">
        <v>1190</v>
      </c>
      <c r="D41" s="1141"/>
      <c r="E41" s="1603" t="e">
        <f>IF(E36&lt;G36,G36/E36-1,E36/G36-1)</f>
        <v>#DIV/0!</v>
      </c>
      <c r="F41" s="1604" t="e">
        <f>IF(OR(E41&gt;=0.2,E41&lt;=-0.2),"超过20%","")</f>
        <v>#DIV/0!</v>
      </c>
      <c r="G41" s="1603" t="e">
        <f>IF(G36&lt;I36,I36/G36-1,G36/I36-1)</f>
        <v>#DIV/0!</v>
      </c>
      <c r="H41" s="1604" t="e">
        <f>IF(OR(G41&gt;=0.2,G41&lt;=-0.2),"超过20%","")</f>
        <v>#DIV/0!</v>
      </c>
      <c r="I41" s="1603" t="e">
        <f>IF(I36&lt;E36,E36/I36-1,I36/E36-1)</f>
        <v>#DIV/0!</v>
      </c>
      <c r="J41" s="1604" t="e">
        <f>IF(OR(I41&gt;=0.2,I41&lt;=-0.2),"超过20%","")</f>
        <v>#DIV/0!</v>
      </c>
      <c r="K41" s="1601"/>
      <c r="L41" s="1602"/>
      <c r="M41" s="1581"/>
      <c r="N41" s="1581"/>
      <c r="O41" s="1581"/>
      <c r="P41" s="1581"/>
      <c r="Q41" s="1581"/>
      <c r="R41" s="1581"/>
      <c r="S41" s="1581"/>
      <c r="T41" s="1581"/>
      <c r="U41" s="1581"/>
      <c r="V41" s="1581"/>
      <c r="W41" s="1581"/>
      <c r="X41" s="1581"/>
      <c r="Y41" s="1581"/>
      <c r="Z41" s="1581"/>
      <c r="AA41" s="1581"/>
      <c r="AB41" s="1581"/>
      <c r="AC41" s="1581"/>
      <c r="AD41" s="1581"/>
    </row>
    <row r="42" s="1374" customFormat="1" ht="13.5" customHeight="1" spans="1:30">
      <c r="A42" s="1605"/>
      <c r="B42" s="1605"/>
      <c r="C42" s="701" t="s">
        <v>1191</v>
      </c>
      <c r="D42" s="1141"/>
      <c r="E42" s="1603" t="e">
        <f>IF(E35&lt;G35,G35/E35-1,E35/G35-1)</f>
        <v>#DIV/0!</v>
      </c>
      <c r="F42" s="1604" t="e">
        <f>IF(OR(E42&gt;=0.3,E42&lt;=-0.3),"超过30%","")</f>
        <v>#DIV/0!</v>
      </c>
      <c r="G42" s="1603" t="e">
        <f>IF(G35&lt;I35,I35/G35-1,G35/I35-1)</f>
        <v>#DIV/0!</v>
      </c>
      <c r="H42" s="1604" t="e">
        <f>IF(OR(G42&gt;=0.3,G42&lt;=-0.3),"超过30%","")</f>
        <v>#DIV/0!</v>
      </c>
      <c r="I42" s="1603" t="e">
        <f>IF(I35&lt;E35,E35/I35-1,I35/E35-1)</f>
        <v>#DIV/0!</v>
      </c>
      <c r="J42" s="1604" t="e">
        <f>IF(OR(I42&gt;=0.3,I42&lt;=-0.3),"超过30%","")</f>
        <v>#DIV/0!</v>
      </c>
      <c r="K42" s="1606"/>
      <c r="L42" s="1607"/>
      <c r="M42" s="1605"/>
      <c r="N42" s="1605"/>
      <c r="O42" s="1605"/>
      <c r="P42" s="1605"/>
      <c r="Q42" s="1605"/>
      <c r="R42" s="1605"/>
      <c r="S42" s="1605"/>
      <c r="T42" s="1605"/>
      <c r="U42" s="1605"/>
      <c r="V42" s="1605"/>
      <c r="W42" s="1605"/>
      <c r="X42" s="1605"/>
      <c r="Y42" s="1605"/>
      <c r="Z42" s="1605"/>
      <c r="AA42" s="1605"/>
      <c r="AB42" s="1605"/>
      <c r="AC42" s="1605"/>
      <c r="AD42" s="1605"/>
    </row>
    <row r="43" s="1374" customFormat="1" spans="1:30">
      <c r="A43" s="1605"/>
      <c r="B43" s="1608"/>
      <c r="C43" s="1992"/>
      <c r="D43" s="1605"/>
      <c r="E43" s="1605"/>
      <c r="F43" s="1605"/>
      <c r="G43" s="1605"/>
      <c r="H43" s="1605"/>
      <c r="I43" s="1605"/>
      <c r="J43" s="1605"/>
      <c r="K43" s="1606"/>
      <c r="L43" s="1607"/>
      <c r="M43" s="1605"/>
      <c r="N43" s="1605"/>
      <c r="O43" s="1605"/>
      <c r="P43" s="1605"/>
      <c r="Q43" s="1605"/>
      <c r="R43" s="1605"/>
      <c r="S43" s="1605"/>
      <c r="T43" s="1605"/>
      <c r="U43" s="1605"/>
      <c r="V43" s="1605"/>
      <c r="W43" s="1605"/>
      <c r="X43" s="1605"/>
      <c r="Y43" s="1605"/>
      <c r="Z43" s="1605"/>
      <c r="AA43" s="1605"/>
      <c r="AB43" s="1605"/>
      <c r="AC43" s="1605"/>
      <c r="AD43" s="1605"/>
    </row>
    <row r="44" spans="1:30">
      <c r="A44" s="1581"/>
      <c r="B44" s="1608"/>
      <c r="C44" s="1992"/>
      <c r="D44" s="1581"/>
      <c r="E44" s="1581"/>
      <c r="F44" s="1581"/>
      <c r="G44" s="1581"/>
      <c r="H44" s="1581"/>
      <c r="I44" s="1581"/>
      <c r="J44" s="1581"/>
      <c r="K44" s="1601"/>
      <c r="L44" s="1602"/>
      <c r="M44" s="1581"/>
      <c r="N44" s="1581"/>
      <c r="O44" s="1581"/>
      <c r="P44" s="1581"/>
      <c r="Q44" s="1581"/>
      <c r="R44" s="1581"/>
      <c r="S44" s="1581"/>
      <c r="T44" s="1581"/>
      <c r="U44" s="1581"/>
      <c r="V44" s="1581"/>
      <c r="W44" s="1581"/>
      <c r="X44" s="1581"/>
      <c r="Y44" s="1581"/>
      <c r="Z44" s="1581"/>
      <c r="AA44" s="1581"/>
      <c r="AB44" s="1581"/>
      <c r="AC44" s="1581"/>
      <c r="AD44" s="1581"/>
    </row>
    <row r="45" ht="21" spans="1:30">
      <c r="A45" s="1652" t="s">
        <v>1192</v>
      </c>
      <c r="B45" s="1583"/>
      <c r="C45" s="1653"/>
      <c r="D45" s="1653"/>
      <c r="E45" s="1653"/>
      <c r="F45" s="1654"/>
      <c r="G45" s="1654"/>
      <c r="H45" s="1653"/>
      <c r="I45" s="1653"/>
      <c r="J45" s="1653"/>
      <c r="K45" s="1655"/>
      <c r="L45" s="1656"/>
      <c r="M45" s="1653"/>
      <c r="N45" s="1658"/>
      <c r="O45" s="1658"/>
      <c r="P45" s="1658"/>
      <c r="Q45" s="1659"/>
      <c r="R45" s="1581"/>
      <c r="S45" s="1581"/>
      <c r="T45" s="1581"/>
      <c r="U45" s="1581"/>
      <c r="V45" s="1581"/>
      <c r="W45" s="1581"/>
      <c r="X45" s="1581"/>
      <c r="Y45" s="1581"/>
      <c r="Z45" s="1581"/>
      <c r="AA45" s="1581"/>
      <c r="AB45" s="1581"/>
      <c r="AC45" s="1581"/>
      <c r="AD45" s="1581"/>
    </row>
    <row r="46" s="1376" customFormat="1" ht="15" spans="1:30">
      <c r="A46" s="1993" t="s">
        <v>1140</v>
      </c>
      <c r="B46" s="1994"/>
      <c r="C46" s="1995" t="str">
        <f>YEAR(C7)&amp;"-"&amp;MONTH(C7)</f>
        <v>2026-3</v>
      </c>
      <c r="D46" s="1996">
        <f>EDATE(C46,-1)</f>
        <v>46054</v>
      </c>
      <c r="E46" s="1996">
        <f t="shared" ref="E46:O46" si="16">EDATE(D46,-1)</f>
        <v>46023</v>
      </c>
      <c r="F46" s="1996">
        <f t="shared" si="16"/>
        <v>45992</v>
      </c>
      <c r="G46" s="1996">
        <f t="shared" si="16"/>
        <v>45962</v>
      </c>
      <c r="H46" s="1996">
        <f t="shared" si="16"/>
        <v>45931</v>
      </c>
      <c r="I46" s="1996">
        <f t="shared" si="16"/>
        <v>45901</v>
      </c>
      <c r="J46" s="1996">
        <f t="shared" si="16"/>
        <v>45870</v>
      </c>
      <c r="K46" s="1996">
        <f t="shared" si="16"/>
        <v>45839</v>
      </c>
      <c r="L46" s="1996">
        <f t="shared" si="16"/>
        <v>45809</v>
      </c>
      <c r="M46" s="1996">
        <f t="shared" si="16"/>
        <v>45778</v>
      </c>
      <c r="N46" s="1996">
        <f t="shared" si="16"/>
        <v>45748</v>
      </c>
      <c r="O46" s="1996">
        <f t="shared" si="16"/>
        <v>45717</v>
      </c>
      <c r="P46" s="1663"/>
      <c r="Q46" s="1664"/>
      <c r="R46" s="1664"/>
      <c r="S46" s="1664"/>
      <c r="T46" s="1664"/>
      <c r="U46" s="1664"/>
      <c r="V46" s="1664"/>
      <c r="W46" s="1664"/>
      <c r="X46" s="1664"/>
      <c r="Y46" s="1664"/>
      <c r="Z46" s="1664"/>
      <c r="AA46" s="1664"/>
      <c r="AB46" s="1664"/>
      <c r="AC46" s="1664"/>
      <c r="AD46" s="1664"/>
    </row>
    <row r="47" s="1371" customFormat="1" ht="15" spans="1:30">
      <c r="A47" s="1997"/>
      <c r="B47" s="1678"/>
      <c r="C47" s="1998">
        <v>100</v>
      </c>
      <c r="D47" s="1686"/>
      <c r="E47" s="1686"/>
      <c r="F47" s="1686"/>
      <c r="G47" s="1686"/>
      <c r="H47" s="1686"/>
      <c r="I47" s="1686"/>
      <c r="J47" s="1686"/>
      <c r="K47" s="1686"/>
      <c r="L47" s="1686"/>
      <c r="M47" s="1926"/>
      <c r="N47" s="1686"/>
      <c r="O47" s="1687"/>
      <c r="P47" s="1659"/>
      <c r="Q47" s="1670"/>
      <c r="R47" s="1670"/>
      <c r="S47" s="1670"/>
      <c r="T47" s="1670"/>
      <c r="U47" s="1670"/>
      <c r="V47" s="1670"/>
      <c r="W47" s="1670"/>
      <c r="X47" s="1670"/>
      <c r="Y47" s="1670"/>
      <c r="Z47" s="1670"/>
      <c r="AA47" s="1670"/>
      <c r="AB47" s="1670"/>
      <c r="AC47" s="1670"/>
      <c r="AD47" s="1670"/>
    </row>
    <row r="48" s="1371" customFormat="1" ht="15.75" spans="1:30">
      <c r="A48" s="1671" t="s">
        <v>1193</v>
      </c>
      <c r="B48" s="1672"/>
      <c r="C48" s="1673"/>
      <c r="D48" s="1674"/>
      <c r="E48" s="1674"/>
      <c r="F48" s="1674"/>
      <c r="G48" s="1674"/>
      <c r="H48" s="1674"/>
      <c r="I48" s="1674"/>
      <c r="J48" s="1674"/>
      <c r="K48" s="1674"/>
      <c r="L48" s="1674"/>
      <c r="M48" s="1675"/>
      <c r="N48" s="1674"/>
      <c r="O48" s="1676"/>
      <c r="P48" s="1659"/>
      <c r="Q48" s="1659"/>
      <c r="R48" s="1670"/>
      <c r="S48" s="1670"/>
      <c r="T48" s="1670"/>
      <c r="U48" s="1670"/>
      <c r="V48" s="1670"/>
      <c r="W48" s="1670"/>
      <c r="X48" s="1670"/>
      <c r="Y48" s="1670"/>
      <c r="Z48" s="1670"/>
      <c r="AA48" s="1670"/>
      <c r="AB48" s="1670"/>
      <c r="AC48" s="1670"/>
      <c r="AD48" s="1670"/>
    </row>
    <row r="49" s="1371" customFormat="1" ht="15" spans="1:30">
      <c r="A49" s="1677" t="s">
        <v>1143</v>
      </c>
      <c r="B49" s="1678"/>
      <c r="C49" s="1679" t="s">
        <v>1194</v>
      </c>
      <c r="D49" s="1680"/>
      <c r="E49" s="1680"/>
      <c r="F49" s="1680"/>
      <c r="G49" s="1680"/>
      <c r="H49" s="1680"/>
      <c r="I49" s="1680"/>
      <c r="J49" s="1680"/>
      <c r="K49" s="1680"/>
      <c r="L49" s="1681"/>
      <c r="M49" s="1682"/>
      <c r="N49" s="1683"/>
      <c r="O49" s="1683"/>
      <c r="P49" s="1684"/>
      <c r="Q49" s="1659"/>
      <c r="R49" s="1670"/>
      <c r="S49" s="1670"/>
      <c r="T49" s="1670"/>
      <c r="U49" s="1670"/>
      <c r="V49" s="1670"/>
      <c r="W49" s="1670"/>
      <c r="X49" s="1670"/>
      <c r="Y49" s="1670"/>
      <c r="Z49" s="1670"/>
      <c r="AA49" s="1670"/>
      <c r="AB49" s="1670"/>
      <c r="AC49" s="1670"/>
      <c r="AD49" s="1670"/>
    </row>
    <row r="50" s="1371" customFormat="1" ht="15.75" spans="1:30">
      <c r="A50" s="1677"/>
      <c r="B50" s="1678"/>
      <c r="C50" s="1685">
        <v>100</v>
      </c>
      <c r="D50" s="1686"/>
      <c r="E50" s="1686"/>
      <c r="F50" s="1686"/>
      <c r="G50" s="1686"/>
      <c r="H50" s="1686"/>
      <c r="I50" s="1686"/>
      <c r="J50" s="1686"/>
      <c r="K50" s="1686"/>
      <c r="L50" s="1686"/>
      <c r="M50" s="1687"/>
      <c r="N50" s="1683"/>
      <c r="O50" s="1683"/>
      <c r="P50" s="1659"/>
      <c r="Q50" s="1659"/>
      <c r="R50" s="1670"/>
      <c r="S50" s="1670"/>
      <c r="T50" s="1670"/>
      <c r="U50" s="1670"/>
      <c r="V50" s="1670"/>
      <c r="W50" s="1670"/>
      <c r="X50" s="1670"/>
      <c r="Y50" s="1670"/>
      <c r="Z50" s="1670"/>
      <c r="AA50" s="1670"/>
      <c r="AB50" s="1670"/>
      <c r="AC50" s="1670"/>
      <c r="AD50" s="1670"/>
    </row>
    <row r="51" spans="1:30">
      <c r="A51" s="1688" t="s">
        <v>1196</v>
      </c>
      <c r="B51" s="1689" t="s">
        <v>1147</v>
      </c>
      <c r="C51" s="1618">
        <f>C9</f>
        <v>0</v>
      </c>
      <c r="D51" s="1690"/>
      <c r="E51" s="1690"/>
      <c r="F51" s="1690"/>
      <c r="G51" s="1690"/>
      <c r="H51" s="1690"/>
      <c r="I51" s="1690"/>
      <c r="J51" s="1690"/>
      <c r="K51" s="1691"/>
      <c r="L51" s="1692"/>
      <c r="M51" s="1693"/>
      <c r="N51" s="1694"/>
      <c r="O51" s="1694"/>
      <c r="P51" s="1683"/>
      <c r="Q51" s="1659"/>
      <c r="R51" s="1581"/>
      <c r="S51" s="1581"/>
      <c r="T51" s="1581"/>
      <c r="U51" s="1581"/>
      <c r="V51" s="1581"/>
      <c r="W51" s="1581"/>
      <c r="X51" s="1581"/>
      <c r="Y51" s="1581"/>
      <c r="Z51" s="1581"/>
      <c r="AA51" s="1581"/>
      <c r="AB51" s="1581"/>
      <c r="AC51" s="1581"/>
      <c r="AD51" s="1581"/>
    </row>
    <row r="52" ht="15.75" spans="1:30">
      <c r="A52" s="1695"/>
      <c r="B52" s="1696"/>
      <c r="C52" s="1697">
        <v>100</v>
      </c>
      <c r="D52" s="1697"/>
      <c r="E52" s="1697"/>
      <c r="F52" s="1697"/>
      <c r="G52" s="1697"/>
      <c r="H52" s="1697"/>
      <c r="I52" s="1697"/>
      <c r="J52" s="1697"/>
      <c r="K52" s="1697"/>
      <c r="L52" s="1697"/>
      <c r="M52" s="1698"/>
      <c r="N52" s="1699"/>
      <c r="O52" s="1699"/>
      <c r="P52" s="1683"/>
      <c r="Q52" s="1659"/>
      <c r="R52" s="1581"/>
      <c r="S52" s="1581"/>
      <c r="T52" s="1581"/>
      <c r="U52" s="1581"/>
      <c r="V52" s="1581"/>
      <c r="W52" s="1581"/>
      <c r="X52" s="1581"/>
      <c r="Y52" s="1581"/>
      <c r="Z52" s="1581"/>
      <c r="AA52" s="1581"/>
      <c r="AB52" s="1581"/>
      <c r="AC52" s="1581"/>
      <c r="AD52" s="1581"/>
    </row>
    <row r="53" ht="27.75" spans="1:30">
      <c r="A53" s="1695"/>
      <c r="B53" s="1700" t="s">
        <v>1151</v>
      </c>
      <c r="C53" s="1753"/>
      <c r="D53" s="1753"/>
      <c r="E53" s="1753"/>
      <c r="F53" s="1753"/>
      <c r="G53" s="1753"/>
      <c r="H53" s="1753"/>
      <c r="I53" s="1753"/>
      <c r="J53" s="1753"/>
      <c r="K53" s="1754"/>
      <c r="L53" s="1755"/>
      <c r="M53" s="1756"/>
      <c r="N53" s="1694"/>
      <c r="O53" s="1694"/>
      <c r="P53" s="1683"/>
      <c r="Q53" s="1659"/>
      <c r="R53" s="1581"/>
      <c r="S53" s="1581"/>
      <c r="T53" s="1581"/>
      <c r="U53" s="1581"/>
      <c r="V53" s="1581"/>
      <c r="W53" s="1581"/>
      <c r="X53" s="1581"/>
      <c r="Y53" s="1581"/>
      <c r="Z53" s="1581"/>
      <c r="AA53" s="1581"/>
      <c r="AB53" s="1581"/>
      <c r="AC53" s="1581"/>
      <c r="AD53" s="1581"/>
    </row>
    <row r="54" ht="15.75" spans="1:30">
      <c r="A54" s="1695"/>
      <c r="B54" s="1705" t="s">
        <v>1199</v>
      </c>
      <c r="C54" s="1697"/>
      <c r="D54" s="1697"/>
      <c r="E54" s="1697"/>
      <c r="F54" s="1697"/>
      <c r="G54" s="1697"/>
      <c r="H54" s="1697"/>
      <c r="I54" s="1697"/>
      <c r="J54" s="1697"/>
      <c r="K54" s="1697"/>
      <c r="L54" s="1697"/>
      <c r="M54" s="1698"/>
      <c r="N54" s="1699"/>
      <c r="O54" s="1699"/>
      <c r="P54" s="1683"/>
      <c r="Q54" s="1659"/>
      <c r="R54" s="1581"/>
      <c r="S54" s="1581"/>
      <c r="T54" s="1581"/>
      <c r="U54" s="1581"/>
      <c r="V54" s="1581"/>
      <c r="W54" s="1581"/>
      <c r="X54" s="1581"/>
      <c r="Y54" s="1581"/>
      <c r="Z54" s="1581"/>
      <c r="AA54" s="1581"/>
      <c r="AB54" s="1581"/>
      <c r="AC54" s="1581"/>
      <c r="AD54" s="1581"/>
    </row>
    <row r="55" ht="15.75" spans="1:30">
      <c r="A55" s="1695"/>
      <c r="B55" s="1518">
        <f>B11</f>
        <v>111</v>
      </c>
      <c r="C55" s="1712"/>
      <c r="D55" s="1712"/>
      <c r="E55" s="1712"/>
      <c r="F55" s="1712"/>
      <c r="G55" s="1712"/>
      <c r="H55" s="1712"/>
      <c r="I55" s="1712"/>
      <c r="J55" s="1712"/>
      <c r="K55" s="1713"/>
      <c r="L55" s="1714"/>
      <c r="M55" s="1715"/>
      <c r="N55" s="1694"/>
      <c r="O55" s="1694"/>
      <c r="P55" s="1683"/>
      <c r="Q55" s="1659"/>
      <c r="R55" s="1581"/>
      <c r="S55" s="1581"/>
      <c r="T55" s="1581"/>
      <c r="U55" s="1581"/>
      <c r="V55" s="1581"/>
      <c r="W55" s="1581"/>
      <c r="X55" s="1581"/>
      <c r="Y55" s="1581"/>
      <c r="Z55" s="1581"/>
      <c r="AA55" s="1581"/>
      <c r="AB55" s="1581"/>
      <c r="AC55" s="1581"/>
      <c r="AD55" s="1581"/>
    </row>
    <row r="56" ht="15.75" spans="1:30">
      <c r="A56" s="1695"/>
      <c r="B56" s="1696"/>
      <c r="C56" s="1724"/>
      <c r="D56" s="1697"/>
      <c r="E56" s="1697"/>
      <c r="F56" s="1697"/>
      <c r="G56" s="1697"/>
      <c r="H56" s="1697"/>
      <c r="I56" s="1697"/>
      <c r="J56" s="1697"/>
      <c r="K56" s="1697"/>
      <c r="L56" s="1697"/>
      <c r="M56" s="1698"/>
      <c r="N56" s="1699"/>
      <c r="O56" s="1699"/>
      <c r="P56" s="1683"/>
      <c r="Q56" s="1659"/>
      <c r="R56" s="1581"/>
      <c r="S56" s="1581"/>
      <c r="T56" s="1581"/>
      <c r="U56" s="1581"/>
      <c r="V56" s="1581"/>
      <c r="W56" s="1581"/>
      <c r="X56" s="1581"/>
      <c r="Y56" s="1581"/>
      <c r="Z56" s="1581"/>
      <c r="AA56" s="1581"/>
      <c r="AB56" s="1581"/>
      <c r="AC56" s="1581"/>
      <c r="AD56" s="1581"/>
    </row>
    <row r="57" s="1373" customFormat="1" ht="15.75" spans="1:30">
      <c r="A57" s="1716"/>
      <c r="B57" s="1700">
        <f>B12</f>
        <v>111</v>
      </c>
      <c r="C57" s="1712"/>
      <c r="D57" s="1712"/>
      <c r="E57" s="1712"/>
      <c r="F57" s="1712"/>
      <c r="G57" s="1717"/>
      <c r="H57" s="1718"/>
      <c r="I57" s="1718"/>
      <c r="J57" s="1718"/>
      <c r="K57" s="1718"/>
      <c r="L57" s="1719"/>
      <c r="M57" s="1720"/>
      <c r="N57" s="1721"/>
      <c r="O57" s="1721"/>
      <c r="P57" s="1721"/>
      <c r="Q57" s="1722"/>
      <c r="R57" s="1723"/>
      <c r="S57" s="1723"/>
      <c r="T57" s="1723"/>
      <c r="U57" s="1723"/>
      <c r="V57" s="1723"/>
      <c r="W57" s="1723"/>
      <c r="X57" s="1723"/>
      <c r="Y57" s="1723"/>
      <c r="Z57" s="1723"/>
      <c r="AA57" s="1723"/>
      <c r="AB57" s="1723"/>
      <c r="AC57" s="1723"/>
      <c r="AD57" s="1723"/>
    </row>
    <row r="58" s="1373" customFormat="1" ht="15.75" spans="1:30">
      <c r="A58" s="1716"/>
      <c r="B58" s="1705"/>
      <c r="C58" s="1724"/>
      <c r="D58" s="1697"/>
      <c r="E58" s="1697"/>
      <c r="F58" s="1697"/>
      <c r="G58" s="1697"/>
      <c r="H58" s="1697"/>
      <c r="I58" s="1697"/>
      <c r="J58" s="1697"/>
      <c r="K58" s="1697"/>
      <c r="L58" s="1697"/>
      <c r="M58" s="1698"/>
      <c r="N58" s="1699"/>
      <c r="O58" s="1699"/>
      <c r="P58" s="1721"/>
      <c r="Q58" s="1722"/>
      <c r="R58" s="1723"/>
      <c r="S58" s="1723"/>
      <c r="T58" s="1723"/>
      <c r="U58" s="1723"/>
      <c r="V58" s="1723"/>
      <c r="W58" s="1723"/>
      <c r="X58" s="1723"/>
      <c r="Y58" s="1723"/>
      <c r="Z58" s="1723"/>
      <c r="AA58" s="1723"/>
      <c r="AB58" s="1723"/>
      <c r="AC58" s="1723"/>
      <c r="AD58" s="1723"/>
    </row>
    <row r="59" s="1373" customFormat="1" ht="15.75" spans="1:30">
      <c r="A59" s="1716"/>
      <c r="B59" s="1700">
        <f>B13</f>
        <v>111</v>
      </c>
      <c r="C59" s="1712"/>
      <c r="D59" s="1712"/>
      <c r="E59" s="1712"/>
      <c r="F59" s="1712"/>
      <c r="G59" s="1717"/>
      <c r="H59" s="1718"/>
      <c r="I59" s="1718"/>
      <c r="J59" s="1718"/>
      <c r="K59" s="1718"/>
      <c r="L59" s="1719"/>
      <c r="M59" s="1720"/>
      <c r="N59" s="1721"/>
      <c r="O59" s="1721"/>
      <c r="P59" s="1551"/>
      <c r="Q59" s="1725"/>
      <c r="R59" s="1723"/>
      <c r="S59" s="1723"/>
      <c r="T59" s="1723"/>
      <c r="U59" s="1723"/>
      <c r="V59" s="1723"/>
      <c r="W59" s="1723"/>
      <c r="X59" s="1723"/>
      <c r="Y59" s="1723"/>
      <c r="Z59" s="1723"/>
      <c r="AA59" s="1723"/>
      <c r="AB59" s="1723"/>
      <c r="AC59" s="1723"/>
      <c r="AD59" s="1723"/>
    </row>
    <row r="60" s="1373" customFormat="1" ht="15.75" spans="1:30">
      <c r="A60" s="1716"/>
      <c r="B60" s="1705"/>
      <c r="C60" s="1724"/>
      <c r="D60" s="1724"/>
      <c r="E60" s="1724"/>
      <c r="F60" s="1724"/>
      <c r="G60" s="1724"/>
      <c r="H60" s="1726"/>
      <c r="I60" s="1726"/>
      <c r="J60" s="1726"/>
      <c r="K60" s="1726"/>
      <c r="L60" s="1726"/>
      <c r="M60" s="1727"/>
      <c r="N60" s="1721"/>
      <c r="O60" s="1721"/>
      <c r="P60" s="1721"/>
      <c r="Q60" s="1722"/>
      <c r="R60" s="1723"/>
      <c r="S60" s="1723"/>
      <c r="T60" s="1723"/>
      <c r="U60" s="1723"/>
      <c r="V60" s="1723"/>
      <c r="W60" s="1723"/>
      <c r="X60" s="1723"/>
      <c r="Y60" s="1723"/>
      <c r="Z60" s="1723"/>
      <c r="AA60" s="1723"/>
      <c r="AB60" s="1723"/>
      <c r="AC60" s="1723"/>
      <c r="AD60" s="1723"/>
    </row>
    <row r="61" ht="15" spans="1:30">
      <c r="A61" s="1688" t="s">
        <v>1155</v>
      </c>
      <c r="B61" s="1689" t="s">
        <v>1159</v>
      </c>
      <c r="C61" s="1737" t="s">
        <v>1200</v>
      </c>
      <c r="D61" s="1737" t="s">
        <v>1201</v>
      </c>
      <c r="E61" s="1737" t="s">
        <v>1202</v>
      </c>
      <c r="F61" s="1737" t="s">
        <v>1203</v>
      </c>
      <c r="G61" s="1737" t="s">
        <v>1204</v>
      </c>
      <c r="H61" s="1618"/>
      <c r="I61" s="1618"/>
      <c r="J61" s="1618"/>
      <c r="K61" s="1738"/>
      <c r="L61" s="1739"/>
      <c r="M61" s="1740"/>
      <c r="N61" s="1694"/>
      <c r="O61" s="1694"/>
      <c r="P61" s="1741"/>
      <c r="Q61" s="1659"/>
      <c r="R61" s="1581"/>
      <c r="S61" s="1581"/>
      <c r="T61" s="1581"/>
      <c r="U61" s="1581"/>
      <c r="V61" s="1581"/>
      <c r="W61" s="1581"/>
      <c r="X61" s="1581"/>
      <c r="Y61" s="1581"/>
      <c r="Z61" s="1581"/>
      <c r="AA61" s="1581"/>
      <c r="AB61" s="1581"/>
      <c r="AC61" s="1581"/>
      <c r="AD61" s="1581"/>
    </row>
    <row r="62" ht="15.75" spans="1:30">
      <c r="A62" s="1695"/>
      <c r="B62" s="1705"/>
      <c r="C62" s="1706">
        <v>100</v>
      </c>
      <c r="D62" s="1706">
        <f>C62-$K14</f>
        <v>100</v>
      </c>
      <c r="E62" s="1706">
        <f>D62-$K14</f>
        <v>100</v>
      </c>
      <c r="F62" s="1706">
        <f>E62-$K14</f>
        <v>100</v>
      </c>
      <c r="G62" s="1706">
        <f>F62-$K14</f>
        <v>100</v>
      </c>
      <c r="H62" s="1706"/>
      <c r="I62" s="1706"/>
      <c r="J62" s="1706"/>
      <c r="K62" s="1706"/>
      <c r="L62" s="1706"/>
      <c r="M62" s="1707"/>
      <c r="N62" s="1699"/>
      <c r="O62" s="1699"/>
      <c r="P62" s="1683"/>
      <c r="Q62" s="1659"/>
      <c r="R62" s="1581"/>
      <c r="S62" s="1581"/>
      <c r="T62" s="1581"/>
      <c r="U62" s="1581"/>
      <c r="V62" s="1581"/>
      <c r="W62" s="1581"/>
      <c r="X62" s="1581"/>
      <c r="Y62" s="1581"/>
      <c r="Z62" s="1581"/>
      <c r="AA62" s="1581"/>
      <c r="AB62" s="1581"/>
      <c r="AC62" s="1581"/>
      <c r="AD62" s="1581"/>
    </row>
    <row r="63" ht="27.75" spans="1:30">
      <c r="A63" s="1695"/>
      <c r="B63" s="1700" t="s">
        <v>1967</v>
      </c>
      <c r="C63" s="1742" t="s">
        <v>1200</v>
      </c>
      <c r="D63" s="1742" t="s">
        <v>1201</v>
      </c>
      <c r="E63" s="1742" t="s">
        <v>1202</v>
      </c>
      <c r="F63" s="1742" t="s">
        <v>1203</v>
      </c>
      <c r="G63" s="1742" t="s">
        <v>1204</v>
      </c>
      <c r="H63" s="1701"/>
      <c r="I63" s="1701"/>
      <c r="J63" s="1701"/>
      <c r="K63" s="1702"/>
      <c r="L63" s="1703"/>
      <c r="M63" s="1704"/>
      <c r="N63" s="1694"/>
      <c r="O63" s="1694"/>
      <c r="P63" s="1683"/>
      <c r="Q63" s="1659"/>
      <c r="R63" s="1581"/>
      <c r="S63" s="1581"/>
      <c r="T63" s="1581"/>
      <c r="U63" s="1581"/>
      <c r="V63" s="1581"/>
      <c r="W63" s="1581"/>
      <c r="X63" s="1581"/>
      <c r="Y63" s="1581"/>
      <c r="Z63" s="1581"/>
      <c r="AA63" s="1581"/>
      <c r="AB63" s="1581"/>
      <c r="AC63" s="1581"/>
      <c r="AD63" s="1581"/>
    </row>
    <row r="64" ht="15.75" spans="1:30">
      <c r="A64" s="1695"/>
      <c r="B64" s="1705"/>
      <c r="C64" s="1706">
        <v>100</v>
      </c>
      <c r="D64" s="1706">
        <f>C64-$K16</f>
        <v>100</v>
      </c>
      <c r="E64" s="1706">
        <f>D64-$K16</f>
        <v>100</v>
      </c>
      <c r="F64" s="1706">
        <f>E64-$K16</f>
        <v>100</v>
      </c>
      <c r="G64" s="1706">
        <f>F64-$K16</f>
        <v>100</v>
      </c>
      <c r="H64" s="1706"/>
      <c r="I64" s="1706"/>
      <c r="J64" s="1706"/>
      <c r="K64" s="1706"/>
      <c r="L64" s="1706"/>
      <c r="M64" s="1707"/>
      <c r="N64" s="1699"/>
      <c r="O64" s="1699"/>
      <c r="P64" s="1683"/>
      <c r="Q64" s="1659"/>
      <c r="R64" s="1581"/>
      <c r="S64" s="1581"/>
      <c r="T64" s="1581"/>
      <c r="U64" s="1581"/>
      <c r="V64" s="1581"/>
      <c r="W64" s="1581"/>
      <c r="X64" s="1581"/>
      <c r="Y64" s="1581"/>
      <c r="Z64" s="1581"/>
      <c r="AA64" s="1581"/>
      <c r="AB64" s="1581"/>
      <c r="AC64" s="1581"/>
      <c r="AD64" s="1581"/>
    </row>
    <row r="65" ht="15.75" spans="1:30">
      <c r="A65" s="1695"/>
      <c r="B65" s="1708" t="s">
        <v>1162</v>
      </c>
      <c r="C65" s="1518" t="s">
        <v>1205</v>
      </c>
      <c r="D65" s="1518" t="s">
        <v>1206</v>
      </c>
      <c r="E65" s="1518" t="s">
        <v>1207</v>
      </c>
      <c r="F65" s="1518" t="s">
        <v>1208</v>
      </c>
      <c r="G65" s="1518" t="s">
        <v>1209</v>
      </c>
      <c r="H65" s="1701"/>
      <c r="I65" s="1701"/>
      <c r="J65" s="1701"/>
      <c r="K65" s="1701"/>
      <c r="L65" s="1701"/>
      <c r="M65" s="1999"/>
      <c r="N65" s="1699"/>
      <c r="O65" s="1699"/>
      <c r="P65" s="1683"/>
      <c r="Q65" s="1659"/>
      <c r="R65" s="1581"/>
      <c r="S65" s="1581"/>
      <c r="T65" s="1581"/>
      <c r="U65" s="1581"/>
      <c r="V65" s="1581"/>
      <c r="W65" s="1581"/>
      <c r="X65" s="1581"/>
      <c r="Y65" s="1581"/>
      <c r="Z65" s="1581"/>
      <c r="AA65" s="1581"/>
      <c r="AB65" s="1581"/>
      <c r="AC65" s="1581"/>
      <c r="AD65" s="1581"/>
    </row>
    <row r="66" ht="15.75" spans="1:30">
      <c r="A66" s="1695"/>
      <c r="B66" s="1708"/>
      <c r="C66" s="1706">
        <v>100</v>
      </c>
      <c r="D66" s="1706">
        <f>C66-$K18</f>
        <v>100</v>
      </c>
      <c r="E66" s="1706">
        <f>D66-$K18</f>
        <v>100</v>
      </c>
      <c r="F66" s="1706">
        <f>E66-$K18</f>
        <v>100</v>
      </c>
      <c r="G66" s="1706">
        <f>F66-$K18</f>
        <v>100</v>
      </c>
      <c r="H66" s="1518"/>
      <c r="I66" s="1518"/>
      <c r="J66" s="1518"/>
      <c r="K66" s="1518"/>
      <c r="L66" s="1518"/>
      <c r="M66" s="1948"/>
      <c r="N66" s="1699"/>
      <c r="O66" s="1699"/>
      <c r="P66" s="1683"/>
      <c r="Q66" s="1659"/>
      <c r="R66" s="1581"/>
      <c r="S66" s="1581"/>
      <c r="T66" s="1581"/>
      <c r="U66" s="1581"/>
      <c r="V66" s="1581"/>
      <c r="W66" s="1581"/>
      <c r="X66" s="1581"/>
      <c r="Y66" s="1581"/>
      <c r="Z66" s="1581"/>
      <c r="AA66" s="1581"/>
      <c r="AB66" s="1581"/>
      <c r="AC66" s="1581"/>
      <c r="AD66" s="1581"/>
    </row>
    <row r="67" ht="15.75" spans="1:30">
      <c r="A67" s="1695"/>
      <c r="B67" s="1700" t="s">
        <v>1905</v>
      </c>
      <c r="C67" s="1742" t="s">
        <v>1200</v>
      </c>
      <c r="D67" s="1742" t="s">
        <v>1201</v>
      </c>
      <c r="E67" s="1742" t="s">
        <v>1202</v>
      </c>
      <c r="F67" s="1742" t="s">
        <v>1203</v>
      </c>
      <c r="G67" s="1742" t="s">
        <v>1204</v>
      </c>
      <c r="H67" s="1701"/>
      <c r="I67" s="1701"/>
      <c r="J67" s="1701"/>
      <c r="K67" s="1702"/>
      <c r="L67" s="1703"/>
      <c r="M67" s="1704"/>
      <c r="N67" s="1694"/>
      <c r="O67" s="1694"/>
      <c r="P67" s="1683"/>
      <c r="Q67" s="1659"/>
      <c r="R67" s="1581"/>
      <c r="S67" s="1581"/>
      <c r="T67" s="1581"/>
      <c r="U67" s="1581"/>
      <c r="V67" s="1581"/>
      <c r="W67" s="1581"/>
      <c r="X67" s="1581"/>
      <c r="Y67" s="1581"/>
      <c r="Z67" s="1581"/>
      <c r="AA67" s="1581"/>
      <c r="AB67" s="1581"/>
      <c r="AC67" s="1581"/>
      <c r="AD67" s="1581"/>
    </row>
    <row r="68" ht="15.75" spans="1:30">
      <c r="A68" s="1695"/>
      <c r="B68" s="1705"/>
      <c r="C68" s="1706">
        <v>100</v>
      </c>
      <c r="D68" s="1706">
        <f>C68-$K20</f>
        <v>100</v>
      </c>
      <c r="E68" s="1706">
        <f>D68-$K20</f>
        <v>100</v>
      </c>
      <c r="F68" s="1706">
        <f>E68-$K20</f>
        <v>100</v>
      </c>
      <c r="G68" s="1706">
        <f>F68-$K20</f>
        <v>100</v>
      </c>
      <c r="H68" s="1706"/>
      <c r="I68" s="1706"/>
      <c r="J68" s="1706"/>
      <c r="K68" s="1706"/>
      <c r="L68" s="1706"/>
      <c r="M68" s="1707"/>
      <c r="N68" s="1699"/>
      <c r="O68" s="1699"/>
      <c r="P68" s="1683"/>
      <c r="Q68" s="1659"/>
      <c r="R68" s="1581"/>
      <c r="S68" s="1581"/>
      <c r="T68" s="1581"/>
      <c r="U68" s="1581"/>
      <c r="V68" s="1581"/>
      <c r="W68" s="1581"/>
      <c r="X68" s="1581"/>
      <c r="Y68" s="1581"/>
      <c r="Z68" s="1581"/>
      <c r="AA68" s="1581"/>
      <c r="AB68" s="1581"/>
      <c r="AC68" s="1581"/>
      <c r="AD68" s="1581"/>
    </row>
    <row r="69" ht="15.75" spans="1:30">
      <c r="A69" s="1695"/>
      <c r="B69" s="1700" t="s">
        <v>1937</v>
      </c>
      <c r="C69" s="1717"/>
      <c r="D69" s="1717"/>
      <c r="E69" s="1717"/>
      <c r="F69" s="1717"/>
      <c r="G69" s="1717"/>
      <c r="H69" s="1753"/>
      <c r="I69" s="1753"/>
      <c r="J69" s="1753"/>
      <c r="K69" s="1754"/>
      <c r="L69" s="1755"/>
      <c r="M69" s="1756"/>
      <c r="N69" s="1694"/>
      <c r="O69" s="1694"/>
      <c r="P69" s="1683"/>
      <c r="Q69" s="1659"/>
      <c r="R69" s="1581"/>
      <c r="S69" s="1581"/>
      <c r="T69" s="1581"/>
      <c r="U69" s="1581"/>
      <c r="V69" s="1581"/>
      <c r="W69" s="1581"/>
      <c r="X69" s="1581"/>
      <c r="Y69" s="1581"/>
      <c r="Z69" s="1581"/>
      <c r="AA69" s="1581"/>
      <c r="AB69" s="1581"/>
      <c r="AC69" s="1581"/>
      <c r="AD69" s="1581"/>
    </row>
    <row r="70" ht="15.75" spans="1:30">
      <c r="A70" s="1695"/>
      <c r="B70" s="1705"/>
      <c r="C70" s="1706">
        <v>100</v>
      </c>
      <c r="D70" s="1706">
        <f>C70-$K22</f>
        <v>100</v>
      </c>
      <c r="E70" s="1706"/>
      <c r="F70" s="1706"/>
      <c r="G70" s="1706"/>
      <c r="H70" s="1706"/>
      <c r="I70" s="1706"/>
      <c r="J70" s="1706"/>
      <c r="K70" s="1706"/>
      <c r="L70" s="1706"/>
      <c r="M70" s="1707"/>
      <c r="N70" s="1699"/>
      <c r="O70" s="1699"/>
      <c r="P70" s="1683"/>
      <c r="Q70" s="1659"/>
      <c r="R70" s="1581"/>
      <c r="S70" s="1581"/>
      <c r="T70" s="1581"/>
      <c r="U70" s="1581"/>
      <c r="V70" s="1581"/>
      <c r="W70" s="1581"/>
      <c r="X70" s="1581"/>
      <c r="Y70" s="1581"/>
      <c r="Z70" s="1581"/>
      <c r="AA70" s="1581"/>
      <c r="AB70" s="1581"/>
      <c r="AC70" s="1581"/>
      <c r="AD70" s="1581"/>
    </row>
    <row r="71" s="1371" customFormat="1" ht="15.75" spans="1:30">
      <c r="A71" s="1743"/>
      <c r="B71" s="1700">
        <f>B23</f>
        <v>111</v>
      </c>
      <c r="C71" s="1712"/>
      <c r="D71" s="1712"/>
      <c r="E71" s="1712"/>
      <c r="F71" s="1712"/>
      <c r="G71" s="1717"/>
      <c r="H71" s="1717"/>
      <c r="I71" s="1717"/>
      <c r="J71" s="1717"/>
      <c r="K71" s="1717"/>
      <c r="L71" s="2000"/>
      <c r="M71" s="2001"/>
      <c r="N71" s="1683"/>
      <c r="O71" s="1683"/>
      <c r="P71" s="1683"/>
      <c r="Q71" s="1659"/>
      <c r="R71" s="1670"/>
      <c r="S71" s="1670"/>
      <c r="T71" s="1670"/>
      <c r="U71" s="1670"/>
      <c r="V71" s="1670"/>
      <c r="W71" s="1670"/>
      <c r="X71" s="1670"/>
      <c r="Y71" s="1670"/>
      <c r="Z71" s="1670"/>
      <c r="AA71" s="1670"/>
      <c r="AB71" s="1670"/>
      <c r="AC71" s="1670"/>
      <c r="AD71" s="1670"/>
    </row>
    <row r="72" s="1371" customFormat="1" ht="15.75" spans="1:30">
      <c r="A72" s="1743"/>
      <c r="B72" s="1705"/>
      <c r="C72" s="1724"/>
      <c r="D72" s="1697"/>
      <c r="E72" s="1697"/>
      <c r="F72" s="1697"/>
      <c r="G72" s="1697"/>
      <c r="H72" s="1697"/>
      <c r="I72" s="1697"/>
      <c r="J72" s="1697"/>
      <c r="K72" s="1697"/>
      <c r="L72" s="1697"/>
      <c r="M72" s="1698"/>
      <c r="N72" s="1699"/>
      <c r="O72" s="1699"/>
      <c r="P72" s="1683"/>
      <c r="Q72" s="1659"/>
      <c r="R72" s="1670"/>
      <c r="S72" s="1670"/>
      <c r="T72" s="1670"/>
      <c r="U72" s="1670"/>
      <c r="V72" s="1670"/>
      <c r="W72" s="1670"/>
      <c r="X72" s="1670"/>
      <c r="Y72" s="1670"/>
      <c r="Z72" s="1670"/>
      <c r="AA72" s="1670"/>
      <c r="AB72" s="1670"/>
      <c r="AC72" s="1670"/>
      <c r="AD72" s="1670"/>
    </row>
    <row r="73" s="1371" customFormat="1" ht="15.75" spans="1:30">
      <c r="A73" s="1743"/>
      <c r="B73" s="1700">
        <f>B24</f>
        <v>111</v>
      </c>
      <c r="C73" s="1712"/>
      <c r="D73" s="1712"/>
      <c r="E73" s="1712"/>
      <c r="F73" s="1712"/>
      <c r="G73" s="1717"/>
      <c r="H73" s="1717"/>
      <c r="I73" s="1717"/>
      <c r="J73" s="1717"/>
      <c r="K73" s="1717"/>
      <c r="L73" s="1717"/>
      <c r="M73" s="2001"/>
      <c r="N73" s="1683"/>
      <c r="O73" s="1683"/>
      <c r="P73" s="1683"/>
      <c r="Q73" s="1659"/>
      <c r="R73" s="1670"/>
      <c r="S73" s="1670"/>
      <c r="T73" s="1670"/>
      <c r="U73" s="1670"/>
      <c r="V73" s="1670"/>
      <c r="W73" s="1670"/>
      <c r="X73" s="1670"/>
      <c r="Y73" s="1670"/>
      <c r="Z73" s="1670"/>
      <c r="AA73" s="1670"/>
      <c r="AB73" s="1670"/>
      <c r="AC73" s="1670"/>
      <c r="AD73" s="1670"/>
    </row>
    <row r="74" s="1371" customFormat="1" ht="15.75" spans="1:30">
      <c r="A74" s="1743"/>
      <c r="B74" s="1705"/>
      <c r="C74" s="1724"/>
      <c r="D74" s="1697"/>
      <c r="E74" s="1697"/>
      <c r="F74" s="1697"/>
      <c r="G74" s="1697"/>
      <c r="H74" s="1697"/>
      <c r="I74" s="1697"/>
      <c r="J74" s="1697"/>
      <c r="K74" s="1697"/>
      <c r="L74" s="1697"/>
      <c r="M74" s="1698"/>
      <c r="N74" s="1699"/>
      <c r="O74" s="1699"/>
      <c r="P74" s="1683"/>
      <c r="Q74" s="1659"/>
      <c r="R74" s="1670"/>
      <c r="S74" s="1670"/>
      <c r="T74" s="1670"/>
      <c r="U74" s="1670"/>
      <c r="V74" s="1670"/>
      <c r="W74" s="1670"/>
      <c r="X74" s="1670"/>
      <c r="Y74" s="1670"/>
      <c r="Z74" s="1670"/>
      <c r="AA74" s="1670"/>
      <c r="AB74" s="1670"/>
      <c r="AC74" s="1670"/>
      <c r="AD74" s="1670"/>
    </row>
    <row r="75" s="1373" customFormat="1" ht="15.75" spans="1:30">
      <c r="A75" s="1716"/>
      <c r="B75" s="1700">
        <f>B25</f>
        <v>111</v>
      </c>
      <c r="C75" s="1712"/>
      <c r="D75" s="1712"/>
      <c r="E75" s="1712"/>
      <c r="F75" s="1712"/>
      <c r="G75" s="1717"/>
      <c r="H75" s="1718"/>
      <c r="I75" s="1718"/>
      <c r="J75" s="1718"/>
      <c r="K75" s="1718"/>
      <c r="L75" s="1719"/>
      <c r="M75" s="1720"/>
      <c r="N75" s="1721"/>
      <c r="O75" s="1721"/>
      <c r="P75" s="1721"/>
      <c r="Q75" s="1722"/>
      <c r="R75" s="1723"/>
      <c r="S75" s="1723"/>
      <c r="T75" s="1723"/>
      <c r="U75" s="1723"/>
      <c r="V75" s="1723"/>
      <c r="W75" s="1723"/>
      <c r="X75" s="1723"/>
      <c r="Y75" s="1723"/>
      <c r="Z75" s="1723"/>
      <c r="AA75" s="1723"/>
      <c r="AB75" s="1723"/>
      <c r="AC75" s="1723"/>
      <c r="AD75" s="1723"/>
    </row>
    <row r="76" s="1373" customFormat="1" ht="15.75" spans="1:30">
      <c r="A76" s="1716"/>
      <c r="B76" s="1705"/>
      <c r="C76" s="1724"/>
      <c r="D76" s="1724"/>
      <c r="E76" s="1724"/>
      <c r="F76" s="1724"/>
      <c r="G76" s="1697"/>
      <c r="H76" s="1697"/>
      <c r="I76" s="1697"/>
      <c r="J76" s="1697"/>
      <c r="K76" s="1697"/>
      <c r="L76" s="1697"/>
      <c r="M76" s="1698"/>
      <c r="N76" s="1721"/>
      <c r="O76" s="1721"/>
      <c r="P76" s="1721"/>
      <c r="Q76" s="1722"/>
      <c r="R76" s="1723"/>
      <c r="S76" s="1723"/>
      <c r="T76" s="1723"/>
      <c r="U76" s="1723"/>
      <c r="V76" s="1723"/>
      <c r="W76" s="1723"/>
      <c r="X76" s="1723"/>
      <c r="Y76" s="1723"/>
      <c r="Z76" s="1723"/>
      <c r="AA76" s="1723"/>
      <c r="AB76" s="1723"/>
      <c r="AC76" s="1723"/>
      <c r="AD76" s="1723"/>
    </row>
    <row r="77" ht="15" spans="1:30">
      <c r="A77" s="1688" t="s">
        <v>1166</v>
      </c>
      <c r="B77" s="1689" t="s">
        <v>1173</v>
      </c>
      <c r="C77" s="1717"/>
      <c r="D77" s="1717"/>
      <c r="E77" s="1690"/>
      <c r="F77" s="1690"/>
      <c r="G77" s="1690"/>
      <c r="H77" s="1690"/>
      <c r="I77" s="1690"/>
      <c r="J77" s="1690"/>
      <c r="K77" s="1691"/>
      <c r="L77" s="1692"/>
      <c r="M77" s="1693"/>
      <c r="N77" s="1694"/>
      <c r="O77" s="1694"/>
      <c r="P77" s="1683"/>
      <c r="Q77" s="1659"/>
      <c r="R77" s="1581"/>
      <c r="S77" s="1581"/>
      <c r="T77" s="1581"/>
      <c r="U77" s="1581"/>
      <c r="V77" s="1581"/>
      <c r="W77" s="1581"/>
      <c r="X77" s="1581"/>
      <c r="Y77" s="1581"/>
      <c r="Z77" s="1581"/>
      <c r="AA77" s="1581"/>
      <c r="AB77" s="1581"/>
      <c r="AC77" s="1581"/>
      <c r="AD77" s="1581"/>
    </row>
    <row r="78" ht="15.75" spans="1:30">
      <c r="A78" s="1695"/>
      <c r="B78" s="1705"/>
      <c r="C78" s="1706">
        <v>100</v>
      </c>
      <c r="D78" s="1706">
        <f t="shared" ref="D78:M78" si="17">C78-$K26</f>
        <v>100</v>
      </c>
      <c r="E78" s="1706">
        <f t="shared" si="17"/>
        <v>100</v>
      </c>
      <c r="F78" s="1706">
        <f t="shared" si="17"/>
        <v>100</v>
      </c>
      <c r="G78" s="1706">
        <f t="shared" si="17"/>
        <v>100</v>
      </c>
      <c r="H78" s="1706">
        <f t="shared" si="17"/>
        <v>100</v>
      </c>
      <c r="I78" s="1706">
        <f t="shared" si="17"/>
        <v>100</v>
      </c>
      <c r="J78" s="1706">
        <f t="shared" si="17"/>
        <v>100</v>
      </c>
      <c r="K78" s="1706">
        <f t="shared" si="17"/>
        <v>100</v>
      </c>
      <c r="L78" s="1706">
        <f t="shared" si="17"/>
        <v>100</v>
      </c>
      <c r="M78" s="1707">
        <f t="shared" si="17"/>
        <v>100</v>
      </c>
      <c r="N78" s="1699"/>
      <c r="O78" s="1699"/>
      <c r="P78" s="1683"/>
      <c r="Q78" s="1659"/>
      <c r="R78" s="1581"/>
      <c r="S78" s="1581"/>
      <c r="T78" s="1581"/>
      <c r="U78" s="1581"/>
      <c r="V78" s="1581"/>
      <c r="W78" s="1581"/>
      <c r="X78" s="1581"/>
      <c r="Y78" s="1581"/>
      <c r="Z78" s="1581"/>
      <c r="AA78" s="1581"/>
      <c r="AB78" s="1581"/>
      <c r="AC78" s="1581"/>
      <c r="AD78" s="1581"/>
    </row>
    <row r="79" ht="15.75" spans="1:30">
      <c r="A79" s="1695"/>
      <c r="B79" s="1700" t="s">
        <v>1955</v>
      </c>
      <c r="C79" s="1742" t="str">
        <f>C80&amp;"(含)"&amp;"-"&amp;D80</f>
        <v>0.5(含)-0.55</v>
      </c>
      <c r="D79" s="1742" t="str">
        <f>D80&amp;"(含)"&amp;"-"&amp;E80</f>
        <v>0.55(含)-0.6</v>
      </c>
      <c r="E79" s="1742" t="str">
        <f>E80&amp;"(含)"&amp;"-"&amp;F80</f>
        <v>0.6(含)-0.65</v>
      </c>
      <c r="F79" s="1742" t="str">
        <f>F80&amp;"(含)"&amp;"-"&amp;G80</f>
        <v>0.65(含)-0.7</v>
      </c>
      <c r="G79" s="1742" t="str">
        <f t="shared" ref="G79:K79" si="18">G80&amp;"(含)"&amp;"-"&amp;H80</f>
        <v>0.7(含)-0.75</v>
      </c>
      <c r="H79" s="1742" t="str">
        <f t="shared" si="18"/>
        <v>0.75(含)-0.8</v>
      </c>
      <c r="I79" s="1742" t="str">
        <f t="shared" si="18"/>
        <v>0.8(含)-0.85</v>
      </c>
      <c r="J79" s="1742" t="str">
        <f t="shared" si="18"/>
        <v>0.85(含)-0.9</v>
      </c>
      <c r="K79" s="1742" t="str">
        <f t="shared" si="18"/>
        <v>0.9(含)-0.95</v>
      </c>
      <c r="L79" s="1742" t="str">
        <f t="shared" ref="L79" si="19">L80&amp;"(含)"&amp;"-"&amp;ROUND(M80,0)&amp;"(含)"</f>
        <v>0.95(含)-1(含)</v>
      </c>
      <c r="M79" s="1742"/>
      <c r="N79" s="1683"/>
      <c r="O79" s="1683"/>
      <c r="P79" s="1683"/>
      <c r="Q79" s="1659"/>
      <c r="R79" s="1581"/>
      <c r="S79" s="1581"/>
      <c r="T79" s="1581"/>
      <c r="U79" s="1581"/>
      <c r="V79" s="1581"/>
      <c r="W79" s="1581"/>
      <c r="X79" s="1581"/>
      <c r="Y79" s="1581"/>
      <c r="Z79" s="1581"/>
      <c r="AA79" s="1581"/>
      <c r="AB79" s="1581"/>
      <c r="AC79" s="1581"/>
      <c r="AD79" s="1581"/>
    </row>
    <row r="80" ht="15" spans="1:30">
      <c r="A80" s="1695"/>
      <c r="B80" s="1708"/>
      <c r="C80" s="1188">
        <v>0.5</v>
      </c>
      <c r="D80" s="1188">
        <v>0.55</v>
      </c>
      <c r="E80" s="1188">
        <v>0.6</v>
      </c>
      <c r="F80" s="1188">
        <v>0.65</v>
      </c>
      <c r="G80" s="1188">
        <v>0.7</v>
      </c>
      <c r="H80" s="1188">
        <v>0.75</v>
      </c>
      <c r="I80" s="1518">
        <v>0.8</v>
      </c>
      <c r="J80" s="1518">
        <v>0.85</v>
      </c>
      <c r="K80" s="1518">
        <v>0.9</v>
      </c>
      <c r="L80" s="1518">
        <v>0.95</v>
      </c>
      <c r="M80" s="1518">
        <v>1.0001</v>
      </c>
      <c r="N80" s="1683"/>
      <c r="O80" s="1683"/>
      <c r="P80" s="1683"/>
      <c r="Q80" s="1659"/>
      <c r="R80" s="1581"/>
      <c r="S80" s="1581"/>
      <c r="T80" s="1581"/>
      <c r="U80" s="1581"/>
      <c r="V80" s="1581"/>
      <c r="W80" s="1581"/>
      <c r="X80" s="1581"/>
      <c r="Y80" s="1581"/>
      <c r="Z80" s="1581"/>
      <c r="AA80" s="1581"/>
      <c r="AB80" s="1581"/>
      <c r="AC80" s="1581"/>
      <c r="AD80" s="1581"/>
    </row>
    <row r="81" s="1373" customFormat="1" ht="15.75" spans="1:30">
      <c r="A81" s="1716"/>
      <c r="B81" s="1705"/>
      <c r="C81" s="1746">
        <v>100</v>
      </c>
      <c r="D81" s="1706">
        <f t="shared" ref="D81:M81" si="20">C81+$K27</f>
        <v>100</v>
      </c>
      <c r="E81" s="1706">
        <f t="shared" si="20"/>
        <v>100</v>
      </c>
      <c r="F81" s="1706">
        <f t="shared" si="20"/>
        <v>100</v>
      </c>
      <c r="G81" s="1706">
        <f t="shared" si="20"/>
        <v>100</v>
      </c>
      <c r="H81" s="1706">
        <f t="shared" si="20"/>
        <v>100</v>
      </c>
      <c r="I81" s="1706">
        <f t="shared" si="20"/>
        <v>100</v>
      </c>
      <c r="J81" s="1706">
        <f t="shared" si="20"/>
        <v>100</v>
      </c>
      <c r="K81" s="1706">
        <f t="shared" si="20"/>
        <v>100</v>
      </c>
      <c r="L81" s="1706">
        <f t="shared" si="20"/>
        <v>100</v>
      </c>
      <c r="M81" s="1706">
        <f t="shared" si="20"/>
        <v>100</v>
      </c>
      <c r="N81" s="1699"/>
      <c r="O81" s="1699"/>
      <c r="P81" s="1721"/>
      <c r="Q81" s="1722"/>
      <c r="R81" s="1723"/>
      <c r="S81" s="1723"/>
      <c r="T81" s="1723"/>
      <c r="U81" s="1723"/>
      <c r="V81" s="1723"/>
      <c r="W81" s="1723"/>
      <c r="X81" s="1723"/>
      <c r="Y81" s="1723"/>
      <c r="Z81" s="1723"/>
      <c r="AA81" s="1723"/>
      <c r="AB81" s="1723"/>
      <c r="AC81" s="1723"/>
      <c r="AD81" s="1723"/>
    </row>
    <row r="82" ht="15.75" spans="1:30">
      <c r="A82" s="1773"/>
      <c r="B82" s="1708" t="s">
        <v>1956</v>
      </c>
      <c r="C82" s="1717"/>
      <c r="D82" s="1717"/>
      <c r="E82" s="1753"/>
      <c r="F82" s="1753"/>
      <c r="G82" s="1753"/>
      <c r="H82" s="1753"/>
      <c r="I82" s="1753"/>
      <c r="J82" s="1753"/>
      <c r="K82" s="1754"/>
      <c r="L82" s="1755"/>
      <c r="M82" s="1756"/>
      <c r="N82" s="1694"/>
      <c r="O82" s="1694"/>
      <c r="P82" s="1683"/>
      <c r="Q82" s="1659"/>
      <c r="R82" s="1581"/>
      <c r="S82" s="1581"/>
      <c r="T82" s="1581"/>
      <c r="U82" s="1581"/>
      <c r="V82" s="1581"/>
      <c r="W82" s="1581"/>
      <c r="X82" s="1581"/>
      <c r="Y82" s="1581"/>
      <c r="Z82" s="1581"/>
      <c r="AA82" s="1581"/>
      <c r="AB82" s="1581"/>
      <c r="AC82" s="1581"/>
      <c r="AD82" s="1581"/>
    </row>
    <row r="83" ht="15.75" spans="1:30">
      <c r="A83" s="1695"/>
      <c r="B83" s="1705"/>
      <c r="C83" s="1706">
        <v>100</v>
      </c>
      <c r="D83" s="1706">
        <f t="shared" ref="D83:M83" si="21">C83-$K28</f>
        <v>100</v>
      </c>
      <c r="E83" s="1706">
        <f t="shared" si="21"/>
        <v>100</v>
      </c>
      <c r="F83" s="1706">
        <f t="shared" si="21"/>
        <v>100</v>
      </c>
      <c r="G83" s="1706">
        <f t="shared" si="21"/>
        <v>100</v>
      </c>
      <c r="H83" s="1706">
        <f t="shared" si="21"/>
        <v>100</v>
      </c>
      <c r="I83" s="1706">
        <f t="shared" si="21"/>
        <v>100</v>
      </c>
      <c r="J83" s="1706">
        <f t="shared" si="21"/>
        <v>100</v>
      </c>
      <c r="K83" s="1706">
        <f t="shared" si="21"/>
        <v>100</v>
      </c>
      <c r="L83" s="1706">
        <f t="shared" si="21"/>
        <v>100</v>
      </c>
      <c r="M83" s="1707">
        <f t="shared" si="21"/>
        <v>100</v>
      </c>
      <c r="N83" s="1699"/>
      <c r="O83" s="1699"/>
      <c r="P83" s="1683"/>
      <c r="Q83" s="1659"/>
      <c r="R83" s="1581"/>
      <c r="S83" s="1581"/>
      <c r="T83" s="1581"/>
      <c r="U83" s="1581"/>
      <c r="V83" s="1581"/>
      <c r="W83" s="1581"/>
      <c r="X83" s="1581"/>
      <c r="Y83" s="1581"/>
      <c r="Z83" s="1581"/>
      <c r="AA83" s="1581"/>
      <c r="AB83" s="1581"/>
      <c r="AC83" s="1581"/>
      <c r="AD83" s="1581"/>
    </row>
    <row r="84" ht="15.75" spans="1:30">
      <c r="A84" s="1773"/>
      <c r="B84" s="1700" t="s">
        <v>1965</v>
      </c>
      <c r="C84" s="1717"/>
      <c r="D84" s="1717"/>
      <c r="E84" s="1717"/>
      <c r="F84" s="1717"/>
      <c r="G84" s="1717"/>
      <c r="H84" s="1717"/>
      <c r="I84" s="1753"/>
      <c r="J84" s="1753"/>
      <c r="K84" s="1754"/>
      <c r="L84" s="1755"/>
      <c r="M84" s="1756"/>
      <c r="N84" s="1694"/>
      <c r="O84" s="1694"/>
      <c r="P84" s="1683"/>
      <c r="Q84" s="1659"/>
      <c r="R84" s="1581"/>
      <c r="S84" s="1581"/>
      <c r="T84" s="1581"/>
      <c r="U84" s="1581"/>
      <c r="V84" s="1581"/>
      <c r="W84" s="1581"/>
      <c r="X84" s="1581"/>
      <c r="Y84" s="1581"/>
      <c r="Z84" s="1581"/>
      <c r="AA84" s="1581"/>
      <c r="AB84" s="1581"/>
      <c r="AC84" s="1581"/>
      <c r="AD84" s="1581"/>
    </row>
    <row r="85" ht="15.75" spans="1:30">
      <c r="A85" s="1695"/>
      <c r="B85" s="1705"/>
      <c r="C85" s="1746">
        <v>100</v>
      </c>
      <c r="D85" s="1706">
        <f t="shared" ref="D85:M85" si="22">C85+$K29</f>
        <v>100</v>
      </c>
      <c r="E85" s="1706">
        <f t="shared" si="22"/>
        <v>100</v>
      </c>
      <c r="F85" s="1706">
        <f t="shared" si="22"/>
        <v>100</v>
      </c>
      <c r="G85" s="1706">
        <f t="shared" si="22"/>
        <v>100</v>
      </c>
      <c r="H85" s="1706">
        <f t="shared" si="22"/>
        <v>100</v>
      </c>
      <c r="I85" s="1706">
        <f t="shared" si="22"/>
        <v>100</v>
      </c>
      <c r="J85" s="1706">
        <f t="shared" si="22"/>
        <v>100</v>
      </c>
      <c r="K85" s="1706">
        <f t="shared" si="22"/>
        <v>100</v>
      </c>
      <c r="L85" s="1706">
        <f t="shared" si="22"/>
        <v>100</v>
      </c>
      <c r="M85" s="1706">
        <f t="shared" si="22"/>
        <v>100</v>
      </c>
      <c r="N85" s="1699"/>
      <c r="O85" s="1699"/>
      <c r="P85" s="1683"/>
      <c r="Q85" s="1659"/>
      <c r="R85" s="1581"/>
      <c r="S85" s="1581"/>
      <c r="T85" s="1581"/>
      <c r="U85" s="1581"/>
      <c r="V85" s="1581"/>
      <c r="W85" s="1581"/>
      <c r="X85" s="1581"/>
      <c r="Y85" s="1581"/>
      <c r="Z85" s="1581"/>
      <c r="AA85" s="1581"/>
      <c r="AB85" s="1581"/>
      <c r="AC85" s="1581"/>
      <c r="AD85" s="1581"/>
    </row>
    <row r="86" ht="15.75" spans="1:30">
      <c r="A86" s="1773"/>
      <c r="B86" s="1708" t="s">
        <v>676</v>
      </c>
      <c r="C86" s="1742" t="str">
        <f t="shared" ref="C86:L86" si="23">C87&amp;"(含)"&amp;"-"&amp;D87</f>
        <v>(含)-</v>
      </c>
      <c r="D86" s="1742" t="str">
        <f t="shared" si="23"/>
        <v>(含)-</v>
      </c>
      <c r="E86" s="1742" t="str">
        <f t="shared" si="23"/>
        <v>(含)-</v>
      </c>
      <c r="F86" s="1742" t="str">
        <f t="shared" si="23"/>
        <v>(含)-</v>
      </c>
      <c r="G86" s="1742" t="str">
        <f t="shared" si="23"/>
        <v>(含)-</v>
      </c>
      <c r="H86" s="1742" t="str">
        <f t="shared" si="23"/>
        <v>(含)-</v>
      </c>
      <c r="I86" s="1742" t="str">
        <f t="shared" si="23"/>
        <v>(含)-</v>
      </c>
      <c r="J86" s="1742" t="str">
        <f t="shared" si="23"/>
        <v>(含)-</v>
      </c>
      <c r="K86" s="1742" t="str">
        <f t="shared" si="23"/>
        <v>(含)-</v>
      </c>
      <c r="L86" s="1742" t="str">
        <f t="shared" si="23"/>
        <v>(含)-</v>
      </c>
      <c r="M86" s="1745" t="str">
        <f>M87&amp;"(含)"&amp;"-"&amp;P87</f>
        <v>(含)-</v>
      </c>
      <c r="N86" s="1694"/>
      <c r="O86" s="1694"/>
      <c r="P86" s="1683"/>
      <c r="Q86" s="1659"/>
      <c r="R86" s="1581"/>
      <c r="S86" s="1581"/>
      <c r="T86" s="1581"/>
      <c r="U86" s="1581"/>
      <c r="V86" s="1581"/>
      <c r="W86" s="1581"/>
      <c r="X86" s="1581"/>
      <c r="Y86" s="1581"/>
      <c r="Z86" s="1581"/>
      <c r="AA86" s="1581"/>
      <c r="AB86" s="1581"/>
      <c r="AC86" s="1581"/>
      <c r="AD86" s="1581"/>
    </row>
    <row r="87" ht="15" spans="1:30">
      <c r="A87" s="1773"/>
      <c r="B87" s="1708"/>
      <c r="C87" s="1667"/>
      <c r="D87" s="1667"/>
      <c r="E87" s="1667"/>
      <c r="F87" s="1667"/>
      <c r="G87" s="1667"/>
      <c r="H87" s="1667"/>
      <c r="I87" s="1667"/>
      <c r="J87" s="1766"/>
      <c r="K87" s="1766"/>
      <c r="L87" s="1767"/>
      <c r="M87" s="1768"/>
      <c r="N87" s="1694"/>
      <c r="O87" s="1694"/>
      <c r="P87" s="1683"/>
      <c r="Q87" s="1659"/>
      <c r="R87" s="1581"/>
      <c r="S87" s="1581"/>
      <c r="T87" s="1581"/>
      <c r="U87" s="1581"/>
      <c r="V87" s="1581"/>
      <c r="W87" s="1581"/>
      <c r="X87" s="1581"/>
      <c r="Y87" s="1581"/>
      <c r="Z87" s="1581"/>
      <c r="AA87" s="1581"/>
      <c r="AB87" s="1581"/>
      <c r="AC87" s="1581"/>
      <c r="AD87" s="1581"/>
    </row>
    <row r="88" ht="15.75" spans="1:30">
      <c r="A88" s="1695"/>
      <c r="B88" s="1705"/>
      <c r="C88" s="1724"/>
      <c r="D88" s="1697"/>
      <c r="E88" s="1697"/>
      <c r="F88" s="1697"/>
      <c r="G88" s="1697"/>
      <c r="H88" s="1697"/>
      <c r="I88" s="1697"/>
      <c r="J88" s="1697"/>
      <c r="K88" s="1697"/>
      <c r="L88" s="1697"/>
      <c r="M88" s="1697"/>
      <c r="N88" s="1699"/>
      <c r="O88" s="1699"/>
      <c r="P88" s="1683"/>
      <c r="Q88" s="1659"/>
      <c r="R88" s="1581"/>
      <c r="S88" s="1581"/>
      <c r="T88" s="1581"/>
      <c r="U88" s="1581"/>
      <c r="V88" s="1581"/>
      <c r="W88" s="1581"/>
      <c r="X88" s="1581"/>
      <c r="Y88" s="1581"/>
      <c r="Z88" s="1581"/>
      <c r="AA88" s="1581"/>
      <c r="AB88" s="1581"/>
      <c r="AC88" s="1581"/>
      <c r="AD88" s="1581"/>
    </row>
    <row r="89" s="1373" customFormat="1" ht="15.75" spans="1:30">
      <c r="A89" s="1764"/>
      <c r="B89" s="1700" t="s">
        <v>1966</v>
      </c>
      <c r="C89" s="1717"/>
      <c r="D89" s="1717"/>
      <c r="E89" s="1717"/>
      <c r="F89" s="1717"/>
      <c r="G89" s="1717"/>
      <c r="H89" s="1717"/>
      <c r="I89" s="1717"/>
      <c r="J89" s="1717"/>
      <c r="K89" s="1717"/>
      <c r="L89" s="1717"/>
      <c r="M89" s="2001"/>
      <c r="N89" s="1721"/>
      <c r="O89" s="1721"/>
      <c r="P89" s="1721"/>
      <c r="Q89" s="1722"/>
      <c r="R89" s="1723"/>
      <c r="S89" s="1723"/>
      <c r="T89" s="1723"/>
      <c r="U89" s="1723"/>
      <c r="V89" s="1723"/>
      <c r="W89" s="1723"/>
      <c r="X89" s="1723"/>
      <c r="Y89" s="1723"/>
      <c r="Z89" s="1723"/>
      <c r="AA89" s="1723"/>
      <c r="AB89" s="1723"/>
      <c r="AC89" s="1723"/>
      <c r="AD89" s="1723"/>
    </row>
    <row r="90" s="1373" customFormat="1" ht="15.75" spans="1:30">
      <c r="A90" s="1716"/>
      <c r="B90" s="1705"/>
      <c r="C90" s="1724"/>
      <c r="D90" s="1697"/>
      <c r="E90" s="1697"/>
      <c r="F90" s="1697"/>
      <c r="G90" s="1697"/>
      <c r="H90" s="1697"/>
      <c r="I90" s="1697"/>
      <c r="J90" s="1697"/>
      <c r="K90" s="1697"/>
      <c r="L90" s="1697"/>
      <c r="M90" s="1698"/>
      <c r="N90" s="1721"/>
      <c r="O90" s="1721"/>
      <c r="P90" s="1721"/>
      <c r="Q90" s="1722"/>
      <c r="R90" s="1723"/>
      <c r="S90" s="1723"/>
      <c r="T90" s="1723"/>
      <c r="U90" s="1723"/>
      <c r="V90" s="1723"/>
      <c r="W90" s="1723"/>
      <c r="X90" s="1723"/>
      <c r="Y90" s="1723"/>
      <c r="Z90" s="1723"/>
      <c r="AA90" s="1723"/>
      <c r="AB90" s="1723"/>
      <c r="AC90" s="1723"/>
      <c r="AD90" s="1723"/>
    </row>
    <row r="91" ht="15.75" spans="1:30">
      <c r="A91" s="1773"/>
      <c r="B91" s="1700">
        <f>B32</f>
        <v>111</v>
      </c>
      <c r="C91" s="1712"/>
      <c r="D91" s="1712"/>
      <c r="E91" s="1712"/>
      <c r="F91" s="1712"/>
      <c r="G91" s="1717"/>
      <c r="H91" s="1718"/>
      <c r="I91" s="1718"/>
      <c r="J91" s="1718"/>
      <c r="K91" s="1718"/>
      <c r="L91" s="1719"/>
      <c r="M91" s="1720"/>
      <c r="N91" s="1694"/>
      <c r="O91" s="1694"/>
      <c r="P91" s="1683"/>
      <c r="Q91" s="1659"/>
      <c r="R91" s="1581"/>
      <c r="S91" s="1581"/>
      <c r="T91" s="1581"/>
      <c r="U91" s="1581"/>
      <c r="V91" s="1581"/>
      <c r="W91" s="1581"/>
      <c r="X91" s="1581"/>
      <c r="Y91" s="1581"/>
      <c r="Z91" s="1581"/>
      <c r="AA91" s="1581"/>
      <c r="AB91" s="1581"/>
      <c r="AC91" s="1581"/>
      <c r="AD91" s="1581"/>
    </row>
    <row r="92" ht="15.75" spans="1:30">
      <c r="A92" s="1695"/>
      <c r="B92" s="1705"/>
      <c r="C92" s="1724"/>
      <c r="D92" s="1697"/>
      <c r="E92" s="1697"/>
      <c r="F92" s="1697"/>
      <c r="G92" s="1724"/>
      <c r="H92" s="1726"/>
      <c r="I92" s="1726"/>
      <c r="J92" s="1726"/>
      <c r="K92" s="1726"/>
      <c r="L92" s="1726"/>
      <c r="M92" s="1727"/>
      <c r="N92" s="1699"/>
      <c r="O92" s="1699"/>
      <c r="P92" s="1683"/>
      <c r="Q92" s="1659"/>
      <c r="R92" s="1581"/>
      <c r="S92" s="1581"/>
      <c r="T92" s="1581"/>
      <c r="U92" s="1581"/>
      <c r="V92" s="1581"/>
      <c r="W92" s="1581"/>
      <c r="X92" s="1581"/>
      <c r="Y92" s="1581"/>
      <c r="Z92" s="1581"/>
      <c r="AA92" s="1581"/>
      <c r="AB92" s="1581"/>
      <c r="AC92" s="1581"/>
      <c r="AD92" s="1581"/>
    </row>
    <row r="93" ht="15.75" spans="1:30">
      <c r="A93" s="1773"/>
      <c r="B93" s="1700">
        <f>B33</f>
        <v>111</v>
      </c>
      <c r="C93" s="1712"/>
      <c r="D93" s="1712"/>
      <c r="E93" s="1712"/>
      <c r="F93" s="1712"/>
      <c r="G93" s="1717"/>
      <c r="H93" s="1718"/>
      <c r="I93" s="1718"/>
      <c r="J93" s="1718"/>
      <c r="K93" s="1718"/>
      <c r="L93" s="1719"/>
      <c r="M93" s="1720"/>
      <c r="N93" s="1694"/>
      <c r="O93" s="1694"/>
      <c r="P93" s="1683"/>
      <c r="Q93" s="1659"/>
      <c r="R93" s="1581"/>
      <c r="S93" s="1581"/>
      <c r="T93" s="1581"/>
      <c r="U93" s="1581"/>
      <c r="V93" s="1581"/>
      <c r="W93" s="1581"/>
      <c r="X93" s="1581"/>
      <c r="Y93" s="1581"/>
      <c r="Z93" s="1581"/>
      <c r="AA93" s="1581"/>
      <c r="AB93" s="1581"/>
      <c r="AC93" s="1581"/>
      <c r="AD93" s="1581"/>
    </row>
    <row r="94" ht="15.75" spans="1:30">
      <c r="A94" s="1695"/>
      <c r="B94" s="1705"/>
      <c r="C94" s="1724"/>
      <c r="D94" s="1697"/>
      <c r="E94" s="1697"/>
      <c r="F94" s="1697"/>
      <c r="G94" s="1724"/>
      <c r="H94" s="1726"/>
      <c r="I94" s="1726"/>
      <c r="J94" s="1726"/>
      <c r="K94" s="1726"/>
      <c r="L94" s="1726"/>
      <c r="M94" s="1727"/>
      <c r="N94" s="1699"/>
      <c r="O94" s="1699"/>
      <c r="P94" s="1683"/>
      <c r="Q94" s="1659"/>
      <c r="R94" s="1581"/>
      <c r="S94" s="1581"/>
      <c r="T94" s="1581"/>
      <c r="U94" s="1581"/>
      <c r="V94" s="1581"/>
      <c r="W94" s="1581"/>
      <c r="X94" s="1581"/>
      <c r="Y94" s="1581"/>
      <c r="Z94" s="1581"/>
      <c r="AA94" s="1581"/>
      <c r="AB94" s="1581"/>
      <c r="AC94" s="1581"/>
      <c r="AD94" s="1581"/>
    </row>
    <row r="95" ht="15.75" spans="1:30">
      <c r="A95" s="1773"/>
      <c r="B95" s="2002">
        <f>B34</f>
        <v>111</v>
      </c>
      <c r="C95" s="1712"/>
      <c r="D95" s="1712"/>
      <c r="E95" s="1712"/>
      <c r="F95" s="1712"/>
      <c r="G95" s="1717"/>
      <c r="H95" s="1718"/>
      <c r="I95" s="1718"/>
      <c r="J95" s="1718"/>
      <c r="K95" s="1718"/>
      <c r="L95" s="1719"/>
      <c r="M95" s="1720"/>
      <c r="N95" s="1699"/>
      <c r="O95" s="1699"/>
      <c r="P95" s="1699"/>
      <c r="Q95" s="2003"/>
      <c r="R95" s="1581"/>
      <c r="S95" s="1581"/>
      <c r="T95" s="1581"/>
      <c r="U95" s="1581"/>
      <c r="V95" s="1581"/>
      <c r="W95" s="1581"/>
      <c r="X95" s="1581"/>
      <c r="Y95" s="1581"/>
      <c r="Z95" s="1581"/>
      <c r="AA95" s="1581"/>
      <c r="AB95" s="1581"/>
      <c r="AC95" s="1581"/>
      <c r="AD95" s="1581"/>
    </row>
    <row r="96" ht="15.75" spans="1:30">
      <c r="A96" s="1695"/>
      <c r="B96" s="1705"/>
      <c r="C96" s="1724"/>
      <c r="D96" s="1724"/>
      <c r="E96" s="1724"/>
      <c r="F96" s="1724"/>
      <c r="G96" s="1724"/>
      <c r="H96" s="1726"/>
      <c r="I96" s="1726"/>
      <c r="J96" s="1726"/>
      <c r="K96" s="1726"/>
      <c r="L96" s="1726"/>
      <c r="M96" s="1727"/>
      <c r="N96" s="1699"/>
      <c r="O96" s="1699"/>
      <c r="P96" s="1683"/>
      <c r="Q96" s="1659"/>
      <c r="R96" s="1581"/>
      <c r="S96" s="1581"/>
      <c r="T96" s="1581"/>
      <c r="U96" s="1581"/>
      <c r="V96" s="1581"/>
      <c r="W96" s="1581"/>
      <c r="X96" s="1581"/>
      <c r="Y96" s="1581"/>
      <c r="Z96" s="1581"/>
      <c r="AA96" s="1581"/>
      <c r="AB96" s="1581"/>
      <c r="AC96" s="1581"/>
      <c r="AD96" s="1581"/>
    </row>
    <row r="97" ht="15" spans="1:30">
      <c r="N97" s="1581"/>
      <c r="O97" s="1581"/>
      <c r="P97" s="1581"/>
      <c r="Q97" s="1581"/>
      <c r="R97" s="1581"/>
      <c r="S97" s="1581"/>
      <c r="T97" s="1581"/>
      <c r="U97" s="1581"/>
      <c r="V97" s="1581"/>
      <c r="W97" s="1581"/>
      <c r="X97" s="1581"/>
      <c r="Y97" s="1581"/>
      <c r="Z97" s="1581"/>
      <c r="AA97" s="1581"/>
      <c r="AB97" s="1581"/>
      <c r="AC97" s="1581"/>
      <c r="AD97" s="1581"/>
    </row>
    <row r="98" spans="1:30">
      <c r="A98" s="2004"/>
      <c r="B98" s="2004"/>
      <c r="C98" s="2004"/>
      <c r="D98" s="2004"/>
      <c r="E98" s="2004"/>
      <c r="F98" s="2004"/>
      <c r="G98" s="2004"/>
      <c r="H98" s="2004"/>
      <c r="I98" s="2004"/>
      <c r="J98" s="2004"/>
      <c r="K98" s="2005"/>
      <c r="L98" s="2006"/>
      <c r="M98" s="2004"/>
      <c r="N98" s="1581"/>
      <c r="O98" s="1581"/>
      <c r="P98" s="1581"/>
      <c r="Q98" s="1581"/>
      <c r="R98" s="1581"/>
      <c r="S98" s="1581"/>
      <c r="T98" s="1581"/>
      <c r="U98" s="1581"/>
      <c r="V98" s="1581"/>
      <c r="W98" s="1581"/>
      <c r="X98" s="1581"/>
      <c r="Y98" s="1581"/>
      <c r="Z98" s="1581"/>
      <c r="AA98" s="1581"/>
      <c r="AB98" s="1581"/>
      <c r="AC98" s="1581"/>
      <c r="AD98" s="1581"/>
    </row>
    <row r="99" spans="1:30">
      <c r="A99" s="2004"/>
      <c r="B99" s="2004"/>
      <c r="C99" s="2004"/>
      <c r="D99" s="2004"/>
      <c r="E99" s="2004"/>
      <c r="F99" s="2004"/>
      <c r="G99" s="2004"/>
      <c r="H99" s="2004"/>
      <c r="I99" s="2004"/>
      <c r="J99" s="2004"/>
      <c r="K99" s="2005"/>
      <c r="L99" s="2006"/>
      <c r="M99" s="2004"/>
      <c r="N99" s="1581"/>
      <c r="O99" s="1581"/>
      <c r="P99" s="1581"/>
      <c r="Q99" s="1581"/>
      <c r="R99" s="1581"/>
      <c r="S99" s="1581"/>
      <c r="T99" s="1581"/>
      <c r="U99" s="1581"/>
      <c r="V99" s="1581"/>
      <c r="W99" s="1581"/>
      <c r="X99" s="1581"/>
      <c r="Y99" s="1581"/>
      <c r="Z99" s="1581"/>
      <c r="AA99" s="1581"/>
      <c r="AB99" s="1581"/>
      <c r="AC99" s="1581"/>
      <c r="AD99" s="1581"/>
    </row>
    <row r="100" spans="1:30">
      <c r="A100" s="2004"/>
      <c r="B100" s="2004"/>
      <c r="C100" s="2004"/>
      <c r="D100" s="2004"/>
      <c r="E100" s="2004"/>
      <c r="F100" s="2004"/>
      <c r="G100" s="2004"/>
      <c r="H100" s="2004"/>
      <c r="I100" s="2004"/>
      <c r="J100" s="2004"/>
      <c r="K100" s="2005"/>
      <c r="L100" s="2006"/>
      <c r="M100" s="2004"/>
      <c r="N100" s="1581"/>
      <c r="O100" s="1581"/>
      <c r="P100" s="1581"/>
      <c r="Q100" s="1581"/>
      <c r="R100" s="1581"/>
      <c r="S100" s="1581"/>
      <c r="T100" s="1581"/>
      <c r="U100" s="1581"/>
      <c r="V100" s="1581"/>
      <c r="W100" s="1581"/>
      <c r="X100" s="1581"/>
      <c r="Y100" s="1581"/>
      <c r="Z100" s="1581"/>
      <c r="AA100" s="1581"/>
      <c r="AB100" s="1581"/>
      <c r="AC100" s="1581"/>
      <c r="AD100" s="1581"/>
    </row>
    <row r="101" spans="1:30">
      <c r="A101" s="2004"/>
      <c r="B101" s="2004"/>
      <c r="C101" s="2004"/>
      <c r="D101" s="2004"/>
      <c r="E101" s="2004"/>
      <c r="F101" s="2004"/>
      <c r="G101" s="2004"/>
      <c r="H101" s="2004"/>
      <c r="I101" s="2004"/>
      <c r="J101" s="2004"/>
      <c r="K101" s="2005"/>
      <c r="L101" s="2006"/>
      <c r="M101" s="2004"/>
      <c r="N101" s="1581"/>
      <c r="O101" s="1581"/>
      <c r="P101" s="1581"/>
      <c r="Q101" s="1581"/>
      <c r="R101" s="1581"/>
      <c r="S101" s="1581"/>
      <c r="T101" s="1581"/>
      <c r="U101" s="1581"/>
      <c r="V101" s="1581"/>
      <c r="W101" s="1581"/>
      <c r="X101" s="1581"/>
      <c r="Y101" s="1581"/>
      <c r="Z101" s="1581"/>
      <c r="AA101" s="1581"/>
      <c r="AB101" s="1581"/>
      <c r="AC101" s="1581"/>
      <c r="AD101" s="1581"/>
    </row>
    <row r="102" spans="1:30">
      <c r="A102" s="2004"/>
      <c r="B102" s="2004"/>
      <c r="C102" s="2004"/>
      <c r="D102" s="2004"/>
      <c r="E102" s="2004"/>
      <c r="F102" s="2004"/>
      <c r="G102" s="2004"/>
      <c r="H102" s="2004"/>
      <c r="I102" s="2004"/>
      <c r="J102" s="2004"/>
      <c r="K102" s="2005"/>
      <c r="L102" s="2006"/>
      <c r="M102" s="2004"/>
      <c r="N102" s="1581"/>
      <c r="O102" s="1581"/>
      <c r="P102" s="1581"/>
      <c r="Q102" s="1581"/>
      <c r="R102" s="1581"/>
      <c r="S102" s="1581"/>
      <c r="T102" s="1581"/>
      <c r="U102" s="1581"/>
      <c r="V102" s="1581"/>
      <c r="W102" s="1581"/>
      <c r="X102" s="1581"/>
      <c r="Y102" s="1581"/>
      <c r="Z102" s="1581"/>
      <c r="AA102" s="1581"/>
      <c r="AB102" s="1581"/>
      <c r="AC102" s="1581"/>
      <c r="AD102" s="1581"/>
    </row>
    <row r="103" spans="1:30">
      <c r="A103" s="2004"/>
      <c r="B103" s="2004"/>
      <c r="C103" s="2004"/>
      <c r="D103" s="2004"/>
      <c r="E103" s="2004"/>
      <c r="F103" s="2004"/>
      <c r="G103" s="2004"/>
      <c r="H103" s="2004"/>
      <c r="I103" s="2004"/>
      <c r="J103" s="2004"/>
      <c r="K103" s="2005"/>
      <c r="L103" s="2006"/>
      <c r="M103" s="2004"/>
      <c r="N103" s="2004"/>
      <c r="O103" s="2004"/>
      <c r="P103" s="1581"/>
      <c r="Q103" s="1581"/>
      <c r="R103" s="1581"/>
      <c r="S103" s="1581"/>
      <c r="T103" s="1581"/>
      <c r="U103" s="1581"/>
      <c r="V103" s="1581"/>
      <c r="W103" s="1581"/>
      <c r="X103" s="1581"/>
      <c r="Y103" s="1581"/>
      <c r="Z103" s="1581"/>
      <c r="AA103" s="1581"/>
      <c r="AB103" s="1581"/>
      <c r="AC103" s="1581"/>
      <c r="AD103" s="1581"/>
    </row>
    <row r="104" spans="1:30">
      <c r="A104" s="2004"/>
      <c r="B104" s="2004"/>
      <c r="C104" s="2004"/>
      <c r="D104" s="2004"/>
      <c r="E104" s="2004"/>
      <c r="F104" s="2004"/>
      <c r="G104" s="2004"/>
      <c r="H104" s="2004"/>
      <c r="I104" s="2004"/>
      <c r="J104" s="2004"/>
      <c r="K104" s="2005"/>
      <c r="L104" s="2006"/>
      <c r="M104" s="2004"/>
      <c r="N104" s="2004"/>
      <c r="O104" s="2004"/>
      <c r="P104" s="2004"/>
      <c r="Q104" s="2004"/>
      <c r="R104" s="2004"/>
      <c r="S104" s="2004"/>
      <c r="T104" s="2004"/>
    </row>
    <row r="105" spans="1:30">
      <c r="A105" s="2004"/>
      <c r="B105" s="2004"/>
      <c r="C105" s="2004"/>
      <c r="D105" s="2004"/>
      <c r="E105" s="2004"/>
      <c r="F105" s="2004"/>
      <c r="G105" s="2004"/>
      <c r="H105" s="2004"/>
      <c r="I105" s="2004"/>
      <c r="J105" s="2004"/>
      <c r="K105" s="2005"/>
      <c r="L105" s="2006"/>
      <c r="M105" s="2004"/>
      <c r="N105" s="2004"/>
      <c r="O105" s="2004"/>
      <c r="P105" s="2004"/>
      <c r="Q105" s="2004"/>
      <c r="R105" s="2004"/>
      <c r="S105" s="2004"/>
      <c r="T105" s="2004"/>
    </row>
    <row r="106" spans="1:30">
      <c r="A106" s="2004"/>
      <c r="B106" s="2004"/>
      <c r="C106" s="2004"/>
      <c r="D106" s="2004"/>
      <c r="E106" s="2004"/>
      <c r="F106" s="2004"/>
      <c r="G106" s="2004"/>
      <c r="H106" s="2004"/>
      <c r="I106" s="2004"/>
      <c r="J106" s="2004"/>
      <c r="K106" s="2005"/>
      <c r="L106" s="2006"/>
      <c r="M106" s="2004"/>
      <c r="N106" s="2004"/>
      <c r="O106" s="2004"/>
      <c r="P106" s="2004"/>
      <c r="Q106" s="2004"/>
      <c r="R106" s="2004"/>
      <c r="S106" s="2004"/>
      <c r="T106" s="2004"/>
    </row>
    <row r="107" spans="1:30">
      <c r="A107" s="2004"/>
      <c r="B107" s="2004"/>
      <c r="C107" s="2004"/>
      <c r="D107" s="2004"/>
      <c r="E107" s="2004"/>
      <c r="F107" s="2004"/>
      <c r="G107" s="2004"/>
      <c r="H107" s="2004"/>
      <c r="I107" s="2004"/>
      <c r="J107" s="2004"/>
      <c r="K107" s="2005"/>
      <c r="L107" s="2006"/>
      <c r="M107" s="2004"/>
      <c r="N107" s="2004"/>
      <c r="O107" s="2004"/>
      <c r="P107" s="2004"/>
      <c r="Q107" s="2004"/>
      <c r="R107" s="2004"/>
      <c r="S107" s="2004"/>
      <c r="T107" s="2004"/>
    </row>
    <row r="108" spans="1:30">
      <c r="A108" s="2004"/>
      <c r="B108" s="2004"/>
      <c r="C108" s="2004"/>
      <c r="D108" s="2004"/>
      <c r="E108" s="2004"/>
      <c r="F108" s="2004"/>
      <c r="G108" s="2004"/>
      <c r="H108" s="2004"/>
      <c r="I108" s="2004"/>
      <c r="J108" s="2004"/>
      <c r="K108" s="2005"/>
      <c r="L108" s="2006"/>
      <c r="M108" s="2004"/>
      <c r="N108" s="2004"/>
      <c r="O108" s="2004"/>
      <c r="P108" s="2004"/>
      <c r="Q108" s="2004"/>
      <c r="R108" s="2004"/>
      <c r="S108" s="2004"/>
      <c r="T108" s="2004"/>
    </row>
    <row r="109" spans="1:30">
      <c r="A109" s="2004"/>
      <c r="B109" s="2004"/>
      <c r="C109" s="2004"/>
      <c r="D109" s="2004"/>
      <c r="E109" s="2004"/>
      <c r="F109" s="2004"/>
      <c r="G109" s="2004"/>
      <c r="H109" s="2004"/>
      <c r="I109" s="2004"/>
      <c r="J109" s="2004"/>
      <c r="K109" s="2005"/>
      <c r="L109" s="2006"/>
      <c r="M109" s="2004"/>
      <c r="N109" s="2004"/>
      <c r="O109" s="2004"/>
      <c r="P109" s="2004"/>
      <c r="Q109" s="2004"/>
      <c r="R109" s="2004"/>
      <c r="S109" s="2004"/>
      <c r="T109" s="2004"/>
    </row>
    <row r="110" spans="1:30">
      <c r="A110" s="2004"/>
      <c r="B110" s="2004"/>
      <c r="C110" s="2004"/>
      <c r="D110" s="2004"/>
      <c r="E110" s="2004"/>
      <c r="F110" s="2004"/>
      <c r="G110" s="2004"/>
      <c r="H110" s="2004"/>
      <c r="I110" s="2004"/>
      <c r="J110" s="2004"/>
      <c r="K110" s="2005"/>
      <c r="L110" s="2006"/>
      <c r="M110" s="2004"/>
      <c r="N110" s="2004"/>
      <c r="O110" s="2004"/>
      <c r="P110" s="2004"/>
      <c r="Q110" s="2004"/>
      <c r="R110" s="2004"/>
      <c r="S110" s="2004"/>
      <c r="T110" s="2004"/>
    </row>
    <row r="111" spans="1:30">
      <c r="A111" s="2004"/>
      <c r="B111" s="2004"/>
      <c r="C111" s="2004"/>
      <c r="D111" s="2004"/>
      <c r="E111" s="2004"/>
      <c r="F111" s="2004"/>
      <c r="G111" s="2004"/>
      <c r="H111" s="2004"/>
      <c r="I111" s="2004"/>
      <c r="J111" s="2004"/>
      <c r="K111" s="2005"/>
      <c r="L111" s="2006"/>
      <c r="M111" s="2004"/>
      <c r="N111" s="2004"/>
      <c r="O111" s="2004"/>
      <c r="P111" s="2004"/>
      <c r="Q111" s="2004"/>
      <c r="R111" s="2004"/>
      <c r="S111" s="2004"/>
      <c r="T111" s="2004"/>
    </row>
    <row r="112" spans="1:30">
      <c r="A112" s="2004"/>
      <c r="B112" s="2004"/>
      <c r="C112" s="2004"/>
      <c r="D112" s="2004"/>
      <c r="E112" s="2004"/>
      <c r="F112" s="2004"/>
      <c r="G112" s="2004"/>
      <c r="H112" s="2004"/>
      <c r="I112" s="2004"/>
      <c r="J112" s="2004"/>
      <c r="K112" s="2005"/>
      <c r="L112" s="2006"/>
      <c r="M112" s="2004"/>
      <c r="N112" s="2004"/>
      <c r="O112" s="2004"/>
      <c r="P112" s="2004"/>
      <c r="Q112" s="2004"/>
      <c r="R112" s="2004"/>
      <c r="S112" s="2004"/>
      <c r="T112" s="2004"/>
    </row>
    <row r="113" spans="1:20">
      <c r="A113" s="2004"/>
      <c r="B113" s="2004"/>
      <c r="C113" s="2004"/>
      <c r="D113" s="2004"/>
      <c r="E113" s="2004"/>
      <c r="F113" s="2004"/>
      <c r="G113" s="2004"/>
      <c r="H113" s="2004"/>
      <c r="I113" s="2004"/>
      <c r="J113" s="2004"/>
      <c r="K113" s="2005"/>
      <c r="L113" s="2006"/>
      <c r="M113" s="2004"/>
      <c r="N113" s="2004"/>
      <c r="O113" s="2004"/>
      <c r="P113" s="2004"/>
      <c r="Q113" s="2004"/>
      <c r="R113" s="2004"/>
      <c r="S113" s="2004"/>
      <c r="T113" s="2004"/>
    </row>
    <row r="114" spans="1:20">
      <c r="A114" s="2004"/>
      <c r="B114" s="2004"/>
      <c r="C114" s="2004"/>
      <c r="D114" s="2004"/>
      <c r="E114" s="2004"/>
      <c r="F114" s="2004"/>
      <c r="G114" s="2004"/>
      <c r="H114" s="2004"/>
      <c r="I114" s="2004"/>
      <c r="J114" s="2004"/>
      <c r="K114" s="2005"/>
      <c r="L114" s="2006"/>
      <c r="M114" s="2004"/>
      <c r="N114" s="2004"/>
      <c r="O114" s="2004"/>
      <c r="P114" s="2004"/>
      <c r="Q114" s="2004"/>
      <c r="R114" s="2004"/>
      <c r="S114" s="2004"/>
      <c r="T114" s="2004"/>
    </row>
    <row r="115" spans="1:20">
      <c r="A115" s="2004"/>
      <c r="B115" s="2004"/>
      <c r="C115" s="2004"/>
      <c r="D115" s="2004"/>
      <c r="E115" s="2004"/>
      <c r="F115" s="2004"/>
      <c r="G115" s="2004"/>
      <c r="H115" s="2004"/>
      <c r="I115" s="2004"/>
      <c r="J115" s="2004"/>
      <c r="K115" s="2005"/>
      <c r="L115" s="2006"/>
      <c r="M115" s="2004"/>
      <c r="N115" s="2004"/>
      <c r="O115" s="2004"/>
      <c r="P115" s="2004"/>
      <c r="Q115" s="2004"/>
      <c r="R115" s="2004"/>
      <c r="S115" s="2004"/>
      <c r="T115" s="2004"/>
    </row>
    <row r="116" spans="1:20">
      <c r="A116" s="2004"/>
      <c r="B116" s="2004"/>
      <c r="C116" s="2004"/>
      <c r="D116" s="2004"/>
      <c r="E116" s="2004"/>
      <c r="F116" s="2004"/>
      <c r="G116" s="2004"/>
      <c r="H116" s="2004"/>
      <c r="I116" s="2004"/>
      <c r="J116" s="2004"/>
      <c r="K116" s="2005"/>
      <c r="L116" s="2006"/>
      <c r="M116" s="2004"/>
      <c r="N116" s="2004"/>
      <c r="O116" s="2004"/>
      <c r="P116" s="2004"/>
      <c r="Q116" s="2004"/>
      <c r="R116" s="2004"/>
      <c r="S116" s="2004"/>
      <c r="T116" s="2004"/>
    </row>
    <row r="117" spans="1:20">
      <c r="A117" s="2004"/>
      <c r="B117" s="2004"/>
      <c r="C117" s="2004"/>
      <c r="D117" s="2004"/>
      <c r="E117" s="2004"/>
      <c r="F117" s="2004"/>
      <c r="G117" s="2004"/>
      <c r="H117" s="2004"/>
      <c r="I117" s="2004"/>
      <c r="J117" s="2004"/>
      <c r="K117" s="2005"/>
      <c r="L117" s="2006"/>
      <c r="M117" s="2004"/>
      <c r="N117" s="2004"/>
      <c r="O117" s="2004"/>
      <c r="P117" s="2004"/>
      <c r="Q117" s="2004"/>
      <c r="R117" s="2004"/>
      <c r="S117" s="2004"/>
      <c r="T117" s="2004"/>
    </row>
    <row r="118" spans="1:20">
      <c r="A118" s="2004"/>
      <c r="B118" s="2004"/>
      <c r="C118" s="2004"/>
      <c r="D118" s="2004"/>
      <c r="E118" s="2004"/>
      <c r="F118" s="2004"/>
      <c r="G118" s="2004"/>
      <c r="H118" s="2004"/>
      <c r="I118" s="2004"/>
      <c r="J118" s="2004"/>
      <c r="K118" s="2005"/>
      <c r="L118" s="2006"/>
      <c r="M118" s="2004"/>
      <c r="N118" s="2004"/>
      <c r="O118" s="2004"/>
      <c r="P118" s="2004"/>
      <c r="Q118" s="2004"/>
      <c r="R118" s="2004"/>
      <c r="S118" s="2004"/>
      <c r="T118" s="2004"/>
    </row>
    <row r="119" spans="1:20">
      <c r="A119" s="2004"/>
      <c r="B119" s="2004"/>
      <c r="C119" s="2004"/>
      <c r="D119" s="2004"/>
      <c r="E119" s="2004"/>
      <c r="F119" s="2004"/>
      <c r="G119" s="2004"/>
      <c r="H119" s="2004"/>
      <c r="I119" s="2004"/>
      <c r="J119" s="2004"/>
      <c r="K119" s="2005"/>
      <c r="L119" s="2006"/>
      <c r="M119" s="2004"/>
      <c r="N119" s="2004"/>
      <c r="O119" s="2004"/>
      <c r="P119" s="2004"/>
      <c r="Q119" s="2004"/>
      <c r="R119" s="2004"/>
      <c r="S119" s="2004"/>
      <c r="T119" s="2004"/>
    </row>
    <row r="120" spans="1:20">
      <c r="A120" s="2004"/>
      <c r="B120" s="2004"/>
      <c r="C120" s="2004"/>
      <c r="D120" s="2004"/>
      <c r="E120" s="2004"/>
      <c r="F120" s="2004"/>
      <c r="G120" s="2004"/>
      <c r="H120" s="2004"/>
      <c r="I120" s="2004"/>
      <c r="J120" s="2004"/>
      <c r="K120" s="2005"/>
      <c r="L120" s="2006"/>
      <c r="M120" s="2004"/>
      <c r="N120" s="2004"/>
      <c r="O120" s="2004"/>
      <c r="P120" s="2004"/>
      <c r="Q120" s="2004"/>
      <c r="R120" s="2004"/>
      <c r="S120" s="2004"/>
      <c r="T120" s="2004"/>
    </row>
    <row r="121" spans="1:20">
      <c r="A121" s="2004"/>
      <c r="B121" s="2004"/>
      <c r="C121" s="2004"/>
      <c r="D121" s="2004"/>
      <c r="E121" s="2004"/>
      <c r="F121" s="2004"/>
      <c r="G121" s="2004"/>
      <c r="H121" s="2004"/>
      <c r="I121" s="2004"/>
      <c r="J121" s="2004"/>
      <c r="K121" s="2005"/>
      <c r="L121" s="2006"/>
      <c r="M121" s="2004"/>
      <c r="N121" s="2004"/>
      <c r="O121" s="2004"/>
      <c r="P121" s="2004"/>
      <c r="Q121" s="2004"/>
      <c r="R121" s="2004"/>
      <c r="S121" s="2004"/>
      <c r="T121" s="2004"/>
    </row>
    <row r="122" spans="1:20">
      <c r="A122" s="2004"/>
      <c r="B122" s="2004"/>
      <c r="C122" s="2004"/>
      <c r="D122" s="2004"/>
      <c r="E122" s="2004"/>
      <c r="F122" s="2004"/>
      <c r="G122" s="2004"/>
      <c r="H122" s="2004"/>
      <c r="I122" s="2004"/>
      <c r="J122" s="2004"/>
      <c r="K122" s="2005"/>
      <c r="L122" s="2006"/>
      <c r="M122" s="2004"/>
      <c r="N122" s="2004"/>
      <c r="O122" s="2004"/>
      <c r="P122" s="2004"/>
      <c r="Q122" s="2004"/>
      <c r="R122" s="2004"/>
      <c r="S122" s="2004"/>
      <c r="T122" s="2004"/>
    </row>
    <row r="123" spans="1:20">
      <c r="A123" s="2004"/>
      <c r="B123" s="2004"/>
      <c r="C123" s="2004"/>
      <c r="D123" s="2004"/>
      <c r="E123" s="2004"/>
      <c r="F123" s="2004"/>
      <c r="G123" s="2004"/>
      <c r="H123" s="2004"/>
      <c r="I123" s="2004"/>
      <c r="J123" s="2004"/>
      <c r="K123" s="2005"/>
      <c r="L123" s="2006"/>
      <c r="M123" s="2004"/>
      <c r="N123" s="2004"/>
      <c r="O123" s="2004"/>
      <c r="P123" s="2004"/>
      <c r="Q123" s="2004"/>
      <c r="R123" s="2004"/>
      <c r="S123" s="2004"/>
      <c r="T123" s="2004"/>
    </row>
    <row r="124" spans="1:20">
      <c r="A124" s="2004"/>
      <c r="B124" s="2004"/>
      <c r="C124" s="2004"/>
      <c r="D124" s="2004"/>
      <c r="E124" s="2004"/>
      <c r="F124" s="2004"/>
      <c r="G124" s="2004"/>
      <c r="H124" s="2004"/>
      <c r="I124" s="2004"/>
      <c r="J124" s="2004"/>
      <c r="K124" s="2005"/>
      <c r="L124" s="2006"/>
      <c r="M124" s="2004"/>
      <c r="N124" s="2004"/>
      <c r="O124" s="2004"/>
      <c r="P124" s="2004"/>
      <c r="Q124" s="2004"/>
      <c r="R124" s="2004"/>
      <c r="S124" s="2004"/>
      <c r="T124" s="2004"/>
    </row>
    <row r="125" spans="1:20">
      <c r="A125" s="2004"/>
      <c r="B125" s="2004"/>
      <c r="C125" s="2004"/>
      <c r="D125" s="2004"/>
      <c r="E125" s="2004"/>
      <c r="F125" s="2004"/>
      <c r="G125" s="2004"/>
      <c r="H125" s="2004"/>
      <c r="I125" s="2004"/>
      <c r="J125" s="2004"/>
      <c r="K125" s="2005"/>
      <c r="L125" s="2006"/>
      <c r="M125" s="2004"/>
      <c r="N125" s="2004"/>
      <c r="O125" s="2004"/>
      <c r="P125" s="2004"/>
      <c r="Q125" s="2004"/>
      <c r="R125" s="2004"/>
      <c r="S125" s="2004"/>
      <c r="T125" s="2004"/>
    </row>
    <row r="126" spans="1:20">
      <c r="A126" s="2004"/>
      <c r="B126" s="2004"/>
      <c r="C126" s="2004"/>
      <c r="D126" s="2004"/>
      <c r="E126" s="2004"/>
      <c r="F126" s="2004"/>
      <c r="G126" s="2004"/>
      <c r="H126" s="2004"/>
      <c r="I126" s="2004"/>
      <c r="J126" s="2004"/>
      <c r="K126" s="2005"/>
      <c r="L126" s="2006"/>
      <c r="M126" s="2004"/>
      <c r="N126" s="2004"/>
      <c r="O126" s="2004"/>
      <c r="P126" s="2004"/>
      <c r="Q126" s="2004"/>
      <c r="R126" s="2004"/>
      <c r="S126" s="2004"/>
      <c r="T126" s="2004"/>
    </row>
    <row r="127" spans="1:20">
      <c r="A127" s="2004"/>
      <c r="B127" s="2004"/>
      <c r="C127" s="2004"/>
      <c r="D127" s="2004"/>
      <c r="E127" s="2004"/>
      <c r="F127" s="2004"/>
      <c r="G127" s="2004"/>
      <c r="H127" s="2004"/>
      <c r="I127" s="2004"/>
      <c r="J127" s="2004"/>
      <c r="K127" s="2005"/>
      <c r="L127" s="2006"/>
      <c r="M127" s="2004"/>
      <c r="N127" s="2004"/>
      <c r="O127" s="2004"/>
      <c r="P127" s="2004"/>
      <c r="Q127" s="2004"/>
      <c r="R127" s="2004"/>
      <c r="S127" s="2004"/>
      <c r="T127" s="2004"/>
    </row>
    <row r="128" spans="1:20">
      <c r="A128" s="2004"/>
      <c r="B128" s="2004"/>
      <c r="C128" s="2004"/>
      <c r="D128" s="2004"/>
      <c r="E128" s="2004"/>
      <c r="F128" s="2004"/>
      <c r="G128" s="2004"/>
      <c r="H128" s="2004"/>
      <c r="I128" s="2004"/>
      <c r="J128" s="2004"/>
      <c r="K128" s="2005"/>
      <c r="L128" s="2006"/>
      <c r="M128" s="2004"/>
      <c r="N128" s="2004"/>
      <c r="O128" s="2004"/>
      <c r="P128" s="2004"/>
      <c r="Q128" s="2004"/>
      <c r="R128" s="2004"/>
      <c r="S128" s="2004"/>
      <c r="T128" s="2004"/>
    </row>
    <row r="129" spans="1:20">
      <c r="A129" s="2004"/>
      <c r="B129" s="2004"/>
      <c r="C129" s="2004"/>
      <c r="D129" s="2004"/>
      <c r="E129" s="2004"/>
      <c r="F129" s="2004"/>
      <c r="G129" s="2004"/>
      <c r="H129" s="2004"/>
      <c r="I129" s="2004"/>
      <c r="J129" s="2004"/>
      <c r="K129" s="2005"/>
      <c r="L129" s="2006"/>
      <c r="M129" s="2004"/>
      <c r="N129" s="2004"/>
      <c r="O129" s="2004"/>
      <c r="P129" s="2004"/>
      <c r="Q129" s="2004"/>
      <c r="R129" s="2004"/>
      <c r="S129" s="2004"/>
      <c r="T129" s="2004"/>
    </row>
    <row r="130" spans="1:20">
      <c r="A130" s="2004"/>
      <c r="B130" s="2004"/>
      <c r="C130" s="2004"/>
      <c r="D130" s="2004"/>
      <c r="E130" s="2004"/>
      <c r="F130" s="2004"/>
      <c r="G130" s="2004"/>
      <c r="H130" s="2004"/>
      <c r="I130" s="2004"/>
      <c r="J130" s="2004"/>
      <c r="K130" s="2005"/>
      <c r="L130" s="2006"/>
      <c r="M130" s="2004"/>
      <c r="N130" s="2004"/>
      <c r="O130" s="2004"/>
      <c r="P130" s="2004"/>
      <c r="Q130" s="2004"/>
      <c r="R130" s="2004"/>
      <c r="S130" s="2004"/>
      <c r="T130" s="2004"/>
    </row>
    <row r="131" spans="1:20">
      <c r="A131" s="2004"/>
      <c r="B131" s="2004"/>
      <c r="C131" s="2004"/>
      <c r="D131" s="2004"/>
      <c r="E131" s="2004"/>
      <c r="F131" s="2004"/>
      <c r="G131" s="2004"/>
      <c r="H131" s="2004"/>
      <c r="I131" s="2004"/>
      <c r="J131" s="2004"/>
      <c r="K131" s="2005"/>
      <c r="L131" s="2006"/>
      <c r="M131" s="2004"/>
      <c r="N131" s="2004"/>
      <c r="O131" s="2004"/>
      <c r="P131" s="2004"/>
      <c r="Q131" s="2004"/>
      <c r="R131" s="2004"/>
      <c r="S131" s="2004"/>
      <c r="T131" s="2004"/>
    </row>
    <row r="132" spans="1:20">
      <c r="A132" s="2004"/>
      <c r="B132" s="2004"/>
      <c r="C132" s="2004"/>
      <c r="D132" s="2004"/>
      <c r="E132" s="2004"/>
      <c r="F132" s="2004"/>
      <c r="G132" s="2004"/>
      <c r="H132" s="2004"/>
      <c r="I132" s="2004"/>
      <c r="J132" s="2004"/>
      <c r="K132" s="2005"/>
      <c r="L132" s="2006"/>
      <c r="M132" s="2004"/>
      <c r="N132" s="2004"/>
      <c r="O132" s="2004"/>
      <c r="P132" s="2004"/>
      <c r="Q132" s="2004"/>
      <c r="R132" s="2004"/>
      <c r="S132" s="2004"/>
      <c r="T132" s="2004"/>
    </row>
    <row r="133" spans="1:20">
      <c r="A133" s="2004"/>
      <c r="B133" s="2004"/>
      <c r="C133" s="2004"/>
      <c r="D133" s="2004"/>
      <c r="E133" s="2004"/>
      <c r="F133" s="2004"/>
      <c r="G133" s="2004"/>
      <c r="H133" s="2004"/>
      <c r="I133" s="2004"/>
      <c r="J133" s="2004"/>
      <c r="K133" s="2005"/>
      <c r="L133" s="2006"/>
      <c r="M133" s="2004"/>
      <c r="N133" s="2004"/>
      <c r="O133" s="2004"/>
      <c r="P133" s="2004"/>
      <c r="Q133" s="2004"/>
      <c r="R133" s="2004"/>
      <c r="S133" s="2004"/>
      <c r="T133" s="2004"/>
    </row>
    <row r="134" spans="1:20">
      <c r="A134" s="2004"/>
      <c r="B134" s="2004"/>
      <c r="C134" s="2004"/>
      <c r="D134" s="2004"/>
      <c r="E134" s="2004"/>
      <c r="F134" s="2004"/>
      <c r="G134" s="2004"/>
      <c r="H134" s="2004"/>
      <c r="I134" s="2004"/>
      <c r="J134" s="2004"/>
      <c r="K134" s="2005"/>
      <c r="L134" s="2006"/>
      <c r="M134" s="2004"/>
      <c r="N134" s="2004"/>
      <c r="O134" s="2004"/>
      <c r="P134" s="2004"/>
      <c r="Q134" s="2004"/>
      <c r="R134" s="2004"/>
      <c r="S134" s="2004"/>
      <c r="T134" s="2004"/>
    </row>
    <row r="135" spans="1:20">
      <c r="A135" s="2004"/>
      <c r="B135" s="2004"/>
      <c r="C135" s="2004"/>
      <c r="D135" s="2004"/>
      <c r="E135" s="2004"/>
      <c r="F135" s="2004"/>
      <c r="G135" s="2004"/>
      <c r="H135" s="2004"/>
      <c r="I135" s="2004"/>
      <c r="J135" s="2004"/>
      <c r="K135" s="2005"/>
      <c r="L135" s="2006"/>
      <c r="M135" s="2004"/>
      <c r="N135" s="2004"/>
      <c r="O135" s="2004"/>
      <c r="P135" s="2004"/>
      <c r="Q135" s="2004"/>
      <c r="R135" s="2004"/>
      <c r="S135" s="2004"/>
      <c r="T135" s="2004"/>
    </row>
    <row r="136" spans="1:20">
      <c r="A136" s="2004"/>
      <c r="B136" s="2004"/>
      <c r="C136" s="2004"/>
      <c r="D136" s="2004"/>
      <c r="E136" s="2004"/>
      <c r="F136" s="2004"/>
      <c r="G136" s="2004"/>
      <c r="H136" s="2004"/>
      <c r="I136" s="2004"/>
      <c r="J136" s="2004"/>
      <c r="K136" s="2005"/>
      <c r="L136" s="2006"/>
      <c r="M136" s="2004"/>
      <c r="N136" s="2004"/>
      <c r="O136" s="2004"/>
      <c r="P136" s="2004"/>
      <c r="Q136" s="2004"/>
      <c r="R136" s="2004"/>
      <c r="S136" s="2004"/>
      <c r="T136" s="2004"/>
    </row>
    <row r="137" spans="1:20">
      <c r="A137" s="2004"/>
      <c r="B137" s="2004"/>
      <c r="C137" s="2004"/>
      <c r="D137" s="2004"/>
      <c r="E137" s="2004"/>
      <c r="F137" s="2004"/>
      <c r="G137" s="2004"/>
      <c r="H137" s="2004"/>
      <c r="I137" s="2004"/>
      <c r="J137" s="2004"/>
      <c r="K137" s="2005"/>
      <c r="L137" s="2006"/>
      <c r="M137" s="2004"/>
      <c r="N137" s="2004"/>
      <c r="O137" s="2004"/>
      <c r="P137" s="2004"/>
      <c r="Q137" s="2004"/>
      <c r="R137" s="2004"/>
      <c r="S137" s="2004"/>
      <c r="T137" s="2004"/>
    </row>
    <row r="138" spans="1:20">
      <c r="A138" s="2004"/>
      <c r="B138" s="2004"/>
      <c r="C138" s="2004"/>
      <c r="D138" s="2004"/>
      <c r="E138" s="2004"/>
      <c r="F138" s="2004"/>
      <c r="G138" s="2004"/>
      <c r="H138" s="2004"/>
      <c r="I138" s="2004"/>
      <c r="J138" s="2004"/>
      <c r="K138" s="2005"/>
      <c r="L138" s="2006"/>
      <c r="M138" s="2004"/>
      <c r="N138" s="2004"/>
      <c r="O138" s="2004"/>
      <c r="P138" s="2004"/>
      <c r="Q138" s="2004"/>
      <c r="R138" s="2004"/>
      <c r="S138" s="2004"/>
      <c r="T138" s="2004"/>
    </row>
    <row r="139" spans="1:20">
      <c r="A139" s="2004"/>
      <c r="B139" s="2004"/>
      <c r="C139" s="2004"/>
      <c r="D139" s="2004"/>
      <c r="E139" s="2004"/>
      <c r="F139" s="2004"/>
      <c r="G139" s="2004"/>
      <c r="H139" s="2004"/>
      <c r="I139" s="2004"/>
      <c r="J139" s="2004"/>
      <c r="K139" s="2005"/>
      <c r="L139" s="2006"/>
      <c r="M139" s="2004"/>
      <c r="N139" s="2004"/>
      <c r="O139" s="2004"/>
      <c r="P139" s="2004"/>
      <c r="Q139" s="2004"/>
      <c r="R139" s="2004"/>
      <c r="S139" s="2004"/>
      <c r="T139" s="2004"/>
    </row>
    <row r="140" spans="1:20">
      <c r="A140" s="2004"/>
      <c r="B140" s="2004"/>
      <c r="C140" s="2004"/>
      <c r="D140" s="2004"/>
      <c r="E140" s="2004"/>
      <c r="F140" s="2004"/>
      <c r="G140" s="2004"/>
      <c r="H140" s="2004"/>
      <c r="I140" s="2004"/>
      <c r="J140" s="2004"/>
      <c r="K140" s="2005"/>
      <c r="L140" s="2006"/>
      <c r="M140" s="2004"/>
      <c r="N140" s="2004"/>
      <c r="O140" s="2004"/>
      <c r="P140" s="2004"/>
      <c r="Q140" s="2004"/>
      <c r="R140" s="2004"/>
      <c r="S140" s="2004"/>
      <c r="T140" s="2004"/>
    </row>
    <row r="141" spans="1:20">
      <c r="A141" s="2004"/>
      <c r="B141" s="2004"/>
      <c r="C141" s="2004"/>
      <c r="D141" s="2004"/>
      <c r="E141" s="2004"/>
      <c r="F141" s="2004"/>
      <c r="G141" s="2004"/>
      <c r="H141" s="2004"/>
      <c r="I141" s="2004"/>
      <c r="J141" s="2004"/>
      <c r="K141" s="2005"/>
      <c r="L141" s="2006"/>
      <c r="M141" s="2004"/>
      <c r="N141" s="2004"/>
      <c r="O141" s="2004"/>
      <c r="P141" s="2004"/>
      <c r="Q141" s="2004"/>
      <c r="R141" s="2004"/>
      <c r="S141" s="2004"/>
      <c r="T141" s="2004"/>
    </row>
    <row r="142" spans="1:20">
      <c r="A142" s="2004"/>
      <c r="B142" s="2004"/>
      <c r="C142" s="2004"/>
      <c r="D142" s="2004"/>
      <c r="E142" s="2004"/>
      <c r="F142" s="2004"/>
      <c r="G142" s="2004"/>
      <c r="H142" s="2004"/>
      <c r="I142" s="2004"/>
      <c r="J142" s="2004"/>
      <c r="K142" s="2005"/>
      <c r="L142" s="2006"/>
      <c r="M142" s="2004"/>
      <c r="N142" s="2004"/>
      <c r="O142" s="2004"/>
      <c r="P142" s="2004"/>
      <c r="Q142" s="2004"/>
      <c r="R142" s="2004"/>
      <c r="S142" s="2004"/>
      <c r="T142" s="2004"/>
    </row>
    <row r="143" spans="1:20">
      <c r="A143" s="2004"/>
      <c r="B143" s="2004"/>
      <c r="C143" s="2004"/>
      <c r="D143" s="2004"/>
      <c r="E143" s="2004"/>
      <c r="F143" s="2004"/>
      <c r="G143" s="2004"/>
      <c r="H143" s="2004"/>
      <c r="I143" s="2004"/>
      <c r="J143" s="2004"/>
      <c r="K143" s="2005"/>
      <c r="L143" s="2006"/>
      <c r="M143" s="2004"/>
      <c r="N143" s="2004"/>
      <c r="O143" s="2004"/>
      <c r="P143" s="2004"/>
      <c r="Q143" s="2004"/>
      <c r="R143" s="2004"/>
      <c r="S143" s="2004"/>
      <c r="T143" s="2004"/>
    </row>
    <row r="144" spans="1:20">
      <c r="A144" s="2004"/>
      <c r="B144" s="2004"/>
      <c r="C144" s="2004"/>
      <c r="D144" s="2004"/>
      <c r="E144" s="2004"/>
      <c r="F144" s="2004"/>
      <c r="G144" s="2004"/>
      <c r="H144" s="2004"/>
      <c r="I144" s="2004"/>
      <c r="J144" s="2004"/>
      <c r="K144" s="2005"/>
      <c r="L144" s="2006"/>
      <c r="M144" s="2004"/>
      <c r="N144" s="2004"/>
      <c r="O144" s="2004"/>
      <c r="P144" s="2004"/>
      <c r="Q144" s="2004"/>
      <c r="R144" s="2004"/>
      <c r="S144" s="2004"/>
      <c r="T144" s="2004"/>
    </row>
    <row r="145" spans="1:20">
      <c r="A145" s="2004"/>
      <c r="B145" s="2004"/>
      <c r="C145" s="2004"/>
      <c r="D145" s="2004"/>
      <c r="E145" s="2004"/>
      <c r="F145" s="2004"/>
      <c r="G145" s="2004"/>
      <c r="H145" s="2004"/>
      <c r="I145" s="2004"/>
      <c r="J145" s="2004"/>
      <c r="K145" s="2005"/>
      <c r="L145" s="2006"/>
      <c r="M145" s="2004"/>
      <c r="N145" s="2004"/>
      <c r="O145" s="2004"/>
      <c r="P145" s="2004"/>
      <c r="Q145" s="2004"/>
      <c r="R145" s="2004"/>
      <c r="S145" s="2004"/>
      <c r="T145" s="2004"/>
    </row>
    <row r="146" spans="1:20">
      <c r="A146" s="2004"/>
      <c r="B146" s="2004"/>
      <c r="C146" s="2004"/>
      <c r="D146" s="2004"/>
      <c r="E146" s="2004"/>
      <c r="F146" s="2004"/>
      <c r="G146" s="2004"/>
      <c r="H146" s="2004"/>
      <c r="I146" s="2004"/>
      <c r="J146" s="2004"/>
      <c r="K146" s="2005"/>
      <c r="L146" s="2006"/>
      <c r="M146" s="2004"/>
      <c r="N146" s="2004"/>
      <c r="O146" s="2004"/>
      <c r="P146" s="2004"/>
      <c r="Q146" s="2004"/>
      <c r="R146" s="2004"/>
      <c r="S146" s="2004"/>
      <c r="T146" s="2004"/>
    </row>
    <row r="147" spans="1:20">
      <c r="A147" s="2004"/>
      <c r="B147" s="2004"/>
      <c r="C147" s="2004"/>
      <c r="D147" s="2004"/>
      <c r="E147" s="2004"/>
      <c r="F147" s="2004"/>
      <c r="G147" s="2004"/>
      <c r="H147" s="2004"/>
      <c r="I147" s="2004"/>
      <c r="J147" s="2004"/>
      <c r="K147" s="2005"/>
      <c r="L147" s="2006"/>
      <c r="M147" s="2004"/>
      <c r="N147" s="2004"/>
      <c r="O147" s="2004"/>
      <c r="P147" s="2004"/>
      <c r="Q147" s="2004"/>
      <c r="R147" s="2004"/>
      <c r="S147" s="2004"/>
      <c r="T147" s="2004"/>
    </row>
    <row r="148" spans="1:20">
      <c r="A148" s="2004"/>
      <c r="B148" s="2004"/>
      <c r="C148" s="2004"/>
      <c r="D148" s="2004"/>
      <c r="E148" s="2004"/>
      <c r="F148" s="2004"/>
      <c r="G148" s="2004"/>
      <c r="H148" s="2004"/>
      <c r="I148" s="2004"/>
      <c r="J148" s="2004"/>
      <c r="K148" s="2005"/>
      <c r="L148" s="2006"/>
      <c r="M148" s="2004"/>
      <c r="N148" s="2004"/>
      <c r="O148" s="2004"/>
      <c r="P148" s="2004"/>
      <c r="Q148" s="2004"/>
      <c r="R148" s="2004"/>
      <c r="S148" s="2004"/>
      <c r="T148" s="2004"/>
    </row>
    <row r="149" spans="1:20">
      <c r="A149" s="2004"/>
      <c r="B149" s="2004"/>
      <c r="C149" s="2004"/>
      <c r="D149" s="2004"/>
      <c r="E149" s="2004"/>
      <c r="F149" s="2004"/>
      <c r="G149" s="2004"/>
      <c r="H149" s="2004"/>
      <c r="I149" s="2004"/>
      <c r="J149" s="2004"/>
      <c r="K149" s="2005"/>
      <c r="L149" s="2006"/>
      <c r="M149" s="2004"/>
      <c r="N149" s="2004"/>
      <c r="O149" s="2004"/>
      <c r="P149" s="2004"/>
      <c r="Q149" s="2004"/>
      <c r="R149" s="2004"/>
      <c r="S149" s="2004"/>
      <c r="T149" s="2004"/>
    </row>
    <row r="150" spans="1:20">
      <c r="A150" s="2004"/>
      <c r="B150" s="2004"/>
      <c r="C150" s="2004"/>
      <c r="D150" s="2004"/>
      <c r="E150" s="2004"/>
      <c r="F150" s="2004"/>
      <c r="G150" s="2004"/>
      <c r="H150" s="2004"/>
      <c r="I150" s="2004"/>
      <c r="J150" s="2004"/>
      <c r="K150" s="2005"/>
      <c r="L150" s="2006"/>
      <c r="M150" s="2004"/>
      <c r="N150" s="2004"/>
      <c r="O150" s="2004"/>
      <c r="P150" s="2004"/>
      <c r="Q150" s="2004"/>
      <c r="R150" s="2004"/>
      <c r="S150" s="2004"/>
      <c r="T150" s="2004"/>
    </row>
    <row r="151" spans="1:20">
      <c r="A151" s="2004"/>
      <c r="B151" s="2004"/>
      <c r="C151" s="2004"/>
      <c r="D151" s="2004"/>
      <c r="E151" s="2004"/>
      <c r="F151" s="2004"/>
      <c r="G151" s="2004"/>
      <c r="H151" s="2004"/>
      <c r="I151" s="2004"/>
      <c r="J151" s="2004"/>
      <c r="K151" s="2005"/>
      <c r="L151" s="2006"/>
      <c r="M151" s="2004"/>
      <c r="N151" s="2004"/>
      <c r="O151" s="2004"/>
      <c r="P151" s="2004"/>
      <c r="Q151" s="2004"/>
      <c r="R151" s="2004"/>
      <c r="S151" s="2004"/>
      <c r="T151" s="2004"/>
    </row>
    <row r="152" spans="1:20">
      <c r="A152" s="2004"/>
      <c r="B152" s="2004"/>
      <c r="C152" s="2004"/>
      <c r="D152" s="2004"/>
      <c r="E152" s="2004"/>
      <c r="F152" s="2004"/>
      <c r="G152" s="2004"/>
      <c r="H152" s="2004"/>
      <c r="I152" s="2004"/>
      <c r="J152" s="2004"/>
      <c r="K152" s="2005"/>
      <c r="L152" s="2006"/>
      <c r="M152" s="2004"/>
      <c r="N152" s="2004"/>
      <c r="O152" s="2004"/>
      <c r="P152" s="2004"/>
      <c r="Q152" s="2004"/>
      <c r="R152" s="2004"/>
      <c r="S152" s="2004"/>
      <c r="T152" s="2004"/>
    </row>
    <row r="153" spans="1:20">
      <c r="A153" s="2004"/>
      <c r="B153" s="2004"/>
      <c r="C153" s="2004"/>
      <c r="D153" s="2004"/>
      <c r="E153" s="2004"/>
      <c r="F153" s="2004"/>
      <c r="G153" s="2004"/>
      <c r="H153" s="2004"/>
      <c r="I153" s="2004"/>
      <c r="J153" s="2004"/>
      <c r="K153" s="2005"/>
      <c r="L153" s="2006"/>
      <c r="M153" s="2004"/>
      <c r="N153" s="2004"/>
      <c r="O153" s="2004"/>
      <c r="P153" s="2004"/>
      <c r="Q153" s="2004"/>
      <c r="R153" s="2004"/>
      <c r="S153" s="2004"/>
      <c r="T153" s="2004"/>
    </row>
    <row r="154" spans="1:20">
      <c r="A154" s="2004"/>
      <c r="B154" s="2004"/>
      <c r="C154" s="2004"/>
      <c r="D154" s="2004"/>
      <c r="E154" s="2004"/>
      <c r="F154" s="2004"/>
      <c r="G154" s="2004"/>
      <c r="H154" s="2004"/>
      <c r="I154" s="2004"/>
      <c r="J154" s="2004"/>
      <c r="K154" s="2005"/>
      <c r="L154" s="2006"/>
      <c r="M154" s="2004"/>
      <c r="N154" s="2004"/>
      <c r="O154" s="2004"/>
      <c r="P154" s="2004"/>
      <c r="Q154" s="2004"/>
      <c r="R154" s="2004"/>
      <c r="S154" s="2004"/>
      <c r="T154" s="2004"/>
    </row>
    <row r="155" spans="1:20">
      <c r="A155" s="2004"/>
      <c r="B155" s="2004"/>
      <c r="C155" s="2004"/>
      <c r="D155" s="2004"/>
      <c r="E155" s="2004"/>
      <c r="F155" s="2004"/>
      <c r="G155" s="2004"/>
      <c r="H155" s="2004"/>
      <c r="I155" s="2004"/>
      <c r="J155" s="2004"/>
      <c r="K155" s="2005"/>
      <c r="L155" s="2006"/>
      <c r="M155" s="2004"/>
      <c r="N155" s="2004"/>
      <c r="O155" s="2004"/>
      <c r="P155" s="2004"/>
      <c r="Q155" s="2004"/>
      <c r="R155" s="2004"/>
      <c r="S155" s="2004"/>
      <c r="T155" s="2004"/>
    </row>
    <row r="156" spans="1:20">
      <c r="A156" s="2004"/>
      <c r="B156" s="2004"/>
      <c r="C156" s="2004"/>
      <c r="D156" s="2004"/>
      <c r="E156" s="2004"/>
      <c r="F156" s="2004"/>
      <c r="G156" s="2004"/>
      <c r="H156" s="2004"/>
      <c r="I156" s="2004"/>
      <c r="J156" s="2004"/>
      <c r="K156" s="2005"/>
      <c r="L156" s="2006"/>
      <c r="M156" s="2004"/>
      <c r="N156" s="2004"/>
      <c r="O156" s="2004"/>
      <c r="P156" s="2004"/>
      <c r="Q156" s="2004"/>
      <c r="R156" s="2004"/>
      <c r="S156" s="2004"/>
      <c r="T156" s="2004"/>
    </row>
    <row r="157" spans="1:20">
      <c r="A157" s="2004"/>
      <c r="B157" s="2004"/>
      <c r="C157" s="2004"/>
      <c r="D157" s="2004"/>
      <c r="E157" s="2004"/>
      <c r="F157" s="2004"/>
      <c r="G157" s="2004"/>
      <c r="H157" s="2004"/>
      <c r="I157" s="2004"/>
      <c r="J157" s="2004"/>
      <c r="K157" s="2005"/>
      <c r="L157" s="2006"/>
      <c r="M157" s="2004"/>
      <c r="N157" s="2004"/>
      <c r="O157" s="2004"/>
      <c r="P157" s="2004"/>
      <c r="Q157" s="2004"/>
      <c r="R157" s="2004"/>
      <c r="S157" s="2004"/>
      <c r="T157" s="2004"/>
    </row>
    <row r="158" spans="1:20">
      <c r="A158" s="2004"/>
      <c r="B158" s="2004"/>
      <c r="C158" s="2004"/>
      <c r="D158" s="2004"/>
      <c r="E158" s="2004"/>
      <c r="F158" s="2004"/>
      <c r="G158" s="2004"/>
      <c r="H158" s="2004"/>
      <c r="I158" s="2004"/>
      <c r="J158" s="2004"/>
      <c r="K158" s="2005"/>
      <c r="L158" s="2006"/>
      <c r="M158" s="2004"/>
      <c r="N158" s="2004"/>
      <c r="O158" s="2004"/>
      <c r="P158" s="2004"/>
      <c r="Q158" s="2004"/>
      <c r="R158" s="2004"/>
      <c r="S158" s="2004"/>
      <c r="T158" s="2004"/>
    </row>
    <row r="159" spans="1:20">
      <c r="A159" s="2004"/>
      <c r="B159" s="2004"/>
      <c r="C159" s="2004"/>
      <c r="D159" s="2004"/>
      <c r="E159" s="2004"/>
      <c r="F159" s="2004"/>
      <c r="G159" s="2004"/>
      <c r="H159" s="2004"/>
      <c r="I159" s="2004"/>
      <c r="J159" s="2004"/>
      <c r="K159" s="2005"/>
      <c r="L159" s="2006"/>
      <c r="M159" s="2004"/>
      <c r="N159" s="2004"/>
      <c r="O159" s="2004"/>
      <c r="P159" s="2004"/>
      <c r="Q159" s="2004"/>
      <c r="R159" s="2004"/>
      <c r="S159" s="2004"/>
      <c r="T159" s="2004"/>
    </row>
    <row r="160" spans="1:20">
      <c r="A160" s="2004"/>
      <c r="B160" s="2004"/>
      <c r="C160" s="2004"/>
      <c r="D160" s="2004"/>
      <c r="E160" s="2004"/>
      <c r="F160" s="2004"/>
      <c r="G160" s="2004"/>
      <c r="H160" s="2004"/>
      <c r="I160" s="2004"/>
      <c r="J160" s="2004"/>
      <c r="K160" s="2005"/>
      <c r="L160" s="2006"/>
      <c r="M160" s="2004"/>
      <c r="N160" s="2004"/>
      <c r="O160" s="2004"/>
      <c r="P160" s="2004"/>
      <c r="Q160" s="2004"/>
      <c r="R160" s="2004"/>
      <c r="S160" s="2004"/>
      <c r="T160" s="2004"/>
    </row>
    <row r="161" spans="1:20">
      <c r="A161" s="2004"/>
      <c r="B161" s="2004"/>
      <c r="C161" s="2004"/>
      <c r="D161" s="2004"/>
      <c r="E161" s="2004"/>
      <c r="F161" s="2004"/>
      <c r="G161" s="2004"/>
      <c r="H161" s="2004"/>
      <c r="I161" s="2004"/>
      <c r="J161" s="2004"/>
      <c r="K161" s="2005"/>
      <c r="L161" s="2006"/>
      <c r="M161" s="2004"/>
      <c r="N161" s="2004"/>
      <c r="O161" s="2004"/>
      <c r="P161" s="2004"/>
      <c r="Q161" s="2004"/>
      <c r="R161" s="2004"/>
      <c r="S161" s="2004"/>
      <c r="T161" s="2004"/>
    </row>
    <row r="162" spans="1:20">
      <c r="A162" s="2004"/>
      <c r="B162" s="2004"/>
      <c r="C162" s="2004"/>
      <c r="D162" s="2004"/>
      <c r="E162" s="2004"/>
      <c r="F162" s="2004"/>
      <c r="G162" s="2004"/>
      <c r="H162" s="2004"/>
      <c r="I162" s="2004"/>
      <c r="J162" s="2004"/>
      <c r="K162" s="2005"/>
      <c r="L162" s="2006"/>
      <c r="M162" s="2004"/>
      <c r="N162" s="2004"/>
      <c r="O162" s="2004"/>
      <c r="P162" s="2004"/>
      <c r="Q162" s="2004"/>
      <c r="R162" s="2004"/>
      <c r="S162" s="2004"/>
      <c r="T162" s="2004"/>
    </row>
    <row r="163" spans="1:20">
      <c r="A163" s="2004"/>
      <c r="B163" s="2004"/>
      <c r="C163" s="2004"/>
      <c r="D163" s="2004"/>
      <c r="E163" s="2004"/>
      <c r="F163" s="2004"/>
      <c r="G163" s="2004"/>
      <c r="H163" s="2004"/>
      <c r="I163" s="2004"/>
      <c r="J163" s="2004"/>
      <c r="K163" s="2005"/>
      <c r="L163" s="2006"/>
      <c r="M163" s="2004"/>
      <c r="N163" s="2004"/>
      <c r="O163" s="2004"/>
      <c r="P163" s="2004"/>
      <c r="Q163" s="2004"/>
      <c r="R163" s="2004"/>
      <c r="S163" s="2004"/>
      <c r="T163" s="2004"/>
    </row>
    <row r="164" spans="1:20">
      <c r="A164" s="2004"/>
      <c r="B164" s="2004"/>
      <c r="C164" s="2004"/>
      <c r="D164" s="2004"/>
      <c r="E164" s="2004"/>
      <c r="F164" s="2004"/>
      <c r="G164" s="2004"/>
      <c r="H164" s="2004"/>
      <c r="I164" s="2004"/>
      <c r="J164" s="2004"/>
      <c r="K164" s="2005"/>
      <c r="L164" s="2006"/>
      <c r="M164" s="2004"/>
      <c r="N164" s="2004"/>
      <c r="O164" s="2004"/>
      <c r="P164" s="2004"/>
      <c r="Q164" s="2004"/>
      <c r="R164" s="2004"/>
      <c r="S164" s="2004"/>
      <c r="T164" s="2004"/>
    </row>
    <row r="165" spans="1:20">
      <c r="A165" s="2004"/>
      <c r="B165" s="2004"/>
      <c r="C165" s="2004"/>
      <c r="D165" s="2004"/>
      <c r="E165" s="2004"/>
      <c r="F165" s="2004"/>
      <c r="G165" s="2004"/>
      <c r="H165" s="2004"/>
      <c r="I165" s="2004"/>
      <c r="J165" s="2004"/>
      <c r="K165" s="2005"/>
      <c r="L165" s="2006"/>
      <c r="M165" s="2004"/>
      <c r="N165" s="2004"/>
      <c r="O165" s="2004"/>
      <c r="P165" s="2004"/>
      <c r="Q165" s="2004"/>
      <c r="R165" s="2004"/>
      <c r="S165" s="2004"/>
      <c r="T165" s="2004"/>
    </row>
    <row r="166" spans="1:20">
      <c r="A166" s="2004"/>
      <c r="B166" s="2004"/>
      <c r="C166" s="2004"/>
      <c r="D166" s="2004"/>
      <c r="E166" s="2004"/>
      <c r="F166" s="2004"/>
      <c r="G166" s="2004"/>
      <c r="H166" s="2004"/>
      <c r="I166" s="2004"/>
      <c r="J166" s="2004"/>
      <c r="K166" s="2005"/>
      <c r="L166" s="2006"/>
      <c r="M166" s="2004"/>
      <c r="N166" s="2004"/>
      <c r="O166" s="2004"/>
      <c r="P166" s="2004"/>
      <c r="Q166" s="2004"/>
      <c r="R166" s="2004"/>
      <c r="S166" s="2004"/>
      <c r="T166" s="2004"/>
    </row>
    <row r="167" spans="1:20">
      <c r="A167" s="2004"/>
      <c r="B167" s="2004"/>
      <c r="C167" s="2004"/>
      <c r="D167" s="2004"/>
      <c r="E167" s="2004"/>
      <c r="F167" s="2004"/>
      <c r="G167" s="2004"/>
      <c r="H167" s="2004"/>
      <c r="I167" s="2004"/>
      <c r="J167" s="2004"/>
      <c r="K167" s="2005"/>
      <c r="L167" s="2006"/>
      <c r="M167" s="2004"/>
      <c r="N167" s="2004"/>
      <c r="O167" s="2004"/>
      <c r="P167" s="2004"/>
      <c r="Q167" s="2004"/>
      <c r="R167" s="2004"/>
      <c r="S167" s="2004"/>
      <c r="T167" s="2004"/>
    </row>
    <row r="168" spans="1:20">
      <c r="A168" s="2004"/>
      <c r="B168" s="2004"/>
      <c r="C168" s="2004"/>
      <c r="D168" s="2004"/>
      <c r="E168" s="2004"/>
      <c r="F168" s="2004"/>
      <c r="G168" s="2004"/>
      <c r="H168" s="2004"/>
      <c r="I168" s="2004"/>
      <c r="J168" s="2004"/>
      <c r="K168" s="2005"/>
      <c r="L168" s="2006"/>
      <c r="M168" s="2004"/>
      <c r="N168" s="2004"/>
      <c r="O168" s="2004"/>
      <c r="P168" s="2004"/>
      <c r="Q168" s="2004"/>
      <c r="R168" s="2004"/>
      <c r="S168" s="2004"/>
      <c r="T168" s="2004"/>
    </row>
    <row r="169" spans="1:20">
      <c r="A169" s="2004"/>
      <c r="B169" s="2004"/>
      <c r="C169" s="2004"/>
      <c r="D169" s="2004"/>
      <c r="E169" s="2004"/>
      <c r="F169" s="2004"/>
      <c r="G169" s="2004"/>
      <c r="H169" s="2004"/>
      <c r="I169" s="2004"/>
      <c r="J169" s="2004"/>
      <c r="K169" s="2005"/>
      <c r="L169" s="2006"/>
      <c r="M169" s="2004"/>
      <c r="N169" s="2004"/>
      <c r="O169" s="2004"/>
      <c r="P169" s="2004"/>
      <c r="Q169" s="2004"/>
      <c r="R169" s="2004"/>
      <c r="S169" s="2004"/>
      <c r="T169" s="2004"/>
    </row>
    <row r="170" spans="1:20">
      <c r="A170" s="2004"/>
      <c r="B170" s="2004"/>
      <c r="C170" s="2004"/>
      <c r="D170" s="2004"/>
      <c r="E170" s="2004"/>
      <c r="F170" s="2004"/>
      <c r="G170" s="2004"/>
      <c r="H170" s="2004"/>
      <c r="I170" s="2004"/>
      <c r="J170" s="2004"/>
      <c r="K170" s="2005"/>
      <c r="L170" s="2006"/>
      <c r="M170" s="2004"/>
      <c r="N170" s="2004"/>
      <c r="O170" s="2004"/>
      <c r="P170" s="2004"/>
      <c r="Q170" s="2004"/>
      <c r="R170" s="2004"/>
      <c r="S170" s="2004"/>
      <c r="T170" s="2004"/>
    </row>
    <row r="171" spans="1:20">
      <c r="A171" s="2004"/>
      <c r="B171" s="2004"/>
      <c r="C171" s="2004"/>
      <c r="D171" s="2004"/>
      <c r="E171" s="2004"/>
      <c r="F171" s="2004"/>
      <c r="G171" s="2004"/>
      <c r="H171" s="2004"/>
      <c r="I171" s="2004"/>
      <c r="J171" s="2004"/>
      <c r="K171" s="2005"/>
      <c r="L171" s="2006"/>
      <c r="M171" s="2004"/>
      <c r="N171" s="2004"/>
      <c r="O171" s="2004"/>
      <c r="P171" s="2004"/>
      <c r="Q171" s="2004"/>
      <c r="R171" s="2004"/>
      <c r="S171" s="2004"/>
      <c r="T171" s="2004"/>
    </row>
    <row r="172" spans="1:20">
      <c r="A172" s="2004"/>
      <c r="B172" s="2004"/>
      <c r="C172" s="2004"/>
      <c r="D172" s="2004"/>
      <c r="E172" s="2004"/>
      <c r="F172" s="2004"/>
      <c r="G172" s="2004"/>
      <c r="H172" s="2004"/>
      <c r="I172" s="2004"/>
      <c r="J172" s="2004"/>
      <c r="K172" s="2005"/>
      <c r="L172" s="2006"/>
      <c r="M172" s="2004"/>
      <c r="N172" s="2004"/>
      <c r="O172" s="2004"/>
      <c r="P172" s="2004"/>
      <c r="Q172" s="2004"/>
      <c r="R172" s="2004"/>
      <c r="S172" s="2004"/>
      <c r="T172" s="2004"/>
    </row>
    <row r="173" spans="1:20">
      <c r="A173" s="2004"/>
      <c r="B173" s="2004"/>
      <c r="C173" s="2004"/>
      <c r="D173" s="2004"/>
      <c r="E173" s="2004"/>
      <c r="F173" s="2004"/>
      <c r="G173" s="2004"/>
      <c r="H173" s="2004"/>
      <c r="I173" s="2004"/>
      <c r="J173" s="2004"/>
      <c r="K173" s="2005"/>
      <c r="L173" s="2006"/>
      <c r="M173" s="2004"/>
      <c r="N173" s="2004"/>
      <c r="O173" s="2004"/>
      <c r="P173" s="2004"/>
      <c r="Q173" s="2004"/>
      <c r="R173" s="2004"/>
      <c r="S173" s="2004"/>
      <c r="T173" s="2004"/>
    </row>
    <row r="174" spans="1:20">
      <c r="A174" s="2004"/>
      <c r="B174" s="2004"/>
      <c r="C174" s="2004"/>
      <c r="D174" s="2004"/>
      <c r="E174" s="2004"/>
      <c r="F174" s="2004"/>
      <c r="G174" s="2004"/>
      <c r="H174" s="2004"/>
      <c r="I174" s="2004"/>
      <c r="J174" s="2004"/>
      <c r="K174" s="2005"/>
      <c r="L174" s="2006"/>
      <c r="M174" s="2004"/>
      <c r="N174" s="2004"/>
      <c r="O174" s="2004"/>
      <c r="P174" s="2004"/>
      <c r="Q174" s="2004"/>
      <c r="R174" s="2004"/>
      <c r="S174" s="2004"/>
      <c r="T174" s="2004"/>
    </row>
    <row r="175" spans="1:20">
      <c r="A175" s="2004"/>
      <c r="B175" s="2004"/>
      <c r="C175" s="2004"/>
      <c r="D175" s="2004"/>
      <c r="E175" s="2004"/>
      <c r="F175" s="2004"/>
      <c r="G175" s="2004"/>
      <c r="H175" s="2004"/>
      <c r="I175" s="2004"/>
      <c r="J175" s="2004"/>
      <c r="K175" s="2005"/>
      <c r="L175" s="2006"/>
      <c r="M175" s="2004"/>
      <c r="N175" s="2004"/>
      <c r="O175" s="2004"/>
      <c r="P175" s="2004"/>
      <c r="Q175" s="2004"/>
      <c r="R175" s="2004"/>
      <c r="S175" s="2004"/>
      <c r="T175" s="2004"/>
    </row>
    <row r="176" spans="1:20">
      <c r="A176" s="2004"/>
      <c r="B176" s="2004"/>
      <c r="C176" s="2004"/>
      <c r="D176" s="2004"/>
      <c r="E176" s="2004"/>
      <c r="F176" s="2004"/>
      <c r="G176" s="2004"/>
      <c r="H176" s="2004"/>
      <c r="I176" s="2004"/>
      <c r="J176" s="2004"/>
      <c r="K176" s="2005"/>
      <c r="L176" s="2006"/>
      <c r="M176" s="2004"/>
      <c r="N176" s="2004"/>
      <c r="O176" s="2004"/>
      <c r="P176" s="2004"/>
      <c r="Q176" s="2004"/>
      <c r="R176" s="2004"/>
      <c r="S176" s="2004"/>
      <c r="T176" s="2004"/>
    </row>
    <row r="177" spans="1:20">
      <c r="A177" s="2004"/>
      <c r="B177" s="2004"/>
      <c r="C177" s="2004"/>
      <c r="D177" s="2004"/>
      <c r="E177" s="2004"/>
      <c r="F177" s="2004"/>
      <c r="G177" s="2004"/>
      <c r="H177" s="2004"/>
      <c r="I177" s="2004"/>
      <c r="J177" s="2004"/>
      <c r="K177" s="2005"/>
      <c r="L177" s="2006"/>
      <c r="M177" s="2004"/>
      <c r="N177" s="2004"/>
      <c r="O177" s="2004"/>
      <c r="P177" s="2004"/>
      <c r="Q177" s="2004"/>
      <c r="R177" s="2004"/>
      <c r="S177" s="2004"/>
      <c r="T177" s="2004"/>
    </row>
    <row r="178" spans="1:20">
      <c r="A178" s="2004"/>
      <c r="B178" s="2004"/>
      <c r="C178" s="2004"/>
      <c r="D178" s="2004"/>
      <c r="E178" s="2004"/>
      <c r="F178" s="2004"/>
      <c r="G178" s="2004"/>
      <c r="H178" s="2004"/>
      <c r="I178" s="2004"/>
      <c r="J178" s="2004"/>
      <c r="K178" s="2005"/>
      <c r="L178" s="2006"/>
      <c r="M178" s="2004"/>
      <c r="N178" s="2004"/>
      <c r="O178" s="2004"/>
      <c r="P178" s="2004"/>
      <c r="Q178" s="2004"/>
      <c r="R178" s="2004"/>
      <c r="S178" s="2004"/>
      <c r="T178" s="2004"/>
    </row>
    <row r="179" spans="1:20">
      <c r="A179" s="2004"/>
      <c r="B179" s="2004"/>
      <c r="C179" s="2004"/>
      <c r="D179" s="2004"/>
      <c r="E179" s="2004"/>
      <c r="F179" s="2004"/>
      <c r="G179" s="2004"/>
      <c r="H179" s="2004"/>
      <c r="I179" s="2004"/>
      <c r="J179" s="2004"/>
      <c r="K179" s="2005"/>
      <c r="L179" s="2006"/>
      <c r="M179" s="2004"/>
      <c r="N179" s="2004"/>
      <c r="O179" s="2004"/>
      <c r="P179" s="2004"/>
      <c r="Q179" s="2004"/>
      <c r="R179" s="2004"/>
      <c r="S179" s="2004"/>
      <c r="T179" s="2004"/>
    </row>
    <row r="180" spans="1:20">
      <c r="A180" s="2004"/>
      <c r="B180" s="2004"/>
      <c r="C180" s="2004"/>
      <c r="D180" s="2004"/>
      <c r="E180" s="2004"/>
      <c r="F180" s="2004"/>
      <c r="G180" s="2004"/>
      <c r="H180" s="2004"/>
      <c r="I180" s="2004"/>
      <c r="J180" s="2004"/>
      <c r="K180" s="2005"/>
      <c r="L180" s="2006"/>
      <c r="M180" s="2004"/>
      <c r="N180" s="2004"/>
      <c r="O180" s="2004"/>
      <c r="P180" s="2004"/>
      <c r="Q180" s="2004"/>
      <c r="R180" s="2004"/>
      <c r="S180" s="2004"/>
      <c r="T180" s="2004"/>
    </row>
    <row r="181" spans="1:20">
      <c r="A181" s="2004"/>
      <c r="B181" s="2004"/>
      <c r="C181" s="2004"/>
      <c r="D181" s="2004"/>
      <c r="E181" s="2004"/>
      <c r="F181" s="2004"/>
      <c r="G181" s="2004"/>
      <c r="H181" s="2004"/>
      <c r="I181" s="2004"/>
      <c r="J181" s="2004"/>
      <c r="K181" s="2005"/>
      <c r="L181" s="2006"/>
      <c r="M181" s="2004"/>
      <c r="N181" s="2004"/>
      <c r="O181" s="2004"/>
      <c r="P181" s="2004"/>
      <c r="Q181" s="2004"/>
      <c r="R181" s="2004"/>
      <c r="S181" s="2004"/>
      <c r="T181" s="2004"/>
    </row>
    <row r="182" spans="1:20">
      <c r="A182" s="2004"/>
      <c r="B182" s="2004"/>
      <c r="C182" s="2004"/>
      <c r="D182" s="2004"/>
      <c r="E182" s="2004"/>
      <c r="F182" s="2004"/>
      <c r="G182" s="2004"/>
      <c r="H182" s="2004"/>
      <c r="I182" s="2004"/>
      <c r="J182" s="2004"/>
      <c r="K182" s="2005"/>
      <c r="L182" s="2006"/>
      <c r="M182" s="2004"/>
      <c r="N182" s="2004"/>
      <c r="O182" s="2004"/>
      <c r="P182" s="2004"/>
      <c r="Q182" s="2004"/>
      <c r="R182" s="2004"/>
      <c r="S182" s="2004"/>
      <c r="T182" s="2004"/>
    </row>
    <row r="183" spans="1:20">
      <c r="A183" s="2004"/>
      <c r="B183" s="2004"/>
      <c r="C183" s="2004"/>
      <c r="D183" s="2004"/>
      <c r="E183" s="2004"/>
      <c r="F183" s="2004"/>
      <c r="G183" s="2004"/>
      <c r="H183" s="2004"/>
      <c r="I183" s="2004"/>
      <c r="J183" s="2004"/>
      <c r="K183" s="2005"/>
      <c r="L183" s="2006"/>
      <c r="M183" s="2004"/>
      <c r="N183" s="2004"/>
      <c r="O183" s="2004"/>
      <c r="P183" s="2004"/>
      <c r="Q183" s="2004"/>
      <c r="R183" s="2004"/>
      <c r="S183" s="2004"/>
      <c r="T183" s="2004"/>
    </row>
    <row r="184" spans="1:20">
      <c r="A184" s="2004"/>
      <c r="B184" s="2004"/>
      <c r="C184" s="2004"/>
      <c r="D184" s="2004"/>
      <c r="E184" s="2004"/>
      <c r="F184" s="2004"/>
      <c r="G184" s="2004"/>
      <c r="H184" s="2004"/>
      <c r="I184" s="2004"/>
      <c r="J184" s="2004"/>
      <c r="K184" s="2005"/>
      <c r="L184" s="2006"/>
      <c r="M184" s="2004"/>
      <c r="N184" s="2004"/>
      <c r="O184" s="2004"/>
      <c r="P184" s="2004"/>
      <c r="Q184" s="2004"/>
      <c r="R184" s="2004"/>
      <c r="S184" s="2004"/>
      <c r="T184" s="2004"/>
    </row>
    <row r="185" spans="1:20">
      <c r="A185" s="2004"/>
      <c r="B185" s="2004"/>
      <c r="C185" s="2004"/>
      <c r="D185" s="2004"/>
      <c r="E185" s="2004"/>
      <c r="F185" s="2004"/>
      <c r="G185" s="2004"/>
      <c r="H185" s="2004"/>
      <c r="I185" s="2004"/>
      <c r="J185" s="2004"/>
      <c r="K185" s="2005"/>
      <c r="L185" s="2006"/>
      <c r="M185" s="2004"/>
      <c r="N185" s="2004"/>
      <c r="O185" s="2004"/>
      <c r="P185" s="2004"/>
      <c r="Q185" s="2004"/>
      <c r="R185" s="2004"/>
      <c r="S185" s="2004"/>
      <c r="T185" s="2004"/>
    </row>
    <row r="186" spans="1:20">
      <c r="A186" s="2004"/>
      <c r="B186" s="2004"/>
      <c r="C186" s="2004"/>
      <c r="D186" s="2004"/>
      <c r="E186" s="2004"/>
      <c r="F186" s="2004"/>
      <c r="G186" s="2004"/>
      <c r="H186" s="2004"/>
      <c r="I186" s="2004"/>
      <c r="J186" s="2004"/>
      <c r="K186" s="2005"/>
      <c r="L186" s="2006"/>
      <c r="M186" s="2004"/>
      <c r="N186" s="2004"/>
      <c r="O186" s="2004"/>
      <c r="P186" s="2004"/>
      <c r="Q186" s="2004"/>
      <c r="R186" s="2004"/>
      <c r="S186" s="2004"/>
      <c r="T186" s="2004"/>
    </row>
    <row r="187" spans="1:20">
      <c r="A187" s="2004"/>
      <c r="B187" s="2004"/>
      <c r="C187" s="2004"/>
      <c r="D187" s="2004"/>
      <c r="E187" s="2004"/>
      <c r="F187" s="2004"/>
      <c r="G187" s="2004"/>
      <c r="H187" s="2004"/>
      <c r="I187" s="2004"/>
      <c r="J187" s="2004"/>
      <c r="K187" s="2005"/>
      <c r="L187" s="2006"/>
      <c r="M187" s="2004"/>
      <c r="N187" s="2004"/>
      <c r="O187" s="2004"/>
      <c r="P187" s="2004"/>
      <c r="Q187" s="2004"/>
      <c r="R187" s="2004"/>
      <c r="S187" s="2004"/>
      <c r="T187" s="2004"/>
    </row>
    <row r="188" spans="1:20">
      <c r="A188" s="2004"/>
      <c r="B188" s="2004"/>
      <c r="C188" s="2004"/>
      <c r="D188" s="2004"/>
      <c r="E188" s="2004"/>
      <c r="F188" s="2004"/>
      <c r="G188" s="2004"/>
      <c r="H188" s="2004"/>
      <c r="I188" s="2004"/>
      <c r="J188" s="2004"/>
      <c r="K188" s="2005"/>
      <c r="L188" s="2006"/>
      <c r="M188" s="2004"/>
      <c r="N188" s="2004"/>
      <c r="O188" s="2004"/>
      <c r="P188" s="2004"/>
      <c r="Q188" s="2004"/>
      <c r="R188" s="2004"/>
      <c r="S188" s="2004"/>
      <c r="T188" s="2004"/>
    </row>
    <row r="189" spans="1:20">
      <c r="A189" s="2004"/>
      <c r="B189" s="2004"/>
      <c r="C189" s="2004"/>
      <c r="D189" s="2004"/>
      <c r="E189" s="2004"/>
      <c r="F189" s="2004"/>
      <c r="G189" s="2004"/>
      <c r="H189" s="2004"/>
      <c r="I189" s="2004"/>
      <c r="J189" s="2004"/>
      <c r="K189" s="2005"/>
      <c r="L189" s="2006"/>
      <c r="M189" s="2004"/>
      <c r="N189" s="2004"/>
      <c r="O189" s="2004"/>
      <c r="P189" s="2004"/>
      <c r="Q189" s="2004"/>
      <c r="R189" s="2004"/>
      <c r="S189" s="2004"/>
      <c r="T189" s="2004"/>
    </row>
    <row r="190" spans="1:20">
      <c r="A190" s="2004"/>
      <c r="B190" s="2004"/>
      <c r="C190" s="2004"/>
      <c r="D190" s="2004"/>
      <c r="E190" s="2004"/>
      <c r="F190" s="2004"/>
      <c r="G190" s="2004"/>
      <c r="H190" s="2004"/>
      <c r="I190" s="2004"/>
      <c r="J190" s="2004"/>
      <c r="K190" s="2005"/>
      <c r="L190" s="2006"/>
      <c r="M190" s="2004"/>
      <c r="N190" s="2004"/>
      <c r="O190" s="2004"/>
      <c r="P190" s="2004"/>
      <c r="Q190" s="2004"/>
      <c r="R190" s="2004"/>
      <c r="S190" s="2004"/>
      <c r="T190" s="2004"/>
    </row>
    <row r="191" spans="1:20">
      <c r="A191" s="2004"/>
      <c r="B191" s="2004"/>
      <c r="C191" s="2004"/>
      <c r="D191" s="2004"/>
      <c r="E191" s="2004"/>
      <c r="F191" s="2004"/>
      <c r="G191" s="2004"/>
      <c r="H191" s="2004"/>
      <c r="I191" s="2004"/>
      <c r="J191" s="2004"/>
      <c r="K191" s="2005"/>
      <c r="L191" s="2006"/>
      <c r="M191" s="2004"/>
      <c r="N191" s="2004"/>
      <c r="O191" s="2004"/>
      <c r="P191" s="2004"/>
      <c r="Q191" s="2004"/>
      <c r="R191" s="2004"/>
      <c r="S191" s="2004"/>
      <c r="T191" s="2004"/>
    </row>
    <row r="192" spans="1:20">
      <c r="A192" s="2004"/>
      <c r="B192" s="2004"/>
      <c r="C192" s="2004"/>
      <c r="D192" s="2004"/>
      <c r="E192" s="2004"/>
      <c r="F192" s="2004"/>
      <c r="G192" s="2004"/>
      <c r="H192" s="2004"/>
      <c r="I192" s="2004"/>
      <c r="J192" s="2004"/>
      <c r="K192" s="2005"/>
      <c r="L192" s="2006"/>
      <c r="M192" s="2004"/>
      <c r="N192" s="2004"/>
      <c r="O192" s="2004"/>
      <c r="P192" s="2004"/>
      <c r="Q192" s="2004"/>
      <c r="R192" s="2004"/>
      <c r="S192" s="2004"/>
      <c r="T192" s="2004"/>
    </row>
    <row r="193" spans="1:20">
      <c r="A193" s="2004"/>
      <c r="B193" s="2004"/>
      <c r="C193" s="2004"/>
      <c r="D193" s="2004"/>
      <c r="E193" s="2004"/>
      <c r="F193" s="2004"/>
      <c r="G193" s="2004"/>
      <c r="H193" s="2004"/>
      <c r="I193" s="2004"/>
      <c r="J193" s="2004"/>
      <c r="K193" s="2005"/>
      <c r="L193" s="2006"/>
      <c r="M193" s="2004"/>
      <c r="N193" s="2004"/>
      <c r="O193" s="2004"/>
      <c r="P193" s="2004"/>
      <c r="Q193" s="2004"/>
      <c r="R193" s="2004"/>
      <c r="S193" s="2004"/>
      <c r="T193" s="2004"/>
    </row>
    <row r="194" spans="1:20">
      <c r="A194" s="2004"/>
      <c r="B194" s="2004"/>
      <c r="C194" s="2004"/>
      <c r="D194" s="2004"/>
      <c r="E194" s="2004"/>
      <c r="F194" s="2004"/>
      <c r="G194" s="2004"/>
      <c r="H194" s="2004"/>
      <c r="I194" s="2004"/>
      <c r="J194" s="2004"/>
      <c r="K194" s="2005"/>
      <c r="L194" s="2006"/>
      <c r="M194" s="2004"/>
      <c r="N194" s="2004"/>
      <c r="O194" s="2004"/>
      <c r="P194" s="2004"/>
      <c r="Q194" s="2004"/>
      <c r="R194" s="2004"/>
      <c r="S194" s="2004"/>
      <c r="T194" s="2004"/>
    </row>
    <row r="195" spans="1:20">
      <c r="A195" s="2004"/>
      <c r="B195" s="2004"/>
      <c r="C195" s="2004"/>
      <c r="D195" s="2004"/>
      <c r="E195" s="2004"/>
      <c r="F195" s="2004"/>
      <c r="G195" s="2004"/>
      <c r="H195" s="2004"/>
      <c r="I195" s="2004"/>
      <c r="J195" s="2004"/>
      <c r="K195" s="2005"/>
      <c r="L195" s="2006"/>
      <c r="M195" s="2004"/>
      <c r="N195" s="2004"/>
      <c r="O195" s="2004"/>
      <c r="P195" s="2004"/>
      <c r="Q195" s="2004"/>
      <c r="R195" s="2004"/>
      <c r="S195" s="2004"/>
      <c r="T195" s="2004"/>
    </row>
    <row r="196" spans="1:20">
      <c r="A196" s="2004"/>
      <c r="B196" s="2004"/>
      <c r="C196" s="2004"/>
      <c r="D196" s="2004"/>
      <c r="E196" s="2004"/>
      <c r="F196" s="2004"/>
      <c r="G196" s="2004"/>
      <c r="H196" s="2004"/>
      <c r="I196" s="2004"/>
      <c r="J196" s="2004"/>
      <c r="K196" s="2005"/>
      <c r="L196" s="2006"/>
      <c r="M196" s="2004"/>
      <c r="N196" s="2004"/>
      <c r="O196" s="2004"/>
      <c r="P196" s="2004"/>
      <c r="Q196" s="2004"/>
      <c r="R196" s="2004"/>
      <c r="S196" s="2004"/>
      <c r="T196" s="2004"/>
    </row>
    <row r="197" spans="1:20">
      <c r="A197" s="2004"/>
      <c r="B197" s="2004"/>
      <c r="C197" s="2004"/>
      <c r="D197" s="2004"/>
      <c r="E197" s="2004"/>
      <c r="F197" s="2004"/>
      <c r="G197" s="2004"/>
      <c r="H197" s="2004"/>
      <c r="I197" s="2004"/>
      <c r="J197" s="2004"/>
      <c r="K197" s="2005"/>
      <c r="L197" s="2006"/>
      <c r="M197" s="2004"/>
      <c r="N197" s="2004"/>
      <c r="O197" s="2004"/>
      <c r="P197" s="2004"/>
      <c r="Q197" s="2004"/>
      <c r="R197" s="2004"/>
      <c r="S197" s="2004"/>
      <c r="T197" s="2004"/>
    </row>
    <row r="198" spans="1:20">
      <c r="A198" s="2004"/>
      <c r="B198" s="2004"/>
      <c r="C198" s="2004"/>
      <c r="D198" s="2004"/>
      <c r="E198" s="2004"/>
      <c r="F198" s="2004"/>
      <c r="G198" s="2004"/>
      <c r="H198" s="2004"/>
      <c r="I198" s="2004"/>
      <c r="J198" s="2004"/>
      <c r="K198" s="2005"/>
      <c r="L198" s="2006"/>
      <c r="M198" s="2004"/>
      <c r="N198" s="2004"/>
      <c r="O198" s="2004"/>
      <c r="P198" s="2004"/>
      <c r="Q198" s="2004"/>
      <c r="R198" s="2004"/>
      <c r="S198" s="2004"/>
      <c r="T198" s="2004"/>
    </row>
    <row r="199" spans="1:20">
      <c r="A199" s="2004"/>
      <c r="B199" s="2004"/>
      <c r="C199" s="2004"/>
      <c r="D199" s="2004"/>
      <c r="E199" s="2004"/>
      <c r="F199" s="2004"/>
      <c r="G199" s="2004"/>
      <c r="H199" s="2004"/>
      <c r="I199" s="2004"/>
      <c r="J199" s="2004"/>
      <c r="K199" s="2005"/>
      <c r="L199" s="2006"/>
      <c r="M199" s="2004"/>
      <c r="N199" s="2004"/>
      <c r="O199" s="2004"/>
      <c r="P199" s="2004"/>
      <c r="Q199" s="2004"/>
      <c r="R199" s="2004"/>
      <c r="S199" s="2004"/>
      <c r="T199" s="2004"/>
    </row>
    <row r="200" spans="1:20">
      <c r="A200" s="2004"/>
      <c r="B200" s="2004"/>
      <c r="C200" s="2004"/>
      <c r="D200" s="2004"/>
      <c r="E200" s="2004"/>
      <c r="F200" s="2004"/>
      <c r="G200" s="2004"/>
      <c r="H200" s="2004"/>
      <c r="I200" s="2004"/>
      <c r="J200" s="2004"/>
      <c r="K200" s="2005"/>
      <c r="L200" s="2006"/>
      <c r="M200" s="2004"/>
      <c r="N200" s="2004"/>
      <c r="O200" s="2004"/>
      <c r="P200" s="2004"/>
      <c r="Q200" s="2004"/>
      <c r="R200" s="2004"/>
      <c r="S200" s="2004"/>
      <c r="T200" s="2004"/>
    </row>
    <row r="201" spans="1:20">
      <c r="A201" s="2004"/>
      <c r="B201" s="2004"/>
      <c r="C201" s="2004"/>
      <c r="D201" s="2004"/>
      <c r="E201" s="2004"/>
      <c r="F201" s="2004"/>
      <c r="G201" s="2004"/>
      <c r="H201" s="2004"/>
      <c r="I201" s="2004"/>
      <c r="J201" s="2004"/>
      <c r="K201" s="2005"/>
      <c r="L201" s="2006"/>
      <c r="M201" s="2004"/>
      <c r="N201" s="2004"/>
      <c r="O201" s="2004"/>
      <c r="P201" s="2004"/>
      <c r="Q201" s="2004"/>
      <c r="R201" s="2004"/>
      <c r="S201" s="2004"/>
      <c r="T201" s="2004"/>
    </row>
    <row r="202" spans="1:20">
      <c r="A202" s="2004"/>
      <c r="B202" s="2004"/>
      <c r="C202" s="2004"/>
      <c r="D202" s="2004"/>
      <c r="E202" s="2004"/>
      <c r="F202" s="2004"/>
      <c r="G202" s="2004"/>
      <c r="H202" s="2004"/>
      <c r="I202" s="2004"/>
      <c r="J202" s="2004"/>
      <c r="K202" s="2005"/>
      <c r="L202" s="2006"/>
      <c r="M202" s="2004"/>
      <c r="N202" s="2004"/>
      <c r="O202" s="2004"/>
      <c r="P202" s="2004"/>
      <c r="Q202" s="2004"/>
      <c r="R202" s="2004"/>
      <c r="S202" s="2004"/>
      <c r="T202" s="2004"/>
    </row>
    <row r="203" spans="1:20">
      <c r="A203" s="2004"/>
      <c r="B203" s="2004"/>
      <c r="C203" s="2004"/>
      <c r="D203" s="2004"/>
      <c r="E203" s="2004"/>
      <c r="F203" s="2004"/>
      <c r="G203" s="2004"/>
      <c r="H203" s="2004"/>
      <c r="I203" s="2004"/>
      <c r="J203" s="2004"/>
      <c r="K203" s="2005"/>
      <c r="L203" s="2006"/>
      <c r="M203" s="2004"/>
      <c r="N203" s="2004"/>
      <c r="O203" s="2004"/>
      <c r="P203" s="2004"/>
      <c r="Q203" s="2004"/>
      <c r="R203" s="2004"/>
      <c r="S203" s="2004"/>
      <c r="T203" s="2004"/>
    </row>
    <row r="204" spans="1:20">
      <c r="A204" s="2004"/>
      <c r="B204" s="2004"/>
      <c r="C204" s="2004"/>
      <c r="D204" s="2004"/>
      <c r="E204" s="2004"/>
      <c r="F204" s="2004"/>
      <c r="G204" s="2004"/>
      <c r="H204" s="2004"/>
      <c r="I204" s="2004"/>
      <c r="J204" s="2004"/>
      <c r="K204" s="2005"/>
      <c r="L204" s="2006"/>
      <c r="M204" s="2004"/>
      <c r="N204" s="2004"/>
      <c r="O204" s="2004"/>
      <c r="P204" s="2004"/>
      <c r="Q204" s="2004"/>
      <c r="R204" s="2004"/>
      <c r="S204" s="2004"/>
      <c r="T204" s="2004"/>
    </row>
    <row r="205" spans="1:20">
      <c r="A205" s="2004"/>
      <c r="B205" s="2004"/>
      <c r="C205" s="2004"/>
      <c r="D205" s="2004"/>
      <c r="E205" s="2004"/>
      <c r="F205" s="2004"/>
      <c r="G205" s="2004"/>
      <c r="H205" s="2004"/>
      <c r="I205" s="2004"/>
      <c r="J205" s="2004"/>
      <c r="K205" s="2005"/>
      <c r="L205" s="2006"/>
      <c r="M205" s="2004"/>
      <c r="N205" s="2004"/>
      <c r="O205" s="2004"/>
      <c r="P205" s="2004"/>
      <c r="Q205" s="2004"/>
      <c r="R205" s="2004"/>
      <c r="S205" s="2004"/>
      <c r="T205" s="2004"/>
    </row>
    <row r="206" spans="1:20">
      <c r="A206" s="2004"/>
      <c r="B206" s="2004"/>
      <c r="C206" s="2004"/>
      <c r="D206" s="2004"/>
      <c r="E206" s="2004"/>
      <c r="F206" s="2004"/>
      <c r="G206" s="2004"/>
      <c r="H206" s="2004"/>
      <c r="I206" s="2004"/>
      <c r="J206" s="2004"/>
      <c r="K206" s="2005"/>
      <c r="L206" s="2006"/>
      <c r="M206" s="2004"/>
      <c r="N206" s="2004"/>
      <c r="O206" s="2004"/>
      <c r="P206" s="2004"/>
      <c r="Q206" s="2004"/>
      <c r="R206" s="2004"/>
      <c r="S206" s="2004"/>
      <c r="T206" s="2004"/>
    </row>
    <row r="207" spans="1:20">
      <c r="A207" s="2004"/>
      <c r="B207" s="2004"/>
      <c r="C207" s="2004"/>
      <c r="D207" s="2004"/>
      <c r="E207" s="2004"/>
      <c r="F207" s="2004"/>
      <c r="G207" s="2004"/>
      <c r="H207" s="2004"/>
      <c r="I207" s="2004"/>
      <c r="J207" s="2004"/>
      <c r="K207" s="2005"/>
      <c r="L207" s="2006"/>
      <c r="M207" s="2004"/>
      <c r="N207" s="2004"/>
      <c r="O207" s="2004"/>
      <c r="P207" s="2004"/>
      <c r="Q207" s="2004"/>
      <c r="R207" s="2004"/>
      <c r="S207" s="2004"/>
      <c r="T207" s="2004"/>
    </row>
    <row r="208" spans="1:20">
      <c r="A208" s="2004"/>
      <c r="B208" s="2004"/>
      <c r="C208" s="2004"/>
      <c r="D208" s="2004"/>
      <c r="E208" s="2004"/>
      <c r="F208" s="2004"/>
      <c r="G208" s="2004"/>
      <c r="H208" s="2004"/>
      <c r="I208" s="2004"/>
      <c r="J208" s="2004"/>
      <c r="K208" s="2005"/>
      <c r="L208" s="2006"/>
      <c r="M208" s="2004"/>
      <c r="N208" s="2004"/>
      <c r="O208" s="2004"/>
      <c r="P208" s="2004"/>
      <c r="Q208" s="2004"/>
      <c r="R208" s="2004"/>
      <c r="S208" s="2004"/>
      <c r="T208" s="2004"/>
    </row>
    <row r="209" spans="1:20">
      <c r="A209" s="2004"/>
      <c r="B209" s="2004"/>
      <c r="C209" s="2004"/>
      <c r="D209" s="2004"/>
      <c r="E209" s="2004"/>
      <c r="F209" s="2004"/>
      <c r="G209" s="2004"/>
      <c r="H209" s="2004"/>
      <c r="I209" s="2004"/>
      <c r="J209" s="2004"/>
      <c r="K209" s="2005"/>
      <c r="L209" s="2006"/>
      <c r="M209" s="2004"/>
      <c r="N209" s="2004"/>
      <c r="O209" s="2004"/>
      <c r="P209" s="2004"/>
      <c r="Q209" s="2004"/>
      <c r="R209" s="2004"/>
      <c r="S209" s="2004"/>
      <c r="T209" s="2004"/>
    </row>
    <row r="210" spans="1:20">
      <c r="A210" s="2004"/>
      <c r="B210" s="2004"/>
      <c r="C210" s="2004"/>
      <c r="D210" s="2004"/>
      <c r="E210" s="2004"/>
      <c r="F210" s="2004"/>
      <c r="G210" s="2004"/>
      <c r="H210" s="2004"/>
      <c r="I210" s="2004"/>
      <c r="J210" s="2004"/>
      <c r="K210" s="2005"/>
      <c r="L210" s="2006"/>
      <c r="M210" s="2004"/>
      <c r="N210" s="2004"/>
      <c r="O210" s="2004"/>
      <c r="P210" s="2004"/>
      <c r="Q210" s="2004"/>
      <c r="R210" s="2004"/>
      <c r="S210" s="2004"/>
      <c r="T210" s="2004"/>
    </row>
    <row r="211" spans="1:20">
      <c r="A211" s="2004"/>
      <c r="B211" s="2004"/>
      <c r="C211" s="2004"/>
      <c r="D211" s="2004"/>
      <c r="E211" s="2004"/>
      <c r="F211" s="2004"/>
      <c r="G211" s="2004"/>
      <c r="H211" s="2004"/>
      <c r="I211" s="2004"/>
      <c r="J211" s="2004"/>
      <c r="K211" s="2005"/>
      <c r="L211" s="2006"/>
      <c r="M211" s="2004"/>
      <c r="N211" s="2004"/>
      <c r="O211" s="2004"/>
      <c r="P211" s="2004"/>
      <c r="Q211" s="2004"/>
      <c r="R211" s="2004"/>
      <c r="S211" s="2004"/>
      <c r="T211" s="2004"/>
    </row>
    <row r="212" spans="1:20">
      <c r="A212" s="2004"/>
      <c r="B212" s="2004"/>
      <c r="C212" s="2004"/>
      <c r="D212" s="2004"/>
      <c r="E212" s="2004"/>
      <c r="F212" s="2004"/>
      <c r="G212" s="2004"/>
      <c r="H212" s="2004"/>
      <c r="I212" s="2004"/>
      <c r="J212" s="2004"/>
      <c r="K212" s="2005"/>
      <c r="L212" s="2006"/>
      <c r="M212" s="2004"/>
      <c r="N212" s="2004"/>
      <c r="O212" s="2004"/>
      <c r="P212" s="2004"/>
      <c r="Q212" s="2004"/>
      <c r="R212" s="2004"/>
      <c r="S212" s="2004"/>
      <c r="T212" s="2004"/>
    </row>
    <row r="213" spans="1:20">
      <c r="A213" s="2004"/>
      <c r="B213" s="2004"/>
      <c r="C213" s="2004"/>
      <c r="D213" s="2004"/>
      <c r="E213" s="2004"/>
      <c r="F213" s="2004"/>
      <c r="G213" s="2004"/>
      <c r="H213" s="2004"/>
      <c r="I213" s="2004"/>
      <c r="J213" s="2004"/>
      <c r="K213" s="2005"/>
      <c r="L213" s="2006"/>
      <c r="M213" s="2004"/>
      <c r="N213" s="2004"/>
      <c r="O213" s="2004"/>
      <c r="P213" s="2004"/>
      <c r="Q213" s="2004"/>
      <c r="R213" s="2004"/>
      <c r="S213" s="2004"/>
      <c r="T213" s="2004"/>
    </row>
    <row r="214" spans="1:20">
      <c r="A214" s="2004"/>
      <c r="B214" s="2004"/>
      <c r="C214" s="2004"/>
      <c r="D214" s="2004"/>
      <c r="E214" s="2004"/>
      <c r="F214" s="2004"/>
      <c r="G214" s="2004"/>
      <c r="H214" s="2004"/>
      <c r="I214" s="2004"/>
      <c r="J214" s="2004"/>
      <c r="K214" s="2005"/>
      <c r="L214" s="2006"/>
      <c r="M214" s="2004"/>
      <c r="N214" s="2004"/>
      <c r="O214" s="2004"/>
      <c r="P214" s="2004"/>
      <c r="Q214" s="2004"/>
      <c r="R214" s="2004"/>
      <c r="S214" s="2004"/>
      <c r="T214" s="2004"/>
    </row>
    <row r="215" spans="1:20">
      <c r="A215" s="2004"/>
      <c r="B215" s="2004"/>
      <c r="C215" s="2004"/>
      <c r="D215" s="2004"/>
      <c r="E215" s="2004"/>
      <c r="F215" s="2004"/>
      <c r="G215" s="2004"/>
      <c r="H215" s="2004"/>
      <c r="I215" s="2004"/>
      <c r="J215" s="2004"/>
      <c r="K215" s="2005"/>
      <c r="L215" s="2006"/>
      <c r="M215" s="2004"/>
      <c r="N215" s="2004"/>
      <c r="O215" s="2004"/>
      <c r="P215" s="2004"/>
      <c r="Q215" s="2004"/>
      <c r="R215" s="2004"/>
      <c r="S215" s="2004"/>
      <c r="T215" s="2004"/>
    </row>
    <row r="216" spans="1:20">
      <c r="A216" s="2004"/>
      <c r="B216" s="2004"/>
      <c r="C216" s="2004"/>
      <c r="D216" s="2004"/>
      <c r="E216" s="2004"/>
      <c r="F216" s="2004"/>
      <c r="G216" s="2004"/>
      <c r="H216" s="2004"/>
      <c r="I216" s="2004"/>
      <c r="J216" s="2004"/>
      <c r="K216" s="2005"/>
      <c r="L216" s="2006"/>
      <c r="M216" s="2004"/>
      <c r="N216" s="2004"/>
      <c r="O216" s="2004"/>
      <c r="P216" s="2004"/>
      <c r="Q216" s="2004"/>
      <c r="R216" s="2004"/>
      <c r="S216" s="2004"/>
      <c r="T216" s="2004"/>
    </row>
    <row r="217" spans="1:20">
      <c r="A217" s="2004"/>
      <c r="B217" s="2004"/>
      <c r="C217" s="2004"/>
      <c r="D217" s="2004"/>
      <c r="E217" s="2004"/>
      <c r="F217" s="2004"/>
      <c r="G217" s="2004"/>
      <c r="H217" s="2004"/>
      <c r="I217" s="2004"/>
      <c r="J217" s="2004"/>
      <c r="K217" s="2005"/>
      <c r="L217" s="2006"/>
      <c r="M217" s="2004"/>
      <c r="N217" s="2004"/>
      <c r="O217" s="2004"/>
      <c r="P217" s="2004"/>
      <c r="Q217" s="2004"/>
      <c r="R217" s="2004"/>
      <c r="S217" s="2004"/>
      <c r="T217" s="2004"/>
    </row>
    <row r="218" spans="1:20">
      <c r="A218" s="2004"/>
      <c r="B218" s="2004"/>
      <c r="C218" s="2004"/>
      <c r="D218" s="2004"/>
      <c r="E218" s="2004"/>
      <c r="F218" s="2004"/>
      <c r="G218" s="2004"/>
      <c r="H218" s="2004"/>
      <c r="I218" s="2004"/>
      <c r="J218" s="2004"/>
      <c r="K218" s="2005"/>
      <c r="L218" s="2006"/>
      <c r="M218" s="2004"/>
      <c r="N218" s="2004"/>
      <c r="O218" s="2004"/>
      <c r="P218" s="2004"/>
      <c r="Q218" s="2004"/>
      <c r="R218" s="2004"/>
      <c r="S218" s="2004"/>
      <c r="T218" s="2004"/>
    </row>
    <row r="219" spans="1:20">
      <c r="A219" s="2004"/>
      <c r="B219" s="2004"/>
      <c r="C219" s="2004"/>
      <c r="D219" s="2004"/>
      <c r="E219" s="2004"/>
      <c r="F219" s="2004"/>
      <c r="G219" s="2004"/>
      <c r="H219" s="2004"/>
      <c r="I219" s="2004"/>
      <c r="J219" s="2004"/>
      <c r="K219" s="2005"/>
      <c r="L219" s="2006"/>
      <c r="M219" s="2004"/>
      <c r="N219" s="2004"/>
      <c r="O219" s="2004"/>
      <c r="P219" s="2004"/>
      <c r="Q219" s="2004"/>
      <c r="R219" s="2004"/>
      <c r="S219" s="2004"/>
      <c r="T219" s="2004"/>
    </row>
    <row r="220" spans="1:20">
      <c r="A220" s="2004"/>
      <c r="B220" s="2004"/>
      <c r="C220" s="2004"/>
      <c r="D220" s="2004"/>
      <c r="E220" s="2004"/>
      <c r="F220" s="2004"/>
      <c r="G220" s="2004"/>
      <c r="H220" s="2004"/>
      <c r="I220" s="2004"/>
      <c r="J220" s="2004"/>
      <c r="K220" s="2005"/>
      <c r="L220" s="2006"/>
      <c r="M220" s="2004"/>
      <c r="N220" s="2004"/>
      <c r="O220" s="2004"/>
      <c r="P220" s="2004"/>
      <c r="Q220" s="2004"/>
      <c r="R220" s="2004"/>
      <c r="S220" s="2004"/>
      <c r="T220" s="2004"/>
    </row>
    <row r="221" spans="1:20">
      <c r="A221" s="2004"/>
      <c r="B221" s="2004"/>
      <c r="C221" s="2004"/>
      <c r="D221" s="2004"/>
      <c r="E221" s="2004"/>
      <c r="F221" s="2004"/>
      <c r="G221" s="2004"/>
      <c r="H221" s="2004"/>
      <c r="I221" s="2004"/>
      <c r="J221" s="2004"/>
      <c r="K221" s="2005"/>
      <c r="L221" s="2006"/>
      <c r="M221" s="2004"/>
      <c r="N221" s="2004"/>
      <c r="O221" s="2004"/>
      <c r="P221" s="2004"/>
      <c r="Q221" s="2004"/>
      <c r="R221" s="2004"/>
      <c r="S221" s="2004"/>
      <c r="T221" s="2004"/>
    </row>
    <row r="222" spans="1:20">
      <c r="A222" s="2004"/>
      <c r="B222" s="2004"/>
      <c r="C222" s="2004"/>
      <c r="D222" s="2004"/>
      <c r="E222" s="2004"/>
      <c r="F222" s="2004"/>
      <c r="G222" s="2004"/>
      <c r="H222" s="2004"/>
      <c r="I222" s="2004"/>
      <c r="J222" s="2004"/>
      <c r="K222" s="2005"/>
      <c r="L222" s="2006"/>
      <c r="M222" s="2004"/>
      <c r="N222" s="2004"/>
      <c r="O222" s="2004"/>
      <c r="P222" s="2004"/>
      <c r="Q222" s="2004"/>
      <c r="R222" s="2004"/>
      <c r="S222" s="2004"/>
      <c r="T222" s="2004"/>
    </row>
    <row r="223" spans="1:20">
      <c r="A223" s="2004"/>
      <c r="B223" s="2004"/>
      <c r="C223" s="2004"/>
      <c r="D223" s="2004"/>
      <c r="E223" s="2004"/>
      <c r="F223" s="2004"/>
      <c r="G223" s="2004"/>
      <c r="H223" s="2004"/>
      <c r="I223" s="2004"/>
      <c r="J223" s="2004"/>
      <c r="K223" s="2005"/>
      <c r="L223" s="2006"/>
      <c r="M223" s="2004"/>
      <c r="N223" s="2004"/>
      <c r="O223" s="2004"/>
      <c r="P223" s="2004"/>
      <c r="Q223" s="2004"/>
      <c r="R223" s="2004"/>
      <c r="S223" s="2004"/>
      <c r="T223" s="2004"/>
    </row>
    <row r="224" spans="1:20">
      <c r="A224" s="2004"/>
      <c r="B224" s="2004"/>
      <c r="C224" s="2004"/>
      <c r="D224" s="2004"/>
      <c r="E224" s="2004"/>
      <c r="F224" s="2004"/>
      <c r="G224" s="2004"/>
      <c r="H224" s="2004"/>
      <c r="I224" s="2004"/>
      <c r="J224" s="2004"/>
      <c r="K224" s="2005"/>
      <c r="L224" s="2006"/>
      <c r="M224" s="2004"/>
      <c r="N224" s="2004"/>
      <c r="O224" s="2004"/>
      <c r="P224" s="2004"/>
      <c r="Q224" s="2004"/>
      <c r="R224" s="2004"/>
      <c r="S224" s="2004"/>
      <c r="T224" s="2004"/>
    </row>
    <row r="225" spans="1:20">
      <c r="A225" s="2004"/>
      <c r="B225" s="2004"/>
      <c r="C225" s="2004"/>
      <c r="D225" s="2004"/>
      <c r="E225" s="2004"/>
      <c r="F225" s="2004"/>
      <c r="G225" s="2004"/>
      <c r="H225" s="2004"/>
      <c r="I225" s="2004"/>
      <c r="J225" s="2004"/>
      <c r="K225" s="2005"/>
      <c r="L225" s="2006"/>
      <c r="M225" s="2004"/>
      <c r="N225" s="2004"/>
      <c r="O225" s="2004"/>
      <c r="P225" s="2004"/>
      <c r="Q225" s="2004"/>
      <c r="R225" s="2004"/>
      <c r="S225" s="2004"/>
      <c r="T225" s="2004"/>
    </row>
    <row r="226" spans="1:20">
      <c r="A226" s="2004"/>
      <c r="B226" s="2004"/>
      <c r="C226" s="2004"/>
      <c r="D226" s="2004"/>
      <c r="E226" s="2004"/>
      <c r="F226" s="2004"/>
      <c r="G226" s="2004"/>
      <c r="H226" s="2004"/>
      <c r="I226" s="2004"/>
      <c r="J226" s="2004"/>
      <c r="K226" s="2005"/>
      <c r="L226" s="2006"/>
      <c r="M226" s="2004"/>
      <c r="N226" s="2004"/>
      <c r="O226" s="2004"/>
      <c r="P226" s="2004"/>
      <c r="Q226" s="2004"/>
      <c r="R226" s="2004"/>
      <c r="S226" s="2004"/>
      <c r="T226" s="2004"/>
    </row>
    <row r="227" spans="1:20">
      <c r="A227" s="2004"/>
      <c r="B227" s="2004"/>
      <c r="C227" s="2004"/>
      <c r="D227" s="2004"/>
      <c r="E227" s="2004"/>
      <c r="F227" s="2004"/>
      <c r="G227" s="2004"/>
      <c r="H227" s="2004"/>
      <c r="I227" s="2004"/>
      <c r="J227" s="2004"/>
      <c r="K227" s="2005"/>
      <c r="L227" s="2006"/>
      <c r="M227" s="2004"/>
      <c r="N227" s="2004"/>
      <c r="O227" s="2004"/>
      <c r="P227" s="2004"/>
      <c r="Q227" s="2004"/>
      <c r="R227" s="2004"/>
      <c r="S227" s="2004"/>
      <c r="T227" s="2004"/>
    </row>
    <row r="228" spans="1:20">
      <c r="A228" s="2004"/>
      <c r="B228" s="2004"/>
      <c r="C228" s="2004"/>
      <c r="D228" s="2004"/>
      <c r="E228" s="2004"/>
      <c r="F228" s="2004"/>
      <c r="G228" s="2004"/>
      <c r="H228" s="2004"/>
      <c r="I228" s="2004"/>
      <c r="J228" s="2004"/>
      <c r="K228" s="2005"/>
      <c r="L228" s="2006"/>
      <c r="M228" s="2004"/>
      <c r="N228" s="2004"/>
      <c r="O228" s="2004"/>
      <c r="P228" s="2004"/>
      <c r="Q228" s="2004"/>
      <c r="R228" s="2004"/>
      <c r="S228" s="2004"/>
      <c r="T228" s="2004"/>
    </row>
    <row r="229" spans="1:20">
      <c r="A229" s="2004"/>
      <c r="B229" s="2004"/>
      <c r="C229" s="2004"/>
      <c r="D229" s="2004"/>
      <c r="E229" s="2004"/>
      <c r="F229" s="2004"/>
      <c r="G229" s="2004"/>
      <c r="H229" s="2004"/>
      <c r="I229" s="2004"/>
      <c r="J229" s="2004"/>
      <c r="K229" s="2005"/>
      <c r="L229" s="2006"/>
      <c r="M229" s="2004"/>
      <c r="N229" s="2004"/>
      <c r="O229" s="2004"/>
      <c r="P229" s="2004"/>
      <c r="Q229" s="2004"/>
      <c r="R229" s="2004"/>
      <c r="S229" s="2004"/>
      <c r="T229" s="2004"/>
    </row>
    <row r="230" spans="1:20">
      <c r="A230" s="2004"/>
      <c r="B230" s="2004"/>
      <c r="C230" s="2004"/>
      <c r="D230" s="2004"/>
      <c r="E230" s="2004"/>
      <c r="F230" s="2004"/>
      <c r="G230" s="2004"/>
      <c r="H230" s="2004"/>
      <c r="I230" s="2004"/>
      <c r="J230" s="2004"/>
      <c r="K230" s="2005"/>
      <c r="L230" s="2006"/>
      <c r="M230" s="2004"/>
      <c r="N230" s="2004"/>
      <c r="O230" s="2004"/>
      <c r="P230" s="2004"/>
      <c r="Q230" s="2004"/>
      <c r="R230" s="2004"/>
      <c r="S230" s="2004"/>
      <c r="T230" s="2004"/>
    </row>
    <row r="231" spans="1:20">
      <c r="A231" s="2004"/>
      <c r="B231" s="2004"/>
      <c r="C231" s="2004"/>
      <c r="D231" s="2004"/>
      <c r="E231" s="2004"/>
      <c r="F231" s="2004"/>
      <c r="G231" s="2004"/>
      <c r="H231" s="2004"/>
      <c r="I231" s="2004"/>
      <c r="J231" s="2004"/>
      <c r="K231" s="2005"/>
      <c r="L231" s="2006"/>
      <c r="M231" s="2004"/>
      <c r="N231" s="2004"/>
      <c r="O231" s="2004"/>
      <c r="P231" s="2004"/>
      <c r="Q231" s="2004"/>
      <c r="R231" s="2004"/>
      <c r="S231" s="2004"/>
      <c r="T231" s="2004"/>
    </row>
    <row r="232" spans="1:20">
      <c r="A232" s="2004"/>
      <c r="B232" s="2004"/>
      <c r="C232" s="2004"/>
      <c r="D232" s="2004"/>
      <c r="E232" s="2004"/>
      <c r="F232" s="2004"/>
      <c r="G232" s="2004"/>
      <c r="H232" s="2004"/>
      <c r="I232" s="2004"/>
      <c r="J232" s="2004"/>
      <c r="K232" s="2005"/>
      <c r="L232" s="2006"/>
      <c r="M232" s="2004"/>
      <c r="N232" s="2004"/>
      <c r="O232" s="2004"/>
      <c r="P232" s="2004"/>
      <c r="Q232" s="2004"/>
      <c r="R232" s="2004"/>
      <c r="S232" s="2004"/>
      <c r="T232" s="2004"/>
    </row>
    <row r="233" spans="1:20">
      <c r="A233" s="2004"/>
      <c r="B233" s="2004"/>
      <c r="C233" s="2004"/>
      <c r="D233" s="2004"/>
      <c r="E233" s="2004"/>
      <c r="F233" s="2004"/>
      <c r="G233" s="2004"/>
      <c r="H233" s="2004"/>
      <c r="I233" s="2004"/>
      <c r="J233" s="2004"/>
      <c r="K233" s="2005"/>
      <c r="L233" s="2006"/>
      <c r="M233" s="2004"/>
      <c r="N233" s="2004"/>
      <c r="O233" s="2004"/>
      <c r="P233" s="2004"/>
      <c r="Q233" s="2004"/>
      <c r="R233" s="2004"/>
      <c r="S233" s="2004"/>
      <c r="T233" s="2004"/>
    </row>
    <row r="234" spans="1:20">
      <c r="A234" s="2004"/>
      <c r="B234" s="2004"/>
      <c r="C234" s="2004"/>
      <c r="D234" s="2004"/>
      <c r="E234" s="2004"/>
      <c r="F234" s="2004"/>
      <c r="G234" s="2004"/>
      <c r="H234" s="2004"/>
      <c r="I234" s="2004"/>
      <c r="J234" s="2004"/>
      <c r="K234" s="2005"/>
      <c r="L234" s="2006"/>
      <c r="M234" s="2004"/>
      <c r="N234" s="2004"/>
      <c r="O234" s="2004"/>
      <c r="P234" s="2004"/>
      <c r="Q234" s="2004"/>
      <c r="R234" s="2004"/>
      <c r="S234" s="2004"/>
      <c r="T234" s="2004"/>
    </row>
    <row r="235" spans="1:20">
      <c r="A235" s="2004"/>
      <c r="B235" s="2004"/>
      <c r="C235" s="2004"/>
      <c r="D235" s="2004"/>
      <c r="E235" s="2004"/>
      <c r="F235" s="2004"/>
      <c r="G235" s="2004"/>
      <c r="H235" s="2004"/>
      <c r="I235" s="2004"/>
      <c r="J235" s="2004"/>
      <c r="K235" s="2005"/>
      <c r="L235" s="2006"/>
      <c r="M235" s="2004"/>
      <c r="N235" s="2004"/>
      <c r="O235" s="2004"/>
      <c r="P235" s="2004"/>
      <c r="Q235" s="2004"/>
      <c r="R235" s="2004"/>
      <c r="S235" s="2004"/>
      <c r="T235" s="2004"/>
    </row>
    <row r="236" spans="1:20">
      <c r="A236" s="2004"/>
      <c r="B236" s="2004"/>
      <c r="C236" s="2004"/>
      <c r="D236" s="2004"/>
      <c r="E236" s="2004"/>
      <c r="F236" s="2004"/>
      <c r="G236" s="2004"/>
      <c r="H236" s="2004"/>
      <c r="I236" s="2004"/>
      <c r="J236" s="2004"/>
      <c r="K236" s="2005"/>
      <c r="L236" s="2006"/>
      <c r="M236" s="2004"/>
      <c r="N236" s="2004"/>
      <c r="O236" s="2004"/>
      <c r="P236" s="2004"/>
      <c r="Q236" s="2004"/>
      <c r="R236" s="2004"/>
      <c r="S236" s="2004"/>
      <c r="T236" s="2004"/>
    </row>
    <row r="237" spans="1:20">
      <c r="A237" s="2004"/>
      <c r="B237" s="2004"/>
      <c r="C237" s="2004"/>
      <c r="D237" s="2004"/>
      <c r="E237" s="2004"/>
      <c r="F237" s="2004"/>
      <c r="G237" s="2004"/>
      <c r="H237" s="2004"/>
      <c r="I237" s="2004"/>
      <c r="J237" s="2004"/>
      <c r="K237" s="2005"/>
      <c r="L237" s="2006"/>
      <c r="M237" s="2004"/>
      <c r="N237" s="2004"/>
      <c r="O237" s="2004"/>
      <c r="P237" s="2004"/>
      <c r="Q237" s="2004"/>
      <c r="R237" s="2004"/>
      <c r="S237" s="2004"/>
      <c r="T237" s="2004"/>
    </row>
    <row r="238" spans="1:20">
      <c r="A238" s="2004"/>
      <c r="B238" s="2004"/>
      <c r="C238" s="2004"/>
      <c r="D238" s="2004"/>
      <c r="E238" s="2004"/>
      <c r="F238" s="2004"/>
      <c r="G238" s="2004"/>
      <c r="H238" s="2004"/>
      <c r="I238" s="2004"/>
      <c r="J238" s="2004"/>
      <c r="K238" s="2005"/>
      <c r="L238" s="2006"/>
      <c r="M238" s="2004"/>
      <c r="N238" s="2004"/>
      <c r="O238" s="2004"/>
      <c r="P238" s="2004"/>
      <c r="Q238" s="2004"/>
      <c r="R238" s="2004"/>
      <c r="S238" s="2004"/>
      <c r="T238" s="2004"/>
    </row>
    <row r="239" spans="1:20">
      <c r="A239" s="2004"/>
      <c r="B239" s="2004"/>
      <c r="C239" s="2004"/>
      <c r="D239" s="2004"/>
      <c r="E239" s="2004"/>
      <c r="F239" s="2004"/>
      <c r="G239" s="2004"/>
      <c r="H239" s="2004"/>
      <c r="I239" s="2004"/>
      <c r="J239" s="2004"/>
      <c r="K239" s="2005"/>
      <c r="L239" s="2006"/>
      <c r="M239" s="2004"/>
      <c r="N239" s="2004"/>
      <c r="O239" s="2004"/>
      <c r="P239" s="2004"/>
      <c r="Q239" s="2004"/>
      <c r="R239" s="2004"/>
      <c r="S239" s="2004"/>
      <c r="T239" s="2004"/>
    </row>
    <row r="240" spans="1:20">
      <c r="A240" s="2004"/>
      <c r="B240" s="2004"/>
      <c r="C240" s="2004"/>
      <c r="D240" s="2004"/>
      <c r="E240" s="2004"/>
      <c r="F240" s="2004"/>
      <c r="G240" s="2004"/>
      <c r="H240" s="2004"/>
      <c r="I240" s="2004"/>
      <c r="J240" s="2004"/>
      <c r="K240" s="2005"/>
      <c r="L240" s="2006"/>
      <c r="M240" s="2004"/>
      <c r="N240" s="2004"/>
      <c r="O240" s="2004"/>
      <c r="P240" s="2004"/>
      <c r="Q240" s="2004"/>
      <c r="R240" s="2004"/>
      <c r="S240" s="2004"/>
      <c r="T240" s="2004"/>
    </row>
    <row r="241" spans="1:20">
      <c r="A241" s="2004"/>
      <c r="B241" s="2004"/>
      <c r="C241" s="2004"/>
      <c r="D241" s="2004"/>
      <c r="E241" s="2004"/>
      <c r="F241" s="2004"/>
      <c r="G241" s="2004"/>
      <c r="H241" s="2004"/>
      <c r="I241" s="2004"/>
      <c r="J241" s="2004"/>
      <c r="K241" s="2005"/>
      <c r="L241" s="2006"/>
      <c r="M241" s="2004"/>
      <c r="N241" s="2004"/>
      <c r="O241" s="2004"/>
      <c r="P241" s="2004"/>
      <c r="Q241" s="2004"/>
      <c r="R241" s="2004"/>
      <c r="S241" s="2004"/>
      <c r="T241" s="20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1377" customWidth="1"/>
    <col min="2" max="2" width="15.75" style="1377" customWidth="1"/>
    <col min="3" max="3" width="16.62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775"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30">
      <c r="A1" s="1380" t="s">
        <v>1968</v>
      </c>
      <c r="B1" s="1381"/>
      <c r="C1" s="1382" t="s">
        <v>1969</v>
      </c>
      <c r="D1" s="1383"/>
      <c r="E1" s="1383"/>
      <c r="F1" s="1384" t="s">
        <v>1121</v>
      </c>
      <c r="G1" s="1383"/>
      <c r="H1" s="1383"/>
      <c r="I1" s="1383"/>
      <c r="J1" s="1383"/>
      <c r="K1" s="1776"/>
      <c r="L1" s="1386"/>
      <c r="M1" s="1387"/>
      <c r="N1" s="1387"/>
      <c r="O1" s="1387"/>
      <c r="P1" s="1388"/>
      <c r="Q1" s="1388"/>
      <c r="R1" s="1388"/>
      <c r="S1" s="1388"/>
      <c r="T1" s="1388"/>
      <c r="U1" s="1388"/>
      <c r="V1" s="1388"/>
      <c r="W1" s="1388"/>
      <c r="X1" s="1388"/>
      <c r="Y1" s="1388"/>
      <c r="Z1" s="1388"/>
      <c r="AA1" s="1388"/>
      <c r="AB1" s="1388"/>
      <c r="AC1" s="1389"/>
      <c r="AD1" s="1777"/>
    </row>
    <row r="2" s="1370" customFormat="1" ht="28.5" customHeight="1" spans="1:30">
      <c r="A2" s="436" t="s">
        <v>1122</v>
      </c>
      <c r="B2" s="637" t="e">
        <f>F67</f>
        <v>#DIV/0!</v>
      </c>
      <c r="C2" s="1778"/>
      <c r="D2" s="1778"/>
      <c r="E2" s="1391"/>
      <c r="F2" s="1392"/>
      <c r="G2" s="1391"/>
      <c r="H2" s="1391"/>
      <c r="I2" s="1391"/>
      <c r="J2" s="1391"/>
      <c r="K2" s="1779"/>
      <c r="L2" s="1394"/>
      <c r="M2" s="1395"/>
      <c r="N2" s="1395"/>
      <c r="O2" s="1395"/>
      <c r="P2" s="1388"/>
      <c r="Q2" s="1388"/>
      <c r="R2" s="1388"/>
      <c r="S2" s="1388"/>
      <c r="T2" s="1388"/>
      <c r="U2" s="1388"/>
      <c r="V2" s="1388"/>
      <c r="W2" s="1388"/>
      <c r="X2" s="1388"/>
      <c r="Y2" s="1388"/>
      <c r="Z2" s="1388"/>
      <c r="AA2" s="1388"/>
      <c r="AB2" s="1388"/>
      <c r="AC2" s="1389"/>
      <c r="AD2" s="1777"/>
    </row>
    <row r="3" s="1370" customFormat="1" ht="28.5" customHeight="1" spans="1:30">
      <c r="A3" s="439" t="s">
        <v>1125</v>
      </c>
      <c r="B3" s="1396" t="e">
        <f>ROUND(IF(D3="",B2*10000/'数据-汇总表'!E3,B2*10000/D3),0)</f>
        <v>#DIV/0!</v>
      </c>
      <c r="C3" s="439" t="s">
        <v>1126</v>
      </c>
      <c r="D3" s="1780"/>
      <c r="E3" s="1391"/>
      <c r="F3" s="1392"/>
      <c r="G3" s="1391"/>
      <c r="H3" s="1391"/>
      <c r="I3" s="1391"/>
      <c r="J3" s="1391"/>
      <c r="K3" s="1779"/>
      <c r="L3" s="1394"/>
      <c r="M3" s="1395"/>
      <c r="N3" s="1395"/>
      <c r="O3" s="1395"/>
      <c r="P3" s="1388"/>
      <c r="Q3" s="1388"/>
      <c r="R3" s="1388"/>
      <c r="S3" s="1388"/>
      <c r="T3" s="1388"/>
      <c r="U3" s="1388"/>
      <c r="V3" s="1388"/>
      <c r="W3" s="1388"/>
      <c r="X3" s="1388"/>
      <c r="Y3" s="1388"/>
      <c r="Z3" s="1388"/>
      <c r="AA3" s="1388"/>
      <c r="AB3" s="1398"/>
      <c r="AC3" s="1399"/>
    </row>
    <row r="4" s="1370" customFormat="1" ht="28.5" customHeight="1" spans="1:30">
      <c r="A4" s="626" t="s">
        <v>1970</v>
      </c>
      <c r="B4" s="1400" t="e">
        <f>IF(B48="单位面积地价",C50,ROUND(B2*10000/'数据-汇总表'!D3,0))</f>
        <v>#DIV/0!</v>
      </c>
      <c r="C4" s="739" t="s">
        <v>1480</v>
      </c>
      <c r="D4" s="1391"/>
      <c r="E4" s="1391"/>
      <c r="F4" s="1392"/>
      <c r="G4" s="1391"/>
      <c r="H4" s="1391"/>
      <c r="I4" s="1391"/>
      <c r="J4" s="1391"/>
      <c r="K4" s="1779"/>
      <c r="L4" s="1394"/>
      <c r="M4" s="1395"/>
      <c r="N4" s="1395"/>
      <c r="O4" s="1395"/>
      <c r="P4" s="1388"/>
      <c r="Q4" s="1388"/>
      <c r="R4" s="1388"/>
      <c r="S4" s="1388"/>
      <c r="T4" s="1388"/>
      <c r="U4" s="1388"/>
      <c r="V4" s="1388"/>
      <c r="W4" s="1388"/>
      <c r="X4" s="1388"/>
      <c r="Y4" s="1388"/>
      <c r="Z4" s="1388"/>
      <c r="AA4" s="1388"/>
      <c r="AB4" s="1388"/>
      <c r="AC4" s="1399"/>
    </row>
    <row r="5" s="1370" customFormat="1" ht="28.5" customHeight="1" spans="1:30">
      <c r="A5" s="435"/>
      <c r="B5" s="1401" t="e">
        <f>ROUND(B2/('数据-汇总表'!D3/666.67),0)</f>
        <v>#DIV/0!</v>
      </c>
      <c r="C5" s="740" t="s">
        <v>1971</v>
      </c>
      <c r="D5" s="1391"/>
      <c r="E5" s="1391"/>
      <c r="F5" s="1392"/>
      <c r="G5" s="1391"/>
      <c r="H5" s="1391"/>
      <c r="I5" s="1391"/>
      <c r="J5" s="1391"/>
      <c r="K5" s="1779"/>
      <c r="L5" s="1394"/>
      <c r="M5" s="1395"/>
      <c r="N5" s="1395"/>
      <c r="O5" s="1395"/>
      <c r="P5" s="1388"/>
      <c r="Q5" s="1388"/>
      <c r="R5" s="1388"/>
      <c r="S5" s="1388"/>
      <c r="T5" s="1388"/>
      <c r="U5" s="1388"/>
      <c r="V5" s="1388"/>
      <c r="W5" s="1388"/>
      <c r="X5" s="1388"/>
      <c r="Y5" s="1388"/>
      <c r="Z5" s="1388"/>
      <c r="AA5" s="1388"/>
      <c r="AB5" s="1388"/>
      <c r="AC5" s="1399"/>
    </row>
    <row r="6" ht="15" spans="1:30">
      <c r="A6" s="1781" t="s">
        <v>1128</v>
      </c>
      <c r="B6" s="1782"/>
      <c r="C6" s="1404" t="s">
        <v>1129</v>
      </c>
      <c r="D6" s="1405"/>
      <c r="E6" s="1406" t="s">
        <v>1130</v>
      </c>
      <c r="F6" s="1407"/>
      <c r="G6" s="1404" t="s">
        <v>1131</v>
      </c>
      <c r="H6" s="1405"/>
      <c r="I6" s="1404" t="s">
        <v>1132</v>
      </c>
      <c r="J6" s="1405"/>
      <c r="K6" s="1783"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30">
      <c r="A7" s="1784"/>
      <c r="B7" s="1785"/>
      <c r="C7" s="1421" t="s">
        <v>1135</v>
      </c>
      <c r="D7" s="1422"/>
      <c r="E7" s="1423" t="s">
        <v>1901</v>
      </c>
      <c r="F7" s="1424"/>
      <c r="G7" s="1421" t="s">
        <v>1902</v>
      </c>
      <c r="H7" s="1422"/>
      <c r="I7" s="1421" t="s">
        <v>1903</v>
      </c>
      <c r="J7" s="1422"/>
      <c r="K7" s="1783"/>
      <c r="L7" s="1409"/>
      <c r="M7" s="1410"/>
      <c r="N7" s="1410"/>
      <c r="O7" s="1410"/>
      <c r="P7" s="1425"/>
      <c r="Q7" s="1426"/>
      <c r="R7" s="1427"/>
      <c r="S7" s="1428"/>
      <c r="T7" s="1427"/>
      <c r="U7" s="1428"/>
      <c r="V7" s="820"/>
      <c r="W7" s="820"/>
      <c r="X7" s="1415"/>
      <c r="Y7" s="1429"/>
      <c r="Z7" s="1430"/>
      <c r="AA7" s="1415"/>
      <c r="AB7" s="1415"/>
      <c r="AC7" s="1415"/>
    </row>
    <row r="8" ht="15.75" spans="1:30">
      <c r="A8" s="1786"/>
      <c r="B8" s="1787"/>
      <c r="C8" s="1788" t="s">
        <v>1138</v>
      </c>
      <c r="D8" s="1789"/>
      <c r="E8" s="1790" t="s">
        <v>1138</v>
      </c>
      <c r="F8" s="1791"/>
      <c r="G8" s="1788" t="s">
        <v>1138</v>
      </c>
      <c r="H8" s="1789"/>
      <c r="I8" s="1788" t="s">
        <v>1138</v>
      </c>
      <c r="J8" s="1789"/>
      <c r="K8" s="1783" t="s">
        <v>1139</v>
      </c>
      <c r="L8" s="1409"/>
      <c r="M8" s="1410"/>
      <c r="N8" s="1410"/>
      <c r="O8" s="1410"/>
      <c r="P8" s="1437"/>
      <c r="Q8" s="1438"/>
      <c r="R8" s="1427"/>
      <c r="S8" s="1428"/>
      <c r="T8" s="1439"/>
      <c r="U8" s="1440"/>
      <c r="V8" s="820"/>
      <c r="W8" s="820"/>
      <c r="X8" s="1415"/>
      <c r="Y8" s="1441"/>
      <c r="Z8" s="1442"/>
      <c r="AA8" s="1443"/>
      <c r="AB8" s="1443"/>
      <c r="AC8" s="1443"/>
    </row>
    <row r="9" s="1371" customFormat="1" ht="15.75" spans="1:30">
      <c r="A9" s="1444" t="s">
        <v>1140</v>
      </c>
      <c r="B9" s="1445"/>
      <c r="C9" s="1446">
        <f>'数据-取费表'!B2</f>
        <v>46086</v>
      </c>
      <c r="D9" s="1447">
        <v>100</v>
      </c>
      <c r="E9" s="1448"/>
      <c r="F9" s="1449">
        <f>SUMIF(71:71,YEAR(E9)&amp;"-"&amp;INT((MONTH(E9)+2)/3),72:72)</f>
        <v>0</v>
      </c>
      <c r="G9" s="1450"/>
      <c r="H9" s="1451">
        <f>SUMIF(71:71,YEAR(G9)&amp;"-"&amp;INT((MONTH(G9)+2)/3),72:72)</f>
        <v>0</v>
      </c>
      <c r="I9" s="1450"/>
      <c r="J9" s="1451">
        <f>SUMIF(71:71,YEAR(I9)&amp;"-"&amp;INT((MONTH(I9)+2)/3),72:72)</f>
        <v>0</v>
      </c>
      <c r="K9" s="179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30">
      <c r="A10" s="1444" t="s">
        <v>1143</v>
      </c>
      <c r="B10" s="1445"/>
      <c r="C10" s="1463"/>
      <c r="D10" s="1447">
        <v>100</v>
      </c>
      <c r="E10" s="1463"/>
      <c r="F10" s="1449">
        <f>SUMIF(74:74,E10,75:75)-SUMIF(74:74,C10,75:75)+100</f>
        <v>100</v>
      </c>
      <c r="G10" s="1463"/>
      <c r="H10" s="1451">
        <f>SUMIF(74:74,G10,75:75)-SUMIF(74:74,C10,75:75)+100</f>
        <v>100</v>
      </c>
      <c r="I10" s="1463"/>
      <c r="J10" s="1451">
        <f>SUMIF(74:74,I10,75:75)-SUMIF(74:74,C10,75:75)+100</f>
        <v>100</v>
      </c>
      <c r="K10" s="1792"/>
      <c r="L10" s="1453"/>
      <c r="M10" s="1454"/>
      <c r="N10" s="1454"/>
      <c r="O10" s="1454"/>
      <c r="P10" s="1455" t="s">
        <v>1145</v>
      </c>
      <c r="Q10" s="1464"/>
      <c r="R10" s="1457" t="s">
        <v>1142</v>
      </c>
      <c r="S10" s="1458">
        <f t="shared" si="0"/>
        <v>100</v>
      </c>
      <c r="T10" s="1457" t="s">
        <v>1142</v>
      </c>
      <c r="U10" s="1458">
        <f t="shared" si="1"/>
        <v>100</v>
      </c>
      <c r="V10" s="1457" t="s">
        <v>1142</v>
      </c>
      <c r="W10" s="1458">
        <f t="shared" si="2"/>
        <v>100</v>
      </c>
      <c r="X10" s="1459"/>
      <c r="Y10" s="1460" t="s">
        <v>1145</v>
      </c>
      <c r="Z10" s="1461"/>
      <c r="AA10" s="1462">
        <f t="shared" ref="AA10:AA47" si="3">D10/F10</f>
        <v>1</v>
      </c>
      <c r="AB10" s="1462">
        <f t="shared" ref="AB10:AB47" si="4">D10/H10</f>
        <v>1</v>
      </c>
      <c r="AC10" s="1462">
        <f t="shared" ref="AC10:AC47" si="5">D10/J10</f>
        <v>1</v>
      </c>
    </row>
    <row r="11" s="1371" customFormat="1" spans="1:30">
      <c r="A11" s="1465" t="s">
        <v>1146</v>
      </c>
      <c r="B11" s="1466" t="s">
        <v>1147</v>
      </c>
      <c r="C11" s="1467"/>
      <c r="D11" s="1468">
        <v>100</v>
      </c>
      <c r="E11" s="1467"/>
      <c r="F11" s="1469">
        <f>SUMIF(76:76,E11,77:77)-SUMIF(76:76,C11,77:77)+100</f>
        <v>100</v>
      </c>
      <c r="G11" s="1467"/>
      <c r="H11" s="1469">
        <f>SUMIF(76:76,G11,77:77)-SUMIF(76:76,C11,77:77)+100</f>
        <v>100</v>
      </c>
      <c r="I11" s="1467"/>
      <c r="J11" s="1469">
        <f>SUMIF(76:76,I11,77:77)-SUMIF(76:76,C11,77:77)+100</f>
        <v>100</v>
      </c>
      <c r="K11" s="179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30">
      <c r="A12" s="1471"/>
      <c r="B12" s="1472" t="s">
        <v>1151</v>
      </c>
      <c r="C12" s="1473"/>
      <c r="D12" s="1474">
        <v>100</v>
      </c>
      <c r="E12" s="1793"/>
      <c r="F12" s="1475">
        <f>ROUND(100/'数据-取费表'!G16,1)</f>
        <v>126.9</v>
      </c>
      <c r="G12" s="1794"/>
      <c r="H12" s="1475">
        <f>ROUND(100/'数据-取费表'!G16,1)</f>
        <v>126.9</v>
      </c>
      <c r="I12" s="1794"/>
      <c r="J12" s="1475">
        <f>ROUND(100/'数据-取费表'!G16,1)</f>
        <v>126.9</v>
      </c>
      <c r="K12" s="1795"/>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30">
      <c r="A13" s="1480"/>
      <c r="B13" s="1472" t="s">
        <v>1154</v>
      </c>
      <c r="C13" s="1481"/>
      <c r="D13" s="1474">
        <v>100</v>
      </c>
      <c r="E13" s="1481"/>
      <c r="F13" s="1475">
        <f>LOOKUP(E13,81:81,82:82)-LOOKUP(C13,81:81,82:82)+100</f>
        <v>100</v>
      </c>
      <c r="G13" s="1482"/>
      <c r="H13" s="1475">
        <f>LOOKUP(G13,81:81,82:82)-LOOKUP(C13,81:81,82:82)+100</f>
        <v>100</v>
      </c>
      <c r="I13" s="1481"/>
      <c r="J13" s="1475">
        <f>LOOKUP(I13,81:81,82:82)-LOOKUP(C13,81:81,82:82)+100</f>
        <v>100</v>
      </c>
      <c r="K13" s="1796"/>
      <c r="L13" s="1484"/>
      <c r="M13" s="1410"/>
      <c r="N13" s="1410"/>
      <c r="O13" s="1485"/>
      <c r="P13" s="1070"/>
      <c r="Q13" s="1224" t="str">
        <f t="shared" si="6"/>
        <v>容积率</v>
      </c>
      <c r="R13" s="1457" t="s">
        <v>1142</v>
      </c>
      <c r="S13" s="1458">
        <f t="shared" si="0"/>
        <v>100</v>
      </c>
      <c r="T13" s="1457" t="s">
        <v>1142</v>
      </c>
      <c r="U13" s="1458">
        <f t="shared" si="1"/>
        <v>100</v>
      </c>
      <c r="V13" s="1457" t="s">
        <v>1142</v>
      </c>
      <c r="W13" s="1458">
        <f t="shared" si="2"/>
        <v>100</v>
      </c>
      <c r="X13" s="1459"/>
      <c r="Y13" s="1188"/>
      <c r="Z13" s="1462" t="str">
        <f t="shared" si="7"/>
        <v>容积率</v>
      </c>
      <c r="AA13" s="1462">
        <f t="shared" si="3"/>
        <v>1</v>
      </c>
      <c r="AB13" s="1462">
        <f t="shared" si="4"/>
        <v>1</v>
      </c>
      <c r="AC13" s="1462">
        <f t="shared" si="5"/>
        <v>1</v>
      </c>
    </row>
    <row r="14" s="1371" customFormat="1" ht="15" spans="1:30">
      <c r="A14" s="1486"/>
      <c r="B14" s="1487" t="s">
        <v>1972</v>
      </c>
      <c r="C14" s="1473"/>
      <c r="D14" s="1488">
        <v>100</v>
      </c>
      <c r="E14" s="1793"/>
      <c r="F14" s="1475">
        <f>SUMIF(83:83,E14,84:84)-SUMIF(83:83,C14,84:84)+100</f>
        <v>100</v>
      </c>
      <c r="G14" s="1794"/>
      <c r="H14" s="1475">
        <f>SUMIF(83:83,G14,84:84)-SUMIF(83:83,C14,84:84)+100</f>
        <v>100</v>
      </c>
      <c r="I14" s="1793"/>
      <c r="J14" s="1475">
        <f>SUMIF(83:83,I14,84:84)-SUMIF(83:83,C14,84:84)+100</f>
        <v>100</v>
      </c>
      <c r="K14" s="1797"/>
      <c r="L14" s="1453"/>
      <c r="M14" s="1454"/>
      <c r="N14" s="1454"/>
      <c r="O14" s="1470"/>
      <c r="P14" s="1070"/>
      <c r="Q14" s="1224" t="str">
        <f t="shared" si="6"/>
        <v>配建</v>
      </c>
      <c r="R14" s="1457" t="s">
        <v>1142</v>
      </c>
      <c r="S14" s="1458">
        <f t="shared" si="0"/>
        <v>100</v>
      </c>
      <c r="T14" s="1457" t="s">
        <v>1142</v>
      </c>
      <c r="U14" s="1458">
        <f t="shared" si="1"/>
        <v>100</v>
      </c>
      <c r="V14" s="1457" t="s">
        <v>1142</v>
      </c>
      <c r="W14" s="1458">
        <f t="shared" si="2"/>
        <v>100</v>
      </c>
      <c r="X14" s="1459"/>
      <c r="Y14" s="1188"/>
      <c r="Z14" s="1462" t="str">
        <f t="shared" si="7"/>
        <v>配建</v>
      </c>
      <c r="AA14" s="1462">
        <f t="shared" si="3"/>
        <v>1</v>
      </c>
      <c r="AB14" s="1462">
        <f t="shared" si="4"/>
        <v>1</v>
      </c>
      <c r="AC14" s="1462">
        <f t="shared" si="5"/>
        <v>1</v>
      </c>
    </row>
    <row r="15" ht="15" spans="1:30">
      <c r="A15" s="1480"/>
      <c r="B15" s="1487">
        <v>111</v>
      </c>
      <c r="C15" s="1491"/>
      <c r="D15" s="1492">
        <v>100</v>
      </c>
      <c r="E15" s="1489"/>
      <c r="F15" s="1475">
        <f>SUMIF(85:85,E15,86:86)-SUMIF(85:85,C15,86:86)+100</f>
        <v>100</v>
      </c>
      <c r="G15" s="1490"/>
      <c r="H15" s="1493">
        <f>SUMIF(85:85,G15,86:86)-SUMIF(85:85,C15,86:86)+100</f>
        <v>100</v>
      </c>
      <c r="I15" s="1490"/>
      <c r="J15" s="1493">
        <f>SUMIF(85:85,I15,86:86)-SUMIF(85:85,C15,86:86)+100</f>
        <v>100</v>
      </c>
      <c r="K15" s="1797"/>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30">
      <c r="A16" s="1495"/>
      <c r="B16" s="1496">
        <v>111</v>
      </c>
      <c r="C16" s="1497"/>
      <c r="D16" s="1498">
        <v>100</v>
      </c>
      <c r="E16" s="1489"/>
      <c r="F16" s="1499">
        <f>SUMIF(87:87,E16,88:88)-SUMIF(87:87,C16,88:88)+100</f>
        <v>100</v>
      </c>
      <c r="G16" s="1490"/>
      <c r="H16" s="1499">
        <f>SUMIF(87:87,G16,88:88)-SUMIF(87:87,C16,88:88)+100</f>
        <v>100</v>
      </c>
      <c r="I16" s="1490"/>
      <c r="J16" s="1499">
        <f>SUMIF(87:87,I16,88:88)-SUMIF(87:87,C16,88:88)+100</f>
        <v>100</v>
      </c>
      <c r="K16" s="1797"/>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81" spans="1:29">
      <c r="A17" s="1500" t="s">
        <v>1155</v>
      </c>
      <c r="B17" s="1798" t="s">
        <v>1904</v>
      </c>
      <c r="C17" s="1799" t="str">
        <f>估价对象房地状况!C15</f>
        <v>估价对象周边居住用地比例、居住小区规模和社区发展完善程度，综合评价居住社区成熟度一般</v>
      </c>
      <c r="D17" s="1503">
        <v>100</v>
      </c>
      <c r="E17" s="1504"/>
      <c r="F17" s="1505">
        <f>SUMIF(89:89,E18,90:90)-SUMIF(89:89,C18,90:90)+100</f>
        <v>100</v>
      </c>
      <c r="G17" s="1504"/>
      <c r="H17" s="1505">
        <f>SUMIF(89:89,G18,90:90)-SUMIF(89:89,C18,90:90)+100</f>
        <v>100</v>
      </c>
      <c r="I17" s="1506"/>
      <c r="J17" s="1505">
        <f>SUMIF(89:89,I18,90:90)-SUMIF(89:89,C18,90:90)+100</f>
        <v>100</v>
      </c>
      <c r="K17" s="1796"/>
      <c r="L17" s="1494"/>
      <c r="M17" s="1410"/>
      <c r="N17" s="1410"/>
      <c r="O17" s="1485"/>
      <c r="P17" s="1073" t="s">
        <v>1157</v>
      </c>
      <c r="Q17" s="1070" t="str">
        <f t="shared" si="6"/>
        <v>居住社区成熟度</v>
      </c>
      <c r="R17" s="1507" t="s">
        <v>1142</v>
      </c>
      <c r="S17" s="1508">
        <f t="shared" si="0"/>
        <v>100</v>
      </c>
      <c r="T17" s="1507" t="s">
        <v>1142</v>
      </c>
      <c r="U17" s="1508">
        <f t="shared" si="1"/>
        <v>100</v>
      </c>
      <c r="V17" s="1507" t="s">
        <v>1142</v>
      </c>
      <c r="W17" s="1508">
        <f t="shared" si="2"/>
        <v>100</v>
      </c>
      <c r="X17" s="1415"/>
      <c r="Y17" s="1509" t="s">
        <v>1157</v>
      </c>
      <c r="Z17" s="1510" t="str">
        <f t="shared" si="7"/>
        <v>居住社区成熟度</v>
      </c>
      <c r="AA17" s="1510">
        <f t="shared" si="3"/>
        <v>1</v>
      </c>
      <c r="AB17" s="1510">
        <f t="shared" si="4"/>
        <v>1</v>
      </c>
      <c r="AC17" s="1510">
        <f t="shared" si="5"/>
        <v>1</v>
      </c>
    </row>
    <row r="18" ht="15" spans="1:29">
      <c r="A18" s="1480"/>
      <c r="B18" s="1800"/>
      <c r="C18" s="1512" t="s">
        <v>1161</v>
      </c>
      <c r="D18" s="1513"/>
      <c r="E18" s="1526" t="s">
        <v>1158</v>
      </c>
      <c r="F18" s="1515"/>
      <c r="G18" s="1526" t="s">
        <v>1161</v>
      </c>
      <c r="H18" s="1516"/>
      <c r="I18" s="1527" t="s">
        <v>1161</v>
      </c>
      <c r="J18" s="1515"/>
      <c r="K18" s="1797"/>
      <c r="L18" s="1494"/>
      <c r="M18" s="1410"/>
      <c r="N18" s="1410"/>
      <c r="O18" s="1485"/>
      <c r="P18" s="1517"/>
      <c r="Q18" s="1070"/>
      <c r="R18" s="1507"/>
      <c r="S18" s="1508"/>
      <c r="T18" s="1507"/>
      <c r="U18" s="1508"/>
      <c r="V18" s="1507"/>
      <c r="W18" s="1508"/>
      <c r="X18" s="1415"/>
      <c r="Y18" s="1518"/>
      <c r="Z18" s="1510"/>
      <c r="AA18" s="1510">
        <v>1</v>
      </c>
      <c r="AB18" s="1510">
        <v>1</v>
      </c>
      <c r="AC18" s="1510">
        <v>1</v>
      </c>
    </row>
    <row r="19" ht="54.75" spans="1:29">
      <c r="A19" s="1480"/>
      <c r="B19" s="1801" t="s">
        <v>1933</v>
      </c>
      <c r="C19" s="1802" t="str">
        <f>估价对象房地状况!C16</f>
        <v>估价对象位于XX商圈，周边商业氛围成熟，人流量大，商业繁华度好</v>
      </c>
      <c r="D19" s="1521">
        <v>100</v>
      </c>
      <c r="E19" s="1522"/>
      <c r="F19" s="1516">
        <f>SUMIF(91:91,E20,92:92)-SUMIF(91:91,C20,92:92)+100</f>
        <v>100</v>
      </c>
      <c r="G19" s="1522"/>
      <c r="H19" s="1523">
        <f>SUMIF(91:91,G20,92:92)-SUMIF(91:91,C20,92:92)+100</f>
        <v>100</v>
      </c>
      <c r="I19" s="1524"/>
      <c r="J19" s="1523">
        <f>SUMIF(91:91,I20,92:92)-SUMIF(91:91,C20,92:92)+100</f>
        <v>100</v>
      </c>
      <c r="K19" s="1796"/>
      <c r="L19" s="1494"/>
      <c r="M19" s="1410"/>
      <c r="N19" s="1410"/>
      <c r="O19" s="1485"/>
      <c r="P19" s="1517"/>
      <c r="Q19" s="1070" t="str">
        <f>B19</f>
        <v>商业繁华度</v>
      </c>
      <c r="R19" s="1507" t="s">
        <v>1142</v>
      </c>
      <c r="S19" s="1508">
        <f>F19</f>
        <v>100</v>
      </c>
      <c r="T19" s="1507" t="s">
        <v>1142</v>
      </c>
      <c r="U19" s="1508">
        <f>H19</f>
        <v>100</v>
      </c>
      <c r="V19" s="1507" t="s">
        <v>1142</v>
      </c>
      <c r="W19" s="1508">
        <f>J19</f>
        <v>100</v>
      </c>
      <c r="X19" s="1415"/>
      <c r="Y19" s="1518"/>
      <c r="Z19" s="1510" t="str">
        <f>Q19</f>
        <v>商业繁华度</v>
      </c>
      <c r="AA19" s="1510">
        <f t="shared" si="3"/>
        <v>1</v>
      </c>
      <c r="AB19" s="1510">
        <f t="shared" si="4"/>
        <v>1</v>
      </c>
      <c r="AC19" s="1510">
        <f t="shared" si="5"/>
        <v>1</v>
      </c>
    </row>
    <row r="20" ht="15" spans="1:29">
      <c r="A20" s="1480"/>
      <c r="B20" s="1558"/>
      <c r="C20" s="1803"/>
      <c r="D20" s="1521"/>
      <c r="E20" s="1804"/>
      <c r="F20" s="1516"/>
      <c r="G20" s="1804"/>
      <c r="H20" s="1515"/>
      <c r="I20" s="1805"/>
      <c r="J20" s="1515"/>
      <c r="K20" s="1797"/>
      <c r="L20" s="1494"/>
      <c r="M20" s="1410"/>
      <c r="N20" s="1410"/>
      <c r="O20" s="1485"/>
      <c r="P20" s="1517"/>
      <c r="Q20" s="1070"/>
      <c r="R20" s="1507"/>
      <c r="S20" s="1508"/>
      <c r="T20" s="1507"/>
      <c r="U20" s="1508"/>
      <c r="V20" s="1507"/>
      <c r="W20" s="1508"/>
      <c r="X20" s="1415"/>
      <c r="Y20" s="1518"/>
      <c r="Z20" s="1510"/>
      <c r="AA20" s="1510">
        <v>1</v>
      </c>
      <c r="AB20" s="1510">
        <v>1</v>
      </c>
      <c r="AC20" s="1510">
        <v>1</v>
      </c>
    </row>
    <row r="21" ht="68.25" spans="1:29">
      <c r="A21" s="1480"/>
      <c r="B21" s="1801" t="s">
        <v>1945</v>
      </c>
      <c r="C21" s="1802" t="str">
        <f>估价对象房地状况!C17</f>
        <v>估价对象位于XX商圈，周边办公楼项目较多，入驻率高，办公集聚程度较好</v>
      </c>
      <c r="D21" s="1806">
        <v>100</v>
      </c>
      <c r="E21" s="1807"/>
      <c r="F21" s="1523">
        <f>SUMIF(93:93,E22,94:94)-SUMIF(93:93,C22,94:94)+100</f>
        <v>100</v>
      </c>
      <c r="G21" s="1807"/>
      <c r="H21" s="1516">
        <f>SUMIF(93:93,G22,94:94)-SUMIF(93:93,C22,94:94)+100</f>
        <v>100</v>
      </c>
      <c r="I21" s="1808"/>
      <c r="J21" s="1516">
        <f>SUMIF(93:93,I22,94:94)-SUMIF(93:93,C22,94:94)+100</f>
        <v>100</v>
      </c>
      <c r="K21" s="1796"/>
      <c r="L21" s="1494"/>
      <c r="M21" s="1410"/>
      <c r="N21" s="1410"/>
      <c r="O21" s="1485"/>
      <c r="P21" s="1517"/>
      <c r="Q21" s="1070" t="str">
        <f>B21</f>
        <v>办公集聚程度</v>
      </c>
      <c r="R21" s="1507" t="s">
        <v>1142</v>
      </c>
      <c r="S21" s="1508">
        <f>F21</f>
        <v>100</v>
      </c>
      <c r="T21" s="1507" t="s">
        <v>1142</v>
      </c>
      <c r="U21" s="1508">
        <f>H21</f>
        <v>100</v>
      </c>
      <c r="V21" s="1507" t="s">
        <v>1142</v>
      </c>
      <c r="W21" s="1508">
        <f>J21</f>
        <v>100</v>
      </c>
      <c r="X21" s="1415"/>
      <c r="Y21" s="1518"/>
      <c r="Z21" s="1510" t="str">
        <f>Q21</f>
        <v>办公集聚程度</v>
      </c>
      <c r="AA21" s="1510">
        <f t="shared" si="3"/>
        <v>1</v>
      </c>
      <c r="AB21" s="1510">
        <f t="shared" si="4"/>
        <v>1</v>
      </c>
      <c r="AC21" s="1510">
        <f t="shared" si="5"/>
        <v>1</v>
      </c>
    </row>
    <row r="22" ht="15" spans="1:29">
      <c r="A22" s="1480"/>
      <c r="B22" s="1558"/>
      <c r="C22" s="1512"/>
      <c r="D22" s="1513"/>
      <c r="E22" s="1526"/>
      <c r="F22" s="1515"/>
      <c r="G22" s="1526"/>
      <c r="H22" s="1515"/>
      <c r="I22" s="1527"/>
      <c r="J22" s="1515"/>
      <c r="K22" s="1797"/>
      <c r="L22" s="1494"/>
      <c r="M22" s="1410"/>
      <c r="N22" s="1410"/>
      <c r="O22" s="1485"/>
      <c r="P22" s="1517"/>
      <c r="Q22" s="1070"/>
      <c r="R22" s="1507"/>
      <c r="S22" s="1508"/>
      <c r="T22" s="1507"/>
      <c r="U22" s="1508"/>
      <c r="V22" s="1507"/>
      <c r="W22" s="1508"/>
      <c r="X22" s="1415"/>
      <c r="Y22" s="1518"/>
      <c r="Z22" s="1510"/>
      <c r="AA22" s="1510">
        <v>1</v>
      </c>
      <c r="AB22" s="1510">
        <v>1</v>
      </c>
      <c r="AC22" s="1510">
        <v>1</v>
      </c>
    </row>
    <row r="23" ht="67.5" spans="1:29">
      <c r="A23" s="1480"/>
      <c r="B23" s="1801" t="s">
        <v>1159</v>
      </c>
      <c r="C23" s="1520" t="str">
        <f>估价对象房地状况!C18</f>
        <v>估价对象周边道路状况、公共交通通达情况、停车便捷程度，综合评价交通便捷度较好</v>
      </c>
      <c r="D23" s="1521">
        <v>100</v>
      </c>
      <c r="E23" s="1522"/>
      <c r="F23" s="1523">
        <f>SUMIF(95:95,E24,96:96)-SUMIF(95:95,C24,96:96)+100</f>
        <v>100</v>
      </c>
      <c r="G23" s="1522"/>
      <c r="H23" s="1516">
        <f>SUMIF(95:95,G24,96:96)-SUMIF(95:95,C24,96:96)+100</f>
        <v>100</v>
      </c>
      <c r="I23" s="1524"/>
      <c r="J23" s="1516">
        <f>SUMIF(95:95,I24,96:96)-SUMIF(95:95,C24,96:96)+100</f>
        <v>100</v>
      </c>
      <c r="K23" s="1796"/>
      <c r="L23" s="1494"/>
      <c r="M23" s="1410"/>
      <c r="N23" s="1410"/>
      <c r="O23" s="1485"/>
      <c r="P23" s="1517"/>
      <c r="Q23" s="1070" t="str">
        <f>B23</f>
        <v>交通便捷度</v>
      </c>
      <c r="R23" s="1507" t="s">
        <v>1142</v>
      </c>
      <c r="S23" s="1508">
        <f>F23</f>
        <v>100</v>
      </c>
      <c r="T23" s="1507" t="s">
        <v>1142</v>
      </c>
      <c r="U23" s="1508">
        <f>H23</f>
        <v>100</v>
      </c>
      <c r="V23" s="1507" t="s">
        <v>1142</v>
      </c>
      <c r="W23" s="1508">
        <f>J23</f>
        <v>100</v>
      </c>
      <c r="X23" s="1415"/>
      <c r="Y23" s="1518"/>
      <c r="Z23" s="1510" t="str">
        <f>Q23</f>
        <v>交通便捷度</v>
      </c>
      <c r="AA23" s="1510">
        <f t="shared" si="3"/>
        <v>1</v>
      </c>
      <c r="AB23" s="1510">
        <f t="shared" si="4"/>
        <v>1</v>
      </c>
      <c r="AC23" s="1510">
        <f t="shared" si="5"/>
        <v>1</v>
      </c>
    </row>
    <row r="24" ht="15" spans="1:29">
      <c r="A24" s="1480"/>
      <c r="B24" s="1809"/>
      <c r="C24" s="1512" t="s">
        <v>1161</v>
      </c>
      <c r="D24" s="1521"/>
      <c r="E24" s="1526" t="s">
        <v>1158</v>
      </c>
      <c r="F24" s="1515"/>
      <c r="G24" s="1526" t="s">
        <v>1161</v>
      </c>
      <c r="H24" s="1515"/>
      <c r="I24" s="1527" t="s">
        <v>1161</v>
      </c>
      <c r="J24" s="1515"/>
      <c r="K24" s="1797"/>
      <c r="L24" s="1494"/>
      <c r="M24" s="1410"/>
      <c r="N24" s="1410"/>
      <c r="O24" s="1485"/>
      <c r="P24" s="1517"/>
      <c r="Q24" s="1070"/>
      <c r="R24" s="1507"/>
      <c r="S24" s="1508"/>
      <c r="T24" s="1507"/>
      <c r="U24" s="1508"/>
      <c r="V24" s="1507"/>
      <c r="W24" s="1508"/>
      <c r="X24" s="1415"/>
      <c r="Y24" s="1518"/>
      <c r="Z24" s="1510"/>
      <c r="AA24" s="1510">
        <v>1</v>
      </c>
      <c r="AB24" s="1510">
        <v>1</v>
      </c>
      <c r="AC24" s="1510">
        <v>1</v>
      </c>
    </row>
    <row r="25" ht="15" spans="1:29">
      <c r="A25" s="1419"/>
      <c r="B25" s="1801" t="s">
        <v>1973</v>
      </c>
      <c r="C25" s="1538">
        <f>估价对象房地状况!C19</f>
        <v>0</v>
      </c>
      <c r="D25" s="1806">
        <v>100</v>
      </c>
      <c r="E25" s="1522"/>
      <c r="F25" s="1523">
        <f>SUMIF(97:97,E26,98:98)-SUMIF(97:97,C26,98:98)+100</f>
        <v>100</v>
      </c>
      <c r="G25" s="1524"/>
      <c r="H25" s="1523">
        <f>SUMIF(97:97,G26,98:98)-SUMIF(97:97,C26,98:98)+100</f>
        <v>100</v>
      </c>
      <c r="I25" s="1524"/>
      <c r="J25" s="1523">
        <f>SUMIF(97:97,I26,98:98)-SUMIF(97:97,C26,98:98)+100</f>
        <v>100</v>
      </c>
      <c r="K25" s="1796"/>
      <c r="L25" s="1494"/>
      <c r="M25" s="1410"/>
      <c r="N25" s="1410"/>
      <c r="O25" s="1485"/>
      <c r="P25" s="1517"/>
      <c r="Q25" s="1070" t="str">
        <f t="shared" ref="Q25:Q40" si="8">B25</f>
        <v>区域土地利用方向</v>
      </c>
      <c r="R25" s="1507" t="s">
        <v>1142</v>
      </c>
      <c r="S25" s="1508">
        <f>F25</f>
        <v>100</v>
      </c>
      <c r="T25" s="1507" t="s">
        <v>1142</v>
      </c>
      <c r="U25" s="1508">
        <f>H25</f>
        <v>100</v>
      </c>
      <c r="V25" s="1507" t="s">
        <v>1142</v>
      </c>
      <c r="W25" s="1508">
        <f>J25</f>
        <v>100</v>
      </c>
      <c r="X25" s="1415"/>
      <c r="Y25" s="1518"/>
      <c r="Z25" s="1510" t="str">
        <f>Q25</f>
        <v>区域土地利用方向</v>
      </c>
      <c r="AA25" s="1510">
        <f t="shared" si="3"/>
        <v>1</v>
      </c>
      <c r="AB25" s="1510">
        <f t="shared" si="4"/>
        <v>1</v>
      </c>
      <c r="AC25" s="1510">
        <f t="shared" si="5"/>
        <v>1</v>
      </c>
    </row>
    <row r="26" ht="15" spans="1:29">
      <c r="A26" s="1419"/>
      <c r="B26" s="1558"/>
      <c r="C26" s="1533"/>
      <c r="D26" s="1513"/>
      <c r="E26" s="1526"/>
      <c r="F26" s="1515"/>
      <c r="G26" s="1527"/>
      <c r="H26" s="1515"/>
      <c r="I26" s="1527"/>
      <c r="J26" s="1515"/>
      <c r="K26" s="1810"/>
      <c r="L26" s="1494"/>
      <c r="M26" s="1410"/>
      <c r="N26" s="1410"/>
      <c r="O26" s="1485"/>
      <c r="P26" s="1517"/>
      <c r="Q26" s="1070"/>
      <c r="R26" s="1507"/>
      <c r="S26" s="1508"/>
      <c r="T26" s="1507"/>
      <c r="U26" s="1508"/>
      <c r="V26" s="1507"/>
      <c r="W26" s="1508"/>
      <c r="X26" s="1415"/>
      <c r="Y26" s="1518"/>
      <c r="Z26" s="1510"/>
      <c r="AA26" s="1510"/>
      <c r="AB26" s="1510"/>
      <c r="AC26" s="1510"/>
    </row>
    <row r="27" ht="40.5" spans="1:29">
      <c r="A27" s="1419"/>
      <c r="B27" s="1809" t="s">
        <v>1974</v>
      </c>
      <c r="C27" s="1802" t="str">
        <f>估价对象房地状况!C20</f>
        <v>区域自然环境：；人文环境；综合评价环境状况一般</v>
      </c>
      <c r="D27" s="1521">
        <v>100</v>
      </c>
      <c r="E27" s="1522"/>
      <c r="F27" s="1516">
        <f>SUMIF(99:99,E28,100:100)-SUMIF(99:99,C28,100:100)+100</f>
        <v>100</v>
      </c>
      <c r="G27" s="1522"/>
      <c r="H27" s="1516">
        <f>SUMIF(99:99,G28,100:100)-SUMIF(99:99,C28,100:100)+100</f>
        <v>100</v>
      </c>
      <c r="I27" s="1524"/>
      <c r="J27" s="1516">
        <f>SUMIF(99:99,I28,100:100)-SUMIF(99:99,C28,100:100)+100</f>
        <v>100</v>
      </c>
      <c r="K27" s="1796"/>
      <c r="L27" s="1494"/>
      <c r="M27" s="1410"/>
      <c r="N27" s="1410"/>
      <c r="O27" s="1485"/>
      <c r="P27" s="1517"/>
      <c r="Q27" s="1070" t="str">
        <f t="shared" si="8"/>
        <v>自然及人文环境状况</v>
      </c>
      <c r="R27" s="1507" t="s">
        <v>1142</v>
      </c>
      <c r="S27" s="1508">
        <f>F27</f>
        <v>100</v>
      </c>
      <c r="T27" s="1507" t="s">
        <v>1142</v>
      </c>
      <c r="U27" s="1508">
        <f>H27</f>
        <v>100</v>
      </c>
      <c r="V27" s="1507" t="s">
        <v>1142</v>
      </c>
      <c r="W27" s="1508">
        <f>J27</f>
        <v>100</v>
      </c>
      <c r="X27" s="1415"/>
      <c r="Y27" s="1518"/>
      <c r="Z27" s="1510" t="str">
        <f>Q27</f>
        <v>自然及人文环境状况</v>
      </c>
      <c r="AA27" s="1510">
        <f t="shared" si="3"/>
        <v>1</v>
      </c>
      <c r="AB27" s="1510">
        <f t="shared" si="4"/>
        <v>1</v>
      </c>
      <c r="AC27" s="1510">
        <f t="shared" si="5"/>
        <v>1</v>
      </c>
    </row>
    <row r="28" ht="15" spans="1:29">
      <c r="A28" s="1419"/>
      <c r="B28" s="1558"/>
      <c r="C28" s="1512"/>
      <c r="D28" s="1513"/>
      <c r="E28" s="1514"/>
      <c r="F28" s="1515"/>
      <c r="G28" s="1514"/>
      <c r="H28" s="1515"/>
      <c r="I28" s="1512"/>
      <c r="J28" s="1515"/>
      <c r="K28" s="1797"/>
      <c r="L28" s="1494"/>
      <c r="M28" s="1410"/>
      <c r="N28" s="1410"/>
      <c r="O28" s="1485"/>
      <c r="P28" s="1517"/>
      <c r="Q28" s="1070"/>
      <c r="R28" s="1507"/>
      <c r="S28" s="1508"/>
      <c r="T28" s="1507"/>
      <c r="U28" s="1508"/>
      <c r="V28" s="1507"/>
      <c r="W28" s="1508"/>
      <c r="X28" s="1415"/>
      <c r="Y28" s="1518"/>
      <c r="Z28" s="1510"/>
      <c r="AA28" s="1510">
        <v>1</v>
      </c>
      <c r="AB28" s="1510">
        <v>1</v>
      </c>
      <c r="AC28" s="1510">
        <v>1</v>
      </c>
    </row>
    <row r="29" s="1371" customFormat="1" ht="40.5" spans="1:29">
      <c r="A29" s="1529"/>
      <c r="B29" s="1809" t="s">
        <v>1160</v>
      </c>
      <c r="C29" s="1520" t="str">
        <f>估价对象房地状况!C21</f>
        <v>估价对象所在区域公共配套设施齐备情况</v>
      </c>
      <c r="D29" s="1521">
        <v>100</v>
      </c>
      <c r="E29" s="1522"/>
      <c r="F29" s="1516">
        <f>SUMIF(101:101,E30,102:102)-SUMIF(101:101,C30,102:102)+100</f>
        <v>100</v>
      </c>
      <c r="G29" s="1522"/>
      <c r="H29" s="1516">
        <f>SUMIF(101:101,G30,102:102)-SUMIF(101:101,C30,102:102)+100</f>
        <v>100</v>
      </c>
      <c r="I29" s="1524"/>
      <c r="J29" s="1516">
        <f>SUMIF(101:101,I30,102:102)-SUMIF(101:101,C30,102:102)+100</f>
        <v>100</v>
      </c>
      <c r="K29" s="1796"/>
      <c r="L29" s="1453"/>
      <c r="M29" s="1454"/>
      <c r="N29" s="1454"/>
      <c r="O29" s="1470"/>
      <c r="P29" s="1517"/>
      <c r="Q29" s="1224" t="str">
        <f t="shared" si="8"/>
        <v>公共配套设施</v>
      </c>
      <c r="R29" s="1457" t="s">
        <v>1142</v>
      </c>
      <c r="S29" s="1458">
        <f>F29</f>
        <v>100</v>
      </c>
      <c r="T29" s="1457" t="s">
        <v>1142</v>
      </c>
      <c r="U29" s="1458">
        <f>H29</f>
        <v>100</v>
      </c>
      <c r="V29" s="1457" t="s">
        <v>1142</v>
      </c>
      <c r="W29" s="1458">
        <f>J29</f>
        <v>100</v>
      </c>
      <c r="X29" s="1459"/>
      <c r="Y29" s="1518"/>
      <c r="Z29" s="1462" t="str">
        <f>Q29</f>
        <v>公共配套设施</v>
      </c>
      <c r="AA29" s="1510">
        <f>D29/F29</f>
        <v>1</v>
      </c>
      <c r="AB29" s="1510">
        <f>D29/H29</f>
        <v>1</v>
      </c>
      <c r="AC29" s="1510">
        <f>D29/J29</f>
        <v>1</v>
      </c>
    </row>
    <row r="30" s="1371" customFormat="1" ht="15" spans="1:29">
      <c r="A30" s="1529"/>
      <c r="B30" s="1558"/>
      <c r="C30" s="1531" t="s">
        <v>1161</v>
      </c>
      <c r="D30" s="1513"/>
      <c r="E30" s="1514" t="s">
        <v>1158</v>
      </c>
      <c r="F30" s="1515"/>
      <c r="G30" s="1514" t="s">
        <v>1161</v>
      </c>
      <c r="H30" s="1515"/>
      <c r="I30" s="1512" t="s">
        <v>1161</v>
      </c>
      <c r="J30" s="1515"/>
      <c r="K30" s="1797"/>
      <c r="L30" s="1453"/>
      <c r="M30" s="1454"/>
      <c r="N30" s="1454"/>
      <c r="O30" s="1470"/>
      <c r="P30" s="1517"/>
      <c r="Q30" s="1224"/>
      <c r="R30" s="1457"/>
      <c r="S30" s="1458"/>
      <c r="T30" s="1457"/>
      <c r="U30" s="1458"/>
      <c r="V30" s="1457"/>
      <c r="W30" s="1458"/>
      <c r="X30" s="1459"/>
      <c r="Y30" s="1518"/>
      <c r="Z30" s="1462"/>
      <c r="AA30" s="1510">
        <v>1</v>
      </c>
      <c r="AB30" s="1510">
        <v>1</v>
      </c>
      <c r="AC30" s="1510">
        <v>1</v>
      </c>
    </row>
    <row r="31" s="1371" customFormat="1" ht="27" spans="1:29">
      <c r="A31" s="1529"/>
      <c r="B31" s="1809" t="s">
        <v>1162</v>
      </c>
      <c r="C31" s="1520" t="str">
        <f>估价对象房地状况!C22</f>
        <v>估价对象所在区域基础设施水平</v>
      </c>
      <c r="D31" s="1521">
        <v>100</v>
      </c>
      <c r="E31" s="1522"/>
      <c r="F31" s="1516">
        <f>SUMIF(103:103,E32,104:104)-SUMIF(103:103,C32,104:104)+100</f>
        <v>100</v>
      </c>
      <c r="G31" s="1522"/>
      <c r="H31" s="1516">
        <f>SUMIF(103:103,G32,104:104)-SUMIF(103:103,C32,104:104)+100</f>
        <v>100</v>
      </c>
      <c r="I31" s="1524"/>
      <c r="J31" s="1516">
        <f>SUMIF(103:103,I32,104:104)-SUMIF(103:103,C32,104:104)+100</f>
        <v>100</v>
      </c>
      <c r="K31" s="1796"/>
      <c r="L31" s="1453"/>
      <c r="M31" s="1454"/>
      <c r="N31" s="1454"/>
      <c r="O31" s="1470"/>
      <c r="P31" s="1517"/>
      <c r="Q31" s="1224" t="str">
        <f t="shared" ref="Q31" si="9">B31</f>
        <v>基础设施水平</v>
      </c>
      <c r="R31" s="1457" t="s">
        <v>1142</v>
      </c>
      <c r="S31" s="1458">
        <f>F31</f>
        <v>100</v>
      </c>
      <c r="T31" s="1457" t="s">
        <v>1142</v>
      </c>
      <c r="U31" s="1458">
        <f>H31</f>
        <v>100</v>
      </c>
      <c r="V31" s="1457" t="s">
        <v>1142</v>
      </c>
      <c r="W31" s="1458">
        <f>J31</f>
        <v>100</v>
      </c>
      <c r="X31" s="1459"/>
      <c r="Y31" s="1518"/>
      <c r="Z31" s="1462" t="str">
        <f>Q31</f>
        <v>基础设施水平</v>
      </c>
      <c r="AA31" s="1510">
        <f>D31/F31</f>
        <v>1</v>
      </c>
      <c r="AB31" s="1510">
        <f>D31/H31</f>
        <v>1</v>
      </c>
      <c r="AC31" s="1510">
        <f>D31/J31</f>
        <v>1</v>
      </c>
    </row>
    <row r="32" s="1371" customFormat="1" ht="15" spans="1:29">
      <c r="A32" s="1529"/>
      <c r="B32" s="1558"/>
      <c r="C32" s="1531"/>
      <c r="D32" s="1513"/>
      <c r="E32" s="1532"/>
      <c r="F32" s="1515"/>
      <c r="G32" s="1532"/>
      <c r="H32" s="1515"/>
      <c r="I32" s="1532"/>
      <c r="J32" s="1515"/>
      <c r="K32" s="1797"/>
      <c r="L32" s="1453"/>
      <c r="M32" s="1454"/>
      <c r="N32" s="1454"/>
      <c r="O32" s="1470"/>
      <c r="P32" s="1517"/>
      <c r="Q32" s="1224"/>
      <c r="R32" s="1457"/>
      <c r="S32" s="1458"/>
      <c r="T32" s="1457"/>
      <c r="U32" s="1458"/>
      <c r="V32" s="1457"/>
      <c r="W32" s="1458"/>
      <c r="X32" s="1459"/>
      <c r="Y32" s="1518"/>
      <c r="Z32" s="1462"/>
      <c r="AA32" s="1510">
        <v>1</v>
      </c>
      <c r="AB32" s="1510">
        <v>1</v>
      </c>
      <c r="AC32" s="1510">
        <v>1</v>
      </c>
    </row>
    <row r="33" ht="15" spans="1:29">
      <c r="A33" s="1480"/>
      <c r="B33" s="1558" t="s">
        <v>1934</v>
      </c>
      <c r="C33" s="1533"/>
      <c r="D33" s="1492">
        <v>100</v>
      </c>
      <c r="E33" s="1534"/>
      <c r="F33" s="1493">
        <f>SUMIF(105:105,E33,106:106)-SUMIF(105:105,C33,106:106)+100</f>
        <v>100</v>
      </c>
      <c r="G33" s="1534"/>
      <c r="H33" s="1493">
        <f>SUMIF(105:105,G33,106:106)-SUMIF(105:105,C33,106:106)+100</f>
        <v>100</v>
      </c>
      <c r="I33" s="1534"/>
      <c r="J33" s="1493">
        <f>SUMIF(105:105,I33,106:106)-SUMIF(105:105,C33,106:106)+100</f>
        <v>100</v>
      </c>
      <c r="K33" s="1796"/>
      <c r="L33" s="1494"/>
      <c r="M33" s="1410"/>
      <c r="N33" s="1410"/>
      <c r="O33" s="1485"/>
      <c r="P33" s="1517"/>
      <c r="Q33" s="1070" t="str">
        <f t="shared" si="8"/>
        <v>临街状况</v>
      </c>
      <c r="R33" s="1507" t="s">
        <v>1142</v>
      </c>
      <c r="S33" s="1508">
        <f t="shared" ref="S33:S47" si="10">F33</f>
        <v>100</v>
      </c>
      <c r="T33" s="1507" t="s">
        <v>1142</v>
      </c>
      <c r="U33" s="1508">
        <f t="shared" ref="U33:U47" si="11">H33</f>
        <v>100</v>
      </c>
      <c r="V33" s="1507" t="s">
        <v>1142</v>
      </c>
      <c r="W33" s="1508">
        <f t="shared" ref="W33:W47" si="12">J33</f>
        <v>100</v>
      </c>
      <c r="X33" s="1415"/>
      <c r="Y33" s="1518"/>
      <c r="Z33" s="1510" t="str">
        <f t="shared" ref="Z33:Z47" si="13">Q33</f>
        <v>临街状况</v>
      </c>
      <c r="AA33" s="1510">
        <f t="shared" si="3"/>
        <v>1</v>
      </c>
      <c r="AB33" s="1510">
        <f t="shared" si="4"/>
        <v>1</v>
      </c>
      <c r="AC33" s="1510">
        <f t="shared" si="5"/>
        <v>1</v>
      </c>
    </row>
    <row r="34" ht="27" spans="1:29">
      <c r="A34" s="1480"/>
      <c r="B34" s="1809" t="s">
        <v>1946</v>
      </c>
      <c r="C34" s="1524"/>
      <c r="D34" s="1521">
        <v>100</v>
      </c>
      <c r="E34" s="1522"/>
      <c r="F34" s="1516">
        <f>SUMIF(107:107,E35,108:108)-SUMIF(107:107,C35,108:108)+100</f>
        <v>100</v>
      </c>
      <c r="G34" s="1522"/>
      <c r="H34" s="1516">
        <f>SUMIF(107:107,G35,108:108)-SUMIF(107:107,C35,108:108)+100</f>
        <v>100</v>
      </c>
      <c r="I34" s="1524"/>
      <c r="J34" s="1516">
        <f>SUMIF(107:107,I35,108:108)-SUMIF(107:107,C35,108:108)+100</f>
        <v>100</v>
      </c>
      <c r="K34" s="1796"/>
      <c r="L34" s="1494"/>
      <c r="M34" s="1410"/>
      <c r="N34" s="1410"/>
      <c r="O34" s="1485"/>
      <c r="P34" s="1517"/>
      <c r="Q34" s="1070" t="str">
        <f t="shared" si="8"/>
        <v>毗邻道路的类型与等级</v>
      </c>
      <c r="R34" s="1507" t="s">
        <v>1142</v>
      </c>
      <c r="S34" s="1508">
        <f t="shared" si="10"/>
        <v>100</v>
      </c>
      <c r="T34" s="1507" t="s">
        <v>1142</v>
      </c>
      <c r="U34" s="1508">
        <f t="shared" si="11"/>
        <v>100</v>
      </c>
      <c r="V34" s="1507" t="s">
        <v>1142</v>
      </c>
      <c r="W34" s="1508">
        <f t="shared" si="12"/>
        <v>100</v>
      </c>
      <c r="X34" s="1415"/>
      <c r="Y34" s="1518"/>
      <c r="Z34" s="1510" t="str">
        <f t="shared" si="13"/>
        <v>毗邻道路的类型与等级</v>
      </c>
      <c r="AA34" s="1510">
        <f t="shared" si="3"/>
        <v>1</v>
      </c>
      <c r="AB34" s="1510">
        <f t="shared" si="4"/>
        <v>1</v>
      </c>
      <c r="AC34" s="1510">
        <f t="shared" si="5"/>
        <v>1</v>
      </c>
    </row>
    <row r="35" ht="15" spans="1:29">
      <c r="A35" s="1480"/>
      <c r="B35" s="1558"/>
      <c r="C35" s="1512"/>
      <c r="D35" s="1513"/>
      <c r="E35" s="1514"/>
      <c r="F35" s="1515"/>
      <c r="G35" s="1514"/>
      <c r="H35" s="1515"/>
      <c r="I35" s="1512"/>
      <c r="J35" s="1515"/>
      <c r="K35" s="1811"/>
      <c r="L35" s="1494"/>
      <c r="M35" s="1410"/>
      <c r="N35" s="1410"/>
      <c r="O35" s="1485"/>
      <c r="P35" s="1517"/>
      <c r="Q35" s="1070"/>
      <c r="R35" s="1507"/>
      <c r="S35" s="1508"/>
      <c r="T35" s="1507"/>
      <c r="U35" s="1508"/>
      <c r="V35" s="1507"/>
      <c r="W35" s="1508"/>
      <c r="X35" s="1415"/>
      <c r="Y35" s="1518"/>
      <c r="Z35" s="1510"/>
      <c r="AA35" s="1510">
        <v>1</v>
      </c>
      <c r="AB35" s="1510">
        <v>1</v>
      </c>
      <c r="AC35" s="1510">
        <v>1</v>
      </c>
    </row>
    <row r="36" ht="15" spans="1:29">
      <c r="A36" s="1480"/>
      <c r="B36" s="1472" t="s">
        <v>1975</v>
      </c>
      <c r="C36" s="1533"/>
      <c r="D36" s="1492">
        <v>100</v>
      </c>
      <c r="E36" s="1534"/>
      <c r="F36" s="1493">
        <f>SUMIF(109:109,E36,110:110)-SUMIF(109:109,C36,110:110)+100</f>
        <v>100</v>
      </c>
      <c r="G36" s="1534"/>
      <c r="H36" s="1493">
        <f>SUMIF(109:109,G36,110:110)-SUMIF(109:109,C36,110:110)+100</f>
        <v>100</v>
      </c>
      <c r="I36" s="1533"/>
      <c r="J36" s="1493">
        <f>SUMIF(109:109,I36,110:110)-SUMIF(109:109,C36,110:110)+100</f>
        <v>100</v>
      </c>
      <c r="K36" s="1812"/>
      <c r="L36" s="1494"/>
      <c r="M36" s="1410"/>
      <c r="N36" s="1410"/>
      <c r="O36" s="1485"/>
      <c r="P36" s="1517"/>
      <c r="Q36" s="1070" t="str">
        <f t="shared" si="8"/>
        <v>土地级别</v>
      </c>
      <c r="R36" s="1507" t="s">
        <v>1142</v>
      </c>
      <c r="S36" s="1508">
        <f t="shared" si="10"/>
        <v>100</v>
      </c>
      <c r="T36" s="1507" t="s">
        <v>1142</v>
      </c>
      <c r="U36" s="1508">
        <f t="shared" si="11"/>
        <v>100</v>
      </c>
      <c r="V36" s="1507" t="s">
        <v>1142</v>
      </c>
      <c r="W36" s="1508">
        <f t="shared" si="12"/>
        <v>100</v>
      </c>
      <c r="X36" s="1415"/>
      <c r="Y36" s="1518"/>
      <c r="Z36" s="1510" t="str">
        <f t="shared" si="13"/>
        <v>土地级别</v>
      </c>
      <c r="AA36" s="1510">
        <f t="shared" si="3"/>
        <v>1</v>
      </c>
      <c r="AB36" s="1510">
        <f t="shared" si="4"/>
        <v>1</v>
      </c>
      <c r="AC36" s="1510">
        <f t="shared" si="5"/>
        <v>1</v>
      </c>
    </row>
    <row r="37" ht="15" spans="1:29">
      <c r="A37" s="1419"/>
      <c r="B37" s="1813">
        <v>111</v>
      </c>
      <c r="C37" s="1490"/>
      <c r="D37" s="1492">
        <v>100</v>
      </c>
      <c r="E37" s="1541"/>
      <c r="F37" s="1493">
        <f>SUMIF(111:111,E37,112:112)-SUMIF(111:111,C37,112:112)+100</f>
        <v>100</v>
      </c>
      <c r="G37" s="1541"/>
      <c r="H37" s="1493">
        <f>SUMIF(111:111,G37,112:112)-SUMIF(111:111,C37,112:112)+100</f>
        <v>100</v>
      </c>
      <c r="I37" s="1490"/>
      <c r="J37" s="1493">
        <f>SUMIF(111:111,I37,112:112)-SUMIF(111:111,C37,112:112)+100</f>
        <v>100</v>
      </c>
      <c r="K37" s="1811"/>
      <c r="L37" s="1494"/>
      <c r="M37" s="1410"/>
      <c r="N37" s="1410"/>
      <c r="O37" s="1485"/>
      <c r="P37" s="1517"/>
      <c r="Q37" s="1070">
        <f t="shared" si="8"/>
        <v>111</v>
      </c>
      <c r="R37" s="1507" t="s">
        <v>1142</v>
      </c>
      <c r="S37" s="1508">
        <f t="shared" si="10"/>
        <v>100</v>
      </c>
      <c r="T37" s="1507" t="s">
        <v>1142</v>
      </c>
      <c r="U37" s="1508">
        <f t="shared" si="11"/>
        <v>100</v>
      </c>
      <c r="V37" s="1507" t="s">
        <v>1142</v>
      </c>
      <c r="W37" s="1508">
        <f t="shared" si="12"/>
        <v>100</v>
      </c>
      <c r="X37" s="1415"/>
      <c r="Y37" s="1518"/>
      <c r="Z37" s="1510">
        <f t="shared" si="13"/>
        <v>111</v>
      </c>
      <c r="AA37" s="1510">
        <f t="shared" si="3"/>
        <v>1</v>
      </c>
      <c r="AB37" s="1510">
        <f t="shared" si="4"/>
        <v>1</v>
      </c>
      <c r="AC37" s="1510">
        <f t="shared" si="5"/>
        <v>1</v>
      </c>
    </row>
    <row r="38" ht="15" spans="1:29">
      <c r="A38" s="1542"/>
      <c r="B38" s="1567">
        <v>111</v>
      </c>
      <c r="C38" s="1490"/>
      <c r="D38" s="1492">
        <v>100</v>
      </c>
      <c r="E38" s="1541"/>
      <c r="F38" s="1493">
        <f>SUMIF(113:113,E39,114:114)-SUMIF(113:113,C39,114:114)+100</f>
        <v>100</v>
      </c>
      <c r="G38" s="1541"/>
      <c r="H38" s="1493">
        <f>SUMIF(113:113,G38,114:114)-SUMIF(113:113,C38,114:114)+100</f>
        <v>100</v>
      </c>
      <c r="I38" s="1490"/>
      <c r="J38" s="1493">
        <f>SUMIF(113:113,I38,114:114)-SUMIF(113:113,C38,114:114)+100</f>
        <v>100</v>
      </c>
      <c r="K38" s="1811"/>
      <c r="L38" s="1494"/>
      <c r="M38" s="1410"/>
      <c r="N38" s="1410"/>
      <c r="O38" s="1485"/>
      <c r="P38" s="1544" t="s">
        <v>1169</v>
      </c>
      <c r="Q38" s="1070">
        <f t="shared" si="8"/>
        <v>111</v>
      </c>
      <c r="R38" s="1507" t="s">
        <v>1142</v>
      </c>
      <c r="S38" s="1508">
        <f t="shared" si="10"/>
        <v>100</v>
      </c>
      <c r="T38" s="1507" t="s">
        <v>1142</v>
      </c>
      <c r="U38" s="1508">
        <f t="shared" si="11"/>
        <v>100</v>
      </c>
      <c r="V38" s="1507" t="s">
        <v>1142</v>
      </c>
      <c r="W38" s="1508">
        <f t="shared" si="12"/>
        <v>100</v>
      </c>
      <c r="X38" s="1415"/>
      <c r="Y38" s="1545" t="s">
        <v>1169</v>
      </c>
      <c r="Z38" s="1510">
        <f t="shared" si="13"/>
        <v>111</v>
      </c>
      <c r="AA38" s="1510">
        <f t="shared" si="3"/>
        <v>1</v>
      </c>
      <c r="AB38" s="1510">
        <f t="shared" si="4"/>
        <v>1</v>
      </c>
      <c r="AC38" s="1510">
        <f t="shared" si="5"/>
        <v>1</v>
      </c>
    </row>
    <row r="39" s="1373" customFormat="1" ht="15.75" spans="1:29">
      <c r="A39" s="1546"/>
      <c r="B39" s="1814">
        <v>111</v>
      </c>
      <c r="C39" s="1548"/>
      <c r="D39" s="1549">
        <v>100</v>
      </c>
      <c r="E39" s="1550"/>
      <c r="F39" s="1499">
        <f>SUMIF(115:115,E39,116:116)-SUMIF(115:115,C39,116:116)+100</f>
        <v>100</v>
      </c>
      <c r="G39" s="1550"/>
      <c r="H39" s="1499">
        <f>SUMIF(115:115,G39,116:116)-SUMIF(115:115,C39,116:116)+100</f>
        <v>100</v>
      </c>
      <c r="I39" s="1548"/>
      <c r="J39" s="1499">
        <f>SUMIF(115:115,I39,116:116)-SUMIF(115:115,C39,116:116)+100</f>
        <v>100</v>
      </c>
      <c r="K39" s="1811"/>
      <c r="L39" s="1484"/>
      <c r="M39" s="1551"/>
      <c r="N39" s="1551"/>
      <c r="O39" s="1552"/>
      <c r="P39" s="1553"/>
      <c r="Q39" s="1070">
        <f t="shared" si="8"/>
        <v>111</v>
      </c>
      <c r="R39" s="1554" t="s">
        <v>1142</v>
      </c>
      <c r="S39" s="1555">
        <f t="shared" si="10"/>
        <v>100</v>
      </c>
      <c r="T39" s="1554" t="s">
        <v>1142</v>
      </c>
      <c r="U39" s="1555">
        <f t="shared" si="11"/>
        <v>100</v>
      </c>
      <c r="V39" s="1554" t="s">
        <v>1142</v>
      </c>
      <c r="W39" s="1555">
        <f t="shared" si="12"/>
        <v>100</v>
      </c>
      <c r="X39" s="1556"/>
      <c r="Y39" s="1545"/>
      <c r="Z39" s="1557">
        <f t="shared" si="13"/>
        <v>111</v>
      </c>
      <c r="AA39" s="1510">
        <f t="shared" si="3"/>
        <v>1</v>
      </c>
      <c r="AB39" s="1510">
        <f t="shared" si="4"/>
        <v>1</v>
      </c>
      <c r="AC39" s="1510">
        <f t="shared" si="5"/>
        <v>1</v>
      </c>
    </row>
    <row r="40" ht="15" spans="1:29">
      <c r="A40" s="1563" t="s">
        <v>1166</v>
      </c>
      <c r="B40" s="1558" t="s">
        <v>1976</v>
      </c>
      <c r="C40" s="1559"/>
      <c r="D40" s="1560">
        <v>100</v>
      </c>
      <c r="E40" s="1559"/>
      <c r="F40" s="1561" t="e">
        <f>LOOKUP(E40,118:118,119:119)-LOOKUP(C40,118:118,119:119)+100</f>
        <v>#N/A</v>
      </c>
      <c r="G40" s="1559"/>
      <c r="H40" s="1561" t="e">
        <f>LOOKUP(G40,118:118,119:119)-LOOKUP(C40,118:118,119:119)+100</f>
        <v>#N/A</v>
      </c>
      <c r="I40" s="1562"/>
      <c r="J40" s="1561" t="e">
        <f>LOOKUP(I40,118:118,119:119)-LOOKUP(C40,118:118,119:119)+100</f>
        <v>#N/A</v>
      </c>
      <c r="K40" s="1811"/>
      <c r="L40" s="1494"/>
      <c r="M40" s="1410"/>
      <c r="N40" s="1410"/>
      <c r="O40" s="1485"/>
      <c r="P40" s="1553"/>
      <c r="Q40" s="1070" t="str">
        <f t="shared" si="8"/>
        <v>宗地面积</v>
      </c>
      <c r="R40" s="1507" t="s">
        <v>1142</v>
      </c>
      <c r="S40" s="1508" t="e">
        <f t="shared" si="10"/>
        <v>#N/A</v>
      </c>
      <c r="T40" s="1507" t="s">
        <v>1142</v>
      </c>
      <c r="U40" s="1508" t="e">
        <f t="shared" si="11"/>
        <v>#N/A</v>
      </c>
      <c r="V40" s="1507" t="s">
        <v>1142</v>
      </c>
      <c r="W40" s="1508" t="e">
        <f t="shared" si="12"/>
        <v>#N/A</v>
      </c>
      <c r="X40" s="1415"/>
      <c r="Y40" s="1545"/>
      <c r="Z40" s="1510" t="str">
        <f t="shared" si="13"/>
        <v>宗地面积</v>
      </c>
      <c r="AA40" s="1510" t="e">
        <f t="shared" si="3"/>
        <v>#N/A</v>
      </c>
      <c r="AB40" s="1510" t="e">
        <f t="shared" si="4"/>
        <v>#N/A</v>
      </c>
      <c r="AC40" s="1510" t="e">
        <f t="shared" si="5"/>
        <v>#N/A</v>
      </c>
    </row>
    <row r="41" ht="15" spans="1:29">
      <c r="A41" s="1563"/>
      <c r="B41" s="1472" t="s">
        <v>1977</v>
      </c>
      <c r="C41" s="1564"/>
      <c r="D41" s="1492">
        <v>100</v>
      </c>
      <c r="E41" s="1564"/>
      <c r="F41" s="1493">
        <f>SUMIF(120:120,E41,121:121)-SUMIF(120:120,C41,121:121)+100</f>
        <v>100</v>
      </c>
      <c r="G41" s="1564"/>
      <c r="H41" s="1493">
        <f>SUMIF(120:120,G41,121:121)-SUMIF(120:120,C41,121:121)+100</f>
        <v>100</v>
      </c>
      <c r="I41" s="1564"/>
      <c r="J41" s="1493">
        <f>SUMIF(120:120,I41,121:121)-SUMIF(120:120,C41,121:121)+100</f>
        <v>100</v>
      </c>
      <c r="K41" s="1812"/>
      <c r="L41" s="1494"/>
      <c r="M41" s="1410"/>
      <c r="N41" s="1410"/>
      <c r="O41" s="1485"/>
      <c r="P41" s="1553"/>
      <c r="Q41" s="1070" t="str">
        <f t="shared" ref="Q41:Q47" si="14">B41</f>
        <v>宗地形状</v>
      </c>
      <c r="R41" s="1507" t="s">
        <v>1142</v>
      </c>
      <c r="S41" s="1508">
        <f t="shared" si="10"/>
        <v>100</v>
      </c>
      <c r="T41" s="1507" t="s">
        <v>1142</v>
      </c>
      <c r="U41" s="1508">
        <f t="shared" si="11"/>
        <v>100</v>
      </c>
      <c r="V41" s="1507" t="s">
        <v>1142</v>
      </c>
      <c r="W41" s="1508">
        <f t="shared" si="12"/>
        <v>100</v>
      </c>
      <c r="X41" s="1415"/>
      <c r="Y41" s="1545"/>
      <c r="Z41" s="1510" t="str">
        <f t="shared" si="13"/>
        <v>宗地形状</v>
      </c>
      <c r="AA41" s="1510">
        <f t="shared" si="3"/>
        <v>1</v>
      </c>
      <c r="AB41" s="1510">
        <f t="shared" si="4"/>
        <v>1</v>
      </c>
      <c r="AC41" s="1510">
        <f t="shared" si="5"/>
        <v>1</v>
      </c>
    </row>
    <row r="42" ht="15" spans="1:29">
      <c r="A42" s="1563"/>
      <c r="B42" s="1472" t="s">
        <v>1978</v>
      </c>
      <c r="C42" s="1564"/>
      <c r="D42" s="1492">
        <v>100</v>
      </c>
      <c r="E42" s="1564"/>
      <c r="F42" s="1493">
        <f>SUMIF(122:122,E42,123:123)-SUMIF(122:122,C42,123:123)+100</f>
        <v>100</v>
      </c>
      <c r="G42" s="1564"/>
      <c r="H42" s="1493">
        <f>SUMIF(122:122,G42,123:123)-SUMIF(122:122,C42,123:123)+100</f>
        <v>100</v>
      </c>
      <c r="I42" s="1564"/>
      <c r="J42" s="1493">
        <f>SUMIF(122:122,I42,123:123)-SUMIF(122:122,C42,123:123)+100</f>
        <v>100</v>
      </c>
      <c r="K42" s="1812"/>
      <c r="L42" s="1494"/>
      <c r="M42" s="1410"/>
      <c r="N42" s="1410"/>
      <c r="O42" s="1485"/>
      <c r="P42" s="1553"/>
      <c r="Q42" s="1070" t="str">
        <f t="shared" si="14"/>
        <v>临街宽度及深度</v>
      </c>
      <c r="R42" s="1507" t="s">
        <v>1142</v>
      </c>
      <c r="S42" s="1508">
        <f t="shared" si="10"/>
        <v>100</v>
      </c>
      <c r="T42" s="1507" t="s">
        <v>1142</v>
      </c>
      <c r="U42" s="1508">
        <f t="shared" si="11"/>
        <v>100</v>
      </c>
      <c r="V42" s="1507" t="s">
        <v>1142</v>
      </c>
      <c r="W42" s="1508">
        <f t="shared" si="12"/>
        <v>100</v>
      </c>
      <c r="X42" s="1415"/>
      <c r="Y42" s="1545"/>
      <c r="Z42" s="1510" t="str">
        <f t="shared" si="13"/>
        <v>临街宽度及深度</v>
      </c>
      <c r="AA42" s="1510">
        <f t="shared" si="3"/>
        <v>1</v>
      </c>
      <c r="AB42" s="1510">
        <f t="shared" si="4"/>
        <v>1</v>
      </c>
      <c r="AC42" s="1510">
        <f t="shared" si="5"/>
        <v>1</v>
      </c>
    </row>
    <row r="43" s="1371" customFormat="1" ht="15" spans="1:29">
      <c r="A43" s="1565"/>
      <c r="B43" s="1472" t="s">
        <v>1979</v>
      </c>
      <c r="C43" s="1566"/>
      <c r="D43" s="1474">
        <v>100</v>
      </c>
      <c r="E43" s="1566"/>
      <c r="F43" s="1493">
        <f>SUMIF(124:124,E43,125:125)-SUMIF(124:124,C43,125:125)+100</f>
        <v>100</v>
      </c>
      <c r="G43" s="1566"/>
      <c r="H43" s="1493">
        <f>SUMIF(124:124,G43,125:125)-SUMIF(124:124,C43,125:125)+100</f>
        <v>100</v>
      </c>
      <c r="I43" s="1566"/>
      <c r="J43" s="1493">
        <f>SUMIF(124:124,I43,125:125)-SUMIF(124:124,C43,125:125)+100</f>
        <v>100</v>
      </c>
      <c r="K43" s="1812"/>
      <c r="L43" s="1453"/>
      <c r="M43" s="1454"/>
      <c r="N43" s="1454"/>
      <c r="O43" s="1470"/>
      <c r="P43" s="1553"/>
      <c r="Q43" s="1070" t="str">
        <f t="shared" si="14"/>
        <v>宗地开发程度</v>
      </c>
      <c r="R43" s="1457" t="s">
        <v>1142</v>
      </c>
      <c r="S43" s="1458">
        <f t="shared" si="10"/>
        <v>100</v>
      </c>
      <c r="T43" s="1457" t="s">
        <v>1142</v>
      </c>
      <c r="U43" s="1458">
        <f t="shared" si="11"/>
        <v>100</v>
      </c>
      <c r="V43" s="1457" t="s">
        <v>1142</v>
      </c>
      <c r="W43" s="1458">
        <f t="shared" si="12"/>
        <v>100</v>
      </c>
      <c r="X43" s="1459"/>
      <c r="Y43" s="1545"/>
      <c r="Z43" s="1462" t="str">
        <f t="shared" si="13"/>
        <v>宗地开发程度</v>
      </c>
      <c r="AA43" s="1462">
        <f t="shared" si="3"/>
        <v>1</v>
      </c>
      <c r="AB43" s="1462">
        <f t="shared" si="4"/>
        <v>1</v>
      </c>
      <c r="AC43" s="1462">
        <f t="shared" si="5"/>
        <v>1</v>
      </c>
    </row>
    <row r="44" ht="15" spans="1:29">
      <c r="A44" s="1563"/>
      <c r="B44" s="1472" t="s">
        <v>1980</v>
      </c>
      <c r="C44" s="1564"/>
      <c r="D44" s="1492">
        <v>100</v>
      </c>
      <c r="E44" s="1564"/>
      <c r="F44" s="1493">
        <f>SUMIF(126:126,E44,127:127)-SUMIF(126:126,C44,127:127)+100</f>
        <v>100</v>
      </c>
      <c r="G44" s="1564"/>
      <c r="H44" s="1493">
        <f>SUMIF(126:126,G44,127:127)-SUMIF(126:126,C44,127:127)+100</f>
        <v>100</v>
      </c>
      <c r="I44" s="1564"/>
      <c r="J44" s="1493">
        <f>SUMIF(126:126,I44,127:127)-SUMIF(126:126,C44,127:127)+100</f>
        <v>100</v>
      </c>
      <c r="K44" s="1812"/>
      <c r="L44" s="1494"/>
      <c r="M44" s="1410"/>
      <c r="N44" s="1410"/>
      <c r="O44" s="1485"/>
      <c r="P44" s="1553" t="s">
        <v>1169</v>
      </c>
      <c r="Q44" s="1070" t="str">
        <f t="shared" si="14"/>
        <v>工程地质条件</v>
      </c>
      <c r="R44" s="1507" t="s">
        <v>1142</v>
      </c>
      <c r="S44" s="1508">
        <f t="shared" si="10"/>
        <v>100</v>
      </c>
      <c r="T44" s="1507" t="s">
        <v>1142</v>
      </c>
      <c r="U44" s="1508">
        <f t="shared" si="11"/>
        <v>100</v>
      </c>
      <c r="V44" s="1507" t="s">
        <v>1142</v>
      </c>
      <c r="W44" s="1508">
        <f t="shared" si="12"/>
        <v>100</v>
      </c>
      <c r="X44" s="1415"/>
      <c r="Y44" s="1545" t="s">
        <v>1169</v>
      </c>
      <c r="Z44" s="1510" t="str">
        <f t="shared" si="13"/>
        <v>工程地质条件</v>
      </c>
      <c r="AA44" s="1510">
        <f t="shared" si="3"/>
        <v>1</v>
      </c>
      <c r="AB44" s="1510">
        <f t="shared" si="4"/>
        <v>1</v>
      </c>
      <c r="AC44" s="1510">
        <f t="shared" si="5"/>
        <v>1</v>
      </c>
    </row>
    <row r="45" ht="15" spans="1:29">
      <c r="A45" s="1563"/>
      <c r="B45" s="1567">
        <v>111</v>
      </c>
      <c r="C45" s="1490"/>
      <c r="D45" s="1492">
        <v>100</v>
      </c>
      <c r="E45" s="1490"/>
      <c r="F45" s="1493">
        <f>SUMIF(128:128,E45,129:129)-SUMIF(128:128,C45,129:129)+100</f>
        <v>100</v>
      </c>
      <c r="G45" s="1490"/>
      <c r="H45" s="1493">
        <f>SUMIF(128:128,G45,129:129)-SUMIF(128:128,C45,129:129)+100</f>
        <v>100</v>
      </c>
      <c r="I45" s="1489"/>
      <c r="J45" s="1493">
        <f>SUMIF(128:128,I45,129:129)-SUMIF(128:128,C45,129:129)+100</f>
        <v>100</v>
      </c>
      <c r="K45" s="1811"/>
      <c r="L45" s="1494"/>
      <c r="M45" s="1410"/>
      <c r="N45" s="1410"/>
      <c r="O45" s="1485"/>
      <c r="P45" s="1553"/>
      <c r="Q45" s="1070">
        <f t="shared" si="14"/>
        <v>111</v>
      </c>
      <c r="R45" s="1507" t="s">
        <v>1142</v>
      </c>
      <c r="S45" s="1508">
        <f t="shared" si="10"/>
        <v>100</v>
      </c>
      <c r="T45" s="1507" t="s">
        <v>1142</v>
      </c>
      <c r="U45" s="1508">
        <f t="shared" si="11"/>
        <v>100</v>
      </c>
      <c r="V45" s="1507" t="s">
        <v>1142</v>
      </c>
      <c r="W45" s="1508">
        <f t="shared" si="12"/>
        <v>100</v>
      </c>
      <c r="X45" s="1415"/>
      <c r="Y45" s="1545"/>
      <c r="Z45" s="1510">
        <f t="shared" si="13"/>
        <v>111</v>
      </c>
      <c r="AA45" s="1510">
        <f t="shared" si="3"/>
        <v>1</v>
      </c>
      <c r="AB45" s="1510">
        <f t="shared" si="4"/>
        <v>1</v>
      </c>
      <c r="AC45" s="1510">
        <f t="shared" si="5"/>
        <v>1</v>
      </c>
    </row>
    <row r="46" ht="15" spans="1:29">
      <c r="A46" s="1563"/>
      <c r="B46" s="1567">
        <v>111</v>
      </c>
      <c r="C46" s="1490"/>
      <c r="D46" s="1492">
        <v>100</v>
      </c>
      <c r="E46" s="1490"/>
      <c r="F46" s="1493">
        <f>SUMIF(130:130,E46,131:131)-SUMIF(130:130,C46,131:131)+100</f>
        <v>100</v>
      </c>
      <c r="G46" s="1490"/>
      <c r="H46" s="1493">
        <f>SUMIF(130:130,G46,131:131)-SUMIF(130:130,C46,131:131)+100</f>
        <v>100</v>
      </c>
      <c r="I46" s="1489"/>
      <c r="J46" s="1493">
        <f>SUMIF(130:130,I46,131:131)-SUMIF(130:130,C46,131:131)+100</f>
        <v>100</v>
      </c>
      <c r="K46" s="1811"/>
      <c r="L46" s="1494"/>
      <c r="M46" s="1410"/>
      <c r="N46" s="1410"/>
      <c r="O46" s="1485"/>
      <c r="P46" s="1553"/>
      <c r="Q46" s="1070">
        <f t="shared" si="14"/>
        <v>111</v>
      </c>
      <c r="R46" s="1507" t="s">
        <v>1142</v>
      </c>
      <c r="S46" s="1508">
        <f t="shared" si="10"/>
        <v>100</v>
      </c>
      <c r="T46" s="1507" t="s">
        <v>1142</v>
      </c>
      <c r="U46" s="1508">
        <f t="shared" si="11"/>
        <v>100</v>
      </c>
      <c r="V46" s="1507" t="s">
        <v>1142</v>
      </c>
      <c r="W46" s="1508">
        <f t="shared" si="12"/>
        <v>100</v>
      </c>
      <c r="X46" s="1415"/>
      <c r="Y46" s="1545"/>
      <c r="Z46" s="1510">
        <f t="shared" si="13"/>
        <v>111</v>
      </c>
      <c r="AA46" s="1510">
        <f t="shared" si="3"/>
        <v>1</v>
      </c>
      <c r="AB46" s="1510">
        <f t="shared" si="4"/>
        <v>1</v>
      </c>
      <c r="AC46" s="1510">
        <f t="shared" si="5"/>
        <v>1</v>
      </c>
    </row>
    <row r="47" s="1373" customFormat="1" ht="15.75" spans="1:29">
      <c r="A47" s="1568"/>
      <c r="B47" s="1567">
        <v>111</v>
      </c>
      <c r="C47" s="1569"/>
      <c r="D47" s="1815">
        <v>100</v>
      </c>
      <c r="E47" s="1490"/>
      <c r="F47" s="1499">
        <f>SUMIF(132:132,E47,133:133)-SUMIF(132:132,C47,133:133)+100</f>
        <v>100</v>
      </c>
      <c r="G47" s="1490"/>
      <c r="H47" s="1499">
        <f>SUMIF(132:132,G47,133:133)-SUMIF(132:132,C47,133:133)+100</f>
        <v>100</v>
      </c>
      <c r="I47" s="1490"/>
      <c r="J47" s="1499">
        <f>SUMIF(132:132,I47,133:133)-SUMIF(132:132,C47,133:133)+100</f>
        <v>100</v>
      </c>
      <c r="K47" s="1816"/>
      <c r="L47" s="1484"/>
      <c r="M47" s="1551"/>
      <c r="N47" s="1551"/>
      <c r="O47" s="1552"/>
      <c r="P47" s="1553"/>
      <c r="Q47" s="1070">
        <f t="shared" si="14"/>
        <v>111</v>
      </c>
      <c r="R47" s="1554" t="s">
        <v>1142</v>
      </c>
      <c r="S47" s="1555">
        <f t="shared" si="10"/>
        <v>100</v>
      </c>
      <c r="T47" s="1554" t="s">
        <v>1142</v>
      </c>
      <c r="U47" s="1555">
        <f t="shared" si="11"/>
        <v>100</v>
      </c>
      <c r="V47" s="1554" t="s">
        <v>1142</v>
      </c>
      <c r="W47" s="1555">
        <f t="shared" si="12"/>
        <v>100</v>
      </c>
      <c r="X47" s="1556"/>
      <c r="Y47" s="1545"/>
      <c r="Z47" s="1557">
        <f t="shared" si="13"/>
        <v>111</v>
      </c>
      <c r="AA47" s="1510">
        <f t="shared" si="3"/>
        <v>1</v>
      </c>
      <c r="AB47" s="1510">
        <f t="shared" si="4"/>
        <v>1</v>
      </c>
      <c r="AC47" s="1510">
        <f t="shared" si="5"/>
        <v>1</v>
      </c>
    </row>
    <row r="48" ht="15" spans="1:29">
      <c r="A48" s="1571" t="s">
        <v>1960</v>
      </c>
      <c r="B48" s="1572" t="s">
        <v>1981</v>
      </c>
      <c r="C48" s="1573" t="s">
        <v>124</v>
      </c>
      <c r="D48" s="1817"/>
      <c r="E48" s="1575"/>
      <c r="F48" s="1576"/>
      <c r="G48" s="1577"/>
      <c r="H48" s="1578"/>
      <c r="I48" s="1575"/>
      <c r="J48" s="1578"/>
      <c r="K48" s="1579"/>
      <c r="L48" s="1580"/>
      <c r="M48" s="1581"/>
      <c r="N48" s="1410"/>
      <c r="O48" s="1581"/>
      <c r="P48" s="1070" t="str">
        <f>A48</f>
        <v>成交单价</v>
      </c>
      <c r="Q48" s="1070"/>
      <c r="R48" s="1582">
        <f>E48</f>
        <v>0</v>
      </c>
      <c r="S48" s="1582"/>
      <c r="T48" s="1582">
        <f>G48</f>
        <v>0</v>
      </c>
      <c r="U48" s="1582"/>
      <c r="V48" s="1582">
        <f>I48</f>
        <v>0</v>
      </c>
      <c r="W48" s="1582"/>
      <c r="X48" s="1583"/>
      <c r="Y48" s="1584"/>
      <c r="Z48" s="1583"/>
      <c r="AA48" s="1583"/>
      <c r="AB48" s="1583"/>
      <c r="AC48" s="1583"/>
    </row>
    <row r="49" ht="15.75" spans="1:29">
      <c r="A49" s="1585" t="s">
        <v>1186</v>
      </c>
      <c r="B49" s="1586"/>
      <c r="C49" s="1587" t="e">
        <f>R50</f>
        <v>#DIV/0!</v>
      </c>
      <c r="D49" s="1818" t="s">
        <v>1187</v>
      </c>
      <c r="E49" s="1587" t="e">
        <f>R49</f>
        <v>#DIV/0!</v>
      </c>
      <c r="F49" s="1589"/>
      <c r="G49" s="1590" t="e">
        <f>T49</f>
        <v>#DIV/0!</v>
      </c>
      <c r="H49" s="1589"/>
      <c r="I49" s="1587" t="e">
        <f>V49</f>
        <v>#DIV/0!</v>
      </c>
      <c r="J49" s="1589"/>
      <c r="K49" s="1591">
        <f>F49+H49+J49</f>
        <v>0</v>
      </c>
      <c r="L49" s="1580"/>
      <c r="M49" s="1581"/>
      <c r="N49" s="1581"/>
      <c r="O49" s="1581"/>
      <c r="P49" s="1070" t="str">
        <f>A49</f>
        <v>比较价值（元/平方米）</v>
      </c>
      <c r="Q49" s="1070"/>
      <c r="R49" s="1582" t="e">
        <f>ROUND(PRODUCT(R48,AA9:AA47),0)</f>
        <v>#DIV/0!</v>
      </c>
      <c r="S49" s="1582"/>
      <c r="T49" s="1582" t="e">
        <f>ROUND(PRODUCT(T48,AB9:AB47),0)</f>
        <v>#DIV/0!</v>
      </c>
      <c r="U49" s="1582"/>
      <c r="V49" s="1582" t="e">
        <f>ROUND(PRODUCT(V48,AC9:AC47),0)</f>
        <v>#DIV/0!</v>
      </c>
      <c r="W49" s="1582"/>
      <c r="X49" s="1583"/>
      <c r="Y49" s="1583"/>
      <c r="Z49" s="1583"/>
      <c r="AA49" s="1583"/>
      <c r="AB49" s="1583"/>
      <c r="AC49" s="1583"/>
    </row>
    <row r="50" ht="15.75" spans="1:29">
      <c r="A50" s="1592" t="s">
        <v>1982</v>
      </c>
      <c r="B50" s="1593"/>
      <c r="C50" s="1594" t="e">
        <f>R50</f>
        <v>#DIV/0!</v>
      </c>
      <c r="D50" s="1819"/>
      <c r="E50" s="1819"/>
      <c r="F50" s="1819"/>
      <c r="G50" s="1819"/>
      <c r="H50" s="1819"/>
      <c r="I50" s="1819"/>
      <c r="J50" s="1819"/>
      <c r="K50" s="1820"/>
      <c r="L50" s="1580"/>
      <c r="M50" s="1581"/>
      <c r="N50" s="1581"/>
      <c r="O50" s="1581"/>
      <c r="P50" s="1597" t="str">
        <f>A50</f>
        <v>估价对象XX用房的比较价值（楼面单价，元/平方米）</v>
      </c>
      <c r="Q50" s="1598"/>
      <c r="R50" s="1599" t="e">
        <f>ROUND(IF(D49="简单平均",AVERAGE(R49:W49),R49*F49+T49*H49+V49*J49),0)</f>
        <v>#DIV/0!</v>
      </c>
      <c r="S50" s="1599"/>
      <c r="T50" s="1599"/>
      <c r="U50" s="1599"/>
      <c r="V50" s="1599"/>
      <c r="W50" s="1599"/>
      <c r="X50" s="1583"/>
      <c r="Y50" s="1583"/>
      <c r="Z50" s="1583"/>
      <c r="AA50" s="1583"/>
      <c r="AB50" s="1583"/>
      <c r="AC50" s="1583"/>
    </row>
    <row r="51" spans="1:29">
      <c r="A51" s="1581"/>
      <c r="B51" s="1581"/>
      <c r="C51" s="1581"/>
      <c r="D51" s="1581"/>
      <c r="E51" s="1581"/>
      <c r="F51" s="1581"/>
      <c r="G51" s="1600"/>
      <c r="H51" s="1581"/>
      <c r="I51" s="1581"/>
      <c r="J51" s="1581"/>
      <c r="K51" s="1821"/>
      <c r="L51" s="1602"/>
      <c r="M51" s="1581"/>
      <c r="N51" s="1581"/>
      <c r="O51" s="1581"/>
      <c r="P51" s="1581"/>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821"/>
      <c r="L52" s="1602"/>
      <c r="M52" s="1581"/>
      <c r="N52" s="1581"/>
      <c r="O52" s="1581"/>
      <c r="P52" s="1581"/>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821"/>
      <c r="L53" s="1602"/>
      <c r="M53" s="1581"/>
      <c r="N53" s="1581"/>
      <c r="O53" s="1581"/>
      <c r="P53" s="1581"/>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821"/>
      <c r="L54" s="1602"/>
      <c r="M54" s="1581"/>
      <c r="N54" s="1581"/>
      <c r="O54" s="1581"/>
      <c r="P54" s="1581"/>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822"/>
      <c r="L55" s="1607"/>
      <c r="M55" s="1605"/>
      <c r="N55" s="1605"/>
      <c r="O55" s="1605"/>
      <c r="P55" s="1605"/>
      <c r="Q55" s="1605"/>
      <c r="R55" s="1605"/>
      <c r="S55" s="1605"/>
      <c r="T55" s="1605"/>
      <c r="U55" s="1605"/>
      <c r="V55" s="1605"/>
      <c r="W55" s="1605"/>
      <c r="X55" s="1605"/>
      <c r="Y55" s="1605"/>
      <c r="Z55" s="1605"/>
      <c r="AA55" s="1605"/>
      <c r="AB55" s="1605"/>
      <c r="AC55" s="1605"/>
    </row>
    <row r="56" s="1374" customFormat="1" ht="15" spans="1:29">
      <c r="A56" s="1605"/>
      <c r="B56" s="1608"/>
      <c r="C56" s="1609"/>
      <c r="D56" s="1610"/>
      <c r="E56" s="1610"/>
      <c r="F56" s="1610"/>
      <c r="G56" s="1610"/>
      <c r="H56" s="1610"/>
      <c r="I56" s="1610"/>
      <c r="J56" s="1610"/>
      <c r="K56" s="1822"/>
      <c r="L56" s="1607"/>
      <c r="M56" s="1605"/>
      <c r="N56" s="1605"/>
      <c r="O56" s="1605"/>
      <c r="P56" s="1605"/>
      <c r="Q56" s="1605"/>
      <c r="R56" s="1605"/>
      <c r="S56" s="1605"/>
      <c r="T56" s="1605"/>
      <c r="U56" s="1605"/>
      <c r="V56" s="1605"/>
      <c r="W56" s="1605"/>
      <c r="X56" s="1605"/>
      <c r="Y56" s="1605"/>
      <c r="Z56" s="1605"/>
      <c r="AA56" s="1605"/>
      <c r="AB56" s="1605"/>
      <c r="AC56" s="1605"/>
    </row>
    <row r="57" ht="27" customHeight="1" spans="1:29">
      <c r="A57" s="1611" t="s">
        <v>1983</v>
      </c>
      <c r="B57" s="1612" t="s">
        <v>1984</v>
      </c>
      <c r="C57" s="1613" t="s">
        <v>1985</v>
      </c>
      <c r="D57" s="1614" t="s">
        <v>1986</v>
      </c>
      <c r="E57" s="1615" t="s">
        <v>1987</v>
      </c>
      <c r="F57" s="1823" t="s">
        <v>1988</v>
      </c>
      <c r="G57" s="1617" t="s">
        <v>1989</v>
      </c>
      <c r="H57" s="1618"/>
      <c r="I57" s="1824" t="s">
        <v>1990</v>
      </c>
      <c r="J57" s="1825">
        <f>项目基本情况!F35</f>
        <v>0</v>
      </c>
      <c r="K57" s="1619" t="s">
        <v>1991</v>
      </c>
      <c r="L57" s="1602"/>
      <c r="M57" s="1581"/>
      <c r="N57" s="1581"/>
      <c r="O57" s="1581"/>
      <c r="P57" s="1581"/>
      <c r="Q57" s="1581"/>
      <c r="R57" s="1581"/>
      <c r="S57" s="1581"/>
      <c r="T57" s="1581"/>
      <c r="U57" s="1581"/>
      <c r="V57" s="1581"/>
      <c r="W57" s="1581"/>
      <c r="X57" s="1581"/>
      <c r="Y57" s="1581"/>
      <c r="Z57" s="1581"/>
      <c r="AA57" s="1581"/>
      <c r="AB57" s="1581"/>
      <c r="AC57" s="1581"/>
    </row>
    <row r="58" s="1375" customFormat="1" spans="1:29">
      <c r="A58" s="1620" t="s">
        <v>1992</v>
      </c>
      <c r="B58" s="1621" t="e">
        <f>C50</f>
        <v>#DIV/0!</v>
      </c>
      <c r="C58" s="1826">
        <v>1</v>
      </c>
      <c r="D58" s="1622">
        <v>1</v>
      </c>
      <c r="E58" s="1623">
        <f>'数据-汇总表'!E8+'数据-汇总表'!E9</f>
        <v>20386.47</v>
      </c>
      <c r="F58" s="1827" t="e">
        <f t="shared" ref="F58:F66" si="15">ROUND(B58*E58/10000,0)</f>
        <v>#DIV/0!</v>
      </c>
      <c r="G58" s="1625"/>
      <c r="H58" s="1626"/>
      <c r="I58" s="1828">
        <v>1</v>
      </c>
      <c r="J58" s="1829">
        <v>1</v>
      </c>
      <c r="K58" s="1830"/>
      <c r="L58" s="1627"/>
      <c r="M58" s="1627"/>
      <c r="N58" s="1627"/>
      <c r="O58" s="1627"/>
      <c r="P58" s="1627"/>
      <c r="Q58" s="1627"/>
      <c r="R58" s="1627"/>
      <c r="S58" s="1627"/>
      <c r="T58" s="1627"/>
      <c r="U58" s="1627"/>
      <c r="V58" s="1627"/>
      <c r="W58" s="1627"/>
      <c r="X58" s="1627"/>
      <c r="Y58" s="1627"/>
      <c r="Z58" s="1627"/>
      <c r="AA58" s="1627"/>
      <c r="AB58" s="1627"/>
      <c r="AC58" s="1627"/>
    </row>
    <row r="59" s="1375" customFormat="1" spans="1:29">
      <c r="A59" s="1628" t="s">
        <v>1993</v>
      </c>
      <c r="B59" s="1621" t="e">
        <f>ROUND($C$50*C59*D59,0)</f>
        <v>#DIV/0!</v>
      </c>
      <c r="C59" s="930">
        <f t="shared" ref="C59:C66" si="16">IF($C$57="北京市系数",I59,J59)</f>
        <v>0</v>
      </c>
      <c r="D59" s="1629">
        <v>0.25</v>
      </c>
      <c r="E59" s="1630"/>
      <c r="F59" s="1827" t="e">
        <f t="shared" si="15"/>
        <v>#DIV/0!</v>
      </c>
      <c r="G59" s="1831" t="s">
        <v>1994</v>
      </c>
      <c r="H59" s="1832">
        <f>项目基本情况!B37</f>
        <v>0</v>
      </c>
      <c r="I59" s="1828">
        <f>SUMIF(修正!A59:A70,H59,修正!B59:B70)</f>
        <v>0</v>
      </c>
      <c r="J59" s="1833"/>
      <c r="K59" s="1834"/>
      <c r="L59" s="1627"/>
      <c r="M59" s="1627"/>
      <c r="N59" s="1627"/>
      <c r="O59" s="1627"/>
      <c r="P59" s="1627"/>
      <c r="Q59" s="1627"/>
      <c r="R59" s="1627"/>
      <c r="S59" s="1627"/>
      <c r="T59" s="1627"/>
      <c r="U59" s="1627"/>
      <c r="V59" s="1627"/>
      <c r="W59" s="1627"/>
      <c r="X59" s="1627"/>
      <c r="Y59" s="1627"/>
      <c r="Z59" s="1627"/>
      <c r="AA59" s="1627"/>
      <c r="AB59" s="1627"/>
      <c r="AC59" s="1627"/>
    </row>
    <row r="60" s="1375" customFormat="1" spans="1:29">
      <c r="A60" s="1628" t="s">
        <v>1995</v>
      </c>
      <c r="B60" s="1621" t="e">
        <f t="shared" ref="B60:B66" si="17">ROUND($C$50*C60*D60,0)</f>
        <v>#DIV/0!</v>
      </c>
      <c r="C60" s="930">
        <f t="shared" si="16"/>
        <v>0</v>
      </c>
      <c r="D60" s="1629">
        <v>0.25</v>
      </c>
      <c r="E60" s="1630"/>
      <c r="F60" s="1827" t="e">
        <f t="shared" si="15"/>
        <v>#DIV/0!</v>
      </c>
      <c r="G60" s="1835"/>
      <c r="H60" s="1832">
        <f>项目基本情况!B37</f>
        <v>0</v>
      </c>
      <c r="I60" s="1828">
        <f>SUMIF(修正!A59:A70,H60,修正!C59:C70)</f>
        <v>0</v>
      </c>
      <c r="J60" s="1833"/>
      <c r="K60" s="1830"/>
      <c r="L60" s="1627"/>
      <c r="M60" s="1627"/>
      <c r="N60" s="1627"/>
      <c r="O60" s="1627"/>
      <c r="P60" s="1627"/>
      <c r="Q60" s="1627"/>
      <c r="R60" s="1627"/>
      <c r="S60" s="1627"/>
      <c r="T60" s="1627"/>
      <c r="U60" s="1627"/>
      <c r="V60" s="1627"/>
      <c r="W60" s="1627"/>
      <c r="X60" s="1627"/>
      <c r="Y60" s="1627"/>
      <c r="Z60" s="1627"/>
      <c r="AA60" s="1627"/>
      <c r="AB60" s="1627"/>
      <c r="AC60" s="1627"/>
    </row>
    <row r="61" s="1375" customFormat="1" spans="1:29">
      <c r="A61" s="1628" t="s">
        <v>1996</v>
      </c>
      <c r="B61" s="1621" t="e">
        <f t="shared" si="17"/>
        <v>#DIV/0!</v>
      </c>
      <c r="C61" s="930">
        <f t="shared" si="16"/>
        <v>0</v>
      </c>
      <c r="D61" s="1629">
        <v>0.25</v>
      </c>
      <c r="E61" s="1630"/>
      <c r="F61" s="1827" t="e">
        <f t="shared" si="15"/>
        <v>#DIV/0!</v>
      </c>
      <c r="G61" s="1835"/>
      <c r="H61" s="1832">
        <f>项目基本情况!B37</f>
        <v>0</v>
      </c>
      <c r="I61" s="1828">
        <f>SUMIF(修正!A59:A70,H61,修正!D59:D70)</f>
        <v>0</v>
      </c>
      <c r="J61" s="1833"/>
      <c r="K61" s="1834"/>
      <c r="L61" s="1627"/>
      <c r="M61" s="1627"/>
      <c r="N61" s="1627"/>
      <c r="O61" s="1627"/>
      <c r="P61" s="1627"/>
      <c r="Q61" s="1627"/>
      <c r="R61" s="1627"/>
      <c r="S61" s="1627"/>
      <c r="T61" s="1627"/>
      <c r="U61" s="1627"/>
      <c r="V61" s="1627"/>
      <c r="W61" s="1627"/>
      <c r="X61" s="1627"/>
      <c r="Y61" s="1627"/>
      <c r="Z61" s="1627"/>
      <c r="AA61" s="1627"/>
      <c r="AB61" s="1627"/>
      <c r="AC61" s="1627"/>
    </row>
    <row r="62" s="1375" customFormat="1" spans="1:29">
      <c r="A62" s="1628" t="s">
        <v>1997</v>
      </c>
      <c r="B62" s="1621" t="e">
        <f t="shared" si="17"/>
        <v>#DIV/0!</v>
      </c>
      <c r="C62" s="930">
        <f t="shared" si="16"/>
        <v>0</v>
      </c>
      <c r="D62" s="1629">
        <v>0.25</v>
      </c>
      <c r="E62" s="1636">
        <f>'数据-汇总表'!E11</f>
        <v>0</v>
      </c>
      <c r="F62" s="1827" t="e">
        <f t="shared" si="15"/>
        <v>#DIV/0!</v>
      </c>
      <c r="G62" s="1637" t="s">
        <v>1998</v>
      </c>
      <c r="H62" s="1832">
        <f>项目基本情况!C37</f>
        <v>0</v>
      </c>
      <c r="I62" s="1828">
        <f>SUMIF(修正!A59:A70,H62,修正!E59:E70)</f>
        <v>0</v>
      </c>
      <c r="J62" s="1833"/>
      <c r="K62" s="1834"/>
      <c r="L62" s="1627"/>
      <c r="M62" s="1627"/>
      <c r="N62" s="1627"/>
      <c r="O62" s="1627"/>
      <c r="P62" s="1627"/>
      <c r="Q62" s="1627"/>
      <c r="R62" s="1627"/>
      <c r="S62" s="1627"/>
      <c r="T62" s="1627"/>
      <c r="U62" s="1627"/>
      <c r="V62" s="1627"/>
      <c r="W62" s="1627"/>
      <c r="X62" s="1627"/>
      <c r="Y62" s="1627"/>
      <c r="Z62" s="1627"/>
      <c r="AA62" s="1627"/>
      <c r="AB62" s="1627"/>
      <c r="AC62" s="1627"/>
    </row>
    <row r="63" s="1375" customFormat="1" spans="1:29">
      <c r="A63" s="1628" t="s">
        <v>1999</v>
      </c>
      <c r="B63" s="1621" t="e">
        <f t="shared" si="17"/>
        <v>#DIV/0!</v>
      </c>
      <c r="C63" s="930">
        <f t="shared" si="16"/>
        <v>0</v>
      </c>
      <c r="D63" s="1629">
        <v>0.25</v>
      </c>
      <c r="E63" s="1636">
        <f>'数据-汇总表'!E12</f>
        <v>0</v>
      </c>
      <c r="F63" s="1827" t="e">
        <f t="shared" si="15"/>
        <v>#DIV/0!</v>
      </c>
      <c r="G63" s="1638" t="s">
        <v>2000</v>
      </c>
      <c r="H63" s="1832">
        <f>IF(G63="商业",项目基本情况!B37,IF(G63="办公",项目基本情况!C37,IF(G63="住宅",项目基本情况!D37,项目基本情况!E37)))</f>
        <v>0</v>
      </c>
      <c r="I63" s="1828">
        <f>SUMIF(修正!A59:A70,H63,修正!F59:F70)</f>
        <v>0</v>
      </c>
      <c r="J63" s="1833"/>
      <c r="K63" s="1830"/>
      <c r="L63" s="1627"/>
      <c r="M63" s="1627"/>
      <c r="N63" s="1627"/>
      <c r="O63" s="1627"/>
      <c r="P63" s="1627"/>
      <c r="Q63" s="1627"/>
      <c r="R63" s="1627"/>
      <c r="S63" s="1627"/>
      <c r="T63" s="1627"/>
      <c r="U63" s="1627"/>
      <c r="V63" s="1627"/>
      <c r="W63" s="1627"/>
      <c r="X63" s="1627"/>
      <c r="Y63" s="1627"/>
      <c r="Z63" s="1627"/>
      <c r="AA63" s="1627"/>
      <c r="AB63" s="1627"/>
      <c r="AC63" s="1627"/>
    </row>
    <row r="64" s="1375" customFormat="1" spans="1:29">
      <c r="A64" s="1628" t="s">
        <v>2001</v>
      </c>
      <c r="B64" s="1621" t="e">
        <f t="shared" si="17"/>
        <v>#DIV/0!</v>
      </c>
      <c r="C64" s="930">
        <f t="shared" si="16"/>
        <v>0</v>
      </c>
      <c r="D64" s="1629">
        <v>0.25</v>
      </c>
      <c r="E64" s="1636">
        <f>'数据-汇总表'!E13</f>
        <v>0</v>
      </c>
      <c r="F64" s="1827" t="e">
        <f t="shared" si="15"/>
        <v>#DIV/0!</v>
      </c>
      <c r="G64" s="1638" t="s">
        <v>2002</v>
      </c>
      <c r="H64" s="1832">
        <f>IF(G64="商业",项目基本情况!B37,IF(G64="办公",项目基本情况!C37,IF(G64="住宅",项目基本情况!D37,项目基本情况!E37)))</f>
        <v>0</v>
      </c>
      <c r="I64" s="1828">
        <f>SUMIF(修正!A59:A70,H64,修正!G59:G70)</f>
        <v>0</v>
      </c>
      <c r="J64" s="1833"/>
      <c r="K64" s="1834"/>
      <c r="L64" s="1627"/>
      <c r="M64" s="1627"/>
      <c r="N64" s="1627"/>
      <c r="O64" s="1627"/>
      <c r="P64" s="1627"/>
      <c r="Q64" s="1627"/>
      <c r="R64" s="1627"/>
      <c r="S64" s="1627"/>
      <c r="T64" s="1627"/>
      <c r="U64" s="1627"/>
      <c r="V64" s="1627"/>
      <c r="W64" s="1627"/>
      <c r="X64" s="1627"/>
      <c r="Y64" s="1627"/>
      <c r="Z64" s="1627"/>
      <c r="AA64" s="1627"/>
      <c r="AB64" s="1627"/>
      <c r="AC64" s="1627"/>
    </row>
    <row r="65" s="1375" customFormat="1" spans="1:29">
      <c r="A65" s="1628" t="s">
        <v>2003</v>
      </c>
      <c r="B65" s="1621" t="e">
        <f t="shared" si="17"/>
        <v>#DIV/0!</v>
      </c>
      <c r="C65" s="930">
        <f t="shared" si="16"/>
        <v>0</v>
      </c>
      <c r="D65" s="1629">
        <v>0.25</v>
      </c>
      <c r="E65" s="1636">
        <f>'数据-汇总表'!E14</f>
        <v>0</v>
      </c>
      <c r="F65" s="1827" t="e">
        <f t="shared" si="15"/>
        <v>#DIV/0!</v>
      </c>
      <c r="G65" s="1637" t="s">
        <v>1994</v>
      </c>
      <c r="H65" s="1832">
        <f>项目基本情况!B37</f>
        <v>0</v>
      </c>
      <c r="I65" s="1828">
        <f>SUMIF(修正!A59:A70,H65,修正!G59:G70)</f>
        <v>0</v>
      </c>
      <c r="J65" s="1833"/>
      <c r="K65" s="1830"/>
      <c r="L65" s="1627"/>
      <c r="M65" s="1627"/>
      <c r="N65" s="1627"/>
      <c r="O65" s="1627"/>
      <c r="P65" s="1627"/>
      <c r="Q65" s="1627"/>
      <c r="R65" s="1627"/>
      <c r="S65" s="1627"/>
      <c r="T65" s="1627"/>
      <c r="U65" s="1627"/>
      <c r="V65" s="1627"/>
      <c r="W65" s="1627"/>
      <c r="X65" s="1627"/>
      <c r="Y65" s="1627"/>
      <c r="Z65" s="1627"/>
      <c r="AA65" s="1627"/>
      <c r="AB65" s="1627"/>
      <c r="AC65" s="1627"/>
    </row>
    <row r="66" s="1375" customFormat="1" ht="15" spans="1:29">
      <c r="A66" s="1628" t="s">
        <v>2004</v>
      </c>
      <c r="B66" s="1621" t="e">
        <f t="shared" si="17"/>
        <v>#DIV/0!</v>
      </c>
      <c r="C66" s="930">
        <f t="shared" si="16"/>
        <v>0</v>
      </c>
      <c r="D66" s="1629">
        <v>0.25</v>
      </c>
      <c r="E66" s="1636">
        <f>'数据-汇总表'!E15</f>
        <v>0</v>
      </c>
      <c r="F66" s="1827" t="e">
        <f t="shared" si="15"/>
        <v>#DIV/0!</v>
      </c>
      <c r="G66" s="1639" t="s">
        <v>1998</v>
      </c>
      <c r="H66" s="1836">
        <f>项目基本情况!C37</f>
        <v>0</v>
      </c>
      <c r="I66" s="1837">
        <f>SUMIF(修正!A59:A70,H66,修正!G59:G70)</f>
        <v>0</v>
      </c>
      <c r="J66" s="1838"/>
      <c r="K66" s="1834"/>
      <c r="L66" s="1627"/>
      <c r="M66" s="1627"/>
      <c r="N66" s="1627"/>
      <c r="O66" s="1627"/>
      <c r="P66" s="1627"/>
      <c r="Q66" s="1627"/>
      <c r="R66" s="1627"/>
      <c r="S66" s="1627"/>
      <c r="T66" s="1627"/>
      <c r="U66" s="1627"/>
      <c r="V66" s="1627"/>
      <c r="W66" s="1627"/>
      <c r="X66" s="1627"/>
      <c r="Y66" s="1627"/>
      <c r="Z66" s="1627"/>
      <c r="AA66" s="1627"/>
      <c r="AB66" s="1627"/>
      <c r="AC66" s="1627"/>
    </row>
    <row r="67" s="1375" customFormat="1" ht="13.5" spans="1:29">
      <c r="A67" s="1641" t="s">
        <v>2005</v>
      </c>
      <c r="B67" s="1642" t="s">
        <v>2006</v>
      </c>
      <c r="C67" s="1642" t="s">
        <v>2006</v>
      </c>
      <c r="D67" s="1839" t="s">
        <v>2006</v>
      </c>
      <c r="E67" s="1643">
        <f>IF(B48="楼面地价",SUM(E58:E66),'数据-汇总表'!D3)</f>
        <v>20386.47</v>
      </c>
      <c r="F67" s="1644" t="e">
        <f>IF(B48="楼面地价",SUM(F58:F66),ROUND(C50*E67/10000,0))</f>
        <v>#DIV/0!</v>
      </c>
      <c r="G67" s="1840"/>
      <c r="H67" s="1840"/>
      <c r="I67" s="1840"/>
      <c r="J67" s="1840"/>
      <c r="K67" s="1841"/>
      <c r="L67" s="1627"/>
      <c r="M67" s="1627"/>
      <c r="N67" s="1627"/>
      <c r="O67" s="1627"/>
      <c r="P67" s="1627"/>
      <c r="Q67" s="1627"/>
      <c r="R67" s="1627"/>
      <c r="S67" s="1627"/>
      <c r="T67" s="1627"/>
      <c r="U67" s="1627"/>
      <c r="V67" s="1627"/>
      <c r="W67" s="1627"/>
      <c r="X67" s="1627"/>
      <c r="Y67" s="1627"/>
      <c r="Z67" s="1627"/>
      <c r="AA67" s="1627"/>
      <c r="AB67" s="1627"/>
      <c r="AC67" s="1627"/>
    </row>
    <row r="68" spans="1:29">
      <c r="A68" s="1583"/>
      <c r="B68" s="1651"/>
      <c r="C68" s="1609"/>
      <c r="D68" s="1583"/>
      <c r="E68" s="1583"/>
      <c r="F68" s="1583"/>
      <c r="G68" s="1583"/>
      <c r="H68" s="1583"/>
      <c r="I68" s="1583"/>
      <c r="J68" s="1646"/>
      <c r="K68" s="1842"/>
      <c r="L68" s="1650"/>
      <c r="M68" s="1646"/>
      <c r="N68" s="1646"/>
      <c r="O68" s="1646"/>
      <c r="P68" s="1581"/>
      <c r="Q68" s="1581"/>
      <c r="R68" s="1581"/>
      <c r="S68" s="1581"/>
      <c r="T68" s="1581"/>
      <c r="U68" s="1581"/>
      <c r="V68" s="1581"/>
      <c r="W68" s="1581"/>
      <c r="X68" s="1581"/>
      <c r="Y68" s="1581"/>
      <c r="Z68" s="1581"/>
      <c r="AA68" s="1581"/>
      <c r="AB68" s="1581"/>
      <c r="AC68" s="1581"/>
    </row>
    <row r="69" spans="1:29">
      <c r="A69" s="1583"/>
      <c r="B69" s="1651"/>
      <c r="C69" s="1651" t="str">
        <f>YEAR(C9)&amp;"-"&amp;MONTH(C9)&amp;"-1"</f>
        <v>2026-3-1</v>
      </c>
      <c r="D69" s="1651">
        <f>EDATE(C69,-3)</f>
        <v>45992</v>
      </c>
      <c r="E69" s="1651">
        <f>EDATE(D69,-3)</f>
        <v>45901</v>
      </c>
      <c r="F69" s="1651">
        <f t="shared" ref="F69:O69" si="18">EDATE(E69,-3)</f>
        <v>45809</v>
      </c>
      <c r="G69" s="1651">
        <f t="shared" si="18"/>
        <v>45717</v>
      </c>
      <c r="H69" s="1651">
        <f t="shared" si="18"/>
        <v>45627</v>
      </c>
      <c r="I69" s="1651">
        <f t="shared" si="18"/>
        <v>45536</v>
      </c>
      <c r="J69" s="1651">
        <f t="shared" si="18"/>
        <v>45444</v>
      </c>
      <c r="K69" s="1843">
        <f t="shared" si="18"/>
        <v>45352</v>
      </c>
      <c r="L69" s="1651">
        <f t="shared" si="18"/>
        <v>45261</v>
      </c>
      <c r="M69" s="1651">
        <f t="shared" si="18"/>
        <v>45170</v>
      </c>
      <c r="N69" s="1651">
        <f t="shared" si="18"/>
        <v>45078</v>
      </c>
      <c r="O69" s="1651">
        <f t="shared" si="18"/>
        <v>44986</v>
      </c>
      <c r="P69" s="1581"/>
      <c r="Q69" s="1581"/>
      <c r="R69" s="1581"/>
      <c r="S69" s="1581"/>
      <c r="T69" s="1581"/>
      <c r="U69" s="1581"/>
      <c r="V69" s="1581"/>
      <c r="W69" s="1581"/>
      <c r="X69" s="1581"/>
      <c r="Y69" s="1581"/>
      <c r="Z69" s="1581"/>
      <c r="AA69" s="1581"/>
      <c r="AB69" s="1581"/>
      <c r="AC69" s="1581"/>
    </row>
    <row r="70" ht="21" spans="1:29">
      <c r="A70" s="1652" t="s">
        <v>1192</v>
      </c>
      <c r="B70" s="1583"/>
      <c r="C70" s="1653"/>
      <c r="D70" s="1653"/>
      <c r="E70" s="1653"/>
      <c r="F70" s="1654"/>
      <c r="G70" s="1654"/>
      <c r="H70" s="1653"/>
      <c r="I70" s="1653"/>
      <c r="J70" s="1657"/>
      <c r="K70" s="1844"/>
      <c r="L70" s="1845"/>
      <c r="M70" s="1657"/>
      <c r="N70" s="1658"/>
      <c r="O70" s="1658"/>
      <c r="P70" s="1658"/>
      <c r="Q70" s="1659"/>
      <c r="R70" s="1581"/>
      <c r="S70" s="1581"/>
      <c r="T70" s="1581"/>
      <c r="U70" s="1581"/>
      <c r="V70" s="1581"/>
      <c r="W70" s="1581"/>
      <c r="X70" s="1581"/>
      <c r="Y70" s="1581"/>
      <c r="Z70" s="1581"/>
      <c r="AA70" s="1581"/>
      <c r="AB70" s="1581"/>
      <c r="AC70" s="1581"/>
    </row>
    <row r="71" s="1376" customFormat="1" ht="15" spans="1:29">
      <c r="A71" s="1660" t="s">
        <v>2007</v>
      </c>
      <c r="B71" s="1661"/>
      <c r="C71" s="1662" t="str">
        <f>YEAR(C69)&amp;"-"&amp;ROUNDUP(MONTH(C69)/3,0)</f>
        <v>2026-1</v>
      </c>
      <c r="D71" s="1662" t="str">
        <f>YEAR(D69)&amp;"-"&amp;ROUNDUP(MONTH(D69)/3,0)</f>
        <v>2025-4</v>
      </c>
      <c r="E71" s="1662" t="str">
        <f t="shared" ref="E71:O71" si="19">YEAR(E69)&amp;"-"&amp;ROUNDUP(MONTH(E69)/3,0)</f>
        <v>2025-3</v>
      </c>
      <c r="F71" s="1662" t="str">
        <f t="shared" si="19"/>
        <v>2025-2</v>
      </c>
      <c r="G71" s="1662" t="str">
        <f t="shared" si="19"/>
        <v>2025-1</v>
      </c>
      <c r="H71" s="1662" t="str">
        <f t="shared" si="19"/>
        <v>2024-4</v>
      </c>
      <c r="I71" s="1662" t="str">
        <f t="shared" si="19"/>
        <v>2024-3</v>
      </c>
      <c r="J71" s="1662" t="str">
        <f t="shared" si="19"/>
        <v>2024-2</v>
      </c>
      <c r="K71" s="1846" t="str">
        <f t="shared" si="19"/>
        <v>2024-1</v>
      </c>
      <c r="L71" s="1662" t="str">
        <f t="shared" si="19"/>
        <v>2023-4</v>
      </c>
      <c r="M71" s="1662" t="str">
        <f t="shared" si="19"/>
        <v>2023-3</v>
      </c>
      <c r="N71" s="1662" t="str">
        <f t="shared" si="19"/>
        <v>2023-2</v>
      </c>
      <c r="O71" s="1662" t="str">
        <f t="shared" si="19"/>
        <v>2023-1</v>
      </c>
      <c r="P71" s="1663"/>
      <c r="Q71" s="1664"/>
      <c r="R71" s="1664"/>
      <c r="S71" s="1664"/>
      <c r="T71" s="1664"/>
      <c r="U71" s="1664"/>
      <c r="V71" s="1664"/>
      <c r="W71" s="1664"/>
      <c r="X71" s="1664"/>
      <c r="Y71" s="1664"/>
      <c r="Z71" s="1664"/>
      <c r="AA71" s="1664"/>
      <c r="AB71" s="1664"/>
      <c r="AC71" s="1664"/>
    </row>
    <row r="72" s="1371" customFormat="1" ht="30" customHeight="1" spans="1:29">
      <c r="A72" s="1847" t="s">
        <v>2008</v>
      </c>
      <c r="B72" s="1666" t="str">
        <f>"北京市平均增长率"&amp;TEXT(SUMIF(基准地价修正!N25:N29,A72,基准地价修正!P25:P29),"0.00%")</f>
        <v>北京市平均增长率0.00%</v>
      </c>
      <c r="C72" s="1188">
        <v>100</v>
      </c>
      <c r="D72" s="1667"/>
      <c r="E72" s="1667"/>
      <c r="F72" s="1667"/>
      <c r="G72" s="1667"/>
      <c r="H72" s="1667"/>
      <c r="I72" s="1667"/>
      <c r="J72" s="1667"/>
      <c r="K72" s="1848"/>
      <c r="L72" s="1667"/>
      <c r="M72" s="1668"/>
      <c r="N72" s="1667"/>
      <c r="O72" s="1849"/>
      <c r="P72" s="1659"/>
      <c r="Q72" s="1670"/>
      <c r="R72" s="1670"/>
      <c r="S72" s="1670"/>
      <c r="T72" s="1670"/>
      <c r="U72" s="1670"/>
      <c r="V72" s="1670"/>
      <c r="W72" s="1670"/>
      <c r="X72" s="1670"/>
      <c r="Y72" s="1670"/>
      <c r="Z72" s="1670"/>
      <c r="AA72" s="1670"/>
      <c r="AB72" s="1670"/>
      <c r="AC72" s="1670"/>
    </row>
    <row r="73" s="1371" customFormat="1" ht="15.75" spans="1:29">
      <c r="A73" s="1671" t="s">
        <v>1193</v>
      </c>
      <c r="B73" s="1672"/>
      <c r="C73" s="1673"/>
      <c r="D73" s="1674"/>
      <c r="E73" s="1674"/>
      <c r="F73" s="1674"/>
      <c r="G73" s="1674"/>
      <c r="H73" s="1674"/>
      <c r="I73" s="1674"/>
      <c r="J73" s="1674"/>
      <c r="K73" s="1850"/>
      <c r="L73" s="1674"/>
      <c r="M73" s="1675"/>
      <c r="N73" s="1674"/>
      <c r="O73" s="1851"/>
      <c r="P73" s="1659"/>
      <c r="Q73" s="1659"/>
      <c r="R73" s="1670"/>
      <c r="S73" s="1670"/>
      <c r="T73" s="1670"/>
      <c r="U73" s="1670"/>
      <c r="V73" s="1670"/>
      <c r="W73" s="1670"/>
      <c r="X73" s="1670"/>
      <c r="Y73" s="1670"/>
      <c r="Z73" s="1670"/>
      <c r="AA73" s="1670"/>
      <c r="AB73" s="1670"/>
      <c r="AC73" s="1670"/>
    </row>
    <row r="74" s="1371" customFormat="1" ht="15" spans="1:29">
      <c r="A74" s="1677" t="s">
        <v>1143</v>
      </c>
      <c r="B74" s="1678"/>
      <c r="C74" s="1679" t="s">
        <v>1194</v>
      </c>
      <c r="D74" s="1680"/>
      <c r="E74" s="1680"/>
      <c r="F74" s="1680"/>
      <c r="G74" s="1680"/>
      <c r="H74" s="1680"/>
      <c r="I74" s="1680"/>
      <c r="J74" s="1680"/>
      <c r="K74" s="1681"/>
      <c r="L74" s="1681"/>
      <c r="M74" s="1682"/>
      <c r="N74" s="1683"/>
      <c r="O74" s="1683"/>
      <c r="P74" s="1684"/>
      <c r="Q74" s="1659"/>
      <c r="R74" s="1670"/>
      <c r="S74" s="1670"/>
      <c r="T74" s="1670"/>
      <c r="U74" s="1670"/>
      <c r="V74" s="1670"/>
      <c r="W74" s="1670"/>
      <c r="X74" s="1670"/>
      <c r="Y74" s="1670"/>
      <c r="Z74" s="1670"/>
      <c r="AA74" s="1670"/>
      <c r="AB74" s="1670"/>
      <c r="AC74" s="1670"/>
    </row>
    <row r="75" s="1371" customFormat="1" ht="15.75" spans="1:29">
      <c r="A75" s="1677"/>
      <c r="B75" s="1678"/>
      <c r="C75" s="1685">
        <v>100</v>
      </c>
      <c r="D75" s="1686"/>
      <c r="E75" s="1686"/>
      <c r="F75" s="1686"/>
      <c r="G75" s="1686"/>
      <c r="H75" s="1686"/>
      <c r="I75" s="1686"/>
      <c r="J75" s="1686"/>
      <c r="K75" s="1852"/>
      <c r="L75" s="1686"/>
      <c r="M75" s="1687"/>
      <c r="N75" s="1683"/>
      <c r="O75" s="1683"/>
      <c r="P75" s="1659"/>
      <c r="Q75" s="1659"/>
      <c r="R75" s="1670"/>
      <c r="S75" s="1670"/>
      <c r="T75" s="1670"/>
      <c r="U75" s="1670"/>
      <c r="V75" s="1670"/>
      <c r="W75" s="1670"/>
      <c r="X75" s="1670"/>
      <c r="Y75" s="1670"/>
      <c r="Z75" s="1670"/>
      <c r="AA75" s="1670"/>
      <c r="AB75" s="1670"/>
      <c r="AC75" s="1670"/>
    </row>
    <row r="76" spans="1:29">
      <c r="A76" s="1688" t="s">
        <v>1196</v>
      </c>
      <c r="B76" s="1689" t="s">
        <v>1147</v>
      </c>
      <c r="C76" s="1690"/>
      <c r="D76" s="1690"/>
      <c r="E76" s="1690"/>
      <c r="F76" s="1690"/>
      <c r="G76" s="1690"/>
      <c r="H76" s="1690"/>
      <c r="I76" s="1690"/>
      <c r="J76" s="1690"/>
      <c r="K76" s="1692"/>
      <c r="L76" s="1692"/>
      <c r="M76" s="1693"/>
      <c r="N76" s="1694"/>
      <c r="O76" s="1694"/>
      <c r="P76" s="1683"/>
      <c r="Q76" s="1659"/>
      <c r="R76" s="1581"/>
      <c r="S76" s="1581"/>
      <c r="T76" s="1581"/>
      <c r="U76" s="1581"/>
      <c r="V76" s="1581"/>
      <c r="W76" s="1581"/>
      <c r="X76" s="1581"/>
      <c r="Y76" s="1581"/>
      <c r="Z76" s="1581"/>
      <c r="AA76" s="1581"/>
      <c r="AB76" s="1581"/>
      <c r="AC76" s="1581"/>
    </row>
    <row r="77" ht="15.75" spans="1:29">
      <c r="A77" s="1695"/>
      <c r="B77" s="1696"/>
      <c r="C77" s="1697"/>
      <c r="D77" s="1697"/>
      <c r="E77" s="1697"/>
      <c r="F77" s="1697"/>
      <c r="G77" s="1697"/>
      <c r="H77" s="1697"/>
      <c r="I77" s="1697"/>
      <c r="J77" s="1697"/>
      <c r="K77" s="1853"/>
      <c r="L77" s="1697"/>
      <c r="M77" s="1698"/>
      <c r="N77" s="1699"/>
      <c r="O77" s="1699"/>
      <c r="P77" s="1683"/>
      <c r="Q77" s="1659"/>
      <c r="R77" s="1581"/>
      <c r="S77" s="1581"/>
      <c r="T77" s="1581"/>
      <c r="U77" s="1581"/>
      <c r="V77" s="1581"/>
      <c r="W77" s="1581"/>
      <c r="X77" s="1581"/>
      <c r="Y77" s="1581"/>
      <c r="Z77" s="1581"/>
      <c r="AA77" s="1581"/>
      <c r="AB77" s="1581"/>
      <c r="AC77" s="1581"/>
    </row>
    <row r="78" ht="27.75" spans="1:29">
      <c r="A78" s="1695"/>
      <c r="B78" s="1700" t="s">
        <v>1151</v>
      </c>
      <c r="C78" s="1701"/>
      <c r="D78" s="1701"/>
      <c r="E78" s="1701"/>
      <c r="F78" s="1701"/>
      <c r="G78" s="1701"/>
      <c r="H78" s="1701"/>
      <c r="I78" s="1701"/>
      <c r="J78" s="1701"/>
      <c r="K78" s="1703"/>
      <c r="L78" s="1703"/>
      <c r="M78" s="1704"/>
      <c r="N78" s="1694"/>
      <c r="O78" s="1694"/>
      <c r="P78" s="1683"/>
      <c r="Q78" s="1659"/>
      <c r="R78" s="1581"/>
      <c r="S78" s="1581"/>
      <c r="T78" s="1581"/>
      <c r="U78" s="1581"/>
      <c r="V78" s="1581"/>
      <c r="W78" s="1581"/>
      <c r="X78" s="1581"/>
      <c r="Y78" s="1581"/>
      <c r="Z78" s="1581"/>
      <c r="AA78" s="1581"/>
      <c r="AB78" s="1581"/>
      <c r="AC78" s="1581"/>
    </row>
    <row r="79" ht="15.75" spans="1:29">
      <c r="A79" s="1695"/>
      <c r="B79" s="1705"/>
      <c r="C79" s="1706"/>
      <c r="D79" s="1706"/>
      <c r="E79" s="1706"/>
      <c r="F79" s="1706"/>
      <c r="G79" s="1706"/>
      <c r="H79" s="1706"/>
      <c r="I79" s="1706"/>
      <c r="J79" s="1706"/>
      <c r="K79" s="1854"/>
      <c r="L79" s="1706"/>
      <c r="M79" s="1707"/>
      <c r="N79" s="1699"/>
      <c r="O79" s="1699"/>
      <c r="P79" s="1683"/>
      <c r="Q79" s="1659"/>
      <c r="R79" s="1581"/>
      <c r="S79" s="1581"/>
      <c r="T79" s="1581"/>
      <c r="U79" s="1581"/>
      <c r="V79" s="1581"/>
      <c r="W79" s="1581"/>
      <c r="X79" s="1581"/>
      <c r="Y79" s="1581"/>
      <c r="Z79" s="1581"/>
      <c r="AA79" s="1581"/>
      <c r="AB79" s="1581"/>
      <c r="AC79" s="1581"/>
    </row>
    <row r="80" ht="15.75" spans="1:29">
      <c r="A80" s="1695"/>
      <c r="B80" s="1708" t="s">
        <v>1154</v>
      </c>
      <c r="C80" s="1709" t="str">
        <f>C81&amp;"（含）"&amp;"-"&amp;D81</f>
        <v>0（含）-0.5</v>
      </c>
      <c r="D80" s="1709" t="str">
        <f t="shared" ref="D80:L80" si="20">D81&amp;"（含）"&amp;"-"&amp;E81</f>
        <v>0.5（含）-1</v>
      </c>
      <c r="E80" s="1709" t="str">
        <f t="shared" si="20"/>
        <v>1（含）-1.5</v>
      </c>
      <c r="F80" s="1709" t="str">
        <f t="shared" si="20"/>
        <v>1.5（含）-2</v>
      </c>
      <c r="G80" s="1709" t="str">
        <f t="shared" si="20"/>
        <v>2（含）-</v>
      </c>
      <c r="H80" s="1709" t="str">
        <f t="shared" si="20"/>
        <v>（含）-</v>
      </c>
      <c r="I80" s="1709" t="str">
        <f t="shared" si="20"/>
        <v>（含）-</v>
      </c>
      <c r="J80" s="1709" t="str">
        <f t="shared" si="20"/>
        <v>（含）-</v>
      </c>
      <c r="K80" s="1855" t="str">
        <f t="shared" si="20"/>
        <v>（含）-</v>
      </c>
      <c r="L80" s="1709" t="str">
        <f t="shared" si="20"/>
        <v>（含）-</v>
      </c>
      <c r="M80" s="1710" t="str">
        <f>M81&amp;"（含）"&amp;"-"&amp;P81</f>
        <v>（含）-</v>
      </c>
      <c r="N80" s="1699"/>
      <c r="O80" s="1699"/>
      <c r="P80" s="1683"/>
      <c r="Q80" s="1659"/>
      <c r="R80" s="1581"/>
      <c r="S80" s="1581"/>
      <c r="T80" s="1581"/>
      <c r="U80" s="1581"/>
      <c r="V80" s="1581"/>
      <c r="W80" s="1581"/>
      <c r="X80" s="1581"/>
      <c r="Y80" s="1581"/>
      <c r="Z80" s="1581"/>
      <c r="AA80" s="1581"/>
      <c r="AB80" s="1581"/>
      <c r="AC80" s="1581"/>
    </row>
    <row r="81" ht="15" spans="1:29">
      <c r="A81" s="1695"/>
      <c r="B81" s="1711"/>
      <c r="C81" s="1712">
        <v>0</v>
      </c>
      <c r="D81" s="1712">
        <v>0.5</v>
      </c>
      <c r="E81" s="1712">
        <v>1</v>
      </c>
      <c r="F81" s="1712">
        <v>1.5</v>
      </c>
      <c r="G81" s="1712">
        <v>2</v>
      </c>
      <c r="H81" s="1712"/>
      <c r="I81" s="1712"/>
      <c r="J81" s="1712"/>
      <c r="K81" s="1714"/>
      <c r="L81" s="1714"/>
      <c r="M81" s="1715"/>
      <c r="N81" s="1694"/>
      <c r="O81" s="1694"/>
      <c r="P81" s="1683"/>
      <c r="Q81" s="1659"/>
      <c r="R81" s="1581"/>
      <c r="S81" s="1581"/>
      <c r="T81" s="1581"/>
      <c r="U81" s="1581"/>
      <c r="V81" s="1581"/>
      <c r="W81" s="1581"/>
      <c r="X81" s="1581"/>
      <c r="Y81" s="1581"/>
      <c r="Z81" s="1581"/>
      <c r="AA81" s="1581"/>
      <c r="AB81" s="1581"/>
      <c r="AC81" s="1581"/>
    </row>
    <row r="82" ht="15.75" spans="1:29">
      <c r="A82" s="1695"/>
      <c r="B82" s="1696"/>
      <c r="C82" s="1706">
        <v>100</v>
      </c>
      <c r="D82" s="1706">
        <f t="shared" ref="D82:M82" si="21">IF($B$48="单位面积地价",C82+$K13,C82-$K13)</f>
        <v>100</v>
      </c>
      <c r="E82" s="1706">
        <f t="shared" si="21"/>
        <v>100</v>
      </c>
      <c r="F82" s="1706">
        <f t="shared" si="21"/>
        <v>100</v>
      </c>
      <c r="G82" s="1706">
        <f t="shared" si="21"/>
        <v>100</v>
      </c>
      <c r="H82" s="1706">
        <f t="shared" si="21"/>
        <v>100</v>
      </c>
      <c r="I82" s="1706">
        <f t="shared" si="21"/>
        <v>100</v>
      </c>
      <c r="J82" s="1706">
        <f t="shared" si="21"/>
        <v>100</v>
      </c>
      <c r="K82" s="1854">
        <f t="shared" si="21"/>
        <v>100</v>
      </c>
      <c r="L82" s="1706">
        <f t="shared" si="21"/>
        <v>100</v>
      </c>
      <c r="M82" s="1706">
        <f t="shared" si="21"/>
        <v>100</v>
      </c>
      <c r="N82" s="1699"/>
      <c r="O82" s="1699"/>
      <c r="P82" s="1683"/>
      <c r="Q82" s="1659"/>
      <c r="R82" s="1581"/>
      <c r="S82" s="1581"/>
      <c r="T82" s="1581"/>
      <c r="U82" s="1581"/>
      <c r="V82" s="1581"/>
      <c r="W82" s="1581"/>
      <c r="X82" s="1581"/>
      <c r="Y82" s="1581"/>
      <c r="Z82" s="1581"/>
      <c r="AA82" s="1581"/>
      <c r="AB82" s="1581"/>
      <c r="AC82" s="1581"/>
    </row>
    <row r="83" s="1373" customFormat="1" ht="15.75" spans="1:29">
      <c r="A83" s="1716"/>
      <c r="B83" s="1700" t="str">
        <f>B14</f>
        <v>配建</v>
      </c>
      <c r="C83" s="1717"/>
      <c r="D83" s="1717"/>
      <c r="E83" s="1717"/>
      <c r="F83" s="1717"/>
      <c r="G83" s="1717"/>
      <c r="H83" s="1718"/>
      <c r="I83" s="1718"/>
      <c r="J83" s="1718"/>
      <c r="K83" s="1719"/>
      <c r="L83" s="1719"/>
      <c r="M83" s="1720"/>
      <c r="N83" s="1721"/>
      <c r="O83" s="1721"/>
      <c r="P83" s="1721"/>
      <c r="Q83" s="1722"/>
      <c r="R83" s="1723"/>
      <c r="S83" s="1723"/>
      <c r="T83" s="1723"/>
      <c r="U83" s="1723"/>
      <c r="V83" s="1723"/>
      <c r="W83" s="1723"/>
      <c r="X83" s="1723"/>
      <c r="Y83" s="1723"/>
      <c r="Z83" s="1723"/>
      <c r="AA83" s="1723"/>
      <c r="AB83" s="1723"/>
      <c r="AC83" s="1723"/>
    </row>
    <row r="84" s="1373" customFormat="1" ht="15.75" spans="1:29">
      <c r="A84" s="1716"/>
      <c r="B84" s="1705"/>
      <c r="C84" s="1724"/>
      <c r="D84" s="1697"/>
      <c r="E84" s="1697"/>
      <c r="F84" s="1697"/>
      <c r="G84" s="1697"/>
      <c r="H84" s="1697"/>
      <c r="I84" s="1697"/>
      <c r="J84" s="1697"/>
      <c r="K84" s="1853"/>
      <c r="L84" s="1697"/>
      <c r="M84" s="1698"/>
      <c r="N84" s="1699"/>
      <c r="O84" s="1699"/>
      <c r="P84" s="1721"/>
      <c r="Q84" s="1722"/>
      <c r="R84" s="1723"/>
      <c r="S84" s="1723"/>
      <c r="T84" s="1723"/>
      <c r="U84" s="1723"/>
      <c r="V84" s="1723"/>
      <c r="W84" s="1723"/>
      <c r="X84" s="1723"/>
      <c r="Y84" s="1723"/>
      <c r="Z84" s="1723"/>
      <c r="AA84" s="1723"/>
      <c r="AB84" s="1723"/>
      <c r="AC84" s="1723"/>
    </row>
    <row r="85" s="1373" customFormat="1" ht="15.75" spans="1:29">
      <c r="A85" s="1716"/>
      <c r="B85" s="1700">
        <f>B15</f>
        <v>111</v>
      </c>
      <c r="C85" s="1717"/>
      <c r="D85" s="1717"/>
      <c r="E85" s="1717"/>
      <c r="F85" s="1717"/>
      <c r="G85" s="1717"/>
      <c r="H85" s="1718"/>
      <c r="I85" s="1718"/>
      <c r="J85" s="1718"/>
      <c r="K85" s="1719"/>
      <c r="L85" s="1719"/>
      <c r="M85" s="1720"/>
      <c r="N85" s="1721"/>
      <c r="O85" s="1721"/>
      <c r="P85" s="1551"/>
      <c r="Q85" s="1725"/>
      <c r="R85" s="1723"/>
      <c r="S85" s="1723"/>
      <c r="T85" s="1723"/>
      <c r="U85" s="1723"/>
      <c r="V85" s="1723"/>
      <c r="W85" s="1723"/>
      <c r="X85" s="1723"/>
      <c r="Y85" s="1723"/>
      <c r="Z85" s="1723"/>
      <c r="AA85" s="1723"/>
      <c r="AB85" s="1723"/>
      <c r="AC85" s="1723"/>
    </row>
    <row r="86" s="1373" customFormat="1" ht="15.75" spans="1:29">
      <c r="A86" s="1716"/>
      <c r="B86" s="1705"/>
      <c r="C86" s="1724"/>
      <c r="D86" s="1724"/>
      <c r="E86" s="1724"/>
      <c r="F86" s="1724"/>
      <c r="G86" s="1724"/>
      <c r="H86" s="1726"/>
      <c r="I86" s="1726"/>
      <c r="J86" s="1726"/>
      <c r="K86" s="1856"/>
      <c r="L86" s="1726"/>
      <c r="M86" s="1727"/>
      <c r="N86" s="1721"/>
      <c r="O86" s="1721"/>
      <c r="P86" s="1721"/>
      <c r="Q86" s="1722"/>
      <c r="R86" s="1723"/>
      <c r="S86" s="1723"/>
      <c r="T86" s="1723"/>
      <c r="U86" s="1723"/>
      <c r="V86" s="1723"/>
      <c r="W86" s="1723"/>
      <c r="X86" s="1723"/>
      <c r="Y86" s="1723"/>
      <c r="Z86" s="1723"/>
      <c r="AA86" s="1723"/>
      <c r="AB86" s="1723"/>
      <c r="AC86" s="1723"/>
    </row>
    <row r="87" s="1373" customFormat="1" ht="15.75" spans="1:29">
      <c r="A87" s="1716"/>
      <c r="B87" s="1708">
        <f>B16</f>
        <v>111</v>
      </c>
      <c r="C87" s="1680"/>
      <c r="D87" s="1680"/>
      <c r="E87" s="1680"/>
      <c r="F87" s="1680"/>
      <c r="G87" s="1680"/>
      <c r="H87" s="1728"/>
      <c r="I87" s="1728"/>
      <c r="J87" s="1728"/>
      <c r="K87" s="1729"/>
      <c r="L87" s="1729"/>
      <c r="M87" s="1730"/>
      <c r="N87" s="1721"/>
      <c r="O87" s="1721"/>
      <c r="P87" s="1731"/>
      <c r="Q87" s="1722"/>
      <c r="R87" s="1723"/>
      <c r="S87" s="1723"/>
      <c r="T87" s="1723"/>
      <c r="U87" s="1723"/>
      <c r="V87" s="1723"/>
      <c r="W87" s="1723"/>
      <c r="X87" s="1723"/>
      <c r="Y87" s="1723"/>
      <c r="Z87" s="1723"/>
      <c r="AA87" s="1723"/>
      <c r="AB87" s="1723"/>
      <c r="AC87" s="1723"/>
    </row>
    <row r="88" s="1373" customFormat="1" ht="15.75" spans="1:29">
      <c r="A88" s="1732"/>
      <c r="B88" s="1733"/>
      <c r="C88" s="1734"/>
      <c r="D88" s="1734"/>
      <c r="E88" s="1734"/>
      <c r="F88" s="1734"/>
      <c r="G88" s="1734"/>
      <c r="H88" s="1735"/>
      <c r="I88" s="1735"/>
      <c r="J88" s="1735"/>
      <c r="K88" s="1857"/>
      <c r="L88" s="1735"/>
      <c r="M88" s="1736"/>
      <c r="N88" s="1721"/>
      <c r="O88" s="1721"/>
      <c r="P88" s="1721"/>
      <c r="Q88" s="1722"/>
      <c r="R88" s="1723"/>
      <c r="S88" s="1723"/>
      <c r="T88" s="1723"/>
      <c r="U88" s="1723"/>
      <c r="V88" s="1723"/>
      <c r="W88" s="1723"/>
      <c r="X88" s="1723"/>
      <c r="Y88" s="1723"/>
      <c r="Z88" s="1723"/>
      <c r="AA88" s="1723"/>
      <c r="AB88" s="1723"/>
      <c r="AC88" s="1723"/>
    </row>
    <row r="89" spans="1:29">
      <c r="A89" s="1688" t="s">
        <v>1155</v>
      </c>
      <c r="B89" s="1689" t="s">
        <v>1904</v>
      </c>
      <c r="C89" s="1737" t="s">
        <v>1200</v>
      </c>
      <c r="D89" s="1737" t="s">
        <v>1201</v>
      </c>
      <c r="E89" s="1737" t="s">
        <v>1202</v>
      </c>
      <c r="F89" s="1737" t="s">
        <v>1203</v>
      </c>
      <c r="G89" s="1737" t="s">
        <v>1204</v>
      </c>
      <c r="H89" s="1618"/>
      <c r="I89" s="1618"/>
      <c r="J89" s="1618"/>
      <c r="K89" s="1739"/>
      <c r="L89" s="1739"/>
      <c r="M89" s="1740"/>
      <c r="N89" s="1694"/>
      <c r="O89" s="1694"/>
      <c r="P89" s="1741"/>
      <c r="Q89" s="1659"/>
      <c r="R89" s="1581"/>
      <c r="S89" s="1581"/>
      <c r="T89" s="1581"/>
      <c r="U89" s="1581"/>
      <c r="V89" s="1581"/>
      <c r="W89" s="1581"/>
      <c r="X89" s="1581"/>
      <c r="Y89" s="1581"/>
      <c r="Z89" s="1581"/>
      <c r="AA89" s="1581"/>
      <c r="AB89" s="1581"/>
      <c r="AC89" s="1581"/>
    </row>
    <row r="90" ht="15.75" spans="1:29">
      <c r="A90" s="1695"/>
      <c r="B90" s="1705"/>
      <c r="C90" s="1706">
        <v>100</v>
      </c>
      <c r="D90" s="1706">
        <f>C90-$K17</f>
        <v>100</v>
      </c>
      <c r="E90" s="1706">
        <f>D90-$K17</f>
        <v>100</v>
      </c>
      <c r="F90" s="1706">
        <f>E90-$K17</f>
        <v>100</v>
      </c>
      <c r="G90" s="1706">
        <f>F90-$K17</f>
        <v>100</v>
      </c>
      <c r="H90" s="1706"/>
      <c r="I90" s="1706"/>
      <c r="J90" s="1706"/>
      <c r="K90" s="1854"/>
      <c r="L90" s="1706"/>
      <c r="M90" s="1707"/>
      <c r="N90" s="1699"/>
      <c r="O90" s="1699"/>
      <c r="P90" s="1683"/>
      <c r="Q90" s="1659"/>
      <c r="R90" s="1581"/>
      <c r="S90" s="1581"/>
      <c r="T90" s="1581"/>
      <c r="U90" s="1581"/>
      <c r="V90" s="1581"/>
      <c r="W90" s="1581"/>
      <c r="X90" s="1581"/>
      <c r="Y90" s="1581"/>
      <c r="Z90" s="1581"/>
      <c r="AA90" s="1581"/>
      <c r="AB90" s="1581"/>
      <c r="AC90" s="1581"/>
    </row>
    <row r="91" ht="15.75" spans="1:29">
      <c r="A91" s="1695"/>
      <c r="B91" s="1700" t="s">
        <v>1933</v>
      </c>
      <c r="C91" s="1742" t="s">
        <v>1200</v>
      </c>
      <c r="D91" s="1742" t="s">
        <v>1201</v>
      </c>
      <c r="E91" s="1742" t="s">
        <v>1202</v>
      </c>
      <c r="F91" s="1742" t="s">
        <v>1203</v>
      </c>
      <c r="G91" s="1742" t="s">
        <v>1204</v>
      </c>
      <c r="H91" s="1701"/>
      <c r="I91" s="1701"/>
      <c r="J91" s="1701"/>
      <c r="K91" s="1703"/>
      <c r="L91" s="1703"/>
      <c r="M91" s="1704"/>
      <c r="N91" s="1694"/>
      <c r="O91" s="1694"/>
      <c r="P91" s="1683"/>
      <c r="Q91" s="1659"/>
      <c r="R91" s="1581"/>
      <c r="S91" s="1581"/>
      <c r="T91" s="1581"/>
      <c r="U91" s="1581"/>
      <c r="V91" s="1581"/>
      <c r="W91" s="1581"/>
      <c r="X91" s="1581"/>
      <c r="Y91" s="1581"/>
      <c r="Z91" s="1581"/>
      <c r="AA91" s="1581"/>
      <c r="AB91" s="1581"/>
      <c r="AC91" s="1581"/>
    </row>
    <row r="92" ht="15.75" spans="1:29">
      <c r="A92" s="1695"/>
      <c r="B92" s="1705"/>
      <c r="C92" s="1706">
        <v>100</v>
      </c>
      <c r="D92" s="1706">
        <f>C92-$K19</f>
        <v>100</v>
      </c>
      <c r="E92" s="1706">
        <f>D92-$K19</f>
        <v>100</v>
      </c>
      <c r="F92" s="1706">
        <f>E92-$K19</f>
        <v>100</v>
      </c>
      <c r="G92" s="1706">
        <f>F92-$K19</f>
        <v>100</v>
      </c>
      <c r="H92" s="1706"/>
      <c r="I92" s="1706"/>
      <c r="J92" s="1706"/>
      <c r="K92" s="1854"/>
      <c r="L92" s="1706"/>
      <c r="M92" s="1707"/>
      <c r="N92" s="1699"/>
      <c r="O92" s="1699"/>
      <c r="P92" s="1683"/>
      <c r="Q92" s="1659"/>
      <c r="R92" s="1581"/>
      <c r="S92" s="1581"/>
      <c r="T92" s="1581"/>
      <c r="U92" s="1581"/>
      <c r="V92" s="1581"/>
      <c r="W92" s="1581"/>
      <c r="X92" s="1581"/>
      <c r="Y92" s="1581"/>
      <c r="Z92" s="1581"/>
      <c r="AA92" s="1581"/>
      <c r="AB92" s="1581"/>
      <c r="AC92" s="1581"/>
    </row>
    <row r="93" ht="15.75" spans="1:29">
      <c r="A93" s="1695"/>
      <c r="B93" s="1700" t="s">
        <v>1945</v>
      </c>
      <c r="C93" s="1742" t="s">
        <v>1200</v>
      </c>
      <c r="D93" s="1742" t="s">
        <v>1201</v>
      </c>
      <c r="E93" s="1742" t="s">
        <v>1202</v>
      </c>
      <c r="F93" s="1742" t="s">
        <v>1203</v>
      </c>
      <c r="G93" s="1742" t="s">
        <v>1204</v>
      </c>
      <c r="H93" s="1701"/>
      <c r="I93" s="1701"/>
      <c r="J93" s="1701"/>
      <c r="K93" s="1703"/>
      <c r="L93" s="1703"/>
      <c r="M93" s="1704"/>
      <c r="N93" s="1694"/>
      <c r="O93" s="1694"/>
      <c r="P93" s="1683"/>
      <c r="Q93" s="1659"/>
      <c r="R93" s="1581"/>
      <c r="S93" s="1581"/>
      <c r="T93" s="1581"/>
      <c r="U93" s="1581"/>
      <c r="V93" s="1581"/>
      <c r="W93" s="1581"/>
      <c r="X93" s="1581"/>
      <c r="Y93" s="1581"/>
      <c r="Z93" s="1581"/>
      <c r="AA93" s="1581"/>
      <c r="AB93" s="1581"/>
      <c r="AC93" s="1581"/>
    </row>
    <row r="94" ht="15.75" spans="1:29">
      <c r="A94" s="1695"/>
      <c r="B94" s="1705"/>
      <c r="C94" s="1706">
        <v>100</v>
      </c>
      <c r="D94" s="1706">
        <f>C94-$K21</f>
        <v>100</v>
      </c>
      <c r="E94" s="1706">
        <f>D94-$K21</f>
        <v>100</v>
      </c>
      <c r="F94" s="1706">
        <f>E94-$K21</f>
        <v>100</v>
      </c>
      <c r="G94" s="1706">
        <f>F94-$K21</f>
        <v>100</v>
      </c>
      <c r="H94" s="1706"/>
      <c r="I94" s="1706"/>
      <c r="J94" s="1706"/>
      <c r="K94" s="1854"/>
      <c r="L94" s="1706"/>
      <c r="M94" s="1707"/>
      <c r="N94" s="1699"/>
      <c r="O94" s="1699"/>
      <c r="P94" s="1683"/>
      <c r="Q94" s="1659"/>
      <c r="R94" s="1581"/>
      <c r="S94" s="1581"/>
      <c r="T94" s="1581"/>
      <c r="U94" s="1581"/>
      <c r="V94" s="1581"/>
      <c r="W94" s="1581"/>
      <c r="X94" s="1581"/>
      <c r="Y94" s="1581"/>
      <c r="Z94" s="1581"/>
      <c r="AA94" s="1581"/>
      <c r="AB94" s="1581"/>
      <c r="AC94" s="1581"/>
    </row>
    <row r="95" ht="15.75" spans="1:29">
      <c r="A95" s="1695"/>
      <c r="B95" s="1700" t="s">
        <v>1159</v>
      </c>
      <c r="C95" s="1742" t="s">
        <v>1200</v>
      </c>
      <c r="D95" s="1742" t="s">
        <v>1201</v>
      </c>
      <c r="E95" s="1742" t="s">
        <v>1202</v>
      </c>
      <c r="F95" s="1742" t="s">
        <v>1203</v>
      </c>
      <c r="G95" s="1742" t="s">
        <v>1204</v>
      </c>
      <c r="H95" s="1701"/>
      <c r="I95" s="1701"/>
      <c r="J95" s="1701"/>
      <c r="K95" s="1703"/>
      <c r="L95" s="1703"/>
      <c r="M95" s="1704"/>
      <c r="N95" s="1694"/>
      <c r="O95" s="1694"/>
      <c r="P95" s="1683"/>
      <c r="Q95" s="1659"/>
      <c r="R95" s="1581"/>
      <c r="S95" s="1581"/>
      <c r="T95" s="1581"/>
      <c r="U95" s="1581"/>
      <c r="V95" s="1581"/>
      <c r="W95" s="1581"/>
      <c r="X95" s="1581"/>
      <c r="Y95" s="1581"/>
      <c r="Z95" s="1581"/>
      <c r="AA95" s="1581"/>
      <c r="AB95" s="1581"/>
      <c r="AC95" s="1581"/>
    </row>
    <row r="96" ht="15.75" spans="1:29">
      <c r="A96" s="1695"/>
      <c r="B96" s="1705"/>
      <c r="C96" s="1706">
        <v>100</v>
      </c>
      <c r="D96" s="1706">
        <f>C96-$K23</f>
        <v>100</v>
      </c>
      <c r="E96" s="1706">
        <f>D96-$K23</f>
        <v>100</v>
      </c>
      <c r="F96" s="1706">
        <f>E96-$K23</f>
        <v>100</v>
      </c>
      <c r="G96" s="1706">
        <f>F96-$K23</f>
        <v>100</v>
      </c>
      <c r="H96" s="1706"/>
      <c r="I96" s="1706"/>
      <c r="J96" s="1706"/>
      <c r="K96" s="1854"/>
      <c r="L96" s="1706"/>
      <c r="M96" s="1707"/>
      <c r="N96" s="1699"/>
      <c r="O96" s="1699"/>
      <c r="P96" s="1683"/>
      <c r="Q96" s="1659"/>
      <c r="R96" s="1581"/>
      <c r="S96" s="1581"/>
      <c r="T96" s="1581"/>
      <c r="U96" s="1581"/>
      <c r="V96" s="1581"/>
      <c r="W96" s="1581"/>
      <c r="X96" s="1581"/>
      <c r="Y96" s="1581"/>
      <c r="Z96" s="1581"/>
      <c r="AA96" s="1581"/>
      <c r="AB96" s="1581"/>
      <c r="AC96" s="1581"/>
    </row>
    <row r="97" s="1371" customFormat="1" ht="15.75" spans="1:29">
      <c r="A97" s="1743"/>
      <c r="B97" s="1700" t="s">
        <v>1973</v>
      </c>
      <c r="C97" s="1742" t="s">
        <v>1200</v>
      </c>
      <c r="D97" s="1742" t="s">
        <v>1201</v>
      </c>
      <c r="E97" s="1742" t="s">
        <v>1202</v>
      </c>
      <c r="F97" s="1742" t="s">
        <v>1203</v>
      </c>
      <c r="G97" s="1742" t="s">
        <v>1204</v>
      </c>
      <c r="H97" s="1742"/>
      <c r="I97" s="1742"/>
      <c r="J97" s="1742"/>
      <c r="K97" s="1744"/>
      <c r="L97" s="1744"/>
      <c r="M97" s="1745"/>
      <c r="N97" s="1683"/>
      <c r="O97" s="1683"/>
      <c r="P97" s="1683"/>
      <c r="Q97" s="1659"/>
      <c r="R97" s="1670"/>
      <c r="S97" s="1670"/>
      <c r="T97" s="1670"/>
      <c r="U97" s="1670"/>
      <c r="V97" s="1670"/>
      <c r="W97" s="1670"/>
      <c r="X97" s="1670"/>
      <c r="Y97" s="1670"/>
      <c r="Z97" s="1670"/>
      <c r="AA97" s="1670"/>
      <c r="AB97" s="1670"/>
      <c r="AC97" s="1670"/>
    </row>
    <row r="98" s="1371" customFormat="1" ht="15.75" spans="1:29">
      <c r="A98" s="1743"/>
      <c r="B98" s="1705"/>
      <c r="C98" s="1746">
        <v>100</v>
      </c>
      <c r="D98" s="1706">
        <f>C98-$K25</f>
        <v>100</v>
      </c>
      <c r="E98" s="1706">
        <f>D98-$K25</f>
        <v>100</v>
      </c>
      <c r="F98" s="1706">
        <f>E98-$K25</f>
        <v>100</v>
      </c>
      <c r="G98" s="1706">
        <f>F98-$K25</f>
        <v>100</v>
      </c>
      <c r="H98" s="1706"/>
      <c r="I98" s="1706"/>
      <c r="J98" s="1706"/>
      <c r="K98" s="1854"/>
      <c r="L98" s="1706"/>
      <c r="M98" s="1707"/>
      <c r="N98" s="1699"/>
      <c r="O98" s="1699"/>
      <c r="P98" s="1683"/>
      <c r="Q98" s="1659"/>
      <c r="R98" s="1670"/>
      <c r="S98" s="1670"/>
      <c r="T98" s="1670"/>
      <c r="U98" s="1670"/>
      <c r="V98" s="1670"/>
      <c r="W98" s="1670"/>
      <c r="X98" s="1670"/>
      <c r="Y98" s="1670"/>
      <c r="Z98" s="1670"/>
      <c r="AA98" s="1670"/>
      <c r="AB98" s="1670"/>
      <c r="AC98" s="1670"/>
    </row>
    <row r="99" s="1371" customFormat="1" ht="27.75" spans="1:29">
      <c r="A99" s="1743"/>
      <c r="B99" s="1700" t="s">
        <v>1974</v>
      </c>
      <c r="C99" s="1737" t="s">
        <v>1200</v>
      </c>
      <c r="D99" s="1737" t="s">
        <v>1201</v>
      </c>
      <c r="E99" s="1737" t="s">
        <v>1202</v>
      </c>
      <c r="F99" s="1737" t="s">
        <v>1203</v>
      </c>
      <c r="G99" s="1737" t="s">
        <v>1204</v>
      </c>
      <c r="H99" s="1742"/>
      <c r="I99" s="1742"/>
      <c r="J99" s="1742"/>
      <c r="K99" s="1744"/>
      <c r="L99" s="1742"/>
      <c r="M99" s="1745"/>
      <c r="N99" s="1683"/>
      <c r="O99" s="1683"/>
      <c r="P99" s="1683"/>
      <c r="Q99" s="1659"/>
      <c r="R99" s="1670"/>
      <c r="S99" s="1670"/>
      <c r="T99" s="1670"/>
      <c r="U99" s="1670"/>
      <c r="V99" s="1670"/>
      <c r="W99" s="1670"/>
      <c r="X99" s="1670"/>
      <c r="Y99" s="1670"/>
      <c r="Z99" s="1670"/>
      <c r="AA99" s="1670"/>
      <c r="AB99" s="1670"/>
      <c r="AC99" s="1670"/>
    </row>
    <row r="100" s="1371" customFormat="1" ht="15.75" spans="1:29">
      <c r="A100" s="1743"/>
      <c r="B100" s="1705"/>
      <c r="C100" s="1706">
        <v>100</v>
      </c>
      <c r="D100" s="1706">
        <f>C100-$K27</f>
        <v>100</v>
      </c>
      <c r="E100" s="1706">
        <f>D100-$K27</f>
        <v>100</v>
      </c>
      <c r="F100" s="1706">
        <f>E100-$K27</f>
        <v>100</v>
      </c>
      <c r="G100" s="1706">
        <f>F100-$K27</f>
        <v>100</v>
      </c>
      <c r="H100" s="1706"/>
      <c r="I100" s="1706"/>
      <c r="J100" s="1706"/>
      <c r="K100" s="1854"/>
      <c r="L100" s="1706"/>
      <c r="M100" s="1707"/>
      <c r="N100" s="1699"/>
      <c r="O100" s="1699"/>
      <c r="P100" s="1683"/>
      <c r="Q100" s="1659"/>
      <c r="R100" s="1670"/>
      <c r="S100" s="1670"/>
      <c r="T100" s="1670"/>
      <c r="U100" s="1670"/>
      <c r="V100" s="1670"/>
      <c r="W100" s="1670"/>
      <c r="X100" s="1670"/>
      <c r="Y100" s="1670"/>
      <c r="Z100" s="1670"/>
      <c r="AA100" s="1670"/>
      <c r="AB100" s="1670"/>
      <c r="AC100" s="1670"/>
    </row>
    <row r="101" s="1373" customFormat="1" ht="15.75" spans="1:29">
      <c r="A101" s="1716"/>
      <c r="B101" s="1700" t="s">
        <v>1160</v>
      </c>
      <c r="C101" s="1737" t="s">
        <v>1200</v>
      </c>
      <c r="D101" s="1737" t="s">
        <v>1201</v>
      </c>
      <c r="E101" s="1737" t="s">
        <v>1202</v>
      </c>
      <c r="F101" s="1737" t="s">
        <v>1203</v>
      </c>
      <c r="G101" s="1737" t="s">
        <v>1204</v>
      </c>
      <c r="H101" s="1747"/>
      <c r="I101" s="1747"/>
      <c r="J101" s="1747"/>
      <c r="K101" s="1748"/>
      <c r="L101" s="1748"/>
      <c r="M101" s="1749"/>
      <c r="N101" s="1721"/>
      <c r="O101" s="1721"/>
      <c r="P101" s="1721"/>
      <c r="Q101" s="1722"/>
      <c r="R101" s="1723"/>
      <c r="S101" s="1723"/>
      <c r="T101" s="1723"/>
      <c r="U101" s="1723"/>
      <c r="V101" s="1723"/>
      <c r="W101" s="1723"/>
      <c r="X101" s="1723"/>
      <c r="Y101" s="1723"/>
      <c r="Z101" s="1723"/>
      <c r="AA101" s="1723"/>
      <c r="AB101" s="1723"/>
      <c r="AC101" s="1723"/>
    </row>
    <row r="102" s="1373" customFormat="1" ht="15.75" spans="1:29">
      <c r="A102" s="1716"/>
      <c r="B102" s="1705"/>
      <c r="C102" s="1706">
        <v>100</v>
      </c>
      <c r="D102" s="1706">
        <f>C102-$K29</f>
        <v>100</v>
      </c>
      <c r="E102" s="1706">
        <f>D102-$K29</f>
        <v>100</v>
      </c>
      <c r="F102" s="1706">
        <f>E102-$K29</f>
        <v>100</v>
      </c>
      <c r="G102" s="1706">
        <f>F102-$K29</f>
        <v>100</v>
      </c>
      <c r="H102" s="1750"/>
      <c r="I102" s="1750"/>
      <c r="J102" s="1750"/>
      <c r="K102" s="1858"/>
      <c r="L102" s="1750"/>
      <c r="M102" s="1751"/>
      <c r="N102" s="1721"/>
      <c r="O102" s="1721"/>
      <c r="P102" s="1721"/>
      <c r="Q102" s="1722"/>
      <c r="R102" s="1723"/>
      <c r="S102" s="1723"/>
      <c r="T102" s="1723"/>
      <c r="U102" s="1723"/>
      <c r="V102" s="1723"/>
      <c r="W102" s="1723"/>
      <c r="X102" s="1723"/>
      <c r="Y102" s="1723"/>
      <c r="Z102" s="1723"/>
      <c r="AA102" s="1723"/>
      <c r="AB102" s="1723"/>
      <c r="AC102" s="1723"/>
    </row>
    <row r="103" s="1373" customFormat="1" ht="15.75" spans="1:29">
      <c r="A103" s="1716"/>
      <c r="B103" s="1708" t="s">
        <v>1162</v>
      </c>
      <c r="C103" s="1518" t="s">
        <v>1205</v>
      </c>
      <c r="D103" s="1518" t="s">
        <v>1206</v>
      </c>
      <c r="E103" s="1518" t="s">
        <v>1207</v>
      </c>
      <c r="F103" s="1518" t="s">
        <v>1208</v>
      </c>
      <c r="G103" s="1518" t="s">
        <v>1209</v>
      </c>
      <c r="H103" s="1747"/>
      <c r="I103" s="1747"/>
      <c r="J103" s="1747"/>
      <c r="K103" s="1748"/>
      <c r="L103" s="1747"/>
      <c r="M103" s="1752"/>
      <c r="N103" s="1721"/>
      <c r="O103" s="1721"/>
      <c r="P103" s="1721"/>
      <c r="Q103" s="1722"/>
      <c r="R103" s="1723"/>
      <c r="S103" s="1723"/>
      <c r="T103" s="1723"/>
      <c r="U103" s="1723"/>
      <c r="V103" s="1723"/>
      <c r="W103" s="1723"/>
      <c r="X103" s="1723"/>
      <c r="Y103" s="1723"/>
      <c r="Z103" s="1723"/>
      <c r="AA103" s="1723"/>
      <c r="AB103" s="1723"/>
      <c r="AC103" s="1723"/>
    </row>
    <row r="104" s="1373" customFormat="1" ht="15.75" spans="1:29">
      <c r="A104" s="1716"/>
      <c r="B104" s="1708"/>
      <c r="C104" s="1706">
        <v>100</v>
      </c>
      <c r="D104" s="1706">
        <f>C104-$K31</f>
        <v>100</v>
      </c>
      <c r="E104" s="1706">
        <f>D104-$K31</f>
        <v>100</v>
      </c>
      <c r="F104" s="1706">
        <f>E104-$K31</f>
        <v>100</v>
      </c>
      <c r="G104" s="1706">
        <f>F104-$K31</f>
        <v>100</v>
      </c>
      <c r="H104" s="1711"/>
      <c r="I104" s="1711"/>
      <c r="J104" s="1711"/>
      <c r="K104" s="1859"/>
      <c r="L104" s="1711"/>
      <c r="M104" s="1752"/>
      <c r="N104" s="1721"/>
      <c r="O104" s="1721"/>
      <c r="P104" s="1721"/>
      <c r="Q104" s="1722"/>
      <c r="R104" s="1723"/>
      <c r="S104" s="1723"/>
      <c r="T104" s="1723"/>
      <c r="U104" s="1723"/>
      <c r="V104" s="1723"/>
      <c r="W104" s="1723"/>
      <c r="X104" s="1723"/>
      <c r="Y104" s="1723"/>
      <c r="Z104" s="1723"/>
      <c r="AA104" s="1723"/>
      <c r="AB104" s="1723"/>
      <c r="AC104" s="1723"/>
    </row>
    <row r="105" ht="15.75" spans="1:29">
      <c r="A105" s="1695"/>
      <c r="B105" s="1700" t="str">
        <f>B33</f>
        <v>临街状况</v>
      </c>
      <c r="C105" s="1701" t="s">
        <v>2009</v>
      </c>
      <c r="D105" s="1701" t="s">
        <v>2010</v>
      </c>
      <c r="E105" s="1701" t="s">
        <v>2011</v>
      </c>
      <c r="F105" s="1701" t="s">
        <v>2012</v>
      </c>
      <c r="G105" s="1701"/>
      <c r="H105" s="1701"/>
      <c r="I105" s="1701"/>
      <c r="J105" s="1701"/>
      <c r="K105" s="1703"/>
      <c r="L105" s="1703"/>
      <c r="M105" s="1704"/>
      <c r="N105" s="1694"/>
      <c r="O105" s="1694"/>
      <c r="P105" s="1683"/>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2">C106-$K33</f>
        <v>100</v>
      </c>
      <c r="E106" s="1706">
        <f t="shared" si="22"/>
        <v>100</v>
      </c>
      <c r="F106" s="1706">
        <f t="shared" si="22"/>
        <v>100</v>
      </c>
      <c r="G106" s="1706">
        <f t="shared" si="22"/>
        <v>100</v>
      </c>
      <c r="H106" s="1706">
        <f t="shared" si="22"/>
        <v>100</v>
      </c>
      <c r="I106" s="1706">
        <f t="shared" si="22"/>
        <v>100</v>
      </c>
      <c r="J106" s="1706">
        <f t="shared" si="22"/>
        <v>100</v>
      </c>
      <c r="K106" s="1854">
        <f t="shared" si="22"/>
        <v>100</v>
      </c>
      <c r="L106" s="1706">
        <f t="shared" si="22"/>
        <v>100</v>
      </c>
      <c r="M106" s="1706">
        <f t="shared" si="22"/>
        <v>100</v>
      </c>
      <c r="N106" s="1699"/>
      <c r="O106" s="1699"/>
      <c r="P106" s="1683"/>
      <c r="Q106" s="1659"/>
      <c r="R106" s="1581"/>
      <c r="S106" s="1581"/>
      <c r="T106" s="1581"/>
      <c r="U106" s="1581"/>
      <c r="V106" s="1581"/>
      <c r="W106" s="1581"/>
      <c r="X106" s="1581"/>
      <c r="Y106" s="1581"/>
      <c r="Z106" s="1581"/>
      <c r="AA106" s="1581"/>
      <c r="AB106" s="1581"/>
      <c r="AC106" s="1581"/>
    </row>
    <row r="107" ht="27.75" spans="1:29">
      <c r="A107" s="1695"/>
      <c r="B107" s="1700" t="s">
        <v>1946</v>
      </c>
      <c r="C107" s="1717"/>
      <c r="D107" s="1717"/>
      <c r="E107" s="1717"/>
      <c r="F107" s="1717"/>
      <c r="G107" s="1717"/>
      <c r="H107" s="1753"/>
      <c r="I107" s="1753"/>
      <c r="J107" s="1753"/>
      <c r="K107" s="1755"/>
      <c r="L107" s="1755"/>
      <c r="M107" s="1756"/>
      <c r="N107" s="1694"/>
      <c r="O107" s="1694"/>
      <c r="P107" s="1683"/>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3">C108-$K34</f>
        <v>100</v>
      </c>
      <c r="E108" s="1706">
        <f t="shared" si="23"/>
        <v>100</v>
      </c>
      <c r="F108" s="1706">
        <f t="shared" si="23"/>
        <v>100</v>
      </c>
      <c r="G108" s="1706">
        <f t="shared" si="23"/>
        <v>100</v>
      </c>
      <c r="H108" s="1706">
        <f t="shared" si="23"/>
        <v>100</v>
      </c>
      <c r="I108" s="1706">
        <f t="shared" si="23"/>
        <v>100</v>
      </c>
      <c r="J108" s="1706">
        <f t="shared" si="23"/>
        <v>100</v>
      </c>
      <c r="K108" s="1854">
        <f t="shared" si="23"/>
        <v>100</v>
      </c>
      <c r="L108" s="1706">
        <f t="shared" si="23"/>
        <v>100</v>
      </c>
      <c r="M108" s="1706">
        <f t="shared" si="23"/>
        <v>100</v>
      </c>
      <c r="N108" s="1699"/>
      <c r="O108" s="1699"/>
      <c r="P108" s="1683"/>
      <c r="Q108" s="1659"/>
      <c r="R108" s="1581"/>
      <c r="S108" s="1581"/>
      <c r="T108" s="1581"/>
      <c r="U108" s="1581"/>
      <c r="V108" s="1581"/>
      <c r="W108" s="1581"/>
      <c r="X108" s="1581"/>
      <c r="Y108" s="1581"/>
      <c r="Z108" s="1581"/>
      <c r="AA108" s="1581"/>
      <c r="AB108" s="1581"/>
      <c r="AC108" s="1581"/>
    </row>
    <row r="109" ht="15.75" spans="1:29">
      <c r="A109" s="1695"/>
      <c r="B109" s="1700" t="s">
        <v>1975</v>
      </c>
      <c r="C109" s="1753"/>
      <c r="D109" s="1753"/>
      <c r="E109" s="1753"/>
      <c r="F109" s="1753"/>
      <c r="G109" s="1753"/>
      <c r="H109" s="1753"/>
      <c r="I109" s="1753"/>
      <c r="J109" s="1753"/>
      <c r="K109" s="1755"/>
      <c r="L109" s="1755"/>
      <c r="M109" s="1756"/>
      <c r="N109" s="1694"/>
      <c r="O109" s="1694"/>
      <c r="P109" s="1683"/>
      <c r="Q109" s="1659"/>
      <c r="R109" s="1581"/>
      <c r="S109" s="1581"/>
      <c r="T109" s="1581"/>
      <c r="U109" s="1581"/>
      <c r="V109" s="1581"/>
      <c r="W109" s="1581"/>
      <c r="X109" s="1581"/>
      <c r="Y109" s="1581"/>
      <c r="Z109" s="1581"/>
      <c r="AA109" s="1581"/>
      <c r="AB109" s="1581"/>
      <c r="AC109" s="1581"/>
    </row>
    <row r="110" ht="15.75" spans="1:29">
      <c r="A110" s="1695"/>
      <c r="B110" s="1705"/>
      <c r="C110" s="1706">
        <v>100</v>
      </c>
      <c r="D110" s="1706">
        <f t="shared" ref="D110:M110" si="24">C110-$K36</f>
        <v>100</v>
      </c>
      <c r="E110" s="1706">
        <f t="shared" si="24"/>
        <v>100</v>
      </c>
      <c r="F110" s="1706">
        <f t="shared" si="24"/>
        <v>100</v>
      </c>
      <c r="G110" s="1706">
        <f t="shared" si="24"/>
        <v>100</v>
      </c>
      <c r="H110" s="1706">
        <f t="shared" si="24"/>
        <v>100</v>
      </c>
      <c r="I110" s="1706">
        <f t="shared" si="24"/>
        <v>100</v>
      </c>
      <c r="J110" s="1706">
        <f t="shared" si="24"/>
        <v>100</v>
      </c>
      <c r="K110" s="1854">
        <f t="shared" si="24"/>
        <v>100</v>
      </c>
      <c r="L110" s="1706">
        <f t="shared" si="24"/>
        <v>100</v>
      </c>
      <c r="M110" s="1706">
        <f t="shared" si="24"/>
        <v>100</v>
      </c>
      <c r="N110" s="1699"/>
      <c r="O110" s="1699"/>
      <c r="P110" s="1683"/>
      <c r="Q110" s="1659"/>
      <c r="R110" s="1581"/>
      <c r="S110" s="1581"/>
      <c r="T110" s="1581"/>
      <c r="U110" s="1581"/>
      <c r="V110" s="1581"/>
      <c r="W110" s="1581"/>
      <c r="X110" s="1581"/>
      <c r="Y110" s="1581"/>
      <c r="Z110" s="1581"/>
      <c r="AA110" s="1581"/>
      <c r="AB110" s="1581"/>
      <c r="AC110" s="1581"/>
    </row>
    <row r="111" ht="15.75" spans="1:29">
      <c r="A111" s="1695"/>
      <c r="B111" s="1708">
        <f>B37</f>
        <v>111</v>
      </c>
      <c r="C111" s="1717"/>
      <c r="D111" s="1717"/>
      <c r="E111" s="1717"/>
      <c r="F111" s="1717"/>
      <c r="G111" s="1757"/>
      <c r="H111" s="1757"/>
      <c r="I111" s="1757"/>
      <c r="J111" s="1757"/>
      <c r="K111" s="1759"/>
      <c r="L111" s="1759"/>
      <c r="M111" s="1760"/>
      <c r="N111" s="1694"/>
      <c r="O111" s="1694"/>
      <c r="P111" s="1683"/>
      <c r="Q111" s="1659"/>
      <c r="R111" s="1581"/>
      <c r="S111" s="1581"/>
      <c r="T111" s="1581"/>
      <c r="U111" s="1581"/>
      <c r="V111" s="1581"/>
      <c r="W111" s="1581"/>
      <c r="X111" s="1581"/>
      <c r="Y111" s="1581"/>
      <c r="Z111" s="1581"/>
      <c r="AA111" s="1581"/>
      <c r="AB111" s="1581"/>
      <c r="AC111" s="1581"/>
    </row>
    <row r="112" ht="15.75" spans="1:29">
      <c r="A112" s="1695"/>
      <c r="B112" s="1733"/>
      <c r="C112" s="1724"/>
      <c r="D112" s="1724"/>
      <c r="E112" s="1724"/>
      <c r="F112" s="1724"/>
      <c r="G112" s="1761"/>
      <c r="H112" s="1761"/>
      <c r="I112" s="1761"/>
      <c r="J112" s="1761"/>
      <c r="K112" s="1860"/>
      <c r="L112" s="1761"/>
      <c r="M112" s="1762"/>
      <c r="N112" s="1699"/>
      <c r="O112" s="1699"/>
      <c r="P112" s="1683"/>
      <c r="Q112" s="1659"/>
      <c r="R112" s="1581"/>
      <c r="S112" s="1581"/>
      <c r="T112" s="1581"/>
      <c r="U112" s="1581"/>
      <c r="V112" s="1581"/>
      <c r="W112" s="1581"/>
      <c r="X112" s="1581"/>
      <c r="Y112" s="1581"/>
      <c r="Z112" s="1581"/>
      <c r="AA112" s="1581"/>
      <c r="AB112" s="1581"/>
      <c r="AC112" s="1581"/>
    </row>
    <row r="113" ht="15" spans="1:29">
      <c r="A113" s="1763"/>
      <c r="B113" s="1700">
        <f>B38</f>
        <v>111</v>
      </c>
      <c r="C113" s="1680"/>
      <c r="D113" s="1680"/>
      <c r="E113" s="1680"/>
      <c r="F113" s="1680"/>
      <c r="G113" s="1753"/>
      <c r="H113" s="1753"/>
      <c r="I113" s="1753"/>
      <c r="J113" s="1753"/>
      <c r="K113" s="1755"/>
      <c r="L113" s="1755"/>
      <c r="M113" s="1756"/>
      <c r="N113" s="1694"/>
      <c r="O113" s="1694"/>
      <c r="P113" s="1683"/>
      <c r="Q113" s="1659"/>
      <c r="R113" s="1581"/>
      <c r="S113" s="1581"/>
      <c r="T113" s="1581"/>
      <c r="U113" s="1581"/>
      <c r="V113" s="1581"/>
      <c r="W113" s="1581"/>
      <c r="X113" s="1581"/>
      <c r="Y113" s="1581"/>
      <c r="Z113" s="1581"/>
      <c r="AA113" s="1581"/>
      <c r="AB113" s="1581"/>
      <c r="AC113" s="1581"/>
    </row>
    <row r="114" ht="15.75" spans="1:29">
      <c r="A114" s="1695"/>
      <c r="B114" s="1705"/>
      <c r="C114" s="1734"/>
      <c r="D114" s="1734"/>
      <c r="E114" s="1734"/>
      <c r="F114" s="1734"/>
      <c r="G114" s="1697"/>
      <c r="H114" s="1697"/>
      <c r="I114" s="1697"/>
      <c r="J114" s="1697"/>
      <c r="K114" s="1853"/>
      <c r="L114" s="1697"/>
      <c r="M114" s="1698"/>
      <c r="N114" s="1699"/>
      <c r="O114" s="1699"/>
      <c r="P114" s="1683"/>
      <c r="Q114" s="1659"/>
      <c r="R114" s="1581"/>
      <c r="S114" s="1581"/>
      <c r="T114" s="1581"/>
      <c r="U114" s="1581"/>
      <c r="V114" s="1581"/>
      <c r="W114" s="1581"/>
      <c r="X114" s="1581"/>
      <c r="Y114" s="1581"/>
      <c r="Z114" s="1581"/>
      <c r="AA114" s="1581"/>
      <c r="AB114" s="1581"/>
      <c r="AC114" s="1581"/>
    </row>
    <row r="115" s="1373" customFormat="1" ht="15.75" spans="1:29">
      <c r="A115" s="1764"/>
      <c r="B115" s="1765">
        <f>B39</f>
        <v>111</v>
      </c>
      <c r="C115" s="1667"/>
      <c r="D115" s="1667"/>
      <c r="E115" s="1667"/>
      <c r="F115" s="1667"/>
      <c r="G115" s="1667"/>
      <c r="H115" s="1667"/>
      <c r="I115" s="1667"/>
      <c r="J115" s="1766"/>
      <c r="K115" s="1767"/>
      <c r="L115" s="1767"/>
      <c r="M115" s="1768"/>
      <c r="N115" s="1721"/>
      <c r="O115" s="1721"/>
      <c r="P115" s="1721"/>
      <c r="Q115" s="1722"/>
      <c r="R115" s="1723"/>
      <c r="S115" s="1723"/>
      <c r="T115" s="1723"/>
      <c r="U115" s="1723"/>
      <c r="V115" s="1723"/>
      <c r="W115" s="1723"/>
      <c r="X115" s="1723"/>
      <c r="Y115" s="1723"/>
      <c r="Z115" s="1723"/>
      <c r="AA115" s="1723"/>
      <c r="AB115" s="1723"/>
      <c r="AC115" s="1723"/>
    </row>
    <row r="116" s="1373" customFormat="1" ht="15.75" spans="1:29">
      <c r="A116" s="1716"/>
      <c r="B116" s="1708"/>
      <c r="C116" s="1686"/>
      <c r="D116" s="1769"/>
      <c r="E116" s="1769"/>
      <c r="F116" s="1769"/>
      <c r="G116" s="1769"/>
      <c r="H116" s="1769"/>
      <c r="I116" s="1769"/>
      <c r="J116" s="1769"/>
      <c r="K116" s="1861"/>
      <c r="L116" s="1769"/>
      <c r="M116" s="1770"/>
      <c r="N116" s="1699"/>
      <c r="O116" s="1699"/>
      <c r="P116" s="1721"/>
      <c r="Q116" s="1722"/>
      <c r="R116" s="1723"/>
      <c r="S116" s="1723"/>
      <c r="T116" s="1723"/>
      <c r="U116" s="1723"/>
      <c r="V116" s="1723"/>
      <c r="W116" s="1723"/>
      <c r="X116" s="1723"/>
      <c r="Y116" s="1723"/>
      <c r="Z116" s="1723"/>
      <c r="AA116" s="1723"/>
      <c r="AB116" s="1723"/>
      <c r="AC116" s="1723"/>
    </row>
    <row r="117" spans="1:29">
      <c r="A117" s="1688" t="s">
        <v>1166</v>
      </c>
      <c r="B117" s="1689" t="s">
        <v>1976</v>
      </c>
      <c r="C117" s="1618" t="str">
        <f>C118&amp;"(含)"&amp;"-"&amp;D118</f>
        <v>(含)-</v>
      </c>
      <c r="D117" s="1618" t="str">
        <f t="shared" ref="D117:M117" si="25">D118&amp;"(含)"&amp;"-"&amp;E118</f>
        <v>(含)-</v>
      </c>
      <c r="E117" s="1618" t="str">
        <f t="shared" si="25"/>
        <v>(含)-</v>
      </c>
      <c r="F117" s="1618" t="str">
        <f t="shared" si="25"/>
        <v>(含)-</v>
      </c>
      <c r="G117" s="1618" t="str">
        <f t="shared" si="25"/>
        <v>(含)-</v>
      </c>
      <c r="H117" s="1618" t="str">
        <f t="shared" si="25"/>
        <v>(含)-</v>
      </c>
      <c r="I117" s="1618" t="str">
        <f t="shared" si="25"/>
        <v>(含)-</v>
      </c>
      <c r="J117" s="1618" t="str">
        <f t="shared" si="25"/>
        <v>(含)-</v>
      </c>
      <c r="K117" s="1862" t="str">
        <f t="shared" si="25"/>
        <v>(含)-</v>
      </c>
      <c r="L117" s="1618" t="str">
        <f t="shared" si="25"/>
        <v>(含)-</v>
      </c>
      <c r="M117" s="1618" t="str">
        <f t="shared" si="25"/>
        <v>(含)-</v>
      </c>
      <c r="N117" s="1694"/>
      <c r="O117" s="1694"/>
      <c r="P117" s="1683"/>
      <c r="Q117" s="1659"/>
      <c r="R117" s="1581"/>
      <c r="S117" s="1581"/>
      <c r="T117" s="1581"/>
      <c r="U117" s="1581"/>
      <c r="V117" s="1581"/>
      <c r="W117" s="1581"/>
      <c r="X117" s="1581"/>
      <c r="Y117" s="1581"/>
      <c r="Z117" s="1581"/>
      <c r="AA117" s="1581"/>
      <c r="AB117" s="1581"/>
      <c r="AC117" s="1581"/>
    </row>
    <row r="118" ht="15" spans="1:29">
      <c r="A118" s="1695"/>
      <c r="B118" s="1708"/>
      <c r="C118" s="1667"/>
      <c r="D118" s="1667"/>
      <c r="E118" s="1667"/>
      <c r="F118" s="1667"/>
      <c r="G118" s="1667"/>
      <c r="H118" s="1667"/>
      <c r="I118" s="1667"/>
      <c r="J118" s="1766"/>
      <c r="K118" s="1767"/>
      <c r="L118" s="1767"/>
      <c r="M118" s="1768"/>
      <c r="N118" s="1694"/>
      <c r="O118" s="1694"/>
      <c r="P118" s="1683"/>
      <c r="Q118" s="1659"/>
      <c r="R118" s="1581"/>
      <c r="S118" s="1581"/>
      <c r="T118" s="1581"/>
      <c r="U118" s="1581"/>
      <c r="V118" s="1581"/>
      <c r="W118" s="1581"/>
      <c r="X118" s="1581"/>
      <c r="Y118" s="1581"/>
      <c r="Z118" s="1581"/>
      <c r="AA118" s="1581"/>
      <c r="AB118" s="1581"/>
      <c r="AC118" s="1581"/>
    </row>
    <row r="119" ht="15.75" spans="1:29">
      <c r="A119" s="1695"/>
      <c r="B119" s="1705"/>
      <c r="C119" s="1734"/>
      <c r="D119" s="1761"/>
      <c r="E119" s="1761"/>
      <c r="F119" s="1761"/>
      <c r="G119" s="1761"/>
      <c r="H119" s="1761"/>
      <c r="I119" s="1761"/>
      <c r="J119" s="1761"/>
      <c r="K119" s="1860"/>
      <c r="L119" s="1761"/>
      <c r="M119" s="1762"/>
      <c r="N119" s="1699"/>
      <c r="O119" s="1699"/>
      <c r="P119" s="1683"/>
      <c r="Q119" s="1659"/>
      <c r="R119" s="1581"/>
      <c r="S119" s="1581"/>
      <c r="T119" s="1581"/>
      <c r="U119" s="1581"/>
      <c r="V119" s="1581"/>
      <c r="W119" s="1581"/>
      <c r="X119" s="1581"/>
      <c r="Y119" s="1581"/>
      <c r="Z119" s="1581"/>
      <c r="AA119" s="1581"/>
      <c r="AB119" s="1581"/>
      <c r="AC119" s="1581"/>
    </row>
    <row r="120" ht="15.75" spans="1:29">
      <c r="A120" s="1773"/>
      <c r="B120" s="1700" t="s">
        <v>1977</v>
      </c>
      <c r="C120" s="1753" t="s">
        <v>2013</v>
      </c>
      <c r="D120" s="1753" t="s">
        <v>2014</v>
      </c>
      <c r="E120" s="1753" t="s">
        <v>2015</v>
      </c>
      <c r="F120" s="1753" t="s">
        <v>2016</v>
      </c>
      <c r="G120" s="1753"/>
      <c r="H120" s="1753"/>
      <c r="I120" s="1753"/>
      <c r="J120" s="1753"/>
      <c r="K120" s="1755"/>
      <c r="L120" s="1755"/>
      <c r="M120" s="1756"/>
      <c r="N120" s="1694"/>
      <c r="O120" s="1694"/>
      <c r="P120" s="1683"/>
      <c r="Q120" s="1659"/>
      <c r="R120" s="1581"/>
      <c r="S120" s="1581"/>
      <c r="T120" s="1581"/>
      <c r="U120" s="1581"/>
      <c r="V120" s="1581"/>
      <c r="W120" s="1581"/>
      <c r="X120" s="1581"/>
      <c r="Y120" s="1581"/>
      <c r="Z120" s="1581"/>
      <c r="AA120" s="1581"/>
      <c r="AB120" s="1581"/>
      <c r="AC120" s="1581"/>
    </row>
    <row r="121" ht="15.75" spans="1:29">
      <c r="A121" s="1695"/>
      <c r="B121" s="1705"/>
      <c r="C121" s="1706">
        <v>100</v>
      </c>
      <c r="D121" s="1706">
        <f t="shared" ref="D121:M121" si="26">C121-$K41</f>
        <v>100</v>
      </c>
      <c r="E121" s="1706">
        <f t="shared" si="26"/>
        <v>100</v>
      </c>
      <c r="F121" s="1706">
        <f t="shared" si="26"/>
        <v>100</v>
      </c>
      <c r="G121" s="1706">
        <f t="shared" si="26"/>
        <v>100</v>
      </c>
      <c r="H121" s="1706">
        <f t="shared" si="26"/>
        <v>100</v>
      </c>
      <c r="I121" s="1706">
        <f t="shared" si="26"/>
        <v>100</v>
      </c>
      <c r="J121" s="1706">
        <f t="shared" si="26"/>
        <v>100</v>
      </c>
      <c r="K121" s="1854">
        <f t="shared" si="26"/>
        <v>100</v>
      </c>
      <c r="L121" s="1706">
        <f t="shared" si="26"/>
        <v>100</v>
      </c>
      <c r="M121" s="1707">
        <f t="shared" si="26"/>
        <v>100</v>
      </c>
      <c r="N121" s="1699"/>
      <c r="O121" s="1699"/>
      <c r="P121" s="1683"/>
      <c r="Q121" s="1659"/>
      <c r="R121" s="1581"/>
      <c r="S121" s="1581"/>
      <c r="T121" s="1581"/>
      <c r="U121" s="1581"/>
      <c r="V121" s="1581"/>
      <c r="W121" s="1581"/>
      <c r="X121" s="1581"/>
      <c r="Y121" s="1581"/>
      <c r="Z121" s="1581"/>
      <c r="AA121" s="1581"/>
      <c r="AB121" s="1581"/>
      <c r="AC121" s="1581"/>
    </row>
    <row r="122" ht="15.75" spans="1:29">
      <c r="A122" s="1773"/>
      <c r="B122" s="1700" t="s">
        <v>1978</v>
      </c>
      <c r="C122" s="1717"/>
      <c r="D122" s="1717"/>
      <c r="E122" s="1717"/>
      <c r="F122" s="1753"/>
      <c r="G122" s="1753"/>
      <c r="H122" s="1753"/>
      <c r="I122" s="1753"/>
      <c r="J122" s="1753"/>
      <c r="K122" s="1755"/>
      <c r="L122" s="1755"/>
      <c r="M122" s="1756"/>
      <c r="N122" s="1694"/>
      <c r="O122" s="1694"/>
      <c r="P122" s="1683"/>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27">C123-$K42</f>
        <v>100</v>
      </c>
      <c r="E123" s="1706">
        <f t="shared" si="27"/>
        <v>100</v>
      </c>
      <c r="F123" s="1706">
        <f t="shared" si="27"/>
        <v>100</v>
      </c>
      <c r="G123" s="1706">
        <f t="shared" si="27"/>
        <v>100</v>
      </c>
      <c r="H123" s="1706">
        <f t="shared" si="27"/>
        <v>100</v>
      </c>
      <c r="I123" s="1706">
        <f t="shared" si="27"/>
        <v>100</v>
      </c>
      <c r="J123" s="1706">
        <f t="shared" si="27"/>
        <v>100</v>
      </c>
      <c r="K123" s="1854">
        <f t="shared" si="27"/>
        <v>100</v>
      </c>
      <c r="L123" s="1706">
        <f t="shared" si="27"/>
        <v>100</v>
      </c>
      <c r="M123" s="1707">
        <f t="shared" si="27"/>
        <v>100</v>
      </c>
      <c r="N123" s="1699"/>
      <c r="O123" s="1699"/>
      <c r="P123" s="1683"/>
      <c r="Q123" s="1659"/>
      <c r="R123" s="1581"/>
      <c r="S123" s="1581"/>
      <c r="T123" s="1581"/>
      <c r="U123" s="1581"/>
      <c r="V123" s="1581"/>
      <c r="W123" s="1581"/>
      <c r="X123" s="1581"/>
      <c r="Y123" s="1581"/>
      <c r="Z123" s="1581"/>
      <c r="AA123" s="1581"/>
      <c r="AB123" s="1581"/>
      <c r="AC123" s="1581"/>
    </row>
    <row r="124" s="1373" customFormat="1" ht="15.75" spans="1:29">
      <c r="A124" s="1764"/>
      <c r="B124" s="1700" t="s">
        <v>1979</v>
      </c>
      <c r="C124" s="1717" t="s">
        <v>241</v>
      </c>
      <c r="D124" s="1717" t="s">
        <v>256</v>
      </c>
      <c r="E124" s="1717" t="s">
        <v>268</v>
      </c>
      <c r="F124" s="1717" t="s">
        <v>279</v>
      </c>
      <c r="G124" s="1717" t="s">
        <v>289</v>
      </c>
      <c r="H124" s="1753"/>
      <c r="I124" s="1753"/>
      <c r="J124" s="1753"/>
      <c r="K124" s="1755"/>
      <c r="L124" s="1755"/>
      <c r="M124" s="1756"/>
      <c r="N124" s="1721"/>
      <c r="O124" s="1721"/>
      <c r="P124" s="1721"/>
      <c r="Q124" s="1722"/>
      <c r="R124" s="1723"/>
      <c r="S124" s="1723"/>
      <c r="T124" s="1723"/>
      <c r="U124" s="1723"/>
      <c r="V124" s="1723"/>
      <c r="W124" s="1723"/>
      <c r="X124" s="1723"/>
      <c r="Y124" s="1723"/>
      <c r="Z124" s="1723"/>
      <c r="AA124" s="1723"/>
      <c r="AB124" s="1723"/>
      <c r="AC124" s="1723"/>
    </row>
    <row r="125" s="1373" customFormat="1" ht="15.75" spans="1:29">
      <c r="A125" s="1716"/>
      <c r="B125" s="1705"/>
      <c r="C125" s="1706">
        <v>100</v>
      </c>
      <c r="D125" s="1706">
        <f t="shared" ref="D125:M125" si="28">C125-$K43</f>
        <v>100</v>
      </c>
      <c r="E125" s="1706">
        <f t="shared" si="28"/>
        <v>100</v>
      </c>
      <c r="F125" s="1706">
        <f t="shared" si="28"/>
        <v>100</v>
      </c>
      <c r="G125" s="1706">
        <f t="shared" si="28"/>
        <v>100</v>
      </c>
      <c r="H125" s="1706">
        <f t="shared" si="28"/>
        <v>100</v>
      </c>
      <c r="I125" s="1706">
        <f t="shared" si="28"/>
        <v>100</v>
      </c>
      <c r="J125" s="1706">
        <f t="shared" si="28"/>
        <v>100</v>
      </c>
      <c r="K125" s="1854">
        <f t="shared" si="28"/>
        <v>100</v>
      </c>
      <c r="L125" s="1706">
        <f t="shared" si="28"/>
        <v>100</v>
      </c>
      <c r="M125" s="1707">
        <f t="shared" si="28"/>
        <v>100</v>
      </c>
      <c r="N125" s="1721"/>
      <c r="O125" s="1721"/>
      <c r="P125" s="1721"/>
      <c r="Q125" s="1722"/>
      <c r="R125" s="1723"/>
      <c r="S125" s="1723"/>
      <c r="T125" s="1723"/>
      <c r="U125" s="1723"/>
      <c r="V125" s="1723"/>
      <c r="W125" s="1723"/>
      <c r="X125" s="1723"/>
      <c r="Y125" s="1723"/>
      <c r="Z125" s="1723"/>
      <c r="AA125" s="1723"/>
      <c r="AB125" s="1723"/>
      <c r="AC125" s="1723"/>
    </row>
    <row r="126" ht="15.75" spans="1:29">
      <c r="A126" s="1773"/>
      <c r="B126" s="1700" t="s">
        <v>1980</v>
      </c>
      <c r="C126" s="1717"/>
      <c r="D126" s="1717"/>
      <c r="E126" s="1753"/>
      <c r="F126" s="1753"/>
      <c r="G126" s="1753"/>
      <c r="H126" s="1753"/>
      <c r="I126" s="1753"/>
      <c r="J126" s="1753"/>
      <c r="K126" s="1755"/>
      <c r="L126" s="1755"/>
      <c r="M126" s="1756"/>
      <c r="N126" s="1694"/>
      <c r="O126" s="1694"/>
      <c r="P126" s="1683"/>
      <c r="Q126" s="1659"/>
      <c r="R126" s="1581"/>
      <c r="S126" s="1581"/>
      <c r="T126" s="1581"/>
      <c r="U126" s="1581"/>
      <c r="V126" s="1581"/>
      <c r="W126" s="1581"/>
      <c r="X126" s="1581"/>
      <c r="Y126" s="1581"/>
      <c r="Z126" s="1581"/>
      <c r="AA126" s="1581"/>
      <c r="AB126" s="1581"/>
      <c r="AC126" s="1581"/>
    </row>
    <row r="127" ht="15.75" spans="1:29">
      <c r="A127" s="1695"/>
      <c r="B127" s="1705"/>
      <c r="C127" s="1706">
        <v>100</v>
      </c>
      <c r="D127" s="1706">
        <f t="shared" ref="D127:M127" si="29">C127-$K44</f>
        <v>100</v>
      </c>
      <c r="E127" s="1706">
        <f t="shared" si="29"/>
        <v>100</v>
      </c>
      <c r="F127" s="1706">
        <f t="shared" si="29"/>
        <v>100</v>
      </c>
      <c r="G127" s="1706">
        <f t="shared" si="29"/>
        <v>100</v>
      </c>
      <c r="H127" s="1706">
        <f t="shared" si="29"/>
        <v>100</v>
      </c>
      <c r="I127" s="1706">
        <f t="shared" si="29"/>
        <v>100</v>
      </c>
      <c r="J127" s="1706">
        <f t="shared" si="29"/>
        <v>100</v>
      </c>
      <c r="K127" s="1854">
        <f t="shared" si="29"/>
        <v>100</v>
      </c>
      <c r="L127" s="1706">
        <f t="shared" si="29"/>
        <v>100</v>
      </c>
      <c r="M127" s="1707">
        <f t="shared" si="29"/>
        <v>100</v>
      </c>
      <c r="N127" s="1699"/>
      <c r="O127" s="1699"/>
      <c r="P127" s="1683"/>
      <c r="Q127" s="1659"/>
      <c r="R127" s="1581"/>
      <c r="S127" s="1581"/>
      <c r="T127" s="1581"/>
      <c r="U127" s="1581"/>
      <c r="V127" s="1581"/>
      <c r="W127" s="1581"/>
      <c r="X127" s="1581"/>
      <c r="Y127" s="1581"/>
      <c r="Z127" s="1581"/>
      <c r="AA127" s="1581"/>
      <c r="AB127" s="1581"/>
      <c r="AC127" s="1581"/>
    </row>
    <row r="128" ht="15.75" spans="1:29">
      <c r="A128" s="1773"/>
      <c r="B128" s="1700">
        <f>B45</f>
        <v>111</v>
      </c>
      <c r="C128" s="1717"/>
      <c r="D128" s="1717"/>
      <c r="E128" s="1717"/>
      <c r="F128" s="1717"/>
      <c r="G128" s="1717"/>
      <c r="H128" s="1753"/>
      <c r="I128" s="1753"/>
      <c r="J128" s="1753"/>
      <c r="K128" s="1755"/>
      <c r="L128" s="1755"/>
      <c r="M128" s="1756"/>
      <c r="N128" s="1694"/>
      <c r="O128" s="1694"/>
      <c r="P128" s="1683"/>
      <c r="Q128" s="1659"/>
      <c r="R128" s="1581"/>
      <c r="S128" s="1581"/>
      <c r="T128" s="1581"/>
      <c r="U128" s="1581"/>
      <c r="V128" s="1581"/>
      <c r="W128" s="1581"/>
      <c r="X128" s="1581"/>
      <c r="Y128" s="1581"/>
      <c r="Z128" s="1581"/>
      <c r="AA128" s="1581"/>
      <c r="AB128" s="1581"/>
      <c r="AC128" s="1581"/>
    </row>
    <row r="129" ht="15.75" spans="1:29">
      <c r="A129" s="1695"/>
      <c r="B129" s="1705"/>
      <c r="C129" s="1724"/>
      <c r="D129" s="1724"/>
      <c r="E129" s="1724"/>
      <c r="F129" s="1724"/>
      <c r="G129" s="1697"/>
      <c r="H129" s="1697"/>
      <c r="I129" s="1697"/>
      <c r="J129" s="1697"/>
      <c r="K129" s="1853"/>
      <c r="L129" s="1697"/>
      <c r="M129" s="1698"/>
      <c r="N129" s="1699"/>
      <c r="O129" s="1699"/>
      <c r="P129" s="1683"/>
      <c r="Q129" s="1659"/>
      <c r="R129" s="1581"/>
      <c r="S129" s="1581"/>
      <c r="T129" s="1581"/>
      <c r="U129" s="1581"/>
      <c r="V129" s="1581"/>
      <c r="W129" s="1581"/>
      <c r="X129" s="1581"/>
      <c r="Y129" s="1581"/>
      <c r="Z129" s="1581"/>
      <c r="AA129" s="1581"/>
      <c r="AB129" s="1581"/>
      <c r="AC129" s="1581"/>
    </row>
    <row r="130" ht="15.75" spans="1:29">
      <c r="A130" s="1773"/>
      <c r="B130" s="1700">
        <f>B46</f>
        <v>111</v>
      </c>
      <c r="C130" s="1680"/>
      <c r="D130" s="1680"/>
      <c r="E130" s="1680"/>
      <c r="F130" s="1680"/>
      <c r="G130" s="1753"/>
      <c r="H130" s="1753"/>
      <c r="I130" s="1753"/>
      <c r="J130" s="1753"/>
      <c r="K130" s="1755"/>
      <c r="L130" s="1755"/>
      <c r="M130" s="1756"/>
      <c r="N130" s="1694"/>
      <c r="O130" s="1694"/>
      <c r="P130" s="1683"/>
      <c r="Q130" s="1659"/>
      <c r="R130" s="1581"/>
      <c r="S130" s="1581"/>
      <c r="T130" s="1581"/>
      <c r="U130" s="1581"/>
      <c r="V130" s="1581"/>
      <c r="W130" s="1581"/>
      <c r="X130" s="1581"/>
      <c r="Y130" s="1581"/>
      <c r="Z130" s="1581"/>
      <c r="AA130" s="1581"/>
      <c r="AB130" s="1581"/>
      <c r="AC130" s="1581"/>
    </row>
    <row r="131" ht="15.75" spans="1:29">
      <c r="A131" s="1695"/>
      <c r="B131" s="1705"/>
      <c r="C131" s="1734"/>
      <c r="D131" s="1734"/>
      <c r="E131" s="1734"/>
      <c r="F131" s="1734"/>
      <c r="G131" s="1697"/>
      <c r="H131" s="1697"/>
      <c r="I131" s="1697"/>
      <c r="J131" s="1697"/>
      <c r="K131" s="1853"/>
      <c r="L131" s="1697"/>
      <c r="M131" s="1698"/>
      <c r="N131" s="1699"/>
      <c r="O131" s="1699"/>
      <c r="P131" s="1683"/>
      <c r="Q131" s="1659"/>
      <c r="R131" s="1581"/>
      <c r="S131" s="1581"/>
      <c r="T131" s="1581"/>
      <c r="U131" s="1581"/>
      <c r="V131" s="1581"/>
      <c r="W131" s="1581"/>
      <c r="X131" s="1581"/>
      <c r="Y131" s="1581"/>
      <c r="Z131" s="1581"/>
      <c r="AA131" s="1581"/>
      <c r="AB131" s="1581"/>
      <c r="AC131" s="1581"/>
    </row>
    <row r="132" s="1373" customFormat="1" ht="15.75" spans="1:29">
      <c r="A132" s="1764"/>
      <c r="B132" s="1700">
        <f>B47</f>
        <v>111</v>
      </c>
      <c r="C132" s="1680"/>
      <c r="D132" s="1680"/>
      <c r="E132" s="1680"/>
      <c r="F132" s="1680"/>
      <c r="G132" s="1718"/>
      <c r="H132" s="1718"/>
      <c r="I132" s="1718"/>
      <c r="J132" s="1718"/>
      <c r="K132" s="1719"/>
      <c r="L132" s="1719"/>
      <c r="M132" s="1720"/>
      <c r="N132" s="1721"/>
      <c r="O132" s="1721"/>
      <c r="P132" s="1721"/>
      <c r="Q132" s="1722"/>
      <c r="R132" s="1723"/>
      <c r="S132" s="1723"/>
      <c r="T132" s="1723"/>
      <c r="U132" s="1723"/>
      <c r="V132" s="1723"/>
      <c r="W132" s="1723"/>
      <c r="X132" s="1723"/>
      <c r="Y132" s="1723"/>
      <c r="Z132" s="1723"/>
      <c r="AA132" s="1723"/>
      <c r="AB132" s="1723"/>
      <c r="AC132" s="1723"/>
    </row>
    <row r="133" s="1373" customFormat="1" ht="15.75" spans="1:29">
      <c r="A133" s="1732"/>
      <c r="B133" s="1774"/>
      <c r="C133" s="1734"/>
      <c r="D133" s="1734"/>
      <c r="E133" s="1734"/>
      <c r="F133" s="1734"/>
      <c r="G133" s="1761"/>
      <c r="H133" s="1761"/>
      <c r="I133" s="1761"/>
      <c r="J133" s="1761"/>
      <c r="K133" s="1860"/>
      <c r="L133" s="1761"/>
      <c r="M133" s="1762"/>
      <c r="N133" s="1721"/>
      <c r="O133" s="1721"/>
      <c r="P133" s="1721"/>
      <c r="Q133" s="1722"/>
      <c r="R133" s="1723"/>
      <c r="S133" s="1723"/>
      <c r="T133" s="1723"/>
      <c r="U133" s="1723"/>
      <c r="V133" s="1723"/>
      <c r="W133" s="1723"/>
      <c r="X133" s="1723"/>
      <c r="Y133" s="1723"/>
      <c r="Z133" s="1723"/>
      <c r="AA133" s="1723"/>
      <c r="AB133" s="1723"/>
      <c r="AC133" s="17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29">
      <c r="A1" s="1380" t="s">
        <v>1968</v>
      </c>
      <c r="B1" s="1381"/>
      <c r="C1" s="1382" t="s">
        <v>1117</v>
      </c>
      <c r="D1" s="1383"/>
      <c r="E1" s="1383"/>
      <c r="F1" s="1384" t="s">
        <v>1121</v>
      </c>
      <c r="G1" s="1383"/>
      <c r="H1" s="1383"/>
      <c r="I1" s="1383"/>
      <c r="J1" s="1383"/>
      <c r="K1" s="1385"/>
      <c r="L1" s="1386"/>
      <c r="M1" s="1387"/>
      <c r="N1" s="1387"/>
      <c r="O1" s="1387"/>
      <c r="P1" s="1388"/>
      <c r="Q1" s="1388"/>
      <c r="R1" s="1388"/>
      <c r="S1" s="1388"/>
      <c r="T1" s="1388"/>
      <c r="U1" s="1388"/>
      <c r="V1" s="1388"/>
      <c r="W1" s="1388"/>
      <c r="X1" s="1388"/>
      <c r="Y1" s="1388"/>
      <c r="Z1" s="1388"/>
      <c r="AA1" s="1388"/>
      <c r="AB1" s="1388"/>
      <c r="AC1" s="1389"/>
    </row>
    <row r="2" s="1370" customFormat="1" ht="28.5" customHeight="1" spans="1:29">
      <c r="A2" s="436" t="s">
        <v>1122</v>
      </c>
      <c r="B2" s="1390" t="e">
        <f>F63</f>
        <v>#DIV/0!</v>
      </c>
      <c r="C2" s="1391"/>
      <c r="D2" s="1391"/>
      <c r="E2" s="1391"/>
      <c r="F2" s="1392"/>
      <c r="G2" s="1391"/>
      <c r="H2" s="1391"/>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396" t="e">
        <f>ROUND(IF(D3="",B2*10000/'数据-汇总表'!E3,B2*10000/D3),0)</f>
        <v>#DIV/0!</v>
      </c>
      <c r="C3" s="439" t="s">
        <v>1126</v>
      </c>
      <c r="D3" s="1397"/>
      <c r="E3" s="1391"/>
      <c r="F3" s="1392"/>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s="1370" customFormat="1" ht="28.5" customHeight="1" spans="1:29">
      <c r="A4" s="626" t="s">
        <v>1970</v>
      </c>
      <c r="B4" s="1400" t="e">
        <f>IF(B43="单位面积地价",C45,ROUND(B2*10000/'数据-汇总表'!D3,0))</f>
        <v>#DIV/0!</v>
      </c>
      <c r="C4" s="739" t="s">
        <v>1480</v>
      </c>
      <c r="D4" s="1391"/>
      <c r="E4" s="1391"/>
      <c r="F4" s="1392"/>
      <c r="G4" s="1391"/>
      <c r="H4" s="1391"/>
      <c r="I4" s="1391"/>
      <c r="J4" s="1391"/>
      <c r="K4" s="1393"/>
      <c r="L4" s="1394"/>
      <c r="M4" s="1395"/>
      <c r="N4" s="1395"/>
      <c r="O4" s="1395"/>
      <c r="P4" s="1388"/>
      <c r="Q4" s="1388"/>
      <c r="R4" s="1388"/>
      <c r="S4" s="1388"/>
      <c r="T4" s="1388"/>
      <c r="U4" s="1388"/>
      <c r="V4" s="1388"/>
      <c r="W4" s="1388"/>
      <c r="X4" s="1388"/>
      <c r="Y4" s="1388"/>
      <c r="Z4" s="1388"/>
      <c r="AA4" s="1388"/>
      <c r="AB4" s="1388"/>
      <c r="AC4" s="1399"/>
    </row>
    <row r="5" s="1370" customFormat="1" ht="28.5" customHeight="1" spans="1:29">
      <c r="A5" s="435"/>
      <c r="B5" s="1401" t="e">
        <f>ROUND(B2/('数据-汇总表'!D3/666.67),0)</f>
        <v>#DIV/0!</v>
      </c>
      <c r="C5" s="740" t="s">
        <v>1971</v>
      </c>
      <c r="D5" s="1391"/>
      <c r="E5" s="1391"/>
      <c r="F5" s="1392"/>
      <c r="G5" s="1391"/>
      <c r="H5" s="1391"/>
      <c r="I5" s="1391"/>
      <c r="J5" s="1391"/>
      <c r="K5" s="1393"/>
      <c r="L5" s="1394"/>
      <c r="M5" s="1395"/>
      <c r="N5" s="1395"/>
      <c r="O5" s="1395"/>
      <c r="P5" s="1388"/>
      <c r="Q5" s="1388"/>
      <c r="R5" s="1388"/>
      <c r="S5" s="1388"/>
      <c r="T5" s="1388"/>
      <c r="U5" s="1388"/>
      <c r="V5" s="1388"/>
      <c r="W5" s="1388"/>
      <c r="X5" s="1388"/>
      <c r="Y5" s="1388"/>
      <c r="Z5" s="1388"/>
      <c r="AA5" s="1388"/>
      <c r="AB5" s="1388"/>
      <c r="AC5" s="1399"/>
    </row>
    <row r="6" ht="15" spans="1:29">
      <c r="A6" s="1402" t="s">
        <v>1128</v>
      </c>
      <c r="B6" s="1403"/>
      <c r="C6" s="1404" t="s">
        <v>1129</v>
      </c>
      <c r="D6" s="1405"/>
      <c r="E6" s="1406" t="s">
        <v>1130</v>
      </c>
      <c r="F6" s="1407"/>
      <c r="G6" s="1404" t="s">
        <v>1131</v>
      </c>
      <c r="H6" s="1405"/>
      <c r="I6" s="1404" t="s">
        <v>1132</v>
      </c>
      <c r="J6" s="1405"/>
      <c r="K6" s="1408"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29">
      <c r="A7" s="1419"/>
      <c r="B7" s="1420"/>
      <c r="C7" s="1421" t="s">
        <v>1135</v>
      </c>
      <c r="D7" s="1422"/>
      <c r="E7" s="1423" t="s">
        <v>1901</v>
      </c>
      <c r="F7" s="1424"/>
      <c r="G7" s="1421" t="s">
        <v>1902</v>
      </c>
      <c r="H7" s="1422"/>
      <c r="I7" s="1421" t="s">
        <v>1903</v>
      </c>
      <c r="J7" s="1422"/>
      <c r="K7" s="1408"/>
      <c r="L7" s="1409"/>
      <c r="M7" s="1410"/>
      <c r="N7" s="1410"/>
      <c r="O7" s="1410"/>
      <c r="P7" s="1425"/>
      <c r="Q7" s="1426"/>
      <c r="R7" s="1427"/>
      <c r="S7" s="1428"/>
      <c r="T7" s="1427"/>
      <c r="U7" s="1428"/>
      <c r="V7" s="820"/>
      <c r="W7" s="820"/>
      <c r="X7" s="1415"/>
      <c r="Y7" s="1429"/>
      <c r="Z7" s="1430"/>
      <c r="AA7" s="1415"/>
      <c r="AB7" s="1415"/>
      <c r="AC7" s="1415"/>
    </row>
    <row r="8" ht="15.75" spans="1:29">
      <c r="A8" s="1431"/>
      <c r="B8" s="1432"/>
      <c r="C8" s="1433" t="s">
        <v>2017</v>
      </c>
      <c r="D8" s="1434"/>
      <c r="E8" s="1435" t="s">
        <v>2017</v>
      </c>
      <c r="F8" s="1436"/>
      <c r="G8" s="1433" t="s">
        <v>2017</v>
      </c>
      <c r="H8" s="1434"/>
      <c r="I8" s="1433" t="s">
        <v>2017</v>
      </c>
      <c r="J8" s="1434"/>
      <c r="K8" s="1408" t="s">
        <v>1139</v>
      </c>
      <c r="L8" s="1409"/>
      <c r="M8" s="1410"/>
      <c r="N8" s="1410"/>
      <c r="O8" s="1410"/>
      <c r="P8" s="1437"/>
      <c r="Q8" s="1438"/>
      <c r="R8" s="1427"/>
      <c r="S8" s="1428"/>
      <c r="T8" s="1439"/>
      <c r="U8" s="1440"/>
      <c r="V8" s="820"/>
      <c r="W8" s="820"/>
      <c r="X8" s="1415"/>
      <c r="Y8" s="1441"/>
      <c r="Z8" s="1442"/>
      <c r="AA8" s="1443"/>
      <c r="AB8" s="1443"/>
      <c r="AC8" s="1443"/>
    </row>
    <row r="9" s="1371" customFormat="1" ht="15.75" spans="1:29">
      <c r="A9" s="1444" t="s">
        <v>1140</v>
      </c>
      <c r="B9" s="1445"/>
      <c r="C9" s="1446">
        <f>'数据-取费表'!B2</f>
        <v>46086</v>
      </c>
      <c r="D9" s="1447">
        <v>100</v>
      </c>
      <c r="E9" s="1448"/>
      <c r="F9" s="1449">
        <f>SUMIF(67:67,YEAR(E9)&amp;"-"&amp;INT((MONTH(E9)+2)/3),68:68)</f>
        <v>0</v>
      </c>
      <c r="G9" s="1450"/>
      <c r="H9" s="1451">
        <f>SUMIF(67:67,YEAR(G9)&amp;"-"&amp;INT((MONTH(G9)+2)/3),68:68)</f>
        <v>0</v>
      </c>
      <c r="I9" s="1450"/>
      <c r="J9" s="1451">
        <f>SUMIF(67:67,YEAR(I9)&amp;"-"&amp;INT((MONTH(I9)+2)/3),68:68)</f>
        <v>0</v>
      </c>
      <c r="K9" s="145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29">
      <c r="A10" s="1444" t="s">
        <v>1143</v>
      </c>
      <c r="B10" s="1445"/>
      <c r="C10" s="1463" t="s">
        <v>1194</v>
      </c>
      <c r="D10" s="1447">
        <v>100</v>
      </c>
      <c r="E10" s="1463"/>
      <c r="F10" s="1449">
        <f>SUMIF(70:70,E10,71:71)-SUMIF(70:70,C10,71:71)+100</f>
        <v>0</v>
      </c>
      <c r="G10" s="1463"/>
      <c r="H10" s="1451">
        <f>SUMIF(70:70,G10,71:71)-SUMIF(70:70,C10,71:71)+100</f>
        <v>0</v>
      </c>
      <c r="I10" s="1463"/>
      <c r="J10" s="1451">
        <f>SUMIF(70:70,I10,71:71)-SUMIF(70:70,C10,71:71)+100</f>
        <v>0</v>
      </c>
      <c r="K10" s="1452"/>
      <c r="L10" s="1453"/>
      <c r="M10" s="1454"/>
      <c r="N10" s="1454"/>
      <c r="O10" s="1454"/>
      <c r="P10" s="1455" t="s">
        <v>1145</v>
      </c>
      <c r="Q10" s="1464"/>
      <c r="R10" s="1457" t="s">
        <v>1142</v>
      </c>
      <c r="S10" s="1458">
        <f t="shared" si="0"/>
        <v>0</v>
      </c>
      <c r="T10" s="1457" t="s">
        <v>1142</v>
      </c>
      <c r="U10" s="1458">
        <f t="shared" si="1"/>
        <v>0</v>
      </c>
      <c r="V10" s="1457" t="s">
        <v>1142</v>
      </c>
      <c r="W10" s="1458">
        <f t="shared" si="2"/>
        <v>0</v>
      </c>
      <c r="X10" s="1459"/>
      <c r="Y10" s="1460" t="s">
        <v>1145</v>
      </c>
      <c r="Z10" s="1461"/>
      <c r="AA10" s="1462" t="e">
        <f t="shared" ref="AA10:AA42" si="3">D10/F10</f>
        <v>#DIV/0!</v>
      </c>
      <c r="AB10" s="1462" t="e">
        <f t="shared" ref="AB10:AB42" si="4">D10/H10</f>
        <v>#DIV/0!</v>
      </c>
      <c r="AC10" s="1462" t="e">
        <f t="shared" ref="AC10:AC42" si="5">D10/J10</f>
        <v>#DIV/0!</v>
      </c>
    </row>
    <row r="11" s="1371" customFormat="1" spans="1:29">
      <c r="A11" s="1465" t="s">
        <v>1146</v>
      </c>
      <c r="B11" s="1466" t="s">
        <v>1147</v>
      </c>
      <c r="C11" s="1467"/>
      <c r="D11" s="1468">
        <v>100</v>
      </c>
      <c r="E11" s="1467"/>
      <c r="F11" s="1469">
        <f>SUMIF(72:72,E11,73:73)-SUMIF(72:72,C11,73:73)+100</f>
        <v>100</v>
      </c>
      <c r="G11" s="1467"/>
      <c r="H11" s="1469">
        <f>SUMIF(72:72,G11,73:73)-SUMIF(72:72,C11,73:73)+100</f>
        <v>100</v>
      </c>
      <c r="I11" s="1467"/>
      <c r="J11" s="1469">
        <f>SUMIF(72:72,I11,73:73)-SUMIF(72:72,C11,73:73)+100</f>
        <v>100</v>
      </c>
      <c r="K11" s="145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29">
      <c r="A12" s="1471"/>
      <c r="B12" s="1472" t="s">
        <v>1151</v>
      </c>
      <c r="C12" s="1473"/>
      <c r="D12" s="1474">
        <v>100</v>
      </c>
      <c r="E12" s="1473"/>
      <c r="F12" s="1475">
        <f>ROUND(100/'数据-取费表'!G16,1)</f>
        <v>126.9</v>
      </c>
      <c r="G12" s="1473"/>
      <c r="H12" s="1475">
        <f>ROUND(100/'数据-取费表'!G16,1)</f>
        <v>126.9</v>
      </c>
      <c r="I12" s="1473"/>
      <c r="J12" s="1475">
        <f>ROUND(100/'数据-取费表'!G16,1)</f>
        <v>126.9</v>
      </c>
      <c r="K12" s="1476"/>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29">
      <c r="A13" s="1480"/>
      <c r="B13" s="1472" t="s">
        <v>1154</v>
      </c>
      <c r="C13" s="1481"/>
      <c r="D13" s="1474">
        <v>100</v>
      </c>
      <c r="E13" s="1481"/>
      <c r="F13" s="1475" t="e">
        <f>LOOKUP(E13,77:77,78:78)-LOOKUP(C13,77:77,78:78)+100</f>
        <v>#N/A</v>
      </c>
      <c r="G13" s="1482"/>
      <c r="H13" s="1475" t="e">
        <f>LOOKUP(G13,77:77,78:78)-LOOKUP(C13,77:77,78:78)+100</f>
        <v>#N/A</v>
      </c>
      <c r="I13" s="1481"/>
      <c r="J13" s="1475" t="e">
        <f>LOOKUP(I13,77:77,78:78)-LOOKUP(C13,77:77,78:78)+100</f>
        <v>#N/A</v>
      </c>
      <c r="K13" s="1483"/>
      <c r="L13" s="1484"/>
      <c r="M13" s="1410"/>
      <c r="N13" s="1410"/>
      <c r="O13" s="1485"/>
      <c r="P13" s="1070"/>
      <c r="Q13" s="1224" t="str">
        <f t="shared" si="6"/>
        <v>容积率</v>
      </c>
      <c r="R13" s="1457" t="s">
        <v>1142</v>
      </c>
      <c r="S13" s="1458" t="e">
        <f t="shared" si="0"/>
        <v>#N/A</v>
      </c>
      <c r="T13" s="1457" t="s">
        <v>1142</v>
      </c>
      <c r="U13" s="1458" t="e">
        <f t="shared" si="1"/>
        <v>#N/A</v>
      </c>
      <c r="V13" s="1457" t="s">
        <v>1142</v>
      </c>
      <c r="W13" s="1458" t="e">
        <f t="shared" si="2"/>
        <v>#N/A</v>
      </c>
      <c r="X13" s="1459"/>
      <c r="Y13" s="1188"/>
      <c r="Z13" s="1462" t="str">
        <f t="shared" si="7"/>
        <v>容积率</v>
      </c>
      <c r="AA13" s="1462" t="e">
        <f t="shared" si="3"/>
        <v>#N/A</v>
      </c>
      <c r="AB13" s="1462" t="e">
        <f t="shared" si="4"/>
        <v>#N/A</v>
      </c>
      <c r="AC13" s="1462" t="e">
        <f t="shared" si="5"/>
        <v>#N/A</v>
      </c>
    </row>
    <row r="14" s="1371" customFormat="1" ht="15" spans="1:29">
      <c r="A14" s="1486"/>
      <c r="B14" s="1487">
        <v>111</v>
      </c>
      <c r="C14" s="1473"/>
      <c r="D14" s="1488">
        <v>100</v>
      </c>
      <c r="E14" s="1489"/>
      <c r="F14" s="1475">
        <f>SUMIF(79:79,E14,80:80)-SUMIF(79:79,C14,80:80)+100</f>
        <v>100</v>
      </c>
      <c r="G14" s="1490"/>
      <c r="H14" s="1475">
        <f>SUMIF(79:79,G14,80:80)-SUMIF(79:79,C14,80:80)+100</f>
        <v>100</v>
      </c>
      <c r="I14" s="1489"/>
      <c r="J14" s="1475">
        <f>SUMIF(79:79,I14,80:80)-SUMIF(79:79,C14,80:80)+100</f>
        <v>100</v>
      </c>
      <c r="K14" s="1476"/>
      <c r="L14" s="1453"/>
      <c r="M14" s="1454"/>
      <c r="N14" s="1454"/>
      <c r="O14" s="1470"/>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15" spans="1:29">
      <c r="A15" s="1480"/>
      <c r="B15" s="1487">
        <v>111</v>
      </c>
      <c r="C15" s="1491"/>
      <c r="D15" s="1492">
        <v>100</v>
      </c>
      <c r="E15" s="1489"/>
      <c r="F15" s="1475">
        <f>SUMIF(81:81,E15,82:82)-SUMIF(81:81,C15,82:82)+100</f>
        <v>100</v>
      </c>
      <c r="G15" s="1490"/>
      <c r="H15" s="1493">
        <f>SUMIF(81:81,G15,82:82)-SUMIF(81:81,C15,82:82)+100</f>
        <v>100</v>
      </c>
      <c r="I15" s="1489"/>
      <c r="J15" s="1493">
        <f>SUMIF(81:81,I15,82:82)-SUMIF(81:81,C15,82:82)+100</f>
        <v>100</v>
      </c>
      <c r="K15" s="1476"/>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29">
      <c r="A16" s="1495"/>
      <c r="B16" s="1496">
        <v>111</v>
      </c>
      <c r="C16" s="1497"/>
      <c r="D16" s="1498">
        <v>100</v>
      </c>
      <c r="E16" s="1489"/>
      <c r="F16" s="1499">
        <f>SUMIF(83:83,E16,84:84)-SUMIF(83:83,C16,84:84)+100</f>
        <v>100</v>
      </c>
      <c r="G16" s="1490"/>
      <c r="H16" s="1499">
        <f>SUMIF(83:83,G16,84:84)-SUMIF(83:83,C16,84:84)+100</f>
        <v>100</v>
      </c>
      <c r="I16" s="1489"/>
      <c r="J16" s="1499">
        <f>SUMIF(83:83,I16,84:84)-SUMIF(83:83,C16,84:84)+100</f>
        <v>100</v>
      </c>
      <c r="K16" s="1476"/>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56.25" spans="1:29">
      <c r="A17" s="1500" t="s">
        <v>1155</v>
      </c>
      <c r="B17" s="1501" t="s">
        <v>1156</v>
      </c>
      <c r="C17" s="1502" t="str">
        <f>估价对象房地状况!G15</f>
        <v>估价对象位于XX开发区，园区建设成熟度XX，产业集聚程度XX</v>
      </c>
      <c r="D17" s="1503">
        <v>100</v>
      </c>
      <c r="E17" s="1504"/>
      <c r="F17" s="1505">
        <f>SUMIF(85:85,E18,86:86)-SUMIF(85:85,C18,86:86)+100</f>
        <v>100</v>
      </c>
      <c r="G17" s="1504"/>
      <c r="H17" s="1505">
        <f>SUMIF(85:85,G18,86:86)-SUMIF(85:85,C18,86:86)+100</f>
        <v>100</v>
      </c>
      <c r="I17" s="1506"/>
      <c r="J17" s="1505">
        <f>SUMIF(85:85,I18,86:86)-SUMIF(85:85,C18,86:86)+100</f>
        <v>100</v>
      </c>
      <c r="K17" s="1483"/>
      <c r="L17" s="1494"/>
      <c r="M17" s="1410"/>
      <c r="N17" s="1410"/>
      <c r="O17" s="1485"/>
      <c r="P17" s="1073" t="s">
        <v>1157</v>
      </c>
      <c r="Q17" s="1070" t="str">
        <f t="shared" si="6"/>
        <v>产业集聚程度</v>
      </c>
      <c r="R17" s="1507" t="s">
        <v>1142</v>
      </c>
      <c r="S17" s="1508">
        <f t="shared" si="0"/>
        <v>100</v>
      </c>
      <c r="T17" s="1507" t="s">
        <v>1142</v>
      </c>
      <c r="U17" s="1508">
        <f t="shared" si="1"/>
        <v>100</v>
      </c>
      <c r="V17" s="1507" t="s">
        <v>1142</v>
      </c>
      <c r="W17" s="1508">
        <f t="shared" si="2"/>
        <v>100</v>
      </c>
      <c r="X17" s="1415"/>
      <c r="Y17" s="1509" t="s">
        <v>1157</v>
      </c>
      <c r="Z17" s="1510" t="str">
        <f t="shared" si="7"/>
        <v>产业集聚程度</v>
      </c>
      <c r="AA17" s="1510">
        <f t="shared" si="3"/>
        <v>1</v>
      </c>
      <c r="AB17" s="1510">
        <f t="shared" si="4"/>
        <v>1</v>
      </c>
      <c r="AC17" s="1510">
        <f t="shared" si="5"/>
        <v>1</v>
      </c>
    </row>
    <row r="18" ht="15" spans="1:29">
      <c r="A18" s="1480"/>
      <c r="B18" s="1511"/>
      <c r="C18" s="1512"/>
      <c r="D18" s="1513"/>
      <c r="E18" s="1514"/>
      <c r="F18" s="1515"/>
      <c r="G18" s="1514"/>
      <c r="H18" s="1516"/>
      <c r="I18" s="1514"/>
      <c r="J18" s="1515"/>
      <c r="K18" s="1476"/>
      <c r="L18" s="1494"/>
      <c r="M18" s="1410"/>
      <c r="N18" s="1410"/>
      <c r="O18" s="1485"/>
      <c r="P18" s="1517"/>
      <c r="Q18" s="1070"/>
      <c r="R18" s="1507"/>
      <c r="S18" s="1508"/>
      <c r="T18" s="1507"/>
      <c r="U18" s="1508"/>
      <c r="V18" s="1507"/>
      <c r="W18" s="1508"/>
      <c r="X18" s="1415"/>
      <c r="Y18" s="1518"/>
      <c r="Z18" s="1510"/>
      <c r="AA18" s="1510">
        <v>1</v>
      </c>
      <c r="AB18" s="1510">
        <v>1</v>
      </c>
      <c r="AC18" s="1510">
        <v>1</v>
      </c>
    </row>
    <row r="19" ht="81" spans="1:29">
      <c r="A19" s="1480"/>
      <c r="B19" s="1519" t="s">
        <v>1159</v>
      </c>
      <c r="C19" s="1520" t="str">
        <f>估价对象房地状况!G16</f>
        <v>估价对象周边道路状况、公共交通通达情况、停车便捷程度，综合评价交通便捷度较好</v>
      </c>
      <c r="D19" s="1521">
        <v>100</v>
      </c>
      <c r="E19" s="1522"/>
      <c r="F19" s="1523">
        <f>SUMIF(87:87,E20,88:88)-SUMIF(87:87,C20,88:88)+100</f>
        <v>100</v>
      </c>
      <c r="G19" s="1522"/>
      <c r="H19" s="1523">
        <f>SUMIF(87:87,G20,88:88)-SUMIF(87:87,C20,88:88)+100</f>
        <v>100</v>
      </c>
      <c r="I19" s="1524"/>
      <c r="J19" s="1516">
        <f>SUMIF(87:87,I20,88:88)-SUMIF(87:87,C20,88:88)+100</f>
        <v>100</v>
      </c>
      <c r="K19" s="1483"/>
      <c r="L19" s="1494"/>
      <c r="M19" s="1410"/>
      <c r="N19" s="1410"/>
      <c r="O19" s="1485"/>
      <c r="P19" s="1517"/>
      <c r="Q19" s="1070" t="str">
        <f>B19</f>
        <v>交通便捷度</v>
      </c>
      <c r="R19" s="1507" t="s">
        <v>1142</v>
      </c>
      <c r="S19" s="1508">
        <f>F19</f>
        <v>100</v>
      </c>
      <c r="T19" s="1507" t="s">
        <v>1142</v>
      </c>
      <c r="U19" s="1508">
        <f>H19</f>
        <v>100</v>
      </c>
      <c r="V19" s="1507" t="s">
        <v>1142</v>
      </c>
      <c r="W19" s="1508">
        <f>J19</f>
        <v>100</v>
      </c>
      <c r="X19" s="1415"/>
      <c r="Y19" s="1518"/>
      <c r="Z19" s="1510" t="str">
        <f>Q19</f>
        <v>交通便捷度</v>
      </c>
      <c r="AA19" s="1510">
        <f t="shared" si="3"/>
        <v>1</v>
      </c>
      <c r="AB19" s="1510">
        <f t="shared" si="4"/>
        <v>1</v>
      </c>
      <c r="AC19" s="1510">
        <f t="shared" si="5"/>
        <v>1</v>
      </c>
    </row>
    <row r="20" ht="15" spans="1:29">
      <c r="A20" s="1480"/>
      <c r="B20" s="1525"/>
      <c r="C20" s="1512"/>
      <c r="D20" s="1513"/>
      <c r="E20" s="1526"/>
      <c r="F20" s="1515"/>
      <c r="G20" s="1526"/>
      <c r="H20" s="1515"/>
      <c r="I20" s="1527"/>
      <c r="J20" s="1515"/>
      <c r="K20" s="1476"/>
      <c r="L20" s="1494"/>
      <c r="M20" s="1410"/>
      <c r="N20" s="1410"/>
      <c r="O20" s="1485"/>
      <c r="P20" s="1517"/>
      <c r="Q20" s="1070"/>
      <c r="R20" s="1507"/>
      <c r="S20" s="1508"/>
      <c r="T20" s="1507"/>
      <c r="U20" s="1508"/>
      <c r="V20" s="1507"/>
      <c r="W20" s="1508"/>
      <c r="X20" s="1415"/>
      <c r="Y20" s="1518"/>
      <c r="Z20" s="1510"/>
      <c r="AA20" s="1510">
        <v>1</v>
      </c>
      <c r="AB20" s="1510">
        <v>1</v>
      </c>
      <c r="AC20" s="1510">
        <v>1</v>
      </c>
    </row>
    <row r="21" ht="15" spans="1:29">
      <c r="A21" s="1480"/>
      <c r="B21" s="1519" t="s">
        <v>1973</v>
      </c>
      <c r="C21" s="1520">
        <f>估价对象房地状况!G17</f>
        <v>0</v>
      </c>
      <c r="D21" s="1521">
        <v>100</v>
      </c>
      <c r="E21" s="1522"/>
      <c r="F21" s="1523">
        <f>SUMIF(89:89,E22,90:90)-SUMIF(89:89,C22,90:90)+100</f>
        <v>100</v>
      </c>
      <c r="G21" s="1522"/>
      <c r="H21" s="1523">
        <f>SUMIF(89:89,G22,90:90)-SUMIF(89:89,C22,90:90)+100</f>
        <v>100</v>
      </c>
      <c r="I21" s="1522"/>
      <c r="J21" s="1523">
        <f>SUMIF(89:89,I22,90:90)-SUMIF(89:89,C22,90:90)+100</f>
        <v>100</v>
      </c>
      <c r="K21" s="1483"/>
      <c r="L21" s="1494"/>
      <c r="M21" s="1410"/>
      <c r="N21" s="1410"/>
      <c r="O21" s="1485"/>
      <c r="P21" s="1517"/>
      <c r="Q21" s="1070" t="str">
        <f t="shared" ref="Q21:Q36" si="8">B21</f>
        <v>区域土地利用方向</v>
      </c>
      <c r="R21" s="1507" t="s">
        <v>1142</v>
      </c>
      <c r="S21" s="1508">
        <f>F21</f>
        <v>100</v>
      </c>
      <c r="T21" s="1507" t="s">
        <v>1142</v>
      </c>
      <c r="U21" s="1508">
        <f>H21</f>
        <v>100</v>
      </c>
      <c r="V21" s="1507" t="s">
        <v>1142</v>
      </c>
      <c r="W21" s="1508">
        <f>J21</f>
        <v>100</v>
      </c>
      <c r="X21" s="1415"/>
      <c r="Y21" s="1518"/>
      <c r="Z21" s="1510" t="str">
        <f>Q21</f>
        <v>区域土地利用方向</v>
      </c>
      <c r="AA21" s="1510">
        <f t="shared" si="3"/>
        <v>1</v>
      </c>
      <c r="AB21" s="1510">
        <f t="shared" si="4"/>
        <v>1</v>
      </c>
      <c r="AC21" s="1510">
        <f t="shared" si="5"/>
        <v>1</v>
      </c>
    </row>
    <row r="22" ht="15" spans="1:29">
      <c r="A22" s="1419"/>
      <c r="B22" s="1525"/>
      <c r="C22" s="1512"/>
      <c r="D22" s="1513"/>
      <c r="E22" s="1526"/>
      <c r="F22" s="1515"/>
      <c r="G22" s="1526"/>
      <c r="H22" s="1515"/>
      <c r="I22" s="1526"/>
      <c r="J22" s="1515"/>
      <c r="K22" s="1528"/>
      <c r="L22" s="1494"/>
      <c r="M22" s="1410"/>
      <c r="N22" s="1410"/>
      <c r="O22" s="1485"/>
      <c r="P22" s="1517"/>
      <c r="Q22" s="1070"/>
      <c r="R22" s="1507"/>
      <c r="S22" s="1508"/>
      <c r="T22" s="1507"/>
      <c r="U22" s="1508"/>
      <c r="V22" s="1507"/>
      <c r="W22" s="1508"/>
      <c r="X22" s="1415"/>
      <c r="Y22" s="1518"/>
      <c r="Z22" s="1510"/>
      <c r="AA22" s="1510"/>
      <c r="AB22" s="1510"/>
      <c r="AC22" s="1510"/>
    </row>
    <row r="23" ht="67.5" spans="1:29">
      <c r="A23" s="1419"/>
      <c r="B23" s="1519" t="s">
        <v>2018</v>
      </c>
      <c r="C23" s="1520" t="str">
        <f>估价对象房地状况!G18</f>
        <v>该园区内是否有污染型企业，绿化情况，卫生条件，整体环境状况判断</v>
      </c>
      <c r="D23" s="1521">
        <v>100</v>
      </c>
      <c r="E23" s="1522"/>
      <c r="F23" s="1516">
        <f>SUMIF(91:91,E24,92:92)-SUMIF(91:91,C24,92:92)+100</f>
        <v>100</v>
      </c>
      <c r="G23" s="1522"/>
      <c r="H23" s="1516">
        <f>SUMIF(91:91,G24,92:92)-SUMIF(91:91,C24,92:92)+100</f>
        <v>100</v>
      </c>
      <c r="I23" s="1524"/>
      <c r="J23" s="1516">
        <f>SUMIF(91:91,I24,92:92)-SUMIF(91:91,C24,92:92)+100</f>
        <v>100</v>
      </c>
      <c r="K23" s="1483"/>
      <c r="L23" s="1494"/>
      <c r="M23" s="1410"/>
      <c r="N23" s="1410"/>
      <c r="O23" s="1485"/>
      <c r="P23" s="1517"/>
      <c r="Q23" s="1070" t="str">
        <f t="shared" si="8"/>
        <v>环境状况</v>
      </c>
      <c r="R23" s="1507" t="s">
        <v>1142</v>
      </c>
      <c r="S23" s="1508">
        <f>F23</f>
        <v>100</v>
      </c>
      <c r="T23" s="1507" t="s">
        <v>1142</v>
      </c>
      <c r="U23" s="1508">
        <f>H23</f>
        <v>100</v>
      </c>
      <c r="V23" s="1507" t="s">
        <v>1142</v>
      </c>
      <c r="W23" s="1508">
        <f>J23</f>
        <v>100</v>
      </c>
      <c r="X23" s="1415"/>
      <c r="Y23" s="1518"/>
      <c r="Z23" s="1510" t="str">
        <f>Q23</f>
        <v>环境状况</v>
      </c>
      <c r="AA23" s="1510">
        <f t="shared" si="3"/>
        <v>1</v>
      </c>
      <c r="AB23" s="1510">
        <f t="shared" si="4"/>
        <v>1</v>
      </c>
      <c r="AC23" s="1510">
        <f t="shared" si="5"/>
        <v>1</v>
      </c>
    </row>
    <row r="24" ht="15" spans="1:29">
      <c r="A24" s="1419"/>
      <c r="B24" s="1525"/>
      <c r="C24" s="1512"/>
      <c r="D24" s="1513"/>
      <c r="E24" s="1514"/>
      <c r="F24" s="1515"/>
      <c r="G24" s="1514"/>
      <c r="H24" s="1515"/>
      <c r="I24" s="1512"/>
      <c r="J24" s="1515"/>
      <c r="K24" s="1476"/>
      <c r="L24" s="1494"/>
      <c r="M24" s="1410"/>
      <c r="N24" s="1410"/>
      <c r="O24" s="1485"/>
      <c r="P24" s="1517"/>
      <c r="Q24" s="1070"/>
      <c r="R24" s="1507"/>
      <c r="S24" s="1508"/>
      <c r="T24" s="1507"/>
      <c r="U24" s="1508"/>
      <c r="V24" s="1507"/>
      <c r="W24" s="1508"/>
      <c r="X24" s="1415"/>
      <c r="Y24" s="1518"/>
      <c r="Z24" s="1510"/>
      <c r="AA24" s="1510">
        <v>1</v>
      </c>
      <c r="AB24" s="1510">
        <v>1</v>
      </c>
      <c r="AC24" s="1510">
        <v>1</v>
      </c>
    </row>
    <row r="25" s="1371" customFormat="1" ht="40.5" spans="1:29">
      <c r="A25" s="1529"/>
      <c r="B25" s="1530" t="s">
        <v>1160</v>
      </c>
      <c r="C25" s="1520" t="str">
        <f>估价对象房地状况!G19</f>
        <v>估价对象所在区域公共配套设施齐备情况</v>
      </c>
      <c r="D25" s="1521">
        <v>100</v>
      </c>
      <c r="E25" s="1522"/>
      <c r="F25" s="1516">
        <f>SUMIF(93:93,E26,94:94)-SUMIF(93:93,C26,94:94)+100</f>
        <v>100</v>
      </c>
      <c r="G25" s="1522"/>
      <c r="H25" s="1516">
        <f>SUMIF(93:93,G26,94:94)-SUMIF(93:93,C26,94:94)+100</f>
        <v>100</v>
      </c>
      <c r="I25" s="1524"/>
      <c r="J25" s="1516">
        <f>SUMIF(93:93,I26,94:94)-SUMIF(93:93,C26,94:94)+100</f>
        <v>100</v>
      </c>
      <c r="K25" s="1483"/>
      <c r="L25" s="1453"/>
      <c r="M25" s="1454"/>
      <c r="N25" s="1454"/>
      <c r="O25" s="1470"/>
      <c r="P25" s="1517"/>
      <c r="Q25" s="1224" t="str">
        <f t="shared" si="8"/>
        <v>公共配套设施</v>
      </c>
      <c r="R25" s="1457" t="s">
        <v>1142</v>
      </c>
      <c r="S25" s="1458">
        <f>F25</f>
        <v>100</v>
      </c>
      <c r="T25" s="1457" t="s">
        <v>1142</v>
      </c>
      <c r="U25" s="1458">
        <f>H25</f>
        <v>100</v>
      </c>
      <c r="V25" s="1457" t="s">
        <v>1142</v>
      </c>
      <c r="W25" s="1458">
        <f>J25</f>
        <v>100</v>
      </c>
      <c r="X25" s="1459"/>
      <c r="Y25" s="1518"/>
      <c r="Z25" s="1462" t="str">
        <f>Q25</f>
        <v>公共配套设施</v>
      </c>
      <c r="AA25" s="1510">
        <f>D25/F25</f>
        <v>1</v>
      </c>
      <c r="AB25" s="1510">
        <f>D25/H25</f>
        <v>1</v>
      </c>
      <c r="AC25" s="1510">
        <f>D25/J25</f>
        <v>1</v>
      </c>
    </row>
    <row r="26" s="1371" customFormat="1" ht="15" spans="1:29">
      <c r="A26" s="1529"/>
      <c r="B26" s="1525"/>
      <c r="C26" s="1531"/>
      <c r="D26" s="1513"/>
      <c r="E26" s="1514"/>
      <c r="F26" s="1515"/>
      <c r="G26" s="1514"/>
      <c r="H26" s="1515"/>
      <c r="I26" s="1512"/>
      <c r="J26" s="1515"/>
      <c r="K26" s="1476"/>
      <c r="L26" s="1453"/>
      <c r="M26" s="1454"/>
      <c r="N26" s="1454"/>
      <c r="O26" s="1470"/>
      <c r="P26" s="1517"/>
      <c r="Q26" s="1224"/>
      <c r="R26" s="1457"/>
      <c r="S26" s="1458"/>
      <c r="T26" s="1457"/>
      <c r="U26" s="1458"/>
      <c r="V26" s="1457"/>
      <c r="W26" s="1458"/>
      <c r="X26" s="1459"/>
      <c r="Y26" s="1518"/>
      <c r="Z26" s="1462"/>
      <c r="AA26" s="1462">
        <v>1</v>
      </c>
      <c r="AB26" s="1462">
        <v>1</v>
      </c>
      <c r="AC26" s="1462">
        <v>1</v>
      </c>
    </row>
    <row r="27" s="1371" customFormat="1" ht="27" spans="1:29">
      <c r="A27" s="1529"/>
      <c r="B27" s="1530" t="s">
        <v>1162</v>
      </c>
      <c r="C27" s="1520" t="str">
        <f>估价对象房地状况!G20</f>
        <v>估价对象所在区域基础设施水平</v>
      </c>
      <c r="D27" s="1521">
        <v>100</v>
      </c>
      <c r="E27" s="1522"/>
      <c r="F27" s="1516">
        <f>SUMIF(95:95,E28,96:96)-SUMIF(95:95,C28,96:96)+100</f>
        <v>100</v>
      </c>
      <c r="G27" s="1522"/>
      <c r="H27" s="1516">
        <f>SUMIF(95:95,G28,96:96)-SUMIF(95:95,C28,96:96)+100</f>
        <v>100</v>
      </c>
      <c r="I27" s="1524"/>
      <c r="J27" s="1516">
        <f>SUMIF(95:95,I28,96:96)-SUMIF(95:95,C28,96:96)+100</f>
        <v>100</v>
      </c>
      <c r="K27" s="1483"/>
      <c r="L27" s="1453"/>
      <c r="M27" s="1454"/>
      <c r="N27" s="1454"/>
      <c r="O27" s="1470"/>
      <c r="P27" s="1517"/>
      <c r="Q27" s="1224" t="str">
        <f t="shared" ref="Q27" si="9">B27</f>
        <v>基础设施水平</v>
      </c>
      <c r="R27" s="1457" t="s">
        <v>1142</v>
      </c>
      <c r="S27" s="1458">
        <f>F27</f>
        <v>100</v>
      </c>
      <c r="T27" s="1457" t="s">
        <v>1142</v>
      </c>
      <c r="U27" s="1458">
        <f>H27</f>
        <v>100</v>
      </c>
      <c r="V27" s="1457" t="s">
        <v>1142</v>
      </c>
      <c r="W27" s="1458">
        <f>J27</f>
        <v>100</v>
      </c>
      <c r="X27" s="1459"/>
      <c r="Y27" s="1518"/>
      <c r="Z27" s="1462" t="str">
        <f>Q27</f>
        <v>基础设施水平</v>
      </c>
      <c r="AA27" s="1510">
        <f>D27/F27</f>
        <v>1</v>
      </c>
      <c r="AB27" s="1510">
        <f>D27/H27</f>
        <v>1</v>
      </c>
      <c r="AC27" s="1510">
        <f>D27/J27</f>
        <v>1</v>
      </c>
    </row>
    <row r="28" s="1371" customFormat="1" ht="15" spans="1:29">
      <c r="A28" s="1529"/>
      <c r="B28" s="1525"/>
      <c r="C28" s="1531"/>
      <c r="D28" s="1513"/>
      <c r="E28" s="1532"/>
      <c r="F28" s="1515"/>
      <c r="G28" s="1532"/>
      <c r="H28" s="1515"/>
      <c r="I28" s="1532"/>
      <c r="J28" s="1515"/>
      <c r="K28" s="1476"/>
      <c r="L28" s="1453"/>
      <c r="M28" s="1454"/>
      <c r="N28" s="1454"/>
      <c r="O28" s="1470"/>
      <c r="P28" s="1517"/>
      <c r="Q28" s="1224"/>
      <c r="R28" s="1457"/>
      <c r="S28" s="1458"/>
      <c r="T28" s="1457"/>
      <c r="U28" s="1458"/>
      <c r="V28" s="1457"/>
      <c r="W28" s="1458"/>
      <c r="X28" s="1459"/>
      <c r="Y28" s="1518"/>
      <c r="Z28" s="1462"/>
      <c r="AA28" s="1462">
        <v>1</v>
      </c>
      <c r="AB28" s="1462">
        <v>1</v>
      </c>
      <c r="AC28" s="1462">
        <v>1</v>
      </c>
    </row>
    <row r="29" ht="15" spans="1:29">
      <c r="A29" s="1480"/>
      <c r="B29" s="1525" t="s">
        <v>1934</v>
      </c>
      <c r="C29" s="1533"/>
      <c r="D29" s="1492">
        <v>100</v>
      </c>
      <c r="E29" s="1534"/>
      <c r="F29" s="1493">
        <f>SUMIF(97:97,E29,98:98)-SUMIF(97:97,C29,98:98)+100</f>
        <v>100</v>
      </c>
      <c r="G29" s="1534"/>
      <c r="H29" s="1493">
        <f>SUMIF(97:97,G29,98:98)-SUMIF(97:97,C29,98:98)+100</f>
        <v>100</v>
      </c>
      <c r="I29" s="1534"/>
      <c r="J29" s="1493">
        <f>SUMIF(97:97,I29,98:98)-SUMIF(97:97,C29,98:98)+100</f>
        <v>100</v>
      </c>
      <c r="K29" s="1483"/>
      <c r="L29" s="1494"/>
      <c r="M29" s="1410"/>
      <c r="N29" s="1410"/>
      <c r="O29" s="1485"/>
      <c r="P29" s="1517"/>
      <c r="Q29" s="1070" t="str">
        <f t="shared" si="8"/>
        <v>临街状况</v>
      </c>
      <c r="R29" s="1507" t="s">
        <v>1142</v>
      </c>
      <c r="S29" s="1508">
        <f t="shared" ref="S29:S42" si="10">F29</f>
        <v>100</v>
      </c>
      <c r="T29" s="1507" t="s">
        <v>1142</v>
      </c>
      <c r="U29" s="1508">
        <f t="shared" ref="U29:U42" si="11">H29</f>
        <v>100</v>
      </c>
      <c r="V29" s="1507" t="s">
        <v>1142</v>
      </c>
      <c r="W29" s="1508">
        <f t="shared" ref="W29:W42" si="12">J29</f>
        <v>100</v>
      </c>
      <c r="X29" s="1415"/>
      <c r="Y29" s="1518"/>
      <c r="Z29" s="1510" t="str">
        <f t="shared" ref="Z29:Z42" si="13">Q29</f>
        <v>临街状况</v>
      </c>
      <c r="AA29" s="1510">
        <f t="shared" si="3"/>
        <v>1</v>
      </c>
      <c r="AB29" s="1510">
        <f t="shared" si="4"/>
        <v>1</v>
      </c>
      <c r="AC29" s="1510">
        <f t="shared" si="5"/>
        <v>1</v>
      </c>
    </row>
    <row r="30" ht="27" spans="1:29">
      <c r="A30" s="1480"/>
      <c r="B30" s="1530" t="s">
        <v>1946</v>
      </c>
      <c r="C30" s="1535">
        <f>估价对象房地状况!G22</f>
        <v>0</v>
      </c>
      <c r="D30" s="1521">
        <v>100</v>
      </c>
      <c r="E30" s="1522"/>
      <c r="F30" s="1516">
        <f>SUMIF(99:99,E31,100:100)-SUMIF(99:99,C31,100:100)+100</f>
        <v>100</v>
      </c>
      <c r="G30" s="1522"/>
      <c r="H30" s="1516">
        <f>SUMIF(99:99,G31,100:100)-SUMIF(99:99,C31,100:100)+100</f>
        <v>100</v>
      </c>
      <c r="I30" s="1524"/>
      <c r="J30" s="1516">
        <f>SUMIF(99:99,I31,100:100)-SUMIF(99:99,C31,100:100)+100</f>
        <v>100</v>
      </c>
      <c r="K30" s="1483"/>
      <c r="L30" s="1494"/>
      <c r="M30" s="1410"/>
      <c r="N30" s="1410"/>
      <c r="O30" s="1485"/>
      <c r="P30" s="1517"/>
      <c r="Q30" s="1070" t="str">
        <f t="shared" si="8"/>
        <v>毗邻道路的类型与等级</v>
      </c>
      <c r="R30" s="1507" t="s">
        <v>1142</v>
      </c>
      <c r="S30" s="1508">
        <f t="shared" si="10"/>
        <v>100</v>
      </c>
      <c r="T30" s="1507" t="s">
        <v>1142</v>
      </c>
      <c r="U30" s="1508">
        <f t="shared" si="11"/>
        <v>100</v>
      </c>
      <c r="V30" s="1507" t="s">
        <v>1142</v>
      </c>
      <c r="W30" s="1508">
        <f t="shared" si="12"/>
        <v>100</v>
      </c>
      <c r="X30" s="1415"/>
      <c r="Y30" s="1518"/>
      <c r="Z30" s="1510" t="str">
        <f t="shared" si="13"/>
        <v>毗邻道路的类型与等级</v>
      </c>
      <c r="AA30" s="1510">
        <f t="shared" si="3"/>
        <v>1</v>
      </c>
      <c r="AB30" s="1510">
        <f t="shared" si="4"/>
        <v>1</v>
      </c>
      <c r="AC30" s="1510">
        <f t="shared" si="5"/>
        <v>1</v>
      </c>
    </row>
    <row r="31" ht="15" spans="1:29">
      <c r="A31" s="1480"/>
      <c r="B31" s="1525"/>
      <c r="C31" s="1512"/>
      <c r="D31" s="1513"/>
      <c r="E31" s="1514"/>
      <c r="F31" s="1515"/>
      <c r="G31" s="1514"/>
      <c r="H31" s="1515"/>
      <c r="I31" s="1514"/>
      <c r="J31" s="1515"/>
      <c r="K31" s="1536"/>
      <c r="L31" s="1494"/>
      <c r="M31" s="1410"/>
      <c r="N31" s="1410"/>
      <c r="O31" s="1485"/>
      <c r="P31" s="1517"/>
      <c r="Q31" s="1070"/>
      <c r="R31" s="1507"/>
      <c r="S31" s="1508"/>
      <c r="T31" s="1507"/>
      <c r="U31" s="1508"/>
      <c r="V31" s="1507"/>
      <c r="W31" s="1508"/>
      <c r="X31" s="1415"/>
      <c r="Y31" s="1518"/>
      <c r="Z31" s="1510"/>
      <c r="AA31" s="1510">
        <v>1</v>
      </c>
      <c r="AB31" s="1510">
        <v>1</v>
      </c>
      <c r="AC31" s="1510">
        <v>1</v>
      </c>
    </row>
    <row r="32" ht="15" spans="1:29">
      <c r="A32" s="1480"/>
      <c r="B32" s="1537" t="s">
        <v>1975</v>
      </c>
      <c r="C32" s="1538">
        <f>估价对象房地状况!G23</f>
        <v>0</v>
      </c>
      <c r="D32" s="1492">
        <v>100</v>
      </c>
      <c r="E32" s="1534"/>
      <c r="F32" s="1493">
        <f>SUMIF(101:101,E32,102:102)-SUMIF(101:101,C32,102:102)+100</f>
        <v>100</v>
      </c>
      <c r="G32" s="1534"/>
      <c r="H32" s="1493">
        <f>SUMIF(101:101,G32,102:102)-SUMIF(101:101,C32,102:102)+100</f>
        <v>100</v>
      </c>
      <c r="I32" s="1534"/>
      <c r="J32" s="1493">
        <f>SUMIF(101:101,I32,102:102)-SUMIF(101:101,C32,102:102)+100</f>
        <v>100</v>
      </c>
      <c r="K32" s="1539"/>
      <c r="L32" s="1494"/>
      <c r="M32" s="1410"/>
      <c r="N32" s="1410"/>
      <c r="O32" s="1485"/>
      <c r="P32" s="1517"/>
      <c r="Q32" s="1070" t="str">
        <f t="shared" si="8"/>
        <v>土地级别</v>
      </c>
      <c r="R32" s="1507" t="s">
        <v>1142</v>
      </c>
      <c r="S32" s="1508">
        <f t="shared" si="10"/>
        <v>100</v>
      </c>
      <c r="T32" s="1507" t="s">
        <v>1142</v>
      </c>
      <c r="U32" s="1508">
        <f t="shared" si="11"/>
        <v>100</v>
      </c>
      <c r="V32" s="1507" t="s">
        <v>1142</v>
      </c>
      <c r="W32" s="1508">
        <f t="shared" si="12"/>
        <v>100</v>
      </c>
      <c r="X32" s="1415"/>
      <c r="Y32" s="1518"/>
      <c r="Z32" s="1510" t="str">
        <f t="shared" si="13"/>
        <v>土地级别</v>
      </c>
      <c r="AA32" s="1510">
        <f t="shared" si="3"/>
        <v>1</v>
      </c>
      <c r="AB32" s="1510">
        <f t="shared" si="4"/>
        <v>1</v>
      </c>
      <c r="AC32" s="1510">
        <f t="shared" si="5"/>
        <v>1</v>
      </c>
    </row>
    <row r="33" ht="15" spans="1:31">
      <c r="A33" s="1419"/>
      <c r="B33" s="1540">
        <v>111</v>
      </c>
      <c r="C33" s="1490"/>
      <c r="D33" s="1492">
        <v>100</v>
      </c>
      <c r="E33" s="1541"/>
      <c r="F33" s="1493">
        <f>SUMIF(103:103,E33,104:104)-SUMIF(103:103,C33,104:104)+100</f>
        <v>100</v>
      </c>
      <c r="G33" s="1541"/>
      <c r="H33" s="1493">
        <f>SUMIF(103:103,G33,104:104)-SUMIF(103:103,C33,104:104)+100</f>
        <v>100</v>
      </c>
      <c r="I33" s="1489"/>
      <c r="J33" s="1493">
        <f>SUMIF(103:103,I33,104:104)-SUMIF(103:103,C33,104:104)+100</f>
        <v>100</v>
      </c>
      <c r="K33" s="1536"/>
      <c r="L33" s="1494"/>
      <c r="M33" s="1410"/>
      <c r="N33" s="1410"/>
      <c r="O33" s="1485"/>
      <c r="P33" s="1517"/>
      <c r="Q33" s="1070">
        <f t="shared" si="8"/>
        <v>111</v>
      </c>
      <c r="R33" s="1507" t="s">
        <v>1142</v>
      </c>
      <c r="S33" s="1508">
        <f t="shared" si="10"/>
        <v>100</v>
      </c>
      <c r="T33" s="1507" t="s">
        <v>1142</v>
      </c>
      <c r="U33" s="1508">
        <f t="shared" si="11"/>
        <v>100</v>
      </c>
      <c r="V33" s="1507" t="s">
        <v>1142</v>
      </c>
      <c r="W33" s="1508">
        <f t="shared" si="12"/>
        <v>100</v>
      </c>
      <c r="X33" s="1415"/>
      <c r="Y33" s="1518"/>
      <c r="Z33" s="1510">
        <f t="shared" si="13"/>
        <v>111</v>
      </c>
      <c r="AA33" s="1510">
        <f t="shared" si="3"/>
        <v>1</v>
      </c>
      <c r="AB33" s="1510">
        <f t="shared" si="4"/>
        <v>1</v>
      </c>
      <c r="AC33" s="1510">
        <f t="shared" si="5"/>
        <v>1</v>
      </c>
    </row>
    <row r="34" ht="15" spans="1:31">
      <c r="A34" s="1542"/>
      <c r="B34" s="1543">
        <v>111</v>
      </c>
      <c r="C34" s="1490"/>
      <c r="D34" s="1492">
        <v>100</v>
      </c>
      <c r="E34" s="1541"/>
      <c r="F34" s="1493">
        <f>SUMIF(105:105,E35,106:106)-SUMIF(105:105,C35,106:106)+100</f>
        <v>100</v>
      </c>
      <c r="G34" s="1541"/>
      <c r="H34" s="1493">
        <f>SUMIF(105:105,G34,106:106)-SUMIF(105:105,C34,106:106)+100</f>
        <v>100</v>
      </c>
      <c r="I34" s="1490"/>
      <c r="J34" s="1493">
        <f>SUMIF(105:105,I34,106:106)-SUMIF(105:105,C34,106:106)+100</f>
        <v>100</v>
      </c>
      <c r="K34" s="1536"/>
      <c r="L34" s="1494"/>
      <c r="M34" s="1410"/>
      <c r="N34" s="1410"/>
      <c r="O34" s="1485"/>
      <c r="P34" s="1544" t="s">
        <v>1169</v>
      </c>
      <c r="Q34" s="1070">
        <f t="shared" si="8"/>
        <v>111</v>
      </c>
      <c r="R34" s="1507" t="s">
        <v>1142</v>
      </c>
      <c r="S34" s="1508">
        <f t="shared" si="10"/>
        <v>100</v>
      </c>
      <c r="T34" s="1507" t="s">
        <v>1142</v>
      </c>
      <c r="U34" s="1508">
        <f t="shared" si="11"/>
        <v>100</v>
      </c>
      <c r="V34" s="1507" t="s">
        <v>1142</v>
      </c>
      <c r="W34" s="1508">
        <f t="shared" si="12"/>
        <v>100</v>
      </c>
      <c r="X34" s="1415"/>
      <c r="Y34" s="1545" t="s">
        <v>1169</v>
      </c>
      <c r="Z34" s="1510">
        <f t="shared" si="13"/>
        <v>111</v>
      </c>
      <c r="AA34" s="1510">
        <f t="shared" si="3"/>
        <v>1</v>
      </c>
      <c r="AB34" s="1510">
        <f t="shared" si="4"/>
        <v>1</v>
      </c>
      <c r="AC34" s="1510">
        <f t="shared" si="5"/>
        <v>1</v>
      </c>
    </row>
    <row r="35" s="1373" customFormat="1" ht="15.75" spans="1:31">
      <c r="A35" s="1546"/>
      <c r="B35" s="1547">
        <v>111</v>
      </c>
      <c r="C35" s="1548"/>
      <c r="D35" s="1549">
        <v>100</v>
      </c>
      <c r="E35" s="1550"/>
      <c r="F35" s="1499">
        <f>SUMIF(107:107,E35,108:108)-SUMIF(107:107,C35,108:108)+100</f>
        <v>100</v>
      </c>
      <c r="G35" s="1550"/>
      <c r="H35" s="1499">
        <f>SUMIF(107:107,G35,108:108)-SUMIF(107:107,C35,108:108)+100</f>
        <v>100</v>
      </c>
      <c r="I35" s="1548"/>
      <c r="J35" s="1499">
        <f>SUMIF(107:107,I35,108:108)-SUMIF(107:107,C35,108:108)+100</f>
        <v>100</v>
      </c>
      <c r="K35" s="1536"/>
      <c r="L35" s="1484"/>
      <c r="M35" s="1551"/>
      <c r="N35" s="1551"/>
      <c r="O35" s="1552"/>
      <c r="P35" s="1553"/>
      <c r="Q35" s="1070">
        <f t="shared" si="8"/>
        <v>111</v>
      </c>
      <c r="R35" s="1554" t="s">
        <v>1142</v>
      </c>
      <c r="S35" s="1555">
        <f t="shared" si="10"/>
        <v>100</v>
      </c>
      <c r="T35" s="1554" t="s">
        <v>1142</v>
      </c>
      <c r="U35" s="1555">
        <f t="shared" si="11"/>
        <v>100</v>
      </c>
      <c r="V35" s="1554" t="s">
        <v>1142</v>
      </c>
      <c r="W35" s="1555">
        <f t="shared" si="12"/>
        <v>100</v>
      </c>
      <c r="X35" s="1556"/>
      <c r="Y35" s="1545"/>
      <c r="Z35" s="1557">
        <f t="shared" si="13"/>
        <v>111</v>
      </c>
      <c r="AA35" s="1510">
        <f t="shared" si="3"/>
        <v>1</v>
      </c>
      <c r="AB35" s="1510">
        <f t="shared" si="4"/>
        <v>1</v>
      </c>
      <c r="AC35" s="1510">
        <f t="shared" si="5"/>
        <v>1</v>
      </c>
    </row>
    <row r="36" ht="15" spans="1:31">
      <c r="A36" s="1500" t="s">
        <v>1166</v>
      </c>
      <c r="B36" s="1558" t="s">
        <v>1976</v>
      </c>
      <c r="C36" s="1559"/>
      <c r="D36" s="1560">
        <v>100</v>
      </c>
      <c r="E36" s="1559"/>
      <c r="F36" s="1561" t="e">
        <f>LOOKUP(E36,110:110,111:111)-LOOKUP(C36,110:110,111:111)+100</f>
        <v>#N/A</v>
      </c>
      <c r="G36" s="1559"/>
      <c r="H36" s="1561" t="e">
        <f>LOOKUP(G36,110:110,111:111)-LOOKUP(C36,110:110,111:111)+100</f>
        <v>#N/A</v>
      </c>
      <c r="I36" s="1562"/>
      <c r="J36" s="1561" t="e">
        <f>LOOKUP(I36,110:110,111:111)-LOOKUP(C36,110:110,111:111)+100</f>
        <v>#N/A</v>
      </c>
      <c r="K36" s="1536"/>
      <c r="L36" s="1494"/>
      <c r="M36" s="1410"/>
      <c r="N36" s="1410"/>
      <c r="O36" s="1485"/>
      <c r="P36" s="1553"/>
      <c r="Q36" s="1070" t="str">
        <f t="shared" si="8"/>
        <v>宗地面积</v>
      </c>
      <c r="R36" s="1507" t="s">
        <v>1142</v>
      </c>
      <c r="S36" s="1508" t="e">
        <f t="shared" si="10"/>
        <v>#N/A</v>
      </c>
      <c r="T36" s="1507" t="s">
        <v>1142</v>
      </c>
      <c r="U36" s="1508" t="e">
        <f t="shared" si="11"/>
        <v>#N/A</v>
      </c>
      <c r="V36" s="1507" t="s">
        <v>1142</v>
      </c>
      <c r="W36" s="1508" t="e">
        <f t="shared" si="12"/>
        <v>#N/A</v>
      </c>
      <c r="X36" s="1415"/>
      <c r="Y36" s="1545"/>
      <c r="Z36" s="1510" t="str">
        <f t="shared" si="13"/>
        <v>宗地面积</v>
      </c>
      <c r="AA36" s="1510" t="e">
        <f t="shared" si="3"/>
        <v>#N/A</v>
      </c>
      <c r="AB36" s="1510" t="e">
        <f t="shared" si="4"/>
        <v>#N/A</v>
      </c>
      <c r="AC36" s="1510" t="e">
        <f t="shared" si="5"/>
        <v>#N/A</v>
      </c>
    </row>
    <row r="37" ht="15" spans="1:31">
      <c r="A37" s="1563"/>
      <c r="B37" s="1472" t="s">
        <v>1977</v>
      </c>
      <c r="C37" s="1564"/>
      <c r="D37" s="1492">
        <v>100</v>
      </c>
      <c r="E37" s="1564"/>
      <c r="F37" s="1493">
        <f>SUMIF(112:112,E37,113:113)-SUMIF(112:112,C37,113:113)+100</f>
        <v>100</v>
      </c>
      <c r="G37" s="1564"/>
      <c r="H37" s="1493">
        <f>SUMIF(112:112,G37,113:113)-SUMIF(112:112,C37,113:113)+100</f>
        <v>100</v>
      </c>
      <c r="I37" s="1564"/>
      <c r="J37" s="1493">
        <f>SUMIF(112:112,I37,113:113)-SUMIF(112:112,C37,113:113)+100</f>
        <v>100</v>
      </c>
      <c r="K37" s="1539"/>
      <c r="L37" s="1494"/>
      <c r="M37" s="1410"/>
      <c r="N37" s="1410"/>
      <c r="O37" s="1485"/>
      <c r="P37" s="1553"/>
      <c r="Q37" s="1070" t="str">
        <f t="shared" ref="Q37:Q42" si="14">B37</f>
        <v>宗地形状</v>
      </c>
      <c r="R37" s="1507" t="s">
        <v>1142</v>
      </c>
      <c r="S37" s="1508">
        <f t="shared" si="10"/>
        <v>100</v>
      </c>
      <c r="T37" s="1507" t="s">
        <v>1142</v>
      </c>
      <c r="U37" s="1508">
        <f t="shared" si="11"/>
        <v>100</v>
      </c>
      <c r="V37" s="1507" t="s">
        <v>1142</v>
      </c>
      <c r="W37" s="1508">
        <f t="shared" si="12"/>
        <v>100</v>
      </c>
      <c r="X37" s="1415"/>
      <c r="Y37" s="1545"/>
      <c r="Z37" s="1510" t="str">
        <f t="shared" si="13"/>
        <v>宗地形状</v>
      </c>
      <c r="AA37" s="1510">
        <f t="shared" si="3"/>
        <v>1</v>
      </c>
      <c r="AB37" s="1510">
        <f t="shared" si="4"/>
        <v>1</v>
      </c>
      <c r="AC37" s="1510">
        <f t="shared" si="5"/>
        <v>1</v>
      </c>
    </row>
    <row r="38" s="1371" customFormat="1" ht="15" spans="1:31">
      <c r="A38" s="1565"/>
      <c r="B38" s="1472" t="s">
        <v>1979</v>
      </c>
      <c r="C38" s="1566"/>
      <c r="D38" s="1474">
        <v>100</v>
      </c>
      <c r="E38" s="1566"/>
      <c r="F38" s="1493">
        <f>SUMIF(114:114,E38,115:115)-SUMIF(114:114,C38,115:115)+100</f>
        <v>100</v>
      </c>
      <c r="G38" s="1566"/>
      <c r="H38" s="1493">
        <f>SUMIF(114:114,G38,115:115)-SUMIF(114:114,C38,115:115)+100</f>
        <v>100</v>
      </c>
      <c r="I38" s="1566"/>
      <c r="J38" s="1493">
        <f>SUMIF(114:114,I38,115:115)-SUMIF(114:114,C38,115:115)+100</f>
        <v>100</v>
      </c>
      <c r="K38" s="1539"/>
      <c r="L38" s="1453"/>
      <c r="M38" s="1454"/>
      <c r="N38" s="1454"/>
      <c r="O38" s="1470"/>
      <c r="P38" s="1553"/>
      <c r="Q38" s="1070" t="str">
        <f t="shared" si="14"/>
        <v>宗地开发程度</v>
      </c>
      <c r="R38" s="1457" t="s">
        <v>1142</v>
      </c>
      <c r="S38" s="1458">
        <f t="shared" si="10"/>
        <v>100</v>
      </c>
      <c r="T38" s="1457" t="s">
        <v>1142</v>
      </c>
      <c r="U38" s="1458">
        <f t="shared" si="11"/>
        <v>100</v>
      </c>
      <c r="V38" s="1457" t="s">
        <v>1142</v>
      </c>
      <c r="W38" s="1458">
        <f t="shared" si="12"/>
        <v>100</v>
      </c>
      <c r="X38" s="1459"/>
      <c r="Y38" s="1545"/>
      <c r="Z38" s="1462" t="str">
        <f t="shared" si="13"/>
        <v>宗地开发程度</v>
      </c>
      <c r="AA38" s="1462">
        <f t="shared" si="3"/>
        <v>1</v>
      </c>
      <c r="AB38" s="1462">
        <f t="shared" si="4"/>
        <v>1</v>
      </c>
      <c r="AC38" s="1462">
        <f t="shared" si="5"/>
        <v>1</v>
      </c>
    </row>
    <row r="39" ht="15" spans="1:31">
      <c r="A39" s="1563"/>
      <c r="B39" s="1472" t="s">
        <v>1980</v>
      </c>
      <c r="C39" s="1564"/>
      <c r="D39" s="1492">
        <v>100</v>
      </c>
      <c r="E39" s="1564"/>
      <c r="F39" s="1493">
        <f>SUMIF(116:116,E39,117:117)-SUMIF(116:116,C39,117:117)+100</f>
        <v>100</v>
      </c>
      <c r="G39" s="1564"/>
      <c r="H39" s="1493">
        <f>SUMIF(116:116,G39,117:117)-SUMIF(116:116,C39,117:117)+100</f>
        <v>100</v>
      </c>
      <c r="I39" s="1564"/>
      <c r="J39" s="1493">
        <f>SUMIF(116:116,I39,117:117)-SUMIF(116:116,C39,117:117)+100</f>
        <v>100</v>
      </c>
      <c r="K39" s="1539"/>
      <c r="L39" s="1494"/>
      <c r="M39" s="1410"/>
      <c r="N39" s="1410"/>
      <c r="O39" s="1485"/>
      <c r="P39" s="1553" t="s">
        <v>1169</v>
      </c>
      <c r="Q39" s="1070" t="str">
        <f t="shared" si="14"/>
        <v>工程地质条件</v>
      </c>
      <c r="R39" s="1507" t="s">
        <v>1142</v>
      </c>
      <c r="S39" s="1508">
        <f t="shared" si="10"/>
        <v>100</v>
      </c>
      <c r="T39" s="1507" t="s">
        <v>1142</v>
      </c>
      <c r="U39" s="1508">
        <f t="shared" si="11"/>
        <v>100</v>
      </c>
      <c r="V39" s="1507" t="s">
        <v>1142</v>
      </c>
      <c r="W39" s="1508">
        <f t="shared" si="12"/>
        <v>100</v>
      </c>
      <c r="X39" s="1415"/>
      <c r="Y39" s="1545" t="s">
        <v>1169</v>
      </c>
      <c r="Z39" s="1510" t="str">
        <f t="shared" si="13"/>
        <v>工程地质条件</v>
      </c>
      <c r="AA39" s="1510">
        <f t="shared" si="3"/>
        <v>1</v>
      </c>
      <c r="AB39" s="1510">
        <f t="shared" si="4"/>
        <v>1</v>
      </c>
      <c r="AC39" s="1510">
        <f t="shared" si="5"/>
        <v>1</v>
      </c>
    </row>
    <row r="40" ht="15" spans="1:31">
      <c r="A40" s="1563"/>
      <c r="B40" s="1567">
        <v>111</v>
      </c>
      <c r="C40" s="1490"/>
      <c r="D40" s="1492">
        <v>100</v>
      </c>
      <c r="E40" s="1490"/>
      <c r="F40" s="1493">
        <f>SUMIF(118:118,E40,119:119)-SUMIF(118:118,C40,119:119)+100</f>
        <v>100</v>
      </c>
      <c r="G40" s="1490"/>
      <c r="H40" s="1493">
        <f>SUMIF(118:118,G40,119:119)-SUMIF(118:118,C40,119:119)+100</f>
        <v>100</v>
      </c>
      <c r="I40" s="1489"/>
      <c r="J40" s="1493">
        <f>SUMIF(118:118,I40,119:119)-SUMIF(118:118,C40,119:119)+100</f>
        <v>100</v>
      </c>
      <c r="K40" s="1536"/>
      <c r="L40" s="1494"/>
      <c r="M40" s="1410"/>
      <c r="N40" s="1410"/>
      <c r="O40" s="1485"/>
      <c r="P40" s="1553"/>
      <c r="Q40" s="1070">
        <f t="shared" si="14"/>
        <v>111</v>
      </c>
      <c r="R40" s="1507" t="s">
        <v>1142</v>
      </c>
      <c r="S40" s="1508">
        <f t="shared" si="10"/>
        <v>100</v>
      </c>
      <c r="T40" s="1507" t="s">
        <v>1142</v>
      </c>
      <c r="U40" s="1508">
        <f t="shared" si="11"/>
        <v>100</v>
      </c>
      <c r="V40" s="1507" t="s">
        <v>1142</v>
      </c>
      <c r="W40" s="1508">
        <f t="shared" si="12"/>
        <v>100</v>
      </c>
      <c r="X40" s="1415"/>
      <c r="Y40" s="1545"/>
      <c r="Z40" s="1510">
        <f t="shared" si="13"/>
        <v>111</v>
      </c>
      <c r="AA40" s="1510">
        <f t="shared" si="3"/>
        <v>1</v>
      </c>
      <c r="AB40" s="1510">
        <f t="shared" si="4"/>
        <v>1</v>
      </c>
      <c r="AC40" s="1510">
        <f t="shared" si="5"/>
        <v>1</v>
      </c>
    </row>
    <row r="41" ht="15" spans="1:31">
      <c r="A41" s="1563"/>
      <c r="B41" s="1567">
        <v>111</v>
      </c>
      <c r="C41" s="1490"/>
      <c r="D41" s="1492">
        <v>100</v>
      </c>
      <c r="E41" s="1490"/>
      <c r="F41" s="1493">
        <f>SUMIF(120:120,E41,121:121)-SUMIF(120:120,C41,121:121)+100</f>
        <v>100</v>
      </c>
      <c r="G41" s="1490"/>
      <c r="H41" s="1493">
        <f>SUMIF(120:120,G41,121:121)-SUMIF(120:120,C41,121:121)+100</f>
        <v>100</v>
      </c>
      <c r="I41" s="1489"/>
      <c r="J41" s="1493">
        <f>SUMIF(120:120,I41,121:121)-SUMIF(120:120,C41,121:121)+100</f>
        <v>100</v>
      </c>
      <c r="K41" s="1536"/>
      <c r="L41" s="1494"/>
      <c r="M41" s="1410"/>
      <c r="N41" s="1410"/>
      <c r="O41" s="1485"/>
      <c r="P41" s="1553"/>
      <c r="Q41" s="1070">
        <f t="shared" si="14"/>
        <v>111</v>
      </c>
      <c r="R41" s="1507" t="s">
        <v>1142</v>
      </c>
      <c r="S41" s="1508">
        <f t="shared" si="10"/>
        <v>100</v>
      </c>
      <c r="T41" s="1507" t="s">
        <v>1142</v>
      </c>
      <c r="U41" s="1508">
        <f t="shared" si="11"/>
        <v>100</v>
      </c>
      <c r="V41" s="1507" t="s">
        <v>1142</v>
      </c>
      <c r="W41" s="1508">
        <f t="shared" si="12"/>
        <v>100</v>
      </c>
      <c r="X41" s="1415"/>
      <c r="Y41" s="1545"/>
      <c r="Z41" s="1510">
        <f t="shared" si="13"/>
        <v>111</v>
      </c>
      <c r="AA41" s="1510">
        <f t="shared" si="3"/>
        <v>1</v>
      </c>
      <c r="AB41" s="1510">
        <f t="shared" si="4"/>
        <v>1</v>
      </c>
      <c r="AC41" s="1510">
        <f t="shared" si="5"/>
        <v>1</v>
      </c>
    </row>
    <row r="42" s="1373" customFormat="1" ht="15.75" spans="1:31">
      <c r="A42" s="1568"/>
      <c r="B42" s="1567">
        <v>111</v>
      </c>
      <c r="C42" s="1569"/>
      <c r="D42" s="1549">
        <v>100</v>
      </c>
      <c r="E42" s="1490"/>
      <c r="F42" s="1499">
        <f>SUMIF(122:122,E42,123:123)-SUMIF(122:122,C42,123:123)+100</f>
        <v>100</v>
      </c>
      <c r="G42" s="1490"/>
      <c r="H42" s="1499">
        <f>SUMIF(122:122,G42,123:123)-SUMIF(122:122,C42,123:123)+100</f>
        <v>100</v>
      </c>
      <c r="I42" s="1489"/>
      <c r="J42" s="1499">
        <f>SUMIF(122:122,I42,123:123)-SUMIF(122:122,C42,123:123)+100</f>
        <v>100</v>
      </c>
      <c r="K42" s="1570"/>
      <c r="L42" s="1484"/>
      <c r="M42" s="1551"/>
      <c r="N42" s="1551"/>
      <c r="O42" s="1552"/>
      <c r="P42" s="1553"/>
      <c r="Q42" s="1070">
        <f t="shared" si="14"/>
        <v>111</v>
      </c>
      <c r="R42" s="1554" t="s">
        <v>1142</v>
      </c>
      <c r="S42" s="1555">
        <f t="shared" si="10"/>
        <v>100</v>
      </c>
      <c r="T42" s="1554" t="s">
        <v>1142</v>
      </c>
      <c r="U42" s="1555">
        <f t="shared" si="11"/>
        <v>100</v>
      </c>
      <c r="V42" s="1554" t="s">
        <v>1142</v>
      </c>
      <c r="W42" s="1555">
        <f t="shared" si="12"/>
        <v>100</v>
      </c>
      <c r="X42" s="1556"/>
      <c r="Y42" s="1545"/>
      <c r="Z42" s="1557">
        <f t="shared" si="13"/>
        <v>111</v>
      </c>
      <c r="AA42" s="1510">
        <f t="shared" si="3"/>
        <v>1</v>
      </c>
      <c r="AB42" s="1510">
        <f t="shared" si="4"/>
        <v>1</v>
      </c>
      <c r="AC42" s="1510">
        <f t="shared" si="5"/>
        <v>1</v>
      </c>
    </row>
    <row r="43" ht="15" spans="1:31">
      <c r="A43" s="1571" t="s">
        <v>1960</v>
      </c>
      <c r="B43" s="1572" t="s">
        <v>2019</v>
      </c>
      <c r="C43" s="1573" t="s">
        <v>124</v>
      </c>
      <c r="D43" s="1574"/>
      <c r="E43" s="1575"/>
      <c r="F43" s="1576"/>
      <c r="G43" s="1577"/>
      <c r="H43" s="1578"/>
      <c r="I43" s="1575"/>
      <c r="J43" s="1578"/>
      <c r="K43" s="1579"/>
      <c r="L43" s="1580"/>
      <c r="M43" s="1410"/>
      <c r="N43" s="1410"/>
      <c r="O43" s="1581"/>
      <c r="P43" s="1070" t="str">
        <f>A43</f>
        <v>成交单价</v>
      </c>
      <c r="Q43" s="1070"/>
      <c r="R43" s="1582">
        <f>E43</f>
        <v>0</v>
      </c>
      <c r="S43" s="1582"/>
      <c r="T43" s="1582">
        <f>G43</f>
        <v>0</v>
      </c>
      <c r="U43" s="1582"/>
      <c r="V43" s="1582">
        <f>I43</f>
        <v>0</v>
      </c>
      <c r="W43" s="1582"/>
      <c r="X43" s="1583"/>
      <c r="Y43" s="1584"/>
      <c r="Z43" s="1583"/>
      <c r="AA43" s="1583"/>
      <c r="AB43" s="1583"/>
      <c r="AC43" s="1583"/>
    </row>
    <row r="44" ht="15.75" spans="1:31">
      <c r="A44" s="1585" t="s">
        <v>1186</v>
      </c>
      <c r="B44" s="1586"/>
      <c r="C44" s="1587" t="e">
        <f>R45</f>
        <v>#DIV/0!</v>
      </c>
      <c r="D44" s="1588" t="s">
        <v>1187</v>
      </c>
      <c r="E44" s="1587" t="e">
        <f>R44</f>
        <v>#DIV/0!</v>
      </c>
      <c r="F44" s="1589"/>
      <c r="G44" s="1590" t="e">
        <f>T44</f>
        <v>#DIV/0!</v>
      </c>
      <c r="H44" s="1589"/>
      <c r="I44" s="1587" t="e">
        <f>V44</f>
        <v>#DIV/0!</v>
      </c>
      <c r="J44" s="1589"/>
      <c r="K44" s="1591">
        <f>F44+H44+J44</f>
        <v>0</v>
      </c>
      <c r="L44" s="1580"/>
      <c r="M44" s="1410"/>
      <c r="N44" s="1410"/>
      <c r="O44" s="1581"/>
      <c r="P44" s="1070" t="str">
        <f>A44</f>
        <v>比较价值（元/平方米）</v>
      </c>
      <c r="Q44" s="1070"/>
      <c r="R44" s="1582" t="e">
        <f>ROUND(PRODUCT(R43,AA9:AA42),0)</f>
        <v>#DIV/0!</v>
      </c>
      <c r="S44" s="1582"/>
      <c r="T44" s="1582" t="e">
        <f>ROUND(PRODUCT(T43,AB9:AB42),0)</f>
        <v>#DIV/0!</v>
      </c>
      <c r="U44" s="1582"/>
      <c r="V44" s="1582" t="e">
        <f>ROUND(PRODUCT(V43,AC9:AC42),0)</f>
        <v>#DIV/0!</v>
      </c>
      <c r="W44" s="1582"/>
      <c r="X44" s="1583"/>
      <c r="Y44" s="1583"/>
      <c r="Z44" s="1583"/>
      <c r="AA44" s="1583"/>
      <c r="AB44" s="1583"/>
      <c r="AC44" s="1583"/>
    </row>
    <row r="45" ht="15.75" spans="1:31">
      <c r="A45" s="1592" t="s">
        <v>1188</v>
      </c>
      <c r="B45" s="1593"/>
      <c r="C45" s="1594" t="e">
        <f>R45</f>
        <v>#DIV/0!</v>
      </c>
      <c r="D45" s="1595"/>
      <c r="E45" s="1595"/>
      <c r="F45" s="1595"/>
      <c r="G45" s="1595"/>
      <c r="H45" s="1595"/>
      <c r="I45" s="1595"/>
      <c r="J45" s="1595"/>
      <c r="K45" s="1596"/>
      <c r="L45" s="1580"/>
      <c r="M45" s="1410"/>
      <c r="N45" s="1410"/>
      <c r="O45" s="1581"/>
      <c r="P45" s="1597" t="str">
        <f>A45</f>
        <v>估价对象XX用房的比较价值（楼面单价，元/平方米）</v>
      </c>
      <c r="Q45" s="1598"/>
      <c r="R45" s="1599" t="e">
        <f>ROUND(IF(D44="简单平均",AVERAGE(R44:W44),R44*F44+T44*H44+V44*J44),0)</f>
        <v>#DIV/0!</v>
      </c>
      <c r="S45" s="1599"/>
      <c r="T45" s="1599"/>
      <c r="U45" s="1599"/>
      <c r="V45" s="1599"/>
      <c r="W45" s="1599"/>
      <c r="X45" s="1583"/>
      <c r="Y45" s="1583"/>
      <c r="Z45" s="1583"/>
      <c r="AA45" s="1583"/>
      <c r="AB45" s="1583"/>
      <c r="AC45" s="1583"/>
    </row>
    <row r="46" spans="1:31">
      <c r="A46" s="1581"/>
      <c r="B46" s="1581"/>
      <c r="C46" s="1581"/>
      <c r="D46" s="1581"/>
      <c r="E46" s="1581"/>
      <c r="F46" s="1581"/>
      <c r="G46" s="1600"/>
      <c r="H46" s="1581"/>
      <c r="I46" s="1581"/>
      <c r="J46" s="1581"/>
      <c r="K46" s="1601"/>
      <c r="L46" s="1602"/>
      <c r="M46" s="1410"/>
      <c r="N46" s="1410"/>
      <c r="O46" s="1581"/>
      <c r="P46" s="1581"/>
      <c r="Q46" s="1581"/>
      <c r="R46" s="1581"/>
      <c r="S46" s="1581"/>
      <c r="T46" s="1581"/>
      <c r="U46" s="1581"/>
      <c r="V46" s="1581"/>
      <c r="W46" s="1581"/>
      <c r="X46" s="1581"/>
      <c r="Y46" s="1581"/>
      <c r="Z46" s="1581"/>
      <c r="AA46" s="1581"/>
      <c r="AB46" s="1581"/>
      <c r="AC46" s="1581"/>
      <c r="AD46" s="1581"/>
      <c r="AE46" s="1581"/>
    </row>
    <row r="47" spans="1:31">
      <c r="A47" s="1581"/>
      <c r="B47" s="1581"/>
      <c r="C47" s="1581"/>
      <c r="D47" s="1581"/>
      <c r="E47" s="1581"/>
      <c r="F47" s="1581"/>
      <c r="G47" s="1581"/>
      <c r="H47" s="1581"/>
      <c r="I47" s="1581"/>
      <c r="J47" s="1581"/>
      <c r="K47" s="1601"/>
      <c r="L47" s="1602"/>
      <c r="M47" s="1410"/>
      <c r="N47" s="1410"/>
      <c r="O47" s="1581"/>
      <c r="P47" s="1581"/>
      <c r="Q47" s="1581"/>
      <c r="R47" s="1581"/>
      <c r="S47" s="1581"/>
      <c r="T47" s="1581"/>
      <c r="U47" s="1581"/>
      <c r="V47" s="1581"/>
      <c r="W47" s="1581"/>
      <c r="X47" s="1581"/>
      <c r="Y47" s="1581"/>
      <c r="Z47" s="1581"/>
      <c r="AA47" s="1581"/>
      <c r="AB47" s="1581"/>
      <c r="AC47" s="1581"/>
      <c r="AD47" s="1581"/>
      <c r="AE47" s="1581"/>
    </row>
    <row r="48" ht="13.5" customHeight="1" spans="1:31">
      <c r="A48" s="1581"/>
      <c r="B48" s="1581"/>
      <c r="C48" s="701" t="s">
        <v>1189</v>
      </c>
      <c r="D48" s="1142"/>
      <c r="E48" s="1603" t="e">
        <f>IF(E43&lt;E44,E44/E43-1,E43/E44-1)</f>
        <v>#DIV/0!</v>
      </c>
      <c r="F48" s="1604" t="e">
        <f>IF(OR(E48&gt;=0.3,E48&lt;=-0.3),"超过30%","")</f>
        <v>#DIV/0!</v>
      </c>
      <c r="G48" s="1603" t="e">
        <f>IF(G43&lt;G44,G44/G43-1,G43/G44-1)</f>
        <v>#DIV/0!</v>
      </c>
      <c r="H48" s="1604" t="e">
        <f>IF(OR(G48&gt;=0.3,G48&lt;=-0.3),"超过30%","")</f>
        <v>#DIV/0!</v>
      </c>
      <c r="I48" s="1603" t="e">
        <f>IF(I43&lt;I44,I44/I43-1,I43/I44-1)</f>
        <v>#DIV/0!</v>
      </c>
      <c r="J48" s="1604" t="e">
        <f>IF(OR(I48&gt;=0.3,I48&lt;=-0.3),"超过30%","")</f>
        <v>#DIV/0!</v>
      </c>
      <c r="K48" s="1601"/>
      <c r="L48" s="1602"/>
      <c r="M48" s="1410"/>
      <c r="N48" s="1410"/>
      <c r="O48" s="1581"/>
      <c r="P48" s="1581"/>
      <c r="Q48" s="1581"/>
      <c r="R48" s="1581"/>
      <c r="S48" s="1581"/>
      <c r="T48" s="1581"/>
      <c r="U48" s="1581"/>
      <c r="V48" s="1581"/>
      <c r="W48" s="1581"/>
      <c r="X48" s="1581"/>
      <c r="Y48" s="1581"/>
      <c r="Z48" s="1581"/>
      <c r="AA48" s="1581"/>
      <c r="AB48" s="1581"/>
      <c r="AC48" s="1581"/>
      <c r="AD48" s="1581"/>
      <c r="AE48" s="1581"/>
    </row>
    <row r="49" ht="13.5" customHeight="1" spans="1:31">
      <c r="A49" s="1581"/>
      <c r="B49" s="1581"/>
      <c r="C49" s="701" t="s">
        <v>1190</v>
      </c>
      <c r="D49" s="1141"/>
      <c r="E49" s="1603" t="e">
        <f>IF(E44&lt;G44,G44/E44-1,E44/G44-1)</f>
        <v>#DIV/0!</v>
      </c>
      <c r="F49" s="1604" t="e">
        <f>IF(OR(E49&gt;=0.2,E49&lt;=-0.2),"超过20%","")</f>
        <v>#DIV/0!</v>
      </c>
      <c r="G49" s="1603" t="e">
        <f>IF(G44&lt;I44,I44/G44-1,G44/I44-1)</f>
        <v>#DIV/0!</v>
      </c>
      <c r="H49" s="1604" t="e">
        <f>IF(OR(G49&gt;=0.2,G49&lt;=-0.2),"超过20%","")</f>
        <v>#DIV/0!</v>
      </c>
      <c r="I49" s="1603" t="e">
        <f>IF(I44&lt;E44,E44/I44-1,I44/E44-1)</f>
        <v>#DIV/0!</v>
      </c>
      <c r="J49" s="1604" t="e">
        <f>IF(OR(I49&gt;=0.2,I49&lt;=-0.2),"超过20%","")</f>
        <v>#DIV/0!</v>
      </c>
      <c r="K49" s="1601"/>
      <c r="L49" s="1602"/>
      <c r="M49" s="1581"/>
      <c r="N49" s="1581"/>
      <c r="O49" s="1581"/>
      <c r="P49" s="1581"/>
      <c r="Q49" s="1581"/>
      <c r="R49" s="1581"/>
      <c r="S49" s="1581"/>
      <c r="T49" s="1581"/>
      <c r="U49" s="1581"/>
      <c r="V49" s="1581"/>
      <c r="W49" s="1581"/>
      <c r="X49" s="1581"/>
      <c r="Y49" s="1581"/>
      <c r="Z49" s="1581"/>
      <c r="AA49" s="1581"/>
      <c r="AB49" s="1581"/>
      <c r="AC49" s="1581"/>
      <c r="AD49" s="1581"/>
      <c r="AE49" s="1581"/>
    </row>
    <row r="50" s="1374" customFormat="1" ht="13.5" customHeight="1" spans="1:31">
      <c r="A50" s="1605"/>
      <c r="B50" s="1605"/>
      <c r="C50" s="701" t="s">
        <v>1191</v>
      </c>
      <c r="D50" s="1141"/>
      <c r="E50" s="1603" t="e">
        <f>IF(E43&lt;G43,G43/E43-1,E43/G43-1)</f>
        <v>#DIV/0!</v>
      </c>
      <c r="F50" s="1604" t="e">
        <f>IF(OR(E50&gt;=0.3,E50&lt;=-0.3),"超过30%","")</f>
        <v>#DIV/0!</v>
      </c>
      <c r="G50" s="1603" t="e">
        <f>IF(G43&lt;I43,I43/G43-1,G43/I43-1)</f>
        <v>#DIV/0!</v>
      </c>
      <c r="H50" s="1604" t="e">
        <f>IF(OR(G50&gt;=0.3,G50&lt;=-0.3),"超过30%","")</f>
        <v>#DIV/0!</v>
      </c>
      <c r="I50" s="1603" t="e">
        <f>IF(I43&lt;E43,E43/I43-1,I43/E43-1)</f>
        <v>#DIV/0!</v>
      </c>
      <c r="J50" s="1604" t="e">
        <f>IF(OR(I50&gt;=0.3,I50&lt;=-0.3),"超过30%","")</f>
        <v>#DIV/0!</v>
      </c>
      <c r="K50" s="1606"/>
      <c r="L50" s="1607"/>
      <c r="M50" s="1605"/>
      <c r="N50" s="1605"/>
      <c r="O50" s="1605"/>
      <c r="P50" s="1605"/>
      <c r="Q50" s="1605"/>
      <c r="R50" s="1605"/>
      <c r="S50" s="1605"/>
      <c r="T50" s="1605"/>
      <c r="U50" s="1605"/>
      <c r="V50" s="1605"/>
      <c r="W50" s="1605"/>
      <c r="X50" s="1605"/>
      <c r="Y50" s="1605"/>
      <c r="Z50" s="1605"/>
      <c r="AA50" s="1605"/>
      <c r="AB50" s="1605"/>
      <c r="AC50" s="1605"/>
      <c r="AD50" s="1605"/>
      <c r="AE50" s="1605"/>
    </row>
    <row r="51" s="1374" customFormat="1" ht="15" spans="1:31">
      <c r="A51" s="1605"/>
      <c r="B51" s="1608"/>
      <c r="C51" s="1609"/>
      <c r="D51" s="1610"/>
      <c r="E51" s="1610"/>
      <c r="F51" s="1610"/>
      <c r="G51" s="1610"/>
      <c r="H51" s="1610"/>
      <c r="I51" s="1610"/>
      <c r="J51" s="1610"/>
      <c r="K51" s="1606"/>
      <c r="L51" s="1607"/>
      <c r="M51" s="1605"/>
      <c r="N51" s="1605"/>
      <c r="O51" s="1605"/>
      <c r="P51" s="1605"/>
      <c r="Q51" s="1605"/>
      <c r="R51" s="1605"/>
      <c r="S51" s="1605"/>
      <c r="T51" s="1605"/>
      <c r="U51" s="1605"/>
      <c r="V51" s="1605"/>
      <c r="W51" s="1605"/>
      <c r="X51" s="1605"/>
      <c r="Y51" s="1605"/>
      <c r="Z51" s="1605"/>
      <c r="AA51" s="1605"/>
      <c r="AB51" s="1605"/>
      <c r="AC51" s="1605"/>
      <c r="AD51" s="1605"/>
      <c r="AE51" s="1605"/>
    </row>
    <row r="52" ht="27" spans="1:31">
      <c r="A52" s="1611" t="s">
        <v>1983</v>
      </c>
      <c r="B52" s="1612" t="s">
        <v>1984</v>
      </c>
      <c r="C52" s="1613" t="s">
        <v>1985</v>
      </c>
      <c r="D52" s="1614" t="s">
        <v>1986</v>
      </c>
      <c r="E52" s="1615" t="s">
        <v>1987</v>
      </c>
      <c r="F52" s="1616" t="s">
        <v>1988</v>
      </c>
      <c r="G52" s="1617" t="s">
        <v>1989</v>
      </c>
      <c r="H52" s="1618"/>
      <c r="I52" s="820" t="s">
        <v>2020</v>
      </c>
      <c r="J52" s="820">
        <f>项目基本情况!F35</f>
        <v>0</v>
      </c>
      <c r="K52" s="1619" t="s">
        <v>1991</v>
      </c>
      <c r="L52" s="1602"/>
      <c r="M52" s="1581"/>
      <c r="N52" s="1581"/>
      <c r="O52" s="1581"/>
      <c r="P52" s="1581"/>
      <c r="Q52" s="1581"/>
      <c r="R52" s="1581"/>
      <c r="S52" s="1581"/>
      <c r="T52" s="1581"/>
      <c r="U52" s="1581"/>
      <c r="V52" s="1581"/>
      <c r="W52" s="1581"/>
      <c r="X52" s="1581"/>
      <c r="Y52" s="1581"/>
      <c r="Z52" s="1581"/>
      <c r="AA52" s="1581"/>
      <c r="AB52" s="1581"/>
      <c r="AC52" s="1581"/>
      <c r="AD52" s="1581"/>
      <c r="AE52" s="1581"/>
    </row>
    <row r="53" s="1375" customFormat="1" spans="1:31">
      <c r="A53" s="1620" t="s">
        <v>1992</v>
      </c>
      <c r="B53" s="1621" t="e">
        <f>C45</f>
        <v>#DIV/0!</v>
      </c>
      <c r="C53" s="1149">
        <v>1</v>
      </c>
      <c r="D53" s="1622">
        <v>1</v>
      </c>
      <c r="E53" s="1623">
        <f>'数据-汇总表'!E8+'数据-汇总表'!E9</f>
        <v>20386.47</v>
      </c>
      <c r="F53" s="1624" t="e">
        <f t="shared" ref="F53:F62" si="15">ROUND(B53*E53/10000,0)</f>
        <v>#DIV/0!</v>
      </c>
      <c r="G53" s="1625"/>
      <c r="H53" s="1626"/>
      <c r="I53" s="1242">
        <v>1</v>
      </c>
      <c r="J53" s="1242">
        <v>1</v>
      </c>
      <c r="K53" s="1605"/>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75" customFormat="1" spans="1:31">
      <c r="A54" s="1628" t="s">
        <v>1993</v>
      </c>
      <c r="B54" s="1621" t="e">
        <f>ROUND($C$45*C54*D54,0)</f>
        <v>#DIV/0!</v>
      </c>
      <c r="C54" s="930">
        <f t="shared" ref="C54:C62" si="16">IF($C$52="北京市系数",I54,J54)</f>
        <v>0</v>
      </c>
      <c r="D54" s="1629">
        <v>0.25</v>
      </c>
      <c r="E54" s="1630"/>
      <c r="F54" s="1624" t="e">
        <f t="shared" si="15"/>
        <v>#DIV/0!</v>
      </c>
      <c r="G54" s="1631" t="s">
        <v>1994</v>
      </c>
      <c r="H54" s="1632">
        <f>项目基本情况!B37</f>
        <v>0</v>
      </c>
      <c r="I54" s="1242">
        <f>SUMIF(修正!A59:A70,H54,修正!B59:B70)</f>
        <v>0</v>
      </c>
      <c r="J54" s="1633"/>
      <c r="K54" s="1581"/>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75" customFormat="1" spans="1:31">
      <c r="A55" s="1628" t="s">
        <v>1995</v>
      </c>
      <c r="B55" s="1621" t="e">
        <f t="shared" ref="B55:B62" si="17">ROUND($C$45*C55*D55,0)</f>
        <v>#DIV/0!</v>
      </c>
      <c r="C55" s="930">
        <f t="shared" si="16"/>
        <v>0</v>
      </c>
      <c r="D55" s="1629">
        <v>0.25</v>
      </c>
      <c r="E55" s="1630"/>
      <c r="F55" s="1624" t="e">
        <f t="shared" si="15"/>
        <v>#DIV/0!</v>
      </c>
      <c r="G55" s="1634"/>
      <c r="H55" s="1632">
        <f>项目基本情况!B37</f>
        <v>0</v>
      </c>
      <c r="I55" s="1242">
        <f>SUMIF(修正!A59:A70,H55,修正!C59:C70)</f>
        <v>0</v>
      </c>
      <c r="J55" s="1633"/>
      <c r="K55" s="1605"/>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75" customFormat="1" spans="1:31">
      <c r="A56" s="1628" t="s">
        <v>1996</v>
      </c>
      <c r="B56" s="1621" t="e">
        <f t="shared" si="17"/>
        <v>#DIV/0!</v>
      </c>
      <c r="C56" s="930">
        <f t="shared" si="16"/>
        <v>0</v>
      </c>
      <c r="D56" s="1629">
        <v>0.25</v>
      </c>
      <c r="E56" s="1630"/>
      <c r="F56" s="1624" t="e">
        <f t="shared" si="15"/>
        <v>#DIV/0!</v>
      </c>
      <c r="G56" s="1634"/>
      <c r="H56" s="1632">
        <f>项目基本情况!B37</f>
        <v>0</v>
      </c>
      <c r="I56" s="1242">
        <f>SUMIF(修正!A59:A70,H56,修正!D59:D70)</f>
        <v>0</v>
      </c>
      <c r="J56" s="1633"/>
      <c r="K56" s="1581"/>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75" customFormat="1" hidden="1" spans="1:31">
      <c r="A57" s="1628"/>
      <c r="B57" s="1621"/>
      <c r="C57" s="930"/>
      <c r="D57" s="1629"/>
      <c r="E57" s="1630"/>
      <c r="F57" s="1624"/>
      <c r="G57" s="1635"/>
      <c r="H57" s="1632"/>
      <c r="I57" s="1242"/>
      <c r="J57" s="1633"/>
      <c r="K57" s="1605"/>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75" customFormat="1" spans="1:31">
      <c r="A58" s="1628" t="s">
        <v>1997</v>
      </c>
      <c r="B58" s="1621" t="e">
        <f t="shared" si="17"/>
        <v>#DIV/0!</v>
      </c>
      <c r="C58" s="930">
        <f t="shared" si="16"/>
        <v>0</v>
      </c>
      <c r="D58" s="1629">
        <v>0.25</v>
      </c>
      <c r="E58" s="1636">
        <f>'数据-汇总表'!E11</f>
        <v>0</v>
      </c>
      <c r="F58" s="1624" t="e">
        <f t="shared" si="15"/>
        <v>#DIV/0!</v>
      </c>
      <c r="G58" s="1637" t="s">
        <v>1998</v>
      </c>
      <c r="H58" s="1632">
        <f>项目基本情况!C37</f>
        <v>0</v>
      </c>
      <c r="I58" s="1242">
        <f>SUMIF(修正!A59:A70,H58,修正!E59:E70)</f>
        <v>0</v>
      </c>
      <c r="J58" s="1633"/>
      <c r="K58" s="1581"/>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75" customFormat="1" spans="1:31">
      <c r="A59" s="1628" t="s">
        <v>1999</v>
      </c>
      <c r="B59" s="1621" t="e">
        <f t="shared" si="17"/>
        <v>#DIV/0!</v>
      </c>
      <c r="C59" s="930">
        <f t="shared" si="16"/>
        <v>0</v>
      </c>
      <c r="D59" s="1629">
        <v>0.25</v>
      </c>
      <c r="E59" s="1636">
        <f>'数据-汇总表'!E12</f>
        <v>0</v>
      </c>
      <c r="F59" s="1624" t="e">
        <f t="shared" si="15"/>
        <v>#DIV/0!</v>
      </c>
      <c r="G59" s="1638" t="s">
        <v>2000</v>
      </c>
      <c r="H59" s="1632">
        <f>IF(G59="商业",项目基本情况!B37,IF(G59="办公",项目基本情况!C37,IF(G59="住宅",项目基本情况!D37,项目基本情况!E37)))</f>
        <v>0</v>
      </c>
      <c r="I59" s="1242">
        <f>SUMIF(修正!A59:A70,H59,修正!F59:F70)</f>
        <v>0</v>
      </c>
      <c r="J59" s="1633"/>
      <c r="K59" s="1605"/>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75" customFormat="1" spans="1:31">
      <c r="A60" s="1628" t="s">
        <v>2001</v>
      </c>
      <c r="B60" s="1621" t="e">
        <f t="shared" si="17"/>
        <v>#DIV/0!</v>
      </c>
      <c r="C60" s="930">
        <f t="shared" si="16"/>
        <v>0</v>
      </c>
      <c r="D60" s="1629">
        <v>0.25</v>
      </c>
      <c r="E60" s="1636">
        <f>'数据-汇总表'!E13</f>
        <v>0</v>
      </c>
      <c r="F60" s="1624" t="e">
        <f t="shared" si="15"/>
        <v>#DIV/0!</v>
      </c>
      <c r="G60" s="1638" t="s">
        <v>2002</v>
      </c>
      <c r="H60" s="1632">
        <f>IF(G60="商业",项目基本情况!B37,IF(G60="办公",项目基本情况!C37,IF(G60="住宅",项目基本情况!D37,项目基本情况!E37)))</f>
        <v>0</v>
      </c>
      <c r="I60" s="1242">
        <f>SUMIF(修正!A59:A70,H60,修正!G59:G70)</f>
        <v>0</v>
      </c>
      <c r="J60" s="1633"/>
      <c r="K60" s="1581"/>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75" customFormat="1" spans="1:31">
      <c r="A61" s="1628" t="s">
        <v>2003</v>
      </c>
      <c r="B61" s="1621" t="e">
        <f t="shared" si="17"/>
        <v>#DIV/0!</v>
      </c>
      <c r="C61" s="930">
        <f t="shared" si="16"/>
        <v>0</v>
      </c>
      <c r="D61" s="1629">
        <v>0.25</v>
      </c>
      <c r="E61" s="1636">
        <f>'数据-汇总表'!E14</f>
        <v>0</v>
      </c>
      <c r="F61" s="1624" t="e">
        <f t="shared" si="15"/>
        <v>#DIV/0!</v>
      </c>
      <c r="G61" s="1637" t="s">
        <v>1994</v>
      </c>
      <c r="H61" s="1632">
        <f>项目基本情况!B37</f>
        <v>0</v>
      </c>
      <c r="I61" s="1242">
        <f>SUMIF(修正!A59:A70,H61,修正!G59:G70)</f>
        <v>0</v>
      </c>
      <c r="J61" s="1633"/>
      <c r="K61" s="1605"/>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75" customFormat="1" ht="15" spans="1:31">
      <c r="A62" s="1628" t="s">
        <v>2004</v>
      </c>
      <c r="B62" s="1621" t="e">
        <f t="shared" si="17"/>
        <v>#DIV/0!</v>
      </c>
      <c r="C62" s="930">
        <f t="shared" si="16"/>
        <v>0</v>
      </c>
      <c r="D62" s="1629">
        <v>0.25</v>
      </c>
      <c r="E62" s="1636">
        <f>'数据-汇总表'!E15</f>
        <v>0</v>
      </c>
      <c r="F62" s="1624" t="e">
        <f t="shared" si="15"/>
        <v>#DIV/0!</v>
      </c>
      <c r="G62" s="1639" t="s">
        <v>1998</v>
      </c>
      <c r="H62" s="1640">
        <f>项目基本情况!C37</f>
        <v>0</v>
      </c>
      <c r="I62" s="1242">
        <f>SUMIF(修正!A59:A70,H62,修正!G59:G70)</f>
        <v>0</v>
      </c>
      <c r="J62" s="1633"/>
      <c r="K62" s="1581"/>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75" customFormat="1" ht="15" spans="1:31">
      <c r="A63" s="1641" t="s">
        <v>2005</v>
      </c>
      <c r="B63" s="1642" t="s">
        <v>2006</v>
      </c>
      <c r="C63" s="1642" t="s">
        <v>2006</v>
      </c>
      <c r="D63" s="1642" t="s">
        <v>2006</v>
      </c>
      <c r="E63" s="1643">
        <f>IF(B43="楼面地价",SUM(E53:E62),'数据-汇总表'!D3)</f>
        <v>0</v>
      </c>
      <c r="F63" s="1644" t="e">
        <f>IF(B43="楼面地价",SUM(F53:F62),ROUND(C45*E63/10000,0))</f>
        <v>#DIV/0!</v>
      </c>
      <c r="G63" s="1645"/>
      <c r="H63" s="1645"/>
      <c r="I63" s="1645"/>
      <c r="J63" s="1645"/>
      <c r="K63" s="1601"/>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6"/>
      <c r="B64" s="1647"/>
      <c r="C64" s="1648"/>
      <c r="D64" s="1646"/>
      <c r="E64" s="1646"/>
      <c r="F64" s="1646"/>
      <c r="G64" s="1646"/>
      <c r="H64" s="1646"/>
      <c r="I64" s="1646"/>
      <c r="J64" s="1646"/>
      <c r="K64" s="1649"/>
      <c r="L64" s="1650"/>
      <c r="M64" s="1646"/>
      <c r="N64" s="1646"/>
      <c r="O64" s="1646"/>
      <c r="P64" s="1581"/>
      <c r="Q64" s="1581"/>
      <c r="R64" s="1581"/>
      <c r="S64" s="1581"/>
      <c r="T64" s="1581"/>
      <c r="U64" s="1581"/>
      <c r="V64" s="1581"/>
      <c r="W64" s="1581"/>
      <c r="X64" s="1581"/>
      <c r="Y64" s="1581"/>
      <c r="Z64" s="1581"/>
      <c r="AA64" s="1581"/>
      <c r="AB64" s="1581"/>
      <c r="AC64" s="1581"/>
      <c r="AD64" s="1581"/>
      <c r="AE64" s="1581"/>
    </row>
    <row r="65" spans="1:31">
      <c r="A65" s="1646"/>
      <c r="B65" s="1647"/>
      <c r="C65" s="1651" t="str">
        <f>YEAR(C9)&amp;"-"&amp;MONTH(C9)&amp;"-1"</f>
        <v>2026-3-1</v>
      </c>
      <c r="D65" s="1651">
        <f>EDATE(C65,-3)</f>
        <v>45992</v>
      </c>
      <c r="E65" s="1651">
        <f>EDATE(D65,-3)</f>
        <v>45901</v>
      </c>
      <c r="F65" s="1651">
        <f t="shared" ref="F65:O65" si="18">EDATE(E65,-3)</f>
        <v>45809</v>
      </c>
      <c r="G65" s="1651">
        <f t="shared" si="18"/>
        <v>45717</v>
      </c>
      <c r="H65" s="1651">
        <f t="shared" si="18"/>
        <v>45627</v>
      </c>
      <c r="I65" s="1651">
        <f t="shared" si="18"/>
        <v>45536</v>
      </c>
      <c r="J65" s="1651">
        <f t="shared" si="18"/>
        <v>45444</v>
      </c>
      <c r="K65" s="1651">
        <f t="shared" si="18"/>
        <v>45352</v>
      </c>
      <c r="L65" s="1651">
        <f t="shared" si="18"/>
        <v>45261</v>
      </c>
      <c r="M65" s="1651">
        <f t="shared" si="18"/>
        <v>45170</v>
      </c>
      <c r="N65" s="1651">
        <f t="shared" si="18"/>
        <v>45078</v>
      </c>
      <c r="O65" s="1651">
        <f t="shared" si="18"/>
        <v>44986</v>
      </c>
      <c r="P65" s="1581"/>
      <c r="Q65" s="1581"/>
      <c r="R65" s="1581"/>
      <c r="S65" s="1581"/>
      <c r="T65" s="1581"/>
      <c r="U65" s="1581"/>
      <c r="V65" s="1581"/>
      <c r="W65" s="1581"/>
      <c r="X65" s="1581"/>
      <c r="Y65" s="1581"/>
      <c r="Z65" s="1581"/>
      <c r="AA65" s="1581"/>
      <c r="AB65" s="1581"/>
      <c r="AC65" s="1581"/>
      <c r="AD65" s="1581"/>
      <c r="AE65" s="1581"/>
    </row>
    <row r="66" ht="21" spans="1:31">
      <c r="A66" s="1652" t="s">
        <v>1192</v>
      </c>
      <c r="B66" s="1583"/>
      <c r="C66" s="1653"/>
      <c r="D66" s="1653"/>
      <c r="E66" s="1653"/>
      <c r="F66" s="1654"/>
      <c r="G66" s="1654"/>
      <c r="H66" s="1653"/>
      <c r="I66" s="1653"/>
      <c r="J66" s="1653"/>
      <c r="K66" s="1655"/>
      <c r="L66" s="1656"/>
      <c r="M66" s="1653"/>
      <c r="N66" s="1653"/>
      <c r="O66" s="1657"/>
      <c r="P66" s="1658"/>
      <c r="Q66" s="1659"/>
      <c r="R66" s="1581"/>
      <c r="S66" s="1581"/>
      <c r="T66" s="1581"/>
      <c r="U66" s="1581"/>
      <c r="V66" s="1581"/>
      <c r="W66" s="1581"/>
      <c r="X66" s="1581"/>
      <c r="Y66" s="1581"/>
      <c r="Z66" s="1581"/>
      <c r="AA66" s="1581"/>
      <c r="AB66" s="1581"/>
      <c r="AC66" s="1581"/>
      <c r="AD66" s="1581"/>
      <c r="AE66" s="1581"/>
    </row>
    <row r="67" s="1376" customFormat="1" ht="15" spans="1:31">
      <c r="A67" s="1660" t="s">
        <v>2007</v>
      </c>
      <c r="B67" s="1661"/>
      <c r="C67" s="1662" t="str">
        <f>YEAR(C65)&amp;"-"&amp;ROUNDUP(MONTH(C65)/3,0)</f>
        <v>2026-1</v>
      </c>
      <c r="D67" s="1662" t="str">
        <f t="shared" ref="D67:O67" si="19">YEAR(D65)&amp;"-"&amp;ROUNDUP(MONTH(D65)/3,0)</f>
        <v>2025-4</v>
      </c>
      <c r="E67" s="1662" t="str">
        <f t="shared" si="19"/>
        <v>2025-3</v>
      </c>
      <c r="F67" s="1662" t="str">
        <f t="shared" si="19"/>
        <v>2025-2</v>
      </c>
      <c r="G67" s="1662" t="str">
        <f t="shared" si="19"/>
        <v>2025-1</v>
      </c>
      <c r="H67" s="1662" t="str">
        <f t="shared" si="19"/>
        <v>2024-4</v>
      </c>
      <c r="I67" s="1662" t="str">
        <f t="shared" si="19"/>
        <v>2024-3</v>
      </c>
      <c r="J67" s="1662" t="str">
        <f t="shared" si="19"/>
        <v>2024-2</v>
      </c>
      <c r="K67" s="1662" t="str">
        <f t="shared" si="19"/>
        <v>2024-1</v>
      </c>
      <c r="L67" s="1662" t="str">
        <f t="shared" si="19"/>
        <v>2023-4</v>
      </c>
      <c r="M67" s="1662" t="str">
        <f t="shared" si="19"/>
        <v>2023-3</v>
      </c>
      <c r="N67" s="1662" t="str">
        <f t="shared" si="19"/>
        <v>2023-2</v>
      </c>
      <c r="O67" s="1662" t="str">
        <f t="shared" si="19"/>
        <v>2023-1</v>
      </c>
      <c r="P67" s="1663"/>
      <c r="Q67" s="1664"/>
      <c r="R67" s="1664"/>
      <c r="S67" s="1664"/>
      <c r="T67" s="1664"/>
      <c r="U67" s="1664"/>
      <c r="V67" s="1664"/>
      <c r="W67" s="1664"/>
      <c r="X67" s="1664"/>
      <c r="Y67" s="1664"/>
      <c r="Z67" s="1664"/>
      <c r="AA67" s="1664"/>
      <c r="AB67" s="1664"/>
      <c r="AC67" s="1664"/>
      <c r="AD67" s="1664"/>
      <c r="AE67" s="1664"/>
    </row>
    <row r="68" s="1371" customFormat="1" ht="30.75" customHeight="1" spans="1:31">
      <c r="A68" s="1665" t="s">
        <v>2021</v>
      </c>
      <c r="B68" s="1666" t="str">
        <f>"北京市平均增长率"&amp;TEXT(基准地价修正!P28,"0.00%")</f>
        <v>北京市平均增长率0.00%</v>
      </c>
      <c r="C68" s="1188">
        <v>100</v>
      </c>
      <c r="D68" s="1667"/>
      <c r="E68" s="1667"/>
      <c r="F68" s="1667"/>
      <c r="G68" s="1667"/>
      <c r="H68" s="1667"/>
      <c r="I68" s="1667"/>
      <c r="J68" s="1667"/>
      <c r="K68" s="1667"/>
      <c r="L68" s="1667"/>
      <c r="M68" s="1668"/>
      <c r="N68" s="1668"/>
      <c r="O68" s="1669"/>
      <c r="P68" s="1659"/>
      <c r="Q68" s="1670"/>
      <c r="R68" s="1670"/>
      <c r="S68" s="1670"/>
      <c r="T68" s="1670"/>
      <c r="U68" s="1670"/>
      <c r="V68" s="1670"/>
      <c r="W68" s="1670"/>
      <c r="X68" s="1670"/>
      <c r="Y68" s="1670"/>
      <c r="Z68" s="1670"/>
      <c r="AA68" s="1670"/>
      <c r="AB68" s="1670"/>
      <c r="AC68" s="1670"/>
      <c r="AD68" s="1670"/>
      <c r="AE68" s="1670"/>
    </row>
    <row r="69" s="1371" customFormat="1" ht="15.75" spans="1:31">
      <c r="A69" s="1671" t="s">
        <v>1193</v>
      </c>
      <c r="B69" s="1672"/>
      <c r="C69" s="1673"/>
      <c r="D69" s="1674"/>
      <c r="E69" s="1674"/>
      <c r="F69" s="1674"/>
      <c r="G69" s="1674"/>
      <c r="H69" s="1674"/>
      <c r="I69" s="1674"/>
      <c r="J69" s="1674"/>
      <c r="K69" s="1674"/>
      <c r="L69" s="1674"/>
      <c r="M69" s="1675"/>
      <c r="N69" s="1675"/>
      <c r="O69" s="1676"/>
      <c r="P69" s="1659"/>
      <c r="Q69" s="1659"/>
      <c r="R69" s="1670"/>
      <c r="S69" s="1670"/>
      <c r="T69" s="1670"/>
      <c r="U69" s="1670"/>
      <c r="V69" s="1670"/>
      <c r="W69" s="1670"/>
      <c r="X69" s="1670"/>
      <c r="Y69" s="1670"/>
      <c r="Z69" s="1670"/>
      <c r="AA69" s="1670"/>
      <c r="AB69" s="1670"/>
      <c r="AC69" s="1670"/>
      <c r="AD69" s="1670"/>
      <c r="AE69" s="1670"/>
    </row>
    <row r="70" s="1371" customFormat="1" ht="15" spans="1:31">
      <c r="A70" s="1677" t="s">
        <v>1143</v>
      </c>
      <c r="B70" s="1678"/>
      <c r="C70" s="1679" t="s">
        <v>1194</v>
      </c>
      <c r="D70" s="1680"/>
      <c r="E70" s="1680"/>
      <c r="F70" s="1680"/>
      <c r="G70" s="1680"/>
      <c r="H70" s="1680"/>
      <c r="I70" s="1680"/>
      <c r="J70" s="1680"/>
      <c r="K70" s="1680"/>
      <c r="L70" s="1681"/>
      <c r="M70" s="1682"/>
      <c r="N70" s="1683"/>
      <c r="O70" s="1683"/>
      <c r="P70" s="1684"/>
      <c r="Q70" s="1659"/>
      <c r="R70" s="1670"/>
      <c r="S70" s="1670"/>
      <c r="T70" s="1670"/>
      <c r="U70" s="1670"/>
      <c r="V70" s="1670"/>
      <c r="W70" s="1670"/>
      <c r="X70" s="1670"/>
      <c r="Y70" s="1670"/>
      <c r="Z70" s="1670"/>
      <c r="AA70" s="1670"/>
      <c r="AB70" s="1670"/>
      <c r="AC70" s="1670"/>
      <c r="AD70" s="1670"/>
      <c r="AE70" s="1670"/>
    </row>
    <row r="71" s="1371" customFormat="1" ht="15.75" spans="1:31">
      <c r="A71" s="1677"/>
      <c r="B71" s="1678"/>
      <c r="C71" s="1685">
        <v>100</v>
      </c>
      <c r="D71" s="1686"/>
      <c r="E71" s="1686"/>
      <c r="F71" s="1686"/>
      <c r="G71" s="1686"/>
      <c r="H71" s="1686"/>
      <c r="I71" s="1686"/>
      <c r="J71" s="1686"/>
      <c r="K71" s="1686"/>
      <c r="L71" s="1686"/>
      <c r="M71" s="1687"/>
      <c r="N71" s="1683"/>
      <c r="O71" s="1683"/>
      <c r="P71" s="1659"/>
      <c r="Q71" s="1659"/>
      <c r="R71" s="1670"/>
      <c r="S71" s="1670"/>
      <c r="T71" s="1670"/>
      <c r="U71" s="1670"/>
      <c r="V71" s="1670"/>
      <c r="W71" s="1670"/>
      <c r="X71" s="1670"/>
      <c r="Y71" s="1670"/>
      <c r="Z71" s="1670"/>
      <c r="AA71" s="1670"/>
      <c r="AB71" s="1670"/>
      <c r="AC71" s="1670"/>
      <c r="AD71" s="1670"/>
      <c r="AE71" s="1670"/>
    </row>
    <row r="72" spans="1:31">
      <c r="A72" s="1688" t="s">
        <v>1196</v>
      </c>
      <c r="B72" s="1689" t="s">
        <v>1147</v>
      </c>
      <c r="C72" s="1690"/>
      <c r="D72" s="1690"/>
      <c r="E72" s="1690"/>
      <c r="F72" s="1690"/>
      <c r="G72" s="1690"/>
      <c r="H72" s="1690"/>
      <c r="I72" s="1690"/>
      <c r="J72" s="1690"/>
      <c r="K72" s="1691"/>
      <c r="L72" s="1692"/>
      <c r="M72" s="1693"/>
      <c r="N72" s="1694"/>
      <c r="O72" s="1694"/>
      <c r="P72" s="1683"/>
      <c r="Q72" s="1659"/>
      <c r="R72" s="1581"/>
      <c r="S72" s="1581"/>
      <c r="T72" s="1581"/>
      <c r="U72" s="1581"/>
      <c r="V72" s="1581"/>
      <c r="W72" s="1581"/>
      <c r="X72" s="1581"/>
      <c r="Y72" s="1581"/>
      <c r="Z72" s="1581"/>
      <c r="AA72" s="1581"/>
      <c r="AB72" s="1581"/>
      <c r="AC72" s="1581"/>
      <c r="AD72" s="1581"/>
      <c r="AE72" s="1581"/>
    </row>
    <row r="73" ht="15.75" spans="1:31">
      <c r="A73" s="1695"/>
      <c r="B73" s="1696"/>
      <c r="C73" s="1697"/>
      <c r="D73" s="1697"/>
      <c r="E73" s="1697"/>
      <c r="F73" s="1697"/>
      <c r="G73" s="1697"/>
      <c r="H73" s="1697"/>
      <c r="I73" s="1697"/>
      <c r="J73" s="1697"/>
      <c r="K73" s="1697"/>
      <c r="L73" s="1697"/>
      <c r="M73" s="1698"/>
      <c r="N73" s="1699"/>
      <c r="O73" s="1699"/>
      <c r="P73" s="1683"/>
      <c r="Q73" s="1659"/>
      <c r="R73" s="1581"/>
      <c r="S73" s="1581"/>
      <c r="T73" s="1581"/>
      <c r="U73" s="1581"/>
      <c r="V73" s="1581"/>
      <c r="W73" s="1581"/>
      <c r="X73" s="1581"/>
      <c r="Y73" s="1581"/>
      <c r="Z73" s="1581"/>
      <c r="AA73" s="1581"/>
      <c r="AB73" s="1581"/>
      <c r="AC73" s="1581"/>
      <c r="AD73" s="1581"/>
      <c r="AE73" s="1581"/>
    </row>
    <row r="74" ht="27.75" spans="1:31">
      <c r="A74" s="1695"/>
      <c r="B74" s="1700" t="s">
        <v>1151</v>
      </c>
      <c r="C74" s="1701"/>
      <c r="D74" s="1701"/>
      <c r="E74" s="1701"/>
      <c r="F74" s="1701"/>
      <c r="G74" s="1701"/>
      <c r="H74" s="1701"/>
      <c r="I74" s="1701"/>
      <c r="J74" s="1701"/>
      <c r="K74" s="1702"/>
      <c r="L74" s="1703"/>
      <c r="M74" s="1704"/>
      <c r="N74" s="1694"/>
      <c r="O74" s="1694"/>
      <c r="P74" s="1683"/>
      <c r="Q74" s="1659"/>
      <c r="R74" s="1581"/>
      <c r="S74" s="1581"/>
      <c r="T74" s="1581"/>
      <c r="U74" s="1581"/>
      <c r="V74" s="1581"/>
      <c r="W74" s="1581"/>
      <c r="X74" s="1581"/>
      <c r="Y74" s="1581"/>
      <c r="Z74" s="1581"/>
      <c r="AA74" s="1581"/>
      <c r="AB74" s="1581"/>
      <c r="AC74" s="1581"/>
      <c r="AD74" s="1581"/>
      <c r="AE74" s="1581"/>
    </row>
    <row r="75" ht="15.75" spans="1:31">
      <c r="A75" s="1695"/>
      <c r="B75" s="1705"/>
      <c r="C75" s="1706"/>
      <c r="D75" s="1706"/>
      <c r="E75" s="1706"/>
      <c r="F75" s="1706"/>
      <c r="G75" s="1706"/>
      <c r="H75" s="1706"/>
      <c r="I75" s="1706"/>
      <c r="J75" s="1706"/>
      <c r="K75" s="1706"/>
      <c r="L75" s="1706"/>
      <c r="M75" s="1707"/>
      <c r="N75" s="1699"/>
      <c r="O75" s="1699"/>
      <c r="P75" s="1683"/>
      <c r="Q75" s="1659"/>
      <c r="R75" s="1581"/>
      <c r="S75" s="1581"/>
      <c r="T75" s="1581"/>
      <c r="U75" s="1581"/>
      <c r="V75" s="1581"/>
      <c r="W75" s="1581"/>
      <c r="X75" s="1581"/>
      <c r="Y75" s="1581"/>
      <c r="Z75" s="1581"/>
      <c r="AA75" s="1581"/>
      <c r="AB75" s="1581"/>
      <c r="AC75" s="1581"/>
      <c r="AD75" s="1581"/>
      <c r="AE75" s="1581"/>
    </row>
    <row r="76" ht="15.75" spans="1:31">
      <c r="A76" s="1695"/>
      <c r="B76" s="1708" t="s">
        <v>1154</v>
      </c>
      <c r="C76" s="1709" t="str">
        <f>C77&amp;"（含）"&amp;"-"&amp;D77</f>
        <v>（含）-</v>
      </c>
      <c r="D76" s="1709" t="str">
        <f t="shared" ref="D76:L76" si="20">D77&amp;"（含）"&amp;"-"&amp;E77</f>
        <v>（含）-</v>
      </c>
      <c r="E76" s="1709" t="str">
        <f t="shared" si="20"/>
        <v>（含）-</v>
      </c>
      <c r="F76" s="1709" t="str">
        <f t="shared" si="20"/>
        <v>（含）-</v>
      </c>
      <c r="G76" s="1709" t="str">
        <f t="shared" si="20"/>
        <v>（含）-</v>
      </c>
      <c r="H76" s="1709" t="str">
        <f t="shared" si="20"/>
        <v>（含）-</v>
      </c>
      <c r="I76" s="1709" t="str">
        <f t="shared" si="20"/>
        <v>（含）-</v>
      </c>
      <c r="J76" s="1709" t="str">
        <f t="shared" si="20"/>
        <v>（含）-</v>
      </c>
      <c r="K76" s="1709" t="str">
        <f t="shared" si="20"/>
        <v>（含）-</v>
      </c>
      <c r="L76" s="1709" t="str">
        <f t="shared" si="20"/>
        <v>（含）-</v>
      </c>
      <c r="M76" s="1710" t="str">
        <f>M77&amp;"（含）"&amp;"-"&amp;P77</f>
        <v>（含）-</v>
      </c>
      <c r="N76" s="1699"/>
      <c r="O76" s="1699"/>
      <c r="P76" s="1683"/>
      <c r="Q76" s="1659"/>
      <c r="R76" s="1581"/>
      <c r="S76" s="1581"/>
      <c r="T76" s="1581"/>
      <c r="U76" s="1581"/>
      <c r="V76" s="1581"/>
      <c r="W76" s="1581"/>
      <c r="X76" s="1581"/>
      <c r="Y76" s="1581"/>
      <c r="Z76" s="1581"/>
      <c r="AA76" s="1581"/>
      <c r="AB76" s="1581"/>
      <c r="AC76" s="1581"/>
      <c r="AD76" s="1581"/>
      <c r="AE76" s="1581"/>
    </row>
    <row r="77" ht="15" spans="1:31">
      <c r="A77" s="1695"/>
      <c r="B77" s="1711"/>
      <c r="C77" s="1712"/>
      <c r="D77" s="1712"/>
      <c r="E77" s="1712"/>
      <c r="F77" s="1712"/>
      <c r="G77" s="1712"/>
      <c r="H77" s="1712"/>
      <c r="I77" s="1712"/>
      <c r="J77" s="1712"/>
      <c r="K77" s="1713"/>
      <c r="L77" s="1714"/>
      <c r="M77" s="1715"/>
      <c r="N77" s="1694"/>
      <c r="O77" s="1694"/>
      <c r="P77" s="1683"/>
      <c r="Q77" s="1659"/>
      <c r="R77" s="1581"/>
      <c r="S77" s="1581"/>
      <c r="T77" s="1581"/>
      <c r="U77" s="1581"/>
      <c r="V77" s="1581"/>
      <c r="W77" s="1581"/>
      <c r="X77" s="1581"/>
      <c r="Y77" s="1581"/>
      <c r="Z77" s="1581"/>
      <c r="AA77" s="1581"/>
      <c r="AB77" s="1581"/>
      <c r="AC77" s="1581"/>
      <c r="AD77" s="1581"/>
      <c r="AE77" s="1581"/>
    </row>
    <row r="78" ht="15.75" spans="1:31">
      <c r="A78" s="1695"/>
      <c r="B78" s="1696"/>
      <c r="C78" s="1706">
        <v>100</v>
      </c>
      <c r="D78" s="1706">
        <f>IF($B$43="单位面积地价",C78+$K13,C78-$K13)</f>
        <v>100</v>
      </c>
      <c r="E78" s="1706">
        <f t="shared" ref="E78:M78" si="21">IF($B$43="单位面积地价",D78+$K13,D78-$K13)</f>
        <v>100</v>
      </c>
      <c r="F78" s="1706">
        <f t="shared" si="21"/>
        <v>100</v>
      </c>
      <c r="G78" s="1706">
        <f t="shared" si="21"/>
        <v>100</v>
      </c>
      <c r="H78" s="1706">
        <f t="shared" si="21"/>
        <v>100</v>
      </c>
      <c r="I78" s="1706">
        <f t="shared" si="21"/>
        <v>100</v>
      </c>
      <c r="J78" s="1706">
        <f t="shared" si="21"/>
        <v>100</v>
      </c>
      <c r="K78" s="1706">
        <f t="shared" si="21"/>
        <v>100</v>
      </c>
      <c r="L78" s="1706">
        <f t="shared" si="21"/>
        <v>100</v>
      </c>
      <c r="M78" s="1706">
        <f t="shared" si="21"/>
        <v>100</v>
      </c>
      <c r="N78" s="1699"/>
      <c r="O78" s="1699"/>
      <c r="P78" s="1683"/>
      <c r="Q78" s="1659"/>
      <c r="R78" s="1581"/>
      <c r="S78" s="1581"/>
      <c r="T78" s="1581"/>
      <c r="U78" s="1581"/>
      <c r="V78" s="1581"/>
      <c r="W78" s="1581"/>
      <c r="X78" s="1581"/>
      <c r="Y78" s="1581"/>
      <c r="Z78" s="1581"/>
      <c r="AA78" s="1581"/>
      <c r="AB78" s="1581"/>
      <c r="AC78" s="1581"/>
      <c r="AD78" s="1581"/>
      <c r="AE78" s="1581"/>
    </row>
    <row r="79" s="1373" customFormat="1" ht="15.75" spans="1:31">
      <c r="A79" s="1716"/>
      <c r="B79" s="1700">
        <f>B14</f>
        <v>111</v>
      </c>
      <c r="C79" s="1717"/>
      <c r="D79" s="1717"/>
      <c r="E79" s="1717"/>
      <c r="F79" s="1717"/>
      <c r="G79" s="1717"/>
      <c r="H79" s="1718"/>
      <c r="I79" s="1718"/>
      <c r="J79" s="1718"/>
      <c r="K79" s="1718"/>
      <c r="L79" s="1719"/>
      <c r="M79" s="1720"/>
      <c r="N79" s="1721"/>
      <c r="O79" s="1721"/>
      <c r="P79" s="1721"/>
      <c r="Q79" s="1722"/>
      <c r="R79" s="1723"/>
      <c r="S79" s="1723"/>
      <c r="T79" s="1723"/>
      <c r="U79" s="1723"/>
      <c r="V79" s="1723"/>
      <c r="W79" s="1723"/>
      <c r="X79" s="1723"/>
      <c r="Y79" s="1723"/>
      <c r="Z79" s="1723"/>
      <c r="AA79" s="1723"/>
      <c r="AB79" s="1723"/>
      <c r="AC79" s="1723"/>
      <c r="AD79" s="1723"/>
      <c r="AE79" s="1723"/>
    </row>
    <row r="80" s="1373" customFormat="1" ht="15.75" spans="1:31">
      <c r="A80" s="1716"/>
      <c r="B80" s="1705"/>
      <c r="C80" s="1724"/>
      <c r="D80" s="1697"/>
      <c r="E80" s="1697"/>
      <c r="F80" s="1697"/>
      <c r="G80" s="1697"/>
      <c r="H80" s="1697"/>
      <c r="I80" s="1697"/>
      <c r="J80" s="1697"/>
      <c r="K80" s="1697"/>
      <c r="L80" s="1697"/>
      <c r="M80" s="1698"/>
      <c r="N80" s="1699"/>
      <c r="O80" s="1699"/>
      <c r="P80" s="1721"/>
      <c r="Q80" s="1722"/>
      <c r="R80" s="1723"/>
      <c r="S80" s="1723"/>
      <c r="T80" s="1723"/>
      <c r="U80" s="1723"/>
      <c r="V80" s="1723"/>
      <c r="W80" s="1723"/>
      <c r="X80" s="1723"/>
      <c r="Y80" s="1723"/>
      <c r="Z80" s="1723"/>
      <c r="AA80" s="1723"/>
      <c r="AB80" s="1723"/>
      <c r="AC80" s="1723"/>
      <c r="AD80" s="1723"/>
      <c r="AE80" s="1723"/>
    </row>
    <row r="81" s="1373" customFormat="1" ht="15.75" spans="1:31">
      <c r="A81" s="1716"/>
      <c r="B81" s="1700">
        <f>B15</f>
        <v>111</v>
      </c>
      <c r="C81" s="1717"/>
      <c r="D81" s="1717"/>
      <c r="E81" s="1717"/>
      <c r="F81" s="1717"/>
      <c r="G81" s="1717"/>
      <c r="H81" s="1718"/>
      <c r="I81" s="1718"/>
      <c r="J81" s="1718"/>
      <c r="K81" s="1718"/>
      <c r="L81" s="1719"/>
      <c r="M81" s="1720"/>
      <c r="N81" s="1721"/>
      <c r="O81" s="1721"/>
      <c r="P81" s="1551"/>
      <c r="Q81" s="1725"/>
      <c r="R81" s="1723"/>
      <c r="S81" s="1723"/>
      <c r="T81" s="1723"/>
      <c r="U81" s="1723"/>
      <c r="V81" s="1723"/>
      <c r="W81" s="1723"/>
      <c r="X81" s="1723"/>
      <c r="Y81" s="1723"/>
      <c r="Z81" s="1723"/>
      <c r="AA81" s="1723"/>
      <c r="AB81" s="1723"/>
      <c r="AC81" s="1723"/>
      <c r="AD81" s="1723"/>
      <c r="AE81" s="1723"/>
    </row>
    <row r="82" s="1373" customFormat="1" ht="15.75" spans="1:31">
      <c r="A82" s="1716"/>
      <c r="B82" s="1705"/>
      <c r="C82" s="1724"/>
      <c r="D82" s="1724"/>
      <c r="E82" s="1724"/>
      <c r="F82" s="1724"/>
      <c r="G82" s="1724"/>
      <c r="H82" s="1726"/>
      <c r="I82" s="1726"/>
      <c r="J82" s="1726"/>
      <c r="K82" s="1726"/>
      <c r="L82" s="1726"/>
      <c r="M82" s="1727"/>
      <c r="N82" s="1721"/>
      <c r="O82" s="1721"/>
      <c r="P82" s="1721"/>
      <c r="Q82" s="1722"/>
      <c r="R82" s="1723"/>
      <c r="S82" s="1723"/>
      <c r="T82" s="1723"/>
      <c r="U82" s="1723"/>
      <c r="V82" s="1723"/>
      <c r="W82" s="1723"/>
      <c r="X82" s="1723"/>
      <c r="Y82" s="1723"/>
      <c r="Z82" s="1723"/>
      <c r="AA82" s="1723"/>
      <c r="AB82" s="1723"/>
      <c r="AC82" s="1723"/>
      <c r="AD82" s="1723"/>
      <c r="AE82" s="1723"/>
    </row>
    <row r="83" s="1373" customFormat="1" ht="15.75" spans="1:31">
      <c r="A83" s="1716"/>
      <c r="B83" s="1708">
        <f>B16</f>
        <v>111</v>
      </c>
      <c r="C83" s="1680"/>
      <c r="D83" s="1680"/>
      <c r="E83" s="1680"/>
      <c r="F83" s="1680"/>
      <c r="G83" s="1680"/>
      <c r="H83" s="1728"/>
      <c r="I83" s="1728"/>
      <c r="J83" s="1728"/>
      <c r="K83" s="1728"/>
      <c r="L83" s="1729"/>
      <c r="M83" s="1730"/>
      <c r="N83" s="1721"/>
      <c r="O83" s="1721"/>
      <c r="P83" s="1731"/>
      <c r="Q83" s="1722"/>
      <c r="R83" s="1723"/>
      <c r="S83" s="1723"/>
      <c r="T83" s="1723"/>
      <c r="U83" s="1723"/>
      <c r="V83" s="1723"/>
      <c r="W83" s="1723"/>
      <c r="X83" s="1723"/>
      <c r="Y83" s="1723"/>
      <c r="Z83" s="1723"/>
      <c r="AA83" s="1723"/>
      <c r="AB83" s="1723"/>
      <c r="AC83" s="1723"/>
      <c r="AD83" s="1723"/>
      <c r="AE83" s="1723"/>
    </row>
    <row r="84" s="1373" customFormat="1" ht="15.75" spans="1:31">
      <c r="A84" s="1732"/>
      <c r="B84" s="1733"/>
      <c r="C84" s="1734"/>
      <c r="D84" s="1734"/>
      <c r="E84" s="1734"/>
      <c r="F84" s="1734"/>
      <c r="G84" s="1734"/>
      <c r="H84" s="1735"/>
      <c r="I84" s="1735"/>
      <c r="J84" s="1735"/>
      <c r="K84" s="1735"/>
      <c r="L84" s="1735"/>
      <c r="M84" s="1736"/>
      <c r="N84" s="1721"/>
      <c r="O84" s="1721"/>
      <c r="P84" s="1721"/>
      <c r="Q84" s="1722"/>
      <c r="R84" s="1723"/>
      <c r="S84" s="1723"/>
      <c r="T84" s="1723"/>
      <c r="U84" s="1723"/>
      <c r="V84" s="1723"/>
      <c r="W84" s="1723"/>
      <c r="X84" s="1723"/>
      <c r="Y84" s="1723"/>
      <c r="Z84" s="1723"/>
      <c r="AA84" s="1723"/>
      <c r="AB84" s="1723"/>
      <c r="AC84" s="1723"/>
      <c r="AD84" s="1723"/>
      <c r="AE84" s="1723"/>
    </row>
    <row r="85" spans="1:31">
      <c r="A85" s="1688" t="s">
        <v>1155</v>
      </c>
      <c r="B85" s="1689" t="s">
        <v>1156</v>
      </c>
      <c r="C85" s="1737" t="s">
        <v>1200</v>
      </c>
      <c r="D85" s="1737" t="s">
        <v>1201</v>
      </c>
      <c r="E85" s="1737" t="s">
        <v>1202</v>
      </c>
      <c r="F85" s="1737" t="s">
        <v>1203</v>
      </c>
      <c r="G85" s="1737" t="s">
        <v>1204</v>
      </c>
      <c r="H85" s="1618"/>
      <c r="I85" s="1618"/>
      <c r="J85" s="1618"/>
      <c r="K85" s="1738"/>
      <c r="L85" s="1739"/>
      <c r="M85" s="1740"/>
      <c r="N85" s="1694"/>
      <c r="O85" s="1694"/>
      <c r="P85" s="1741"/>
      <c r="Q85" s="1659"/>
      <c r="R85" s="1581"/>
      <c r="S85" s="1581"/>
      <c r="T85" s="1581"/>
      <c r="U85" s="1581"/>
      <c r="V85" s="1581"/>
      <c r="W85" s="1581"/>
      <c r="X85" s="1581"/>
      <c r="Y85" s="1581"/>
      <c r="Z85" s="1581"/>
      <c r="AA85" s="1581"/>
      <c r="AB85" s="1581"/>
      <c r="AC85" s="1581"/>
      <c r="AD85" s="1581"/>
      <c r="AE85" s="1581"/>
    </row>
    <row r="86" ht="15.75" spans="1:31">
      <c r="A86" s="1695"/>
      <c r="B86" s="1705"/>
      <c r="C86" s="1706">
        <v>100</v>
      </c>
      <c r="D86" s="1706">
        <f>C86-$K17</f>
        <v>100</v>
      </c>
      <c r="E86" s="1706">
        <f>D86-$K17</f>
        <v>100</v>
      </c>
      <c r="F86" s="1706">
        <f>E86-$K17</f>
        <v>100</v>
      </c>
      <c r="G86" s="1706">
        <f>F86-$K17</f>
        <v>100</v>
      </c>
      <c r="H86" s="1706"/>
      <c r="I86" s="1706"/>
      <c r="J86" s="1706"/>
      <c r="K86" s="1706"/>
      <c r="L86" s="1706"/>
      <c r="M86" s="1707"/>
      <c r="N86" s="1699"/>
      <c r="O86" s="1699"/>
      <c r="P86" s="1683"/>
      <c r="Q86" s="1659"/>
      <c r="R86" s="1581"/>
      <c r="S86" s="1581"/>
      <c r="T86" s="1581"/>
      <c r="U86" s="1581"/>
      <c r="V86" s="1581"/>
      <c r="W86" s="1581"/>
      <c r="X86" s="1581"/>
      <c r="Y86" s="1581"/>
      <c r="Z86" s="1581"/>
      <c r="AA86" s="1581"/>
      <c r="AB86" s="1581"/>
      <c r="AC86" s="1581"/>
      <c r="AD86" s="1581"/>
      <c r="AE86" s="1581"/>
    </row>
    <row r="87" ht="15.75" spans="1:31">
      <c r="A87" s="1695"/>
      <c r="B87" s="1700" t="s">
        <v>1159</v>
      </c>
      <c r="C87" s="1742" t="s">
        <v>1200</v>
      </c>
      <c r="D87" s="1742" t="s">
        <v>1201</v>
      </c>
      <c r="E87" s="1742" t="s">
        <v>1202</v>
      </c>
      <c r="F87" s="1742" t="s">
        <v>1203</v>
      </c>
      <c r="G87" s="1742" t="s">
        <v>1204</v>
      </c>
      <c r="H87" s="1701"/>
      <c r="I87" s="1701"/>
      <c r="J87" s="1701"/>
      <c r="K87" s="1702"/>
      <c r="L87" s="1703"/>
      <c r="M87" s="1704"/>
      <c r="N87" s="1694"/>
      <c r="O87" s="1694"/>
      <c r="P87" s="1683"/>
      <c r="Q87" s="1659"/>
      <c r="R87" s="1581"/>
      <c r="S87" s="1581"/>
      <c r="T87" s="1581"/>
      <c r="U87" s="1581"/>
      <c r="V87" s="1581"/>
      <c r="W87" s="1581"/>
      <c r="X87" s="1581"/>
      <c r="Y87" s="1581"/>
      <c r="Z87" s="1581"/>
      <c r="AA87" s="1581"/>
      <c r="AB87" s="1581"/>
      <c r="AC87" s="1581"/>
      <c r="AD87" s="1581"/>
      <c r="AE87" s="1581"/>
    </row>
    <row r="88" ht="15.75" spans="1:31">
      <c r="A88" s="1695"/>
      <c r="B88" s="1705"/>
      <c r="C88" s="1706">
        <v>100</v>
      </c>
      <c r="D88" s="1706">
        <f>C88-$K19</f>
        <v>100</v>
      </c>
      <c r="E88" s="1706">
        <f>D88-$K19</f>
        <v>100</v>
      </c>
      <c r="F88" s="1706">
        <f>E88-$K19</f>
        <v>100</v>
      </c>
      <c r="G88" s="1706">
        <f>F88-$K19</f>
        <v>100</v>
      </c>
      <c r="H88" s="1706"/>
      <c r="I88" s="1706"/>
      <c r="J88" s="1706"/>
      <c r="K88" s="1706"/>
      <c r="L88" s="1706"/>
      <c r="M88" s="1707"/>
      <c r="N88" s="1699"/>
      <c r="O88" s="1699"/>
      <c r="P88" s="1683"/>
      <c r="Q88" s="1659"/>
      <c r="R88" s="1581"/>
      <c r="S88" s="1581"/>
      <c r="T88" s="1581"/>
      <c r="U88" s="1581"/>
      <c r="V88" s="1581"/>
      <c r="W88" s="1581"/>
      <c r="X88" s="1581"/>
      <c r="Y88" s="1581"/>
      <c r="Z88" s="1581"/>
      <c r="AA88" s="1581"/>
      <c r="AB88" s="1581"/>
      <c r="AC88" s="1581"/>
      <c r="AD88" s="1581"/>
      <c r="AE88" s="1581"/>
    </row>
    <row r="89" s="1371" customFormat="1" ht="15.75" spans="1:31">
      <c r="A89" s="1743"/>
      <c r="B89" s="1700" t="s">
        <v>1973</v>
      </c>
      <c r="C89" s="1737" t="s">
        <v>1200</v>
      </c>
      <c r="D89" s="1737" t="s">
        <v>1201</v>
      </c>
      <c r="E89" s="1737" t="s">
        <v>1202</v>
      </c>
      <c r="F89" s="1737" t="s">
        <v>1203</v>
      </c>
      <c r="G89" s="1737" t="s">
        <v>1204</v>
      </c>
      <c r="H89" s="1742"/>
      <c r="I89" s="1742"/>
      <c r="J89" s="1742"/>
      <c r="K89" s="1742"/>
      <c r="L89" s="1744"/>
      <c r="M89" s="1745"/>
      <c r="N89" s="1683"/>
      <c r="O89" s="1683"/>
      <c r="P89" s="1683"/>
      <c r="Q89" s="1659"/>
      <c r="R89" s="1670"/>
      <c r="S89" s="1670"/>
      <c r="T89" s="1670"/>
      <c r="U89" s="1670"/>
      <c r="V89" s="1670"/>
      <c r="W89" s="1670"/>
      <c r="X89" s="1670"/>
      <c r="Y89" s="1670"/>
      <c r="Z89" s="1670"/>
      <c r="AA89" s="1670"/>
      <c r="AB89" s="1670"/>
      <c r="AC89" s="1670"/>
      <c r="AD89" s="1670"/>
      <c r="AE89" s="1670"/>
    </row>
    <row r="90" s="1371" customFormat="1" ht="15.75" spans="1:31">
      <c r="A90" s="1743"/>
      <c r="B90" s="1705"/>
      <c r="C90" s="1746">
        <v>100</v>
      </c>
      <c r="D90" s="1706">
        <f>C90-$K21</f>
        <v>100</v>
      </c>
      <c r="E90" s="1706">
        <f>D90-$K21</f>
        <v>100</v>
      </c>
      <c r="F90" s="1706">
        <f>E90-$K21</f>
        <v>100</v>
      </c>
      <c r="G90" s="1706">
        <f>F90-$K21</f>
        <v>100</v>
      </c>
      <c r="H90" s="1706"/>
      <c r="I90" s="1706"/>
      <c r="J90" s="1706"/>
      <c r="K90" s="1706"/>
      <c r="L90" s="1706"/>
      <c r="M90" s="1707"/>
      <c r="N90" s="1699"/>
      <c r="O90" s="1699"/>
      <c r="P90" s="1683"/>
      <c r="Q90" s="1659"/>
      <c r="R90" s="1670"/>
      <c r="S90" s="1670"/>
      <c r="T90" s="1670"/>
      <c r="U90" s="1670"/>
      <c r="V90" s="1670"/>
      <c r="W90" s="1670"/>
      <c r="X90" s="1670"/>
      <c r="Y90" s="1670"/>
      <c r="Z90" s="1670"/>
      <c r="AA90" s="1670"/>
      <c r="AB90" s="1670"/>
      <c r="AC90" s="1670"/>
      <c r="AD90" s="1670"/>
      <c r="AE90" s="1670"/>
    </row>
    <row r="91" s="1371" customFormat="1" ht="27.75" spans="1:31">
      <c r="A91" s="1743"/>
      <c r="B91" s="1700" t="s">
        <v>1974</v>
      </c>
      <c r="C91" s="1737" t="s">
        <v>1200</v>
      </c>
      <c r="D91" s="1737" t="s">
        <v>1201</v>
      </c>
      <c r="E91" s="1737" t="s">
        <v>1202</v>
      </c>
      <c r="F91" s="1737" t="s">
        <v>1203</v>
      </c>
      <c r="G91" s="1737" t="s">
        <v>1204</v>
      </c>
      <c r="H91" s="1742"/>
      <c r="I91" s="1742"/>
      <c r="J91" s="1742"/>
      <c r="K91" s="1742"/>
      <c r="L91" s="1742"/>
      <c r="M91" s="1745"/>
      <c r="N91" s="1683"/>
      <c r="O91" s="1683"/>
      <c r="P91" s="1683"/>
      <c r="Q91" s="1659"/>
      <c r="R91" s="1670"/>
      <c r="S91" s="1670"/>
      <c r="T91" s="1670"/>
      <c r="U91" s="1670"/>
      <c r="V91" s="1670"/>
      <c r="W91" s="1670"/>
      <c r="X91" s="1670"/>
      <c r="Y91" s="1670"/>
      <c r="Z91" s="1670"/>
      <c r="AA91" s="1670"/>
      <c r="AB91" s="1670"/>
      <c r="AC91" s="1670"/>
      <c r="AD91" s="1670"/>
      <c r="AE91" s="1670"/>
    </row>
    <row r="92" s="1371" customFormat="1" ht="15.75" spans="1:31">
      <c r="A92" s="1743"/>
      <c r="B92" s="1705"/>
      <c r="C92" s="1706">
        <v>100</v>
      </c>
      <c r="D92" s="1706">
        <f>C92-$K23</f>
        <v>100</v>
      </c>
      <c r="E92" s="1706">
        <f>D92-$K23</f>
        <v>100</v>
      </c>
      <c r="F92" s="1706">
        <f>E92-$K23</f>
        <v>100</v>
      </c>
      <c r="G92" s="1706">
        <f>F92-$K23</f>
        <v>100</v>
      </c>
      <c r="H92" s="1706"/>
      <c r="I92" s="1706"/>
      <c r="J92" s="1706"/>
      <c r="K92" s="1706"/>
      <c r="L92" s="1706"/>
      <c r="M92" s="1707"/>
      <c r="N92" s="1699"/>
      <c r="O92" s="1699"/>
      <c r="P92" s="1683"/>
      <c r="Q92" s="1659"/>
      <c r="R92" s="1670"/>
      <c r="S92" s="1670"/>
      <c r="T92" s="1670"/>
      <c r="U92" s="1670"/>
      <c r="V92" s="1670"/>
      <c r="W92" s="1670"/>
      <c r="X92" s="1670"/>
      <c r="Y92" s="1670"/>
      <c r="Z92" s="1670"/>
      <c r="AA92" s="1670"/>
      <c r="AB92" s="1670"/>
      <c r="AC92" s="1670"/>
      <c r="AD92" s="1670"/>
      <c r="AE92" s="1670"/>
    </row>
    <row r="93" s="1373" customFormat="1" ht="15.75" spans="1:31">
      <c r="A93" s="1716"/>
      <c r="B93" s="1700" t="s">
        <v>1160</v>
      </c>
      <c r="C93" s="1737" t="s">
        <v>1200</v>
      </c>
      <c r="D93" s="1737" t="s">
        <v>1201</v>
      </c>
      <c r="E93" s="1737" t="s">
        <v>1202</v>
      </c>
      <c r="F93" s="1737" t="s">
        <v>1203</v>
      </c>
      <c r="G93" s="1737" t="s">
        <v>1204</v>
      </c>
      <c r="H93" s="1747"/>
      <c r="I93" s="1747"/>
      <c r="J93" s="1747"/>
      <c r="K93" s="1747"/>
      <c r="L93" s="1748"/>
      <c r="M93" s="1749"/>
      <c r="N93" s="1721"/>
      <c r="O93" s="1721"/>
      <c r="P93" s="1721"/>
      <c r="Q93" s="1722"/>
      <c r="R93" s="1723"/>
      <c r="S93" s="1723"/>
      <c r="T93" s="1723"/>
      <c r="U93" s="1723"/>
      <c r="V93" s="1723"/>
      <c r="W93" s="1723"/>
      <c r="X93" s="1723"/>
      <c r="Y93" s="1723"/>
      <c r="Z93" s="1723"/>
      <c r="AA93" s="1723"/>
      <c r="AB93" s="1723"/>
      <c r="AC93" s="1723"/>
      <c r="AD93" s="1723"/>
      <c r="AE93" s="1723"/>
    </row>
    <row r="94" s="1373" customFormat="1" ht="15.75" spans="1:31">
      <c r="A94" s="1716"/>
      <c r="B94" s="1705"/>
      <c r="C94" s="1706">
        <v>100</v>
      </c>
      <c r="D94" s="1706">
        <f>C94-$K25</f>
        <v>100</v>
      </c>
      <c r="E94" s="1706">
        <f>D94-$K25</f>
        <v>100</v>
      </c>
      <c r="F94" s="1706">
        <f>E94-$K25</f>
        <v>100</v>
      </c>
      <c r="G94" s="1706">
        <f>F94-$K25</f>
        <v>100</v>
      </c>
      <c r="H94" s="1750"/>
      <c r="I94" s="1750"/>
      <c r="J94" s="1750"/>
      <c r="K94" s="1750"/>
      <c r="L94" s="1750"/>
      <c r="M94" s="1751"/>
      <c r="N94" s="1721"/>
      <c r="O94" s="1721"/>
      <c r="P94" s="1721"/>
      <c r="Q94" s="1722"/>
      <c r="R94" s="1723"/>
      <c r="S94" s="1723"/>
      <c r="T94" s="1723"/>
      <c r="U94" s="1723"/>
      <c r="V94" s="1723"/>
      <c r="W94" s="1723"/>
      <c r="X94" s="1723"/>
      <c r="Y94" s="1723"/>
      <c r="Z94" s="1723"/>
      <c r="AA94" s="1723"/>
      <c r="AB94" s="1723"/>
      <c r="AC94" s="1723"/>
      <c r="AD94" s="1723"/>
      <c r="AE94" s="1723"/>
    </row>
    <row r="95" s="1373" customFormat="1" ht="15.75" spans="1:31">
      <c r="A95" s="1716"/>
      <c r="B95" s="1708" t="s">
        <v>1162</v>
      </c>
      <c r="C95" s="1518" t="s">
        <v>1205</v>
      </c>
      <c r="D95" s="1518" t="s">
        <v>1206</v>
      </c>
      <c r="E95" s="1518" t="s">
        <v>1207</v>
      </c>
      <c r="F95" s="1518" t="s">
        <v>1208</v>
      </c>
      <c r="G95" s="1518" t="s">
        <v>1209</v>
      </c>
      <c r="H95" s="1747"/>
      <c r="I95" s="1747"/>
      <c r="J95" s="1747"/>
      <c r="K95" s="1747"/>
      <c r="L95" s="1747"/>
      <c r="M95" s="1749"/>
      <c r="N95" s="1721"/>
      <c r="O95" s="1721"/>
      <c r="P95" s="1721"/>
      <c r="Q95" s="1722"/>
      <c r="R95" s="1723"/>
      <c r="S95" s="1723"/>
      <c r="T95" s="1723"/>
      <c r="U95" s="1723"/>
      <c r="V95" s="1723"/>
      <c r="W95" s="1723"/>
      <c r="X95" s="1723"/>
      <c r="Y95" s="1723"/>
      <c r="Z95" s="1723"/>
      <c r="AA95" s="1723"/>
      <c r="AB95" s="1723"/>
      <c r="AC95" s="1723"/>
      <c r="AD95" s="1723"/>
      <c r="AE95" s="1723"/>
    </row>
    <row r="96" s="1373" customFormat="1" ht="15.75" spans="1:31">
      <c r="A96" s="1716"/>
      <c r="B96" s="1708"/>
      <c r="C96" s="1706">
        <v>100</v>
      </c>
      <c r="D96" s="1706">
        <f>C96-$K27</f>
        <v>100</v>
      </c>
      <c r="E96" s="1706">
        <f>D96-$K27</f>
        <v>100</v>
      </c>
      <c r="F96" s="1706">
        <f>E96-$K27</f>
        <v>100</v>
      </c>
      <c r="G96" s="1706">
        <f>F96-$K27</f>
        <v>100</v>
      </c>
      <c r="H96" s="1711"/>
      <c r="I96" s="1711"/>
      <c r="J96" s="1711"/>
      <c r="K96" s="1711"/>
      <c r="L96" s="1711"/>
      <c r="M96" s="1752"/>
      <c r="N96" s="1721"/>
      <c r="O96" s="1721"/>
      <c r="P96" s="1721"/>
      <c r="Q96" s="1722"/>
      <c r="R96" s="1723"/>
      <c r="S96" s="1723"/>
      <c r="T96" s="1723"/>
      <c r="U96" s="1723"/>
      <c r="V96" s="1723"/>
      <c r="W96" s="1723"/>
      <c r="X96" s="1723"/>
      <c r="Y96" s="1723"/>
      <c r="Z96" s="1723"/>
      <c r="AA96" s="1723"/>
      <c r="AB96" s="1723"/>
      <c r="AC96" s="1723"/>
      <c r="AD96" s="1723"/>
      <c r="AE96" s="1723"/>
    </row>
    <row r="97" ht="15.75" spans="1:31">
      <c r="A97" s="1695"/>
      <c r="B97" s="1700" t="str">
        <f>B29</f>
        <v>临街状况</v>
      </c>
      <c r="C97" s="1701" t="s">
        <v>2009</v>
      </c>
      <c r="D97" s="1701" t="s">
        <v>2010</v>
      </c>
      <c r="E97" s="1701" t="s">
        <v>2011</v>
      </c>
      <c r="F97" s="1701" t="s">
        <v>2012</v>
      </c>
      <c r="G97" s="1701"/>
      <c r="H97" s="1701"/>
      <c r="I97" s="1701"/>
      <c r="J97" s="1701"/>
      <c r="K97" s="1702"/>
      <c r="L97" s="1703"/>
      <c r="M97" s="1704"/>
      <c r="N97" s="1694"/>
      <c r="O97" s="1694"/>
      <c r="P97" s="1683"/>
      <c r="Q97" s="1659"/>
      <c r="R97" s="1581"/>
      <c r="S97" s="1581"/>
      <c r="T97" s="1581"/>
      <c r="U97" s="1581"/>
      <c r="V97" s="1581"/>
      <c r="W97" s="1581"/>
      <c r="X97" s="1581"/>
      <c r="Y97" s="1581"/>
      <c r="Z97" s="1581"/>
      <c r="AA97" s="1581"/>
      <c r="AB97" s="1581"/>
      <c r="AC97" s="1581"/>
      <c r="AD97" s="1581"/>
      <c r="AE97" s="1581"/>
    </row>
    <row r="98" ht="15.75" spans="1:31">
      <c r="A98" s="1695"/>
      <c r="B98" s="1705"/>
      <c r="C98" s="1706">
        <v>100</v>
      </c>
      <c r="D98" s="1706">
        <f t="shared" ref="D98:M98" si="22">C98-$K29</f>
        <v>100</v>
      </c>
      <c r="E98" s="1706">
        <f t="shared" si="22"/>
        <v>100</v>
      </c>
      <c r="F98" s="1706">
        <f t="shared" si="22"/>
        <v>100</v>
      </c>
      <c r="G98" s="1706">
        <f t="shared" si="22"/>
        <v>100</v>
      </c>
      <c r="H98" s="1706">
        <f t="shared" si="22"/>
        <v>100</v>
      </c>
      <c r="I98" s="1706">
        <f t="shared" si="22"/>
        <v>100</v>
      </c>
      <c r="J98" s="1706">
        <f t="shared" si="22"/>
        <v>100</v>
      </c>
      <c r="K98" s="1706">
        <f t="shared" si="22"/>
        <v>100</v>
      </c>
      <c r="L98" s="1706">
        <f t="shared" si="22"/>
        <v>100</v>
      </c>
      <c r="M98" s="1706">
        <f t="shared" si="22"/>
        <v>100</v>
      </c>
      <c r="N98" s="1699"/>
      <c r="O98" s="1699"/>
      <c r="P98" s="1683"/>
      <c r="Q98" s="1659"/>
      <c r="R98" s="1581"/>
      <c r="S98" s="1581"/>
      <c r="T98" s="1581"/>
      <c r="U98" s="1581"/>
      <c r="V98" s="1581"/>
      <c r="W98" s="1581"/>
      <c r="X98" s="1581"/>
      <c r="Y98" s="1581"/>
      <c r="Z98" s="1581"/>
      <c r="AA98" s="1581"/>
      <c r="AB98" s="1581"/>
      <c r="AC98" s="1581"/>
      <c r="AD98" s="1581"/>
      <c r="AE98" s="1581"/>
    </row>
    <row r="99" ht="27.75" spans="1:31">
      <c r="A99" s="1695"/>
      <c r="B99" s="1700" t="s">
        <v>1946</v>
      </c>
      <c r="C99" s="1717"/>
      <c r="D99" s="1717"/>
      <c r="E99" s="1717"/>
      <c r="F99" s="1717"/>
      <c r="G99" s="1717"/>
      <c r="H99" s="1753"/>
      <c r="I99" s="1753"/>
      <c r="J99" s="1753"/>
      <c r="K99" s="1754"/>
      <c r="L99" s="1755"/>
      <c r="M99" s="1756"/>
      <c r="N99" s="1694"/>
      <c r="O99" s="1694"/>
      <c r="P99" s="1683"/>
      <c r="Q99" s="1659"/>
      <c r="R99" s="1581"/>
      <c r="S99" s="1581"/>
      <c r="T99" s="1581"/>
      <c r="U99" s="1581"/>
      <c r="V99" s="1581"/>
      <c r="W99" s="1581"/>
      <c r="X99" s="1581"/>
      <c r="Y99" s="1581"/>
      <c r="Z99" s="1581"/>
      <c r="AA99" s="1581"/>
      <c r="AB99" s="1581"/>
      <c r="AC99" s="1581"/>
      <c r="AD99" s="1581"/>
      <c r="AE99" s="1581"/>
    </row>
    <row r="100" ht="15.75" spans="1:31">
      <c r="A100" s="1695"/>
      <c r="B100" s="1705"/>
      <c r="C100" s="1706">
        <v>100</v>
      </c>
      <c r="D100" s="1706">
        <f t="shared" ref="D100:M100" si="23">C100-$K30</f>
        <v>100</v>
      </c>
      <c r="E100" s="1706">
        <f t="shared" si="23"/>
        <v>100</v>
      </c>
      <c r="F100" s="1706">
        <f t="shared" si="23"/>
        <v>100</v>
      </c>
      <c r="G100" s="1706">
        <f t="shared" si="23"/>
        <v>100</v>
      </c>
      <c r="H100" s="1706">
        <f t="shared" si="23"/>
        <v>100</v>
      </c>
      <c r="I100" s="1706">
        <f t="shared" si="23"/>
        <v>100</v>
      </c>
      <c r="J100" s="1706">
        <f t="shared" si="23"/>
        <v>100</v>
      </c>
      <c r="K100" s="1706">
        <f t="shared" si="23"/>
        <v>100</v>
      </c>
      <c r="L100" s="1706">
        <f t="shared" si="23"/>
        <v>100</v>
      </c>
      <c r="M100" s="1706">
        <f t="shared" si="23"/>
        <v>100</v>
      </c>
      <c r="N100" s="1699"/>
      <c r="O100" s="1699"/>
      <c r="P100" s="1683"/>
      <c r="Q100" s="1659"/>
      <c r="R100" s="1581"/>
      <c r="S100" s="1581"/>
      <c r="T100" s="1581"/>
      <c r="U100" s="1581"/>
      <c r="V100" s="1581"/>
      <c r="W100" s="1581"/>
      <c r="X100" s="1581"/>
      <c r="Y100" s="1581"/>
      <c r="Z100" s="1581"/>
      <c r="AA100" s="1581"/>
      <c r="AB100" s="1581"/>
      <c r="AC100" s="1581"/>
      <c r="AD100" s="1581"/>
      <c r="AE100" s="1581"/>
    </row>
    <row r="101" ht="15.75" spans="1:31">
      <c r="A101" s="1695"/>
      <c r="B101" s="1700" t="s">
        <v>1975</v>
      </c>
      <c r="C101" s="1753"/>
      <c r="D101" s="1753"/>
      <c r="E101" s="1753"/>
      <c r="F101" s="1753"/>
      <c r="G101" s="1753"/>
      <c r="H101" s="1753"/>
      <c r="I101" s="1753"/>
      <c r="J101" s="1753"/>
      <c r="K101" s="1754"/>
      <c r="L101" s="1755"/>
      <c r="M101" s="1756"/>
      <c r="N101" s="1694"/>
      <c r="O101" s="1694"/>
      <c r="P101" s="1683"/>
      <c r="Q101" s="1659"/>
      <c r="R101" s="1581"/>
      <c r="S101" s="1581"/>
      <c r="T101" s="1581"/>
      <c r="U101" s="1581"/>
      <c r="V101" s="1581"/>
      <c r="W101" s="1581"/>
      <c r="X101" s="1581"/>
      <c r="Y101" s="1581"/>
      <c r="Z101" s="1581"/>
      <c r="AA101" s="1581"/>
      <c r="AB101" s="1581"/>
      <c r="AC101" s="1581"/>
      <c r="AD101" s="1581"/>
      <c r="AE101" s="1581"/>
    </row>
    <row r="102" ht="15.75" spans="1:31">
      <c r="A102" s="1695"/>
      <c r="B102" s="1705"/>
      <c r="C102" s="1706">
        <v>100</v>
      </c>
      <c r="D102" s="1706">
        <f t="shared" ref="D102:M102" si="24">C102-$K32</f>
        <v>100</v>
      </c>
      <c r="E102" s="1706">
        <f t="shared" si="24"/>
        <v>100</v>
      </c>
      <c r="F102" s="1706">
        <f t="shared" si="24"/>
        <v>100</v>
      </c>
      <c r="G102" s="1706">
        <f t="shared" si="24"/>
        <v>100</v>
      </c>
      <c r="H102" s="1706">
        <f t="shared" si="24"/>
        <v>100</v>
      </c>
      <c r="I102" s="1706">
        <f t="shared" si="24"/>
        <v>100</v>
      </c>
      <c r="J102" s="1706">
        <f t="shared" si="24"/>
        <v>100</v>
      </c>
      <c r="K102" s="1706">
        <f t="shared" si="24"/>
        <v>100</v>
      </c>
      <c r="L102" s="1706">
        <f t="shared" si="24"/>
        <v>100</v>
      </c>
      <c r="M102" s="1706">
        <f t="shared" si="24"/>
        <v>100</v>
      </c>
      <c r="N102" s="1699"/>
      <c r="O102" s="1699"/>
      <c r="P102" s="1683"/>
      <c r="Q102" s="1659"/>
      <c r="R102" s="1581"/>
      <c r="S102" s="1581"/>
      <c r="T102" s="1581"/>
      <c r="U102" s="1581"/>
      <c r="V102" s="1581"/>
      <c r="W102" s="1581"/>
      <c r="X102" s="1581"/>
      <c r="Y102" s="1581"/>
      <c r="Z102" s="1581"/>
      <c r="AA102" s="1581"/>
      <c r="AB102" s="1581"/>
      <c r="AC102" s="1581"/>
      <c r="AD102" s="1581"/>
      <c r="AE102" s="1581"/>
    </row>
    <row r="103" ht="15.75" spans="1:31">
      <c r="A103" s="1695"/>
      <c r="B103" s="1708">
        <f>B33</f>
        <v>111</v>
      </c>
      <c r="C103" s="1717"/>
      <c r="D103" s="1717"/>
      <c r="E103" s="1717"/>
      <c r="F103" s="1717"/>
      <c r="G103" s="1757"/>
      <c r="H103" s="1757"/>
      <c r="I103" s="1757"/>
      <c r="J103" s="1757"/>
      <c r="K103" s="1758"/>
      <c r="L103" s="1759"/>
      <c r="M103" s="1760"/>
      <c r="N103" s="1694"/>
      <c r="O103" s="1694"/>
      <c r="P103" s="1683"/>
      <c r="Q103" s="1659"/>
      <c r="R103" s="1581"/>
      <c r="S103" s="1581"/>
      <c r="T103" s="1581"/>
      <c r="U103" s="1581"/>
      <c r="V103" s="1581"/>
      <c r="W103" s="1581"/>
      <c r="X103" s="1581"/>
      <c r="Y103" s="1581"/>
      <c r="Z103" s="1581"/>
      <c r="AA103" s="1581"/>
      <c r="AB103" s="1581"/>
      <c r="AC103" s="1581"/>
      <c r="AD103" s="1581"/>
      <c r="AE103" s="1581"/>
    </row>
    <row r="104" ht="15.75" spans="1:31">
      <c r="A104" s="1695"/>
      <c r="B104" s="1733"/>
      <c r="C104" s="1724"/>
      <c r="D104" s="1697"/>
      <c r="E104" s="1697"/>
      <c r="F104" s="1697"/>
      <c r="G104" s="1761"/>
      <c r="H104" s="1761"/>
      <c r="I104" s="1761"/>
      <c r="J104" s="1761"/>
      <c r="K104" s="1761"/>
      <c r="L104" s="1761"/>
      <c r="M104" s="1762"/>
      <c r="N104" s="1699"/>
      <c r="O104" s="1699"/>
      <c r="P104" s="1683"/>
      <c r="Q104" s="1659"/>
      <c r="R104" s="1581"/>
      <c r="S104" s="1581"/>
      <c r="T104" s="1581"/>
      <c r="U104" s="1581"/>
      <c r="V104" s="1581"/>
      <c r="W104" s="1581"/>
      <c r="X104" s="1581"/>
      <c r="Y104" s="1581"/>
      <c r="Z104" s="1581"/>
      <c r="AA104" s="1581"/>
      <c r="AB104" s="1581"/>
      <c r="AC104" s="1581"/>
      <c r="AD104" s="1581"/>
      <c r="AE104" s="1581"/>
    </row>
    <row r="105" ht="15" spans="1:31">
      <c r="A105" s="1763"/>
      <c r="B105" s="1700">
        <f>B34</f>
        <v>111</v>
      </c>
      <c r="C105" s="1717"/>
      <c r="D105" s="1717"/>
      <c r="E105" s="1717"/>
      <c r="F105" s="1717"/>
      <c r="G105" s="1753"/>
      <c r="H105" s="1753"/>
      <c r="I105" s="1753"/>
      <c r="J105" s="1753"/>
      <c r="K105" s="1754"/>
      <c r="L105" s="1755"/>
      <c r="M105" s="1756"/>
      <c r="N105" s="1694"/>
      <c r="O105" s="1694"/>
      <c r="P105" s="1683"/>
      <c r="Q105" s="1659"/>
      <c r="R105" s="1581"/>
      <c r="S105" s="1581"/>
      <c r="T105" s="1581"/>
      <c r="U105" s="1581"/>
      <c r="V105" s="1581"/>
      <c r="W105" s="1581"/>
      <c r="X105" s="1581"/>
      <c r="Y105" s="1581"/>
      <c r="Z105" s="1581"/>
      <c r="AA105" s="1581"/>
      <c r="AB105" s="1581"/>
      <c r="AC105" s="1581"/>
      <c r="AD105" s="1581"/>
      <c r="AE105" s="1581"/>
    </row>
    <row r="106" ht="15.75" spans="1:31">
      <c r="A106" s="1695"/>
      <c r="B106" s="1705"/>
      <c r="C106" s="1724"/>
      <c r="D106" s="1724"/>
      <c r="E106" s="1724"/>
      <c r="F106" s="1724"/>
      <c r="G106" s="1697"/>
      <c r="H106" s="1697"/>
      <c r="I106" s="1697"/>
      <c r="J106" s="1697"/>
      <c r="K106" s="1697"/>
      <c r="L106" s="1697"/>
      <c r="M106" s="1698"/>
      <c r="N106" s="1699"/>
      <c r="O106" s="1699"/>
      <c r="P106" s="1683"/>
      <c r="Q106" s="1659"/>
      <c r="R106" s="1581"/>
      <c r="S106" s="1581"/>
      <c r="T106" s="1581"/>
      <c r="U106" s="1581"/>
      <c r="V106" s="1581"/>
      <c r="W106" s="1581"/>
      <c r="X106" s="1581"/>
      <c r="Y106" s="1581"/>
      <c r="Z106" s="1581"/>
      <c r="AA106" s="1581"/>
      <c r="AB106" s="1581"/>
      <c r="AC106" s="1581"/>
      <c r="AD106" s="1581"/>
      <c r="AE106" s="1581"/>
    </row>
    <row r="107" s="1373" customFormat="1" ht="15.75" spans="1:31">
      <c r="A107" s="1764"/>
      <c r="B107" s="1765">
        <f>B35</f>
        <v>111</v>
      </c>
      <c r="C107" s="1680"/>
      <c r="D107" s="1680"/>
      <c r="E107" s="1680"/>
      <c r="F107" s="1680"/>
      <c r="G107" s="1667"/>
      <c r="H107" s="1667"/>
      <c r="I107" s="1667"/>
      <c r="J107" s="1766"/>
      <c r="K107" s="1766"/>
      <c r="L107" s="1767"/>
      <c r="M107" s="1768"/>
      <c r="N107" s="1721"/>
      <c r="O107" s="1721"/>
      <c r="P107" s="1721"/>
      <c r="Q107" s="1722"/>
      <c r="R107" s="1723"/>
      <c r="S107" s="1723"/>
      <c r="T107" s="1723"/>
      <c r="U107" s="1723"/>
      <c r="V107" s="1723"/>
      <c r="W107" s="1723"/>
      <c r="X107" s="1723"/>
      <c r="Y107" s="1723"/>
      <c r="Z107" s="1723"/>
      <c r="AA107" s="1723"/>
      <c r="AB107" s="1723"/>
      <c r="AC107" s="1723"/>
      <c r="AD107" s="1723"/>
      <c r="AE107" s="1723"/>
    </row>
    <row r="108" s="1373" customFormat="1" ht="15.75" spans="1:31">
      <c r="A108" s="1716"/>
      <c r="B108" s="1708"/>
      <c r="C108" s="1734"/>
      <c r="D108" s="1734"/>
      <c r="E108" s="1734"/>
      <c r="F108" s="1734"/>
      <c r="G108" s="1769"/>
      <c r="H108" s="1769"/>
      <c r="I108" s="1769"/>
      <c r="J108" s="1769"/>
      <c r="K108" s="1769"/>
      <c r="L108" s="1769"/>
      <c r="M108" s="1770"/>
      <c r="N108" s="1699"/>
      <c r="O108" s="1699"/>
      <c r="P108" s="1721"/>
      <c r="Q108" s="1722"/>
      <c r="R108" s="1723"/>
      <c r="S108" s="1723"/>
      <c r="T108" s="1723"/>
      <c r="U108" s="1723"/>
      <c r="V108" s="1723"/>
      <c r="W108" s="1723"/>
      <c r="X108" s="1723"/>
      <c r="Y108" s="1723"/>
      <c r="Z108" s="1723"/>
      <c r="AA108" s="1723"/>
      <c r="AB108" s="1723"/>
      <c r="AC108" s="1723"/>
      <c r="AD108" s="1723"/>
      <c r="AE108" s="1723"/>
    </row>
    <row r="109" spans="1:31">
      <c r="A109" s="1688" t="s">
        <v>1166</v>
      </c>
      <c r="B109" s="1689" t="s">
        <v>1976</v>
      </c>
      <c r="C109" s="1618" t="str">
        <f t="shared" ref="C109:L109" si="25">C110&amp;"(含)"&amp;"-"&amp;D110</f>
        <v>(含)-</v>
      </c>
      <c r="D109" s="1618" t="str">
        <f t="shared" si="25"/>
        <v>(含)-</v>
      </c>
      <c r="E109" s="1618" t="str">
        <f t="shared" si="25"/>
        <v>(含)-</v>
      </c>
      <c r="F109" s="1618" t="str">
        <f t="shared" si="25"/>
        <v>(含)-</v>
      </c>
      <c r="G109" s="1618" t="str">
        <f t="shared" si="25"/>
        <v>(含)-</v>
      </c>
      <c r="H109" s="1618" t="str">
        <f t="shared" si="25"/>
        <v>(含)-</v>
      </c>
      <c r="I109" s="1618" t="str">
        <f t="shared" si="25"/>
        <v>(含)-</v>
      </c>
      <c r="J109" s="1618" t="str">
        <f t="shared" si="25"/>
        <v>(含)-</v>
      </c>
      <c r="K109" s="1771" t="str">
        <f t="shared" si="25"/>
        <v>(含)-</v>
      </c>
      <c r="L109" s="1771" t="str">
        <f t="shared" si="25"/>
        <v>(含)-</v>
      </c>
      <c r="M109" s="1772" t="str">
        <f>M110&amp;"(含)"&amp;"-"&amp;P110</f>
        <v>(含)-</v>
      </c>
      <c r="N109" s="1694"/>
      <c r="O109" s="1694"/>
      <c r="P109" s="1683"/>
      <c r="Q109" s="1659"/>
      <c r="R109" s="1581"/>
      <c r="S109" s="1581"/>
      <c r="T109" s="1581"/>
      <c r="U109" s="1581"/>
      <c r="V109" s="1581"/>
      <c r="W109" s="1581"/>
      <c r="X109" s="1581"/>
      <c r="Y109" s="1581"/>
      <c r="Z109" s="1581"/>
      <c r="AA109" s="1581"/>
      <c r="AB109" s="1581"/>
      <c r="AC109" s="1581"/>
      <c r="AD109" s="1581"/>
      <c r="AE109" s="1581"/>
    </row>
    <row r="110" ht="15" spans="1:31">
      <c r="A110" s="1695"/>
      <c r="B110" s="1708"/>
      <c r="C110" s="1667"/>
      <c r="D110" s="1667"/>
      <c r="E110" s="1667"/>
      <c r="F110" s="1667"/>
      <c r="G110" s="1667"/>
      <c r="H110" s="1667"/>
      <c r="I110" s="1667"/>
      <c r="J110" s="1766"/>
      <c r="K110" s="1766"/>
      <c r="L110" s="1767"/>
      <c r="M110" s="1768"/>
      <c r="N110" s="1694"/>
      <c r="O110" s="1694"/>
      <c r="P110" s="1683"/>
      <c r="Q110" s="1659"/>
      <c r="R110" s="1581"/>
      <c r="S110" s="1581"/>
      <c r="T110" s="1581"/>
      <c r="U110" s="1581"/>
      <c r="V110" s="1581"/>
      <c r="W110" s="1581"/>
      <c r="X110" s="1581"/>
      <c r="Y110" s="1581"/>
      <c r="Z110" s="1581"/>
      <c r="AA110" s="1581"/>
      <c r="AB110" s="1581"/>
      <c r="AC110" s="1581"/>
      <c r="AD110" s="1581"/>
      <c r="AE110" s="1581"/>
    </row>
    <row r="111" ht="15.75" spans="1:31">
      <c r="A111" s="1695"/>
      <c r="B111" s="1705"/>
      <c r="C111" s="1734"/>
      <c r="D111" s="1761"/>
      <c r="E111" s="1761"/>
      <c r="F111" s="1761"/>
      <c r="G111" s="1761"/>
      <c r="H111" s="1761"/>
      <c r="I111" s="1761"/>
      <c r="J111" s="1761"/>
      <c r="K111" s="1761"/>
      <c r="L111" s="1761"/>
      <c r="M111" s="1762"/>
      <c r="N111" s="1699"/>
      <c r="O111" s="1699"/>
      <c r="P111" s="1683"/>
      <c r="Q111" s="1659"/>
      <c r="R111" s="1581"/>
      <c r="S111" s="1581"/>
      <c r="T111" s="1581"/>
      <c r="U111" s="1581"/>
      <c r="V111" s="1581"/>
      <c r="W111" s="1581"/>
      <c r="X111" s="1581"/>
      <c r="Y111" s="1581"/>
      <c r="Z111" s="1581"/>
      <c r="AA111" s="1581"/>
      <c r="AB111" s="1581"/>
      <c r="AC111" s="1581"/>
      <c r="AD111" s="1581"/>
      <c r="AE111" s="1581"/>
    </row>
    <row r="112" ht="15.75" spans="1:31">
      <c r="A112" s="1773"/>
      <c r="B112" s="1700" t="s">
        <v>1977</v>
      </c>
      <c r="C112" s="1753"/>
      <c r="D112" s="1753"/>
      <c r="E112" s="1753"/>
      <c r="F112" s="1753"/>
      <c r="G112" s="1753"/>
      <c r="H112" s="1753"/>
      <c r="I112" s="1753"/>
      <c r="J112" s="1753"/>
      <c r="K112" s="1754"/>
      <c r="L112" s="1755"/>
      <c r="M112" s="1756"/>
      <c r="N112" s="1694"/>
      <c r="O112" s="1694"/>
      <c r="P112" s="1683"/>
      <c r="Q112" s="1659"/>
      <c r="R112" s="1581"/>
      <c r="S112" s="1581"/>
      <c r="T112" s="1581"/>
      <c r="U112" s="1581"/>
      <c r="V112" s="1581"/>
      <c r="W112" s="1581"/>
      <c r="X112" s="1581"/>
      <c r="Y112" s="1581"/>
      <c r="Z112" s="1581"/>
      <c r="AA112" s="1581"/>
      <c r="AB112" s="1581"/>
      <c r="AC112" s="1581"/>
      <c r="AD112" s="1581"/>
      <c r="AE112" s="1581"/>
    </row>
    <row r="113" ht="15.75" spans="1:31">
      <c r="A113" s="1695"/>
      <c r="B113" s="1705"/>
      <c r="C113" s="1706">
        <v>100</v>
      </c>
      <c r="D113" s="1706">
        <f t="shared" ref="D113:M113" si="26">C113-$K37</f>
        <v>100</v>
      </c>
      <c r="E113" s="1706">
        <f t="shared" si="26"/>
        <v>100</v>
      </c>
      <c r="F113" s="1706">
        <f t="shared" si="26"/>
        <v>100</v>
      </c>
      <c r="G113" s="1706">
        <f t="shared" si="26"/>
        <v>100</v>
      </c>
      <c r="H113" s="1706">
        <f t="shared" si="26"/>
        <v>100</v>
      </c>
      <c r="I113" s="1706">
        <f t="shared" si="26"/>
        <v>100</v>
      </c>
      <c r="J113" s="1706">
        <f t="shared" si="26"/>
        <v>100</v>
      </c>
      <c r="K113" s="1706">
        <f t="shared" si="26"/>
        <v>100</v>
      </c>
      <c r="L113" s="1706">
        <f t="shared" si="26"/>
        <v>100</v>
      </c>
      <c r="M113" s="1707">
        <f t="shared" si="26"/>
        <v>100</v>
      </c>
      <c r="N113" s="1699"/>
      <c r="O113" s="1699"/>
      <c r="P113" s="1683"/>
      <c r="Q113" s="1659"/>
      <c r="R113" s="1581"/>
      <c r="S113" s="1581"/>
      <c r="T113" s="1581"/>
      <c r="U113" s="1581"/>
      <c r="V113" s="1581"/>
      <c r="W113" s="1581"/>
      <c r="X113" s="1581"/>
      <c r="Y113" s="1581"/>
      <c r="Z113" s="1581"/>
      <c r="AA113" s="1581"/>
      <c r="AB113" s="1581"/>
      <c r="AC113" s="1581"/>
      <c r="AD113" s="1581"/>
      <c r="AE113" s="1581"/>
    </row>
    <row r="114" s="1373" customFormat="1" ht="15.75" spans="1:31">
      <c r="A114" s="1764"/>
      <c r="B114" s="1700" t="s">
        <v>1979</v>
      </c>
      <c r="C114" s="1717"/>
      <c r="D114" s="1717"/>
      <c r="E114" s="1717"/>
      <c r="F114" s="1717"/>
      <c r="G114" s="1717"/>
      <c r="H114" s="1753"/>
      <c r="I114" s="1753"/>
      <c r="J114" s="1753"/>
      <c r="K114" s="1754"/>
      <c r="L114" s="1755"/>
      <c r="M114" s="1756"/>
      <c r="N114" s="1721"/>
      <c r="O114" s="1721"/>
      <c r="P114" s="1721"/>
      <c r="Q114" s="1722"/>
      <c r="R114" s="1723"/>
      <c r="S114" s="1723"/>
      <c r="T114" s="1723"/>
      <c r="U114" s="1723"/>
      <c r="V114" s="1723"/>
      <c r="W114" s="1723"/>
      <c r="X114" s="1723"/>
      <c r="Y114" s="1723"/>
      <c r="Z114" s="1723"/>
      <c r="AA114" s="1723"/>
      <c r="AB114" s="1723"/>
      <c r="AC114" s="1723"/>
      <c r="AD114" s="1723"/>
      <c r="AE114" s="1723"/>
    </row>
    <row r="115" s="1373" customFormat="1" ht="15.75" spans="1:31">
      <c r="A115" s="1716"/>
      <c r="B115" s="1705"/>
      <c r="C115" s="1706">
        <v>100</v>
      </c>
      <c r="D115" s="1706">
        <f t="shared" ref="D115:M115" si="27">C115-$K38</f>
        <v>100</v>
      </c>
      <c r="E115" s="1706">
        <f t="shared" si="27"/>
        <v>100</v>
      </c>
      <c r="F115" s="1706">
        <f t="shared" si="27"/>
        <v>100</v>
      </c>
      <c r="G115" s="1706">
        <f t="shared" si="27"/>
        <v>100</v>
      </c>
      <c r="H115" s="1706">
        <f t="shared" si="27"/>
        <v>100</v>
      </c>
      <c r="I115" s="1706">
        <f t="shared" si="27"/>
        <v>100</v>
      </c>
      <c r="J115" s="1706">
        <f t="shared" si="27"/>
        <v>100</v>
      </c>
      <c r="K115" s="1706">
        <f t="shared" si="27"/>
        <v>100</v>
      </c>
      <c r="L115" s="1706">
        <f t="shared" si="27"/>
        <v>100</v>
      </c>
      <c r="M115" s="1707">
        <f t="shared" si="27"/>
        <v>100</v>
      </c>
      <c r="N115" s="1721"/>
      <c r="O115" s="1721"/>
      <c r="P115" s="1721"/>
      <c r="Q115" s="1722"/>
      <c r="R115" s="1723"/>
      <c r="S115" s="1723"/>
      <c r="T115" s="1723"/>
      <c r="U115" s="1723"/>
      <c r="V115" s="1723"/>
      <c r="W115" s="1723"/>
      <c r="X115" s="1723"/>
      <c r="Y115" s="1723"/>
      <c r="Z115" s="1723"/>
      <c r="AA115" s="1723"/>
      <c r="AB115" s="1723"/>
      <c r="AC115" s="1723"/>
      <c r="AD115" s="1723"/>
      <c r="AE115" s="1723"/>
    </row>
    <row r="116" ht="15.75" spans="1:31">
      <c r="A116" s="1773"/>
      <c r="B116" s="1700" t="s">
        <v>1980</v>
      </c>
      <c r="C116" s="1717"/>
      <c r="D116" s="1717"/>
      <c r="E116" s="1753"/>
      <c r="F116" s="1753"/>
      <c r="G116" s="1753"/>
      <c r="H116" s="1753"/>
      <c r="I116" s="1753"/>
      <c r="J116" s="1753"/>
      <c r="K116" s="1754"/>
      <c r="L116" s="1755"/>
      <c r="M116" s="1756"/>
      <c r="N116" s="1694"/>
      <c r="O116" s="1694"/>
      <c r="P116" s="1683"/>
      <c r="Q116" s="1659"/>
      <c r="R116" s="1581"/>
      <c r="S116" s="1581"/>
      <c r="T116" s="1581"/>
      <c r="U116" s="1581"/>
      <c r="V116" s="1581"/>
      <c r="W116" s="1581"/>
      <c r="X116" s="1581"/>
      <c r="Y116" s="1581"/>
      <c r="Z116" s="1581"/>
      <c r="AA116" s="1581"/>
      <c r="AB116" s="1581"/>
      <c r="AC116" s="1581"/>
      <c r="AD116" s="1581"/>
      <c r="AE116" s="1581"/>
    </row>
    <row r="117" ht="15.75" spans="1:31">
      <c r="A117" s="1695"/>
      <c r="B117" s="1705"/>
      <c r="C117" s="1706">
        <v>100</v>
      </c>
      <c r="D117" s="1706">
        <f t="shared" ref="D117:M117" si="28">C117-$K39</f>
        <v>100</v>
      </c>
      <c r="E117" s="1706">
        <f t="shared" si="28"/>
        <v>100</v>
      </c>
      <c r="F117" s="1706">
        <f t="shared" si="28"/>
        <v>100</v>
      </c>
      <c r="G117" s="1706">
        <f t="shared" si="28"/>
        <v>100</v>
      </c>
      <c r="H117" s="1706">
        <f t="shared" si="28"/>
        <v>100</v>
      </c>
      <c r="I117" s="1706">
        <f t="shared" si="28"/>
        <v>100</v>
      </c>
      <c r="J117" s="1706">
        <f t="shared" si="28"/>
        <v>100</v>
      </c>
      <c r="K117" s="1706">
        <f t="shared" si="28"/>
        <v>100</v>
      </c>
      <c r="L117" s="1706">
        <f t="shared" si="28"/>
        <v>100</v>
      </c>
      <c r="M117" s="1707">
        <f t="shared" si="28"/>
        <v>100</v>
      </c>
      <c r="N117" s="1699"/>
      <c r="O117" s="1699"/>
      <c r="P117" s="1683"/>
      <c r="Q117" s="1659"/>
      <c r="R117" s="1581"/>
      <c r="S117" s="1581"/>
      <c r="T117" s="1581"/>
      <c r="U117" s="1581"/>
      <c r="V117" s="1581"/>
      <c r="W117" s="1581"/>
      <c r="X117" s="1581"/>
      <c r="Y117" s="1581"/>
      <c r="Z117" s="1581"/>
      <c r="AA117" s="1581"/>
      <c r="AB117" s="1581"/>
      <c r="AC117" s="1581"/>
      <c r="AD117" s="1581"/>
      <c r="AE117" s="1581"/>
    </row>
    <row r="118" ht="15.75" spans="1:31">
      <c r="A118" s="1773"/>
      <c r="B118" s="1700">
        <f>B40</f>
        <v>111</v>
      </c>
      <c r="C118" s="1717"/>
      <c r="D118" s="1717"/>
      <c r="E118" s="1717"/>
      <c r="F118" s="1717"/>
      <c r="G118" s="1717"/>
      <c r="H118" s="1753"/>
      <c r="I118" s="1753"/>
      <c r="J118" s="1753"/>
      <c r="K118" s="1754"/>
      <c r="L118" s="1755"/>
      <c r="M118" s="1756"/>
      <c r="N118" s="1694"/>
      <c r="O118" s="1694"/>
      <c r="P118" s="1683"/>
      <c r="Q118" s="1659"/>
      <c r="R118" s="1581"/>
      <c r="S118" s="1581"/>
      <c r="T118" s="1581"/>
      <c r="U118" s="1581"/>
      <c r="V118" s="1581"/>
      <c r="W118" s="1581"/>
      <c r="X118" s="1581"/>
      <c r="Y118" s="1581"/>
      <c r="Z118" s="1581"/>
      <c r="AA118" s="1581"/>
      <c r="AB118" s="1581"/>
      <c r="AC118" s="1581"/>
      <c r="AD118" s="1581"/>
      <c r="AE118" s="1581"/>
    </row>
    <row r="119" ht="15.75" spans="1:31">
      <c r="A119" s="1695"/>
      <c r="B119" s="1705"/>
      <c r="C119" s="1724"/>
      <c r="D119" s="1697"/>
      <c r="E119" s="1697"/>
      <c r="F119" s="1697"/>
      <c r="G119" s="1697"/>
      <c r="H119" s="1697"/>
      <c r="I119" s="1697"/>
      <c r="J119" s="1697"/>
      <c r="K119" s="1697"/>
      <c r="L119" s="1697"/>
      <c r="M119" s="1698"/>
      <c r="N119" s="1699"/>
      <c r="O119" s="1699"/>
      <c r="P119" s="1683"/>
      <c r="Q119" s="1659"/>
      <c r="R119" s="1581"/>
      <c r="S119" s="1581"/>
      <c r="T119" s="1581"/>
      <c r="U119" s="1581"/>
      <c r="V119" s="1581"/>
      <c r="W119" s="1581"/>
      <c r="X119" s="1581"/>
      <c r="Y119" s="1581"/>
      <c r="Z119" s="1581"/>
      <c r="AA119" s="1581"/>
      <c r="AB119" s="1581"/>
      <c r="AC119" s="1581"/>
      <c r="AD119" s="1581"/>
      <c r="AE119" s="1581"/>
    </row>
    <row r="120" ht="15.75" spans="1:31">
      <c r="A120" s="1773"/>
      <c r="B120" s="1700">
        <f>B41</f>
        <v>111</v>
      </c>
      <c r="C120" s="1717"/>
      <c r="D120" s="1717"/>
      <c r="E120" s="1717"/>
      <c r="F120" s="1717"/>
      <c r="G120" s="1753"/>
      <c r="H120" s="1753"/>
      <c r="I120" s="1753"/>
      <c r="J120" s="1753"/>
      <c r="K120" s="1754"/>
      <c r="L120" s="1755"/>
      <c r="M120" s="1756"/>
      <c r="N120" s="1694"/>
      <c r="O120" s="1694"/>
      <c r="P120" s="1683"/>
      <c r="Q120" s="1659"/>
      <c r="R120" s="1581"/>
      <c r="S120" s="1581"/>
      <c r="T120" s="1581"/>
      <c r="U120" s="1581"/>
      <c r="V120" s="1581"/>
      <c r="W120" s="1581"/>
      <c r="X120" s="1581"/>
      <c r="Y120" s="1581"/>
      <c r="Z120" s="1581"/>
      <c r="AA120" s="1581"/>
      <c r="AB120" s="1581"/>
      <c r="AC120" s="1581"/>
      <c r="AD120" s="1581"/>
      <c r="AE120" s="1581"/>
    </row>
    <row r="121" ht="15.75" spans="1:31">
      <c r="A121" s="1695"/>
      <c r="B121" s="1705"/>
      <c r="C121" s="1724"/>
      <c r="D121" s="1724"/>
      <c r="E121" s="1724"/>
      <c r="F121" s="1724"/>
      <c r="G121" s="1697"/>
      <c r="H121" s="1697"/>
      <c r="I121" s="1697"/>
      <c r="J121" s="1697"/>
      <c r="K121" s="1697"/>
      <c r="L121" s="1697"/>
      <c r="M121" s="1698"/>
      <c r="N121" s="1699"/>
      <c r="O121" s="1699"/>
      <c r="P121" s="1683"/>
      <c r="Q121" s="1659"/>
      <c r="R121" s="1581"/>
      <c r="S121" s="1581"/>
      <c r="T121" s="1581"/>
      <c r="U121" s="1581"/>
      <c r="V121" s="1581"/>
      <c r="W121" s="1581"/>
      <c r="X121" s="1581"/>
      <c r="Y121" s="1581"/>
      <c r="Z121" s="1581"/>
      <c r="AA121" s="1581"/>
      <c r="AB121" s="1581"/>
      <c r="AC121" s="1581"/>
      <c r="AD121" s="1581"/>
      <c r="AE121" s="1581"/>
    </row>
    <row r="122" s="1373" customFormat="1" ht="15.75" spans="1:31">
      <c r="A122" s="1764"/>
      <c r="B122" s="1700">
        <f>B42</f>
        <v>111</v>
      </c>
      <c r="C122" s="1680"/>
      <c r="D122" s="1680"/>
      <c r="E122" s="1680"/>
      <c r="F122" s="1680"/>
      <c r="G122" s="1718"/>
      <c r="H122" s="1718"/>
      <c r="I122" s="1718"/>
      <c r="J122" s="1718"/>
      <c r="K122" s="1718"/>
      <c r="L122" s="1719"/>
      <c r="M122" s="1720"/>
      <c r="N122" s="1721"/>
      <c r="O122" s="1721"/>
      <c r="P122" s="1721"/>
      <c r="Q122" s="1722"/>
      <c r="R122" s="1723"/>
      <c r="S122" s="1723"/>
      <c r="T122" s="1723"/>
      <c r="U122" s="1723"/>
      <c r="V122" s="1723"/>
      <c r="W122" s="1723"/>
      <c r="X122" s="1723"/>
      <c r="Y122" s="1723"/>
      <c r="Z122" s="1723"/>
      <c r="AA122" s="1723"/>
      <c r="AB122" s="1723"/>
      <c r="AC122" s="1723"/>
      <c r="AD122" s="1723"/>
      <c r="AE122" s="1723"/>
    </row>
    <row r="123" s="1373" customFormat="1" ht="15.75" spans="1:31">
      <c r="A123" s="1732"/>
      <c r="B123" s="1774"/>
      <c r="C123" s="1734"/>
      <c r="D123" s="1734"/>
      <c r="E123" s="1734"/>
      <c r="F123" s="1734"/>
      <c r="G123" s="1761"/>
      <c r="H123" s="1761"/>
      <c r="I123" s="1761"/>
      <c r="J123" s="1761"/>
      <c r="K123" s="1761"/>
      <c r="L123" s="1761"/>
      <c r="M123" s="1762"/>
      <c r="N123" s="1721"/>
      <c r="O123" s="1721"/>
      <c r="P123" s="1721"/>
      <c r="Q123" s="1722"/>
      <c r="R123" s="1723"/>
      <c r="S123" s="1723"/>
      <c r="T123" s="1723"/>
      <c r="U123" s="1723"/>
      <c r="V123" s="1723"/>
      <c r="W123" s="1723"/>
      <c r="X123" s="1723"/>
      <c r="Y123" s="1723"/>
      <c r="Z123" s="1723"/>
      <c r="AA123" s="1723"/>
      <c r="AB123" s="1723"/>
      <c r="AC123" s="1723"/>
      <c r="AD123" s="1723"/>
      <c r="AE123" s="1723"/>
    </row>
    <row r="124" spans="1:31">
      <c r="N124" s="1581"/>
      <c r="O124" s="1581"/>
      <c r="P124" s="1581"/>
      <c r="Q124" s="1581"/>
      <c r="R124" s="1581"/>
      <c r="S124" s="1581"/>
      <c r="T124" s="1581"/>
      <c r="U124" s="1581"/>
      <c r="V124" s="1581"/>
      <c r="W124" s="1581"/>
      <c r="X124" s="1581"/>
      <c r="Y124" s="1581"/>
      <c r="Z124" s="1581"/>
      <c r="AA124" s="1581"/>
      <c r="AB124" s="1581"/>
      <c r="AC124" s="1581"/>
      <c r="AD124" s="1581"/>
      <c r="AE124" s="1581"/>
    </row>
    <row r="125" spans="1:31">
      <c r="P125" s="1581"/>
      <c r="Q125" s="1581"/>
      <c r="R125" s="1581"/>
      <c r="S125" s="1581"/>
      <c r="T125" s="1581"/>
      <c r="U125" s="1581"/>
      <c r="V125" s="1581"/>
      <c r="W125" s="1581"/>
      <c r="X125" s="1581"/>
      <c r="Y125" s="1581"/>
      <c r="Z125" s="1581"/>
      <c r="AA125" s="1581"/>
      <c r="AB125" s="1581"/>
      <c r="AC125" s="1581"/>
      <c r="AD125" s="1581"/>
      <c r="AE125" s="158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432" t="s">
        <v>2022</v>
      </c>
      <c r="B1" s="732"/>
      <c r="C1" s="733"/>
      <c r="D1" s="734"/>
      <c r="E1" s="735"/>
      <c r="F1" s="735"/>
      <c r="G1" s="736"/>
      <c r="H1" s="735"/>
      <c r="I1" s="735"/>
      <c r="J1" s="735"/>
      <c r="K1" s="737">
        <f>MATCH(C1,'数据-取费表'!A6:A16,0)+5</f>
        <v>7</v>
      </c>
    </row>
    <row r="2" ht="18" customHeight="1" spans="1:33">
      <c r="A2" s="436" t="s">
        <v>1122</v>
      </c>
      <c r="B2" s="625">
        <f ca="1">IF(D2="含税",C37,C36)</f>
        <v>-455</v>
      </c>
      <c r="C2" s="738" t="s">
        <v>2023</v>
      </c>
      <c r="D2" s="1279"/>
      <c r="E2" s="735"/>
      <c r="G2" s="735"/>
      <c r="H2" s="735"/>
      <c r="I2" s="735"/>
      <c r="J2" s="735"/>
      <c r="K2" s="735"/>
    </row>
    <row r="3" ht="18" customHeight="1" spans="1:33">
      <c r="A3" s="439" t="s">
        <v>1125</v>
      </c>
      <c r="B3" s="625">
        <f ca="1">ROUND(B2*10000/IF(C1="",'数据-汇总表'!E3,INDIRECT("'数据-取费表'!K"&amp;$K$1)),0)</f>
        <v>-218</v>
      </c>
      <c r="C3" s="738" t="s">
        <v>2024</v>
      </c>
      <c r="E3" s="730"/>
      <c r="I3" s="735"/>
      <c r="J3" s="735"/>
      <c r="K3" s="735"/>
    </row>
    <row r="4" ht="18" customHeight="1" spans="1:33">
      <c r="A4" s="1280" t="s">
        <v>2025</v>
      </c>
      <c r="B4" s="1281" t="e">
        <f ca="1">ROUND(B2*10000/IF(C1="",'数据-汇总表'!D3,INDIRECT("'数据-取费表'!R"&amp;$K$1)),0)</f>
        <v>#DIV/0!</v>
      </c>
      <c r="C4" s="1282" t="s">
        <v>2024</v>
      </c>
      <c r="E4" s="730"/>
      <c r="I4" s="735"/>
      <c r="J4" s="735"/>
      <c r="K4" s="735"/>
    </row>
    <row r="5" ht="18" customHeight="1" spans="1:33">
      <c r="A5" s="435"/>
      <c r="B5" s="1283" t="e">
        <f ca="1">ROUND(B2/(IF(C1="",'数据-汇总表'!D3,INDIRECT("'数据-取费表'!R"&amp;$K$1))/666.67),0)</f>
        <v>#DIV/0!</v>
      </c>
      <c r="C5" s="1284" t="s">
        <v>2026</v>
      </c>
      <c r="E5" s="730"/>
      <c r="I5" s="735"/>
      <c r="J5" s="735"/>
      <c r="K5" s="735"/>
    </row>
    <row r="6" s="719" customFormat="1" ht="16.5" customHeight="1" spans="1:33">
      <c r="A6" s="741" t="s">
        <v>2027</v>
      </c>
      <c r="B6" s="742"/>
      <c r="C6" s="743" t="s">
        <v>2028</v>
      </c>
      <c r="D6" s="743"/>
      <c r="E6" s="743"/>
      <c r="F6" s="743"/>
      <c r="G6" s="743"/>
      <c r="H6" s="743"/>
      <c r="I6" s="743"/>
      <c r="J6" s="743"/>
      <c r="K6" s="744"/>
    </row>
    <row r="7" s="720" customFormat="1" ht="15" spans="1:33">
      <c r="A7" s="745" t="s">
        <v>2029</v>
      </c>
      <c r="B7" s="746" t="s">
        <v>2030</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2031</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2032</v>
      </c>
      <c r="C9" s="755">
        <f>SUMIF('数据-汇总表'!$C19:$C33,假设开发法!C7,'数据-汇总表'!$E19:$E33)</f>
        <v>0</v>
      </c>
      <c r="D9" s="755">
        <f>SUMIF('数据-汇总表'!$C19:$C33,假设开发法!D7,'数据-汇总表'!$E19:$E33)</f>
        <v>0</v>
      </c>
      <c r="E9" s="755">
        <f>SUMIF('数据-汇总表'!$C19:$C33,假设开发法!E7,'数据-汇总表'!$E19:$E33)</f>
        <v>0</v>
      </c>
      <c r="F9" s="755">
        <f>SUMIF('数据-汇总表'!$C19:$C33,假设开发法!F7,'数据-汇总表'!$E19:$E33)</f>
        <v>0</v>
      </c>
      <c r="G9" s="755">
        <f>SUMIF('数据-汇总表'!$C19:$C33,假设开发法!G7,'数据-汇总表'!$E19:$E33)</f>
        <v>0</v>
      </c>
      <c r="H9" s="755">
        <f>SUMIF('数据-汇总表'!$C19:$C33,假设开发法!H7,'数据-汇总表'!$E19:$E33)</f>
        <v>0</v>
      </c>
      <c r="I9" s="755">
        <f>SUMIF('数据-汇总表'!$C19:$C33,假设开发法!I7,'数据-汇总表'!$E19:$E33)</f>
        <v>0</v>
      </c>
      <c r="J9" s="755">
        <f>SUMIF('数据-汇总表'!$C19:$C33,假设开发法!J7,'数据-汇总表'!$E19:$E33)</f>
        <v>0</v>
      </c>
      <c r="K9" s="756">
        <f>SUMIF('数据-汇总表'!$C19:$C33,假设开发法!K7,'数据-汇总表'!$E19:$E33)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1340</v>
      </c>
      <c r="B10" s="758" t="s">
        <v>2033</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1285" t="s">
        <v>2034</v>
      </c>
      <c r="B11" s="1286"/>
      <c r="C11" s="1286"/>
      <c r="D11" s="1286"/>
      <c r="E11" s="1286"/>
      <c r="F11" s="1286"/>
      <c r="G11" s="1286"/>
      <c r="H11" s="1286"/>
      <c r="I11" s="1286"/>
      <c r="J11" s="1286"/>
      <c r="K11" s="1287"/>
    </row>
    <row r="12" s="723" customFormat="1" ht="13.5" customHeight="1" spans="1:33">
      <c r="A12" s="766" t="s">
        <v>1004</v>
      </c>
      <c r="B12" s="767" t="s">
        <v>2030</v>
      </c>
      <c r="C12" s="768" t="s">
        <v>1481</v>
      </c>
      <c r="D12" s="767" t="s">
        <v>2035</v>
      </c>
      <c r="E12" s="767" t="s">
        <v>2036</v>
      </c>
      <c r="F12" s="767" t="s">
        <v>2037</v>
      </c>
      <c r="G12" s="1288" t="s">
        <v>1485</v>
      </c>
      <c r="H12" s="767"/>
      <c r="I12" s="767"/>
      <c r="J12" s="767"/>
      <c r="K12" s="1289"/>
    </row>
    <row r="13" s="724" customFormat="1" ht="13.5" customHeight="1" spans="1:33">
      <c r="A13" s="745">
        <v>1</v>
      </c>
      <c r="B13" s="772" t="s">
        <v>2027</v>
      </c>
      <c r="C13" s="773">
        <f>SUM(C10:K10)</f>
        <v>0</v>
      </c>
      <c r="D13" s="774"/>
      <c r="E13" s="774"/>
      <c r="F13" s="774"/>
      <c r="G13" s="779"/>
      <c r="H13" s="779"/>
      <c r="I13" s="779"/>
      <c r="J13" s="779"/>
      <c r="K13" s="1290"/>
    </row>
    <row r="14" s="725" customFormat="1" ht="13.5" customHeight="1" spans="1:33">
      <c r="A14" s="745">
        <v>2</v>
      </c>
      <c r="B14" s="782" t="s">
        <v>2038</v>
      </c>
      <c r="C14" s="1291" t="str">
        <f>F14&amp;"V"</f>
        <v>0.0305V</v>
      </c>
      <c r="D14" s="783"/>
      <c r="E14" s="783"/>
      <c r="F14" s="1292">
        <f>IF(项目基本情况!B8="出让",0,'数据-取费表'!B49+'数据-取费表'!B50)</f>
        <v>0.0305</v>
      </c>
      <c r="G14" s="1293" t="s">
        <v>2039</v>
      </c>
      <c r="H14" s="1294"/>
      <c r="I14" s="1294"/>
      <c r="J14" s="1294"/>
      <c r="K14" s="1295"/>
    </row>
    <row r="15" s="725" customFormat="1" ht="13.5" customHeight="1" spans="1:33">
      <c r="A15" s="745">
        <v>3</v>
      </c>
      <c r="B15" s="1296" t="s">
        <v>2040</v>
      </c>
      <c r="C15" s="1297">
        <f ca="1">SUM(C16:C19)+C25+C26</f>
        <v>418</v>
      </c>
      <c r="D15" s="782"/>
      <c r="E15" s="783"/>
      <c r="F15" s="1297"/>
      <c r="G15" s="1298" t="s">
        <v>2041</v>
      </c>
      <c r="H15" s="1299"/>
      <c r="I15" s="1299"/>
      <c r="J15" s="1299"/>
      <c r="K15" s="1300"/>
    </row>
    <row r="16" s="725" customFormat="1" ht="13.5" customHeight="1" spans="1:33">
      <c r="A16" s="1301" t="s">
        <v>1014</v>
      </c>
      <c r="B16" s="1302" t="s">
        <v>2042</v>
      </c>
      <c r="C16" s="1303">
        <f ca="1">IF(C1="",'数据-取费表'!P16,INDIRECT("'数据-取费表'!P"&amp;$K$1)+INDIRECT("'数据-取费表'!ar"&amp;$K$1))</f>
        <v>0</v>
      </c>
      <c r="D16" s="1304"/>
      <c r="E16" s="1299"/>
      <c r="F16" s="1305">
        <f ca="1">1-IF('数据-取费表'!B24=0,1,IF(C1="",'数据-取费表'!N16,INDIRECT("'数据-取费表'!n"&amp;$K$1)))</f>
        <v>0</v>
      </c>
      <c r="G16" s="779"/>
      <c r="H16" s="779"/>
      <c r="I16" s="779"/>
      <c r="J16" s="779"/>
      <c r="K16" s="1290"/>
    </row>
    <row r="17" s="725" customFormat="1" ht="13.5" customHeight="1" spans="1:33">
      <c r="A17" s="1301" t="s">
        <v>1019</v>
      </c>
      <c r="B17" s="1302" t="s">
        <v>1498</v>
      </c>
      <c r="C17" s="1306">
        <f ca="1">ROUND(C16*F17,0)</f>
        <v>0</v>
      </c>
      <c r="D17" s="1304"/>
      <c r="E17" s="1299"/>
      <c r="F17" s="1305">
        <f>'数据-取费表'!B33</f>
        <v>0.07</v>
      </c>
      <c r="G17" s="669" t="s">
        <v>2043</v>
      </c>
      <c r="H17" s="779"/>
      <c r="I17" s="779"/>
      <c r="J17" s="779"/>
      <c r="K17" s="1290"/>
    </row>
    <row r="18" s="725" customFormat="1" ht="13.5" customHeight="1" spans="1:33">
      <c r="A18" s="1301" t="s">
        <v>1070</v>
      </c>
      <c r="B18" s="1302" t="s">
        <v>1501</v>
      </c>
      <c r="C18" s="1306">
        <f ca="1">ROUND(IF(C1="",SUMIF('数据-取费表'!C:C,"住宅",'数据-取费表'!P:P)*F18,IF(INDIRECT("'数据-取费表'!c"&amp;$K$1)="住宅",INDIRECT("'数据-取费表'!P"&amp;$K$1)*F18,0)),0)</f>
        <v>0</v>
      </c>
      <c r="D18" s="1307"/>
      <c r="E18" s="1299"/>
      <c r="F18" s="1305">
        <f>'数据-取费表'!B34</f>
        <v>0</v>
      </c>
      <c r="G18" s="779" t="s">
        <v>2044</v>
      </c>
      <c r="H18" s="779"/>
      <c r="I18" s="779"/>
      <c r="J18" s="779"/>
      <c r="K18" s="1290"/>
    </row>
    <row r="19" s="725" customFormat="1" ht="13.5" customHeight="1" spans="1:33">
      <c r="A19" s="1301" t="s">
        <v>2045</v>
      </c>
      <c r="B19" s="1302" t="s">
        <v>1504</v>
      </c>
      <c r="C19" s="1306">
        <f ca="1">C20+C23+C24</f>
        <v>418</v>
      </c>
      <c r="D19" s="1307"/>
      <c r="E19" s="1299"/>
      <c r="F19" s="1305"/>
      <c r="G19" s="779"/>
      <c r="H19" s="779"/>
      <c r="I19" s="779"/>
      <c r="J19" s="779"/>
      <c r="K19" s="1290"/>
    </row>
    <row r="20" s="725" customFormat="1" ht="13.5" customHeight="1" spans="1:33">
      <c r="A20" s="1308" t="s">
        <v>2046</v>
      </c>
      <c r="B20" s="1309" t="s">
        <v>2047</v>
      </c>
      <c r="C20" s="1306">
        <f ca="1">C21+C22-IF(C1="",'数据-取费表'!B29,IF(G20="已全部缴纳",C21+C22,H20))</f>
        <v>418</v>
      </c>
      <c r="D20" s="1307"/>
      <c r="E20" s="1310"/>
      <c r="F20" s="1311"/>
      <c r="G20" s="1312"/>
      <c r="H20" s="1313"/>
      <c r="I20" s="1314" t="s">
        <v>2048</v>
      </c>
      <c r="J20" s="1299"/>
      <c r="K20" s="1300"/>
    </row>
    <row r="21" s="725" customFormat="1" ht="13.5" customHeight="1" spans="1:33">
      <c r="A21" s="1315" t="s">
        <v>1282</v>
      </c>
      <c r="B21" s="1316" t="s">
        <v>2049</v>
      </c>
      <c r="C21" s="1317">
        <f ca="1">ROUND(D21*E21/10000,0)</f>
        <v>0</v>
      </c>
      <c r="D21" s="1318">
        <f ca="1">IF(C1="",'数据-汇总表'!E5,IF(INDIRECT("'数据-取费表'!c"&amp;$K$1)="住宅",INDIRECT("'数据-取费表'!k"&amp;$K$1),0))</f>
        <v>0</v>
      </c>
      <c r="E21" s="1317">
        <f>'数据-取费表'!B27</f>
        <v>0</v>
      </c>
      <c r="F21" s="1319"/>
      <c r="G21" s="1320"/>
      <c r="H21" s="1320"/>
      <c r="I21" s="1320"/>
      <c r="J21" s="1320"/>
      <c r="K21" s="1321"/>
    </row>
    <row r="22" s="725" customFormat="1" ht="13.5" customHeight="1" spans="1:33">
      <c r="A22" s="1315" t="s">
        <v>1285</v>
      </c>
      <c r="B22" s="1316" t="s">
        <v>2050</v>
      </c>
      <c r="C22" s="1317">
        <f ca="1">ROUND(D22*E22/10000,0)</f>
        <v>418</v>
      </c>
      <c r="D22" s="1318">
        <f ca="1">IF(C1="",'数据-汇总表'!E6,IF(INDIRECT("'数据-取费表'!c"&amp;$K$1)="住宅",INDIRECT("'数据-取费表'!s"&amp;$K$1),INDIRECT("'数据-取费表'!k"&amp;$K$1)+INDIRECT("'数据-取费表'!s"&amp;$K$1)))</f>
        <v>20903.38</v>
      </c>
      <c r="E22" s="1317">
        <f>'数据-取费表'!B28</f>
        <v>200</v>
      </c>
      <c r="F22" s="1319"/>
      <c r="G22" s="1320"/>
      <c r="H22" s="1320"/>
      <c r="I22" s="1320"/>
      <c r="J22" s="1320"/>
      <c r="K22" s="1321"/>
    </row>
    <row r="23" s="726" customFormat="1" ht="13.5" customHeight="1" spans="1:33">
      <c r="A23" s="1308" t="s">
        <v>2051</v>
      </c>
      <c r="B23" s="1309" t="s">
        <v>2052</v>
      </c>
      <c r="C23" s="1306">
        <f ca="1">ROUND(D23*E23*F16/10000,0)</f>
        <v>0</v>
      </c>
      <c r="D23" s="1322">
        <f ca="1">IF(C1="",'数据-汇总表'!E3,INDIRECT("'数据-取费表'!K"&amp;$K$1)+INDIRECT("'数据-取费表'!S"&amp;$K$1))</f>
        <v>20903.38</v>
      </c>
      <c r="E23" s="1306">
        <f>'数据-取费表'!B35</f>
        <v>280</v>
      </c>
      <c r="F23" s="1311"/>
      <c r="G23" s="772" t="s">
        <v>2053</v>
      </c>
      <c r="H23" s="779"/>
      <c r="I23" s="779"/>
      <c r="J23" s="779"/>
      <c r="K23" s="1290"/>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1308" t="s">
        <v>2054</v>
      </c>
      <c r="B24" s="1309" t="s">
        <v>2055</v>
      </c>
      <c r="C24" s="1306">
        <f ca="1">ROUND(D24*E24/10000,0)</f>
        <v>0</v>
      </c>
      <c r="D24" s="1322">
        <f ca="1">D23</f>
        <v>20903.38</v>
      </c>
      <c r="E24" s="1306">
        <f>'数据-取费表'!B32</f>
        <v>0</v>
      </c>
      <c r="F24" s="1323"/>
      <c r="G24" s="1299" t="s">
        <v>2056</v>
      </c>
      <c r="H24" s="1299"/>
      <c r="I24" s="1299"/>
      <c r="J24" s="1299"/>
      <c r="K24" s="1300"/>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spans="1:33">
      <c r="A25" s="1324" t="s">
        <v>2057</v>
      </c>
      <c r="B25" s="1325" t="s">
        <v>1515</v>
      </c>
      <c r="C25" s="1326">
        <f ca="1">ROUND(C16*F25,0)</f>
        <v>0</v>
      </c>
      <c r="D25" s="1327"/>
      <c r="E25" s="1328"/>
      <c r="F25" s="1305">
        <f>'数据-取费表'!B36</f>
        <v>0.01</v>
      </c>
      <c r="G25" s="1327"/>
      <c r="H25" s="1327"/>
      <c r="I25" s="1327"/>
      <c r="J25" s="1327"/>
      <c r="K25" s="1329"/>
    </row>
    <row r="26" s="726" customFormat="1" ht="13.5" customHeight="1" spans="1:33">
      <c r="A26" s="1324" t="s">
        <v>2058</v>
      </c>
      <c r="B26" s="1302" t="s">
        <v>2059</v>
      </c>
      <c r="C26" s="1323">
        <f ca="1">ROUND(C16*F26,0)</f>
        <v>0</v>
      </c>
      <c r="D26" s="1330"/>
      <c r="E26" s="1331"/>
      <c r="F26" s="1305">
        <f>'数据-取费表'!B37</f>
        <v>0</v>
      </c>
      <c r="G26" s="1299" t="s">
        <v>2060</v>
      </c>
      <c r="H26" s="1299"/>
      <c r="I26" s="1299"/>
      <c r="J26" s="1299"/>
      <c r="K26" s="1300"/>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45">
        <v>4</v>
      </c>
      <c r="B27" s="782" t="s">
        <v>2061</v>
      </c>
      <c r="C27" s="1297">
        <f ca="1">ROUND(C15*F27,0)</f>
        <v>8</v>
      </c>
      <c r="D27" s="783"/>
      <c r="E27" s="783"/>
      <c r="F27" s="1292">
        <f>'数据-取费表'!B38</f>
        <v>0.02</v>
      </c>
      <c r="G27" s="779" t="s">
        <v>2062</v>
      </c>
      <c r="H27" s="779"/>
      <c r="I27" s="779"/>
      <c r="J27" s="779"/>
      <c r="K27" s="1290"/>
    </row>
    <row r="28" s="725" customFormat="1" ht="13.5" customHeight="1" spans="1:33">
      <c r="A28" s="745">
        <v>5</v>
      </c>
      <c r="B28" s="782" t="s">
        <v>2063</v>
      </c>
      <c r="C28" s="1297">
        <f ca="1">ROUND(C13*F28*F16,0)</f>
        <v>0</v>
      </c>
      <c r="D28" s="783"/>
      <c r="E28" s="783"/>
      <c r="F28" s="1292">
        <f>'数据-取费表'!B39</f>
        <v>0.02</v>
      </c>
      <c r="G28" s="779" t="s">
        <v>2064</v>
      </c>
      <c r="H28" s="779"/>
      <c r="I28" s="779"/>
      <c r="J28" s="779"/>
      <c r="K28" s="1290"/>
    </row>
    <row r="29" s="725" customFormat="1" ht="13.5" customHeight="1" spans="1:33">
      <c r="A29" s="745">
        <v>6</v>
      </c>
      <c r="B29" s="1296" t="s">
        <v>1356</v>
      </c>
      <c r="C29" s="1291" t="str">
        <f ca="1">C31&amp;"+"&amp;C30&amp;"V"</f>
        <v>0+0V</v>
      </c>
      <c r="D29" s="1332"/>
      <c r="E29" s="783"/>
      <c r="F29" s="1333">
        <f ca="1">'数据-取费表'!B41</f>
        <v>0.0313</v>
      </c>
      <c r="G29" s="1299" t="str">
        <f>IF('数据-取费表'!B22&lt;=1,"单利计息。","复利计息。")&amp;"后续开发成本、管理费用及销售费用产生的利息。"</f>
        <v>复利计息。后续开发成本、管理费用及销售费用产生的利息。</v>
      </c>
      <c r="H29" s="1294"/>
      <c r="I29" s="1294"/>
      <c r="J29" s="1294"/>
      <c r="K29" s="1295"/>
    </row>
    <row r="30" s="727" customFormat="1" ht="13.5" customHeight="1" spans="1:33">
      <c r="A30" s="1334" t="s">
        <v>1014</v>
      </c>
      <c r="B30" s="1309" t="s">
        <v>2065</v>
      </c>
      <c r="C30" s="1335">
        <f ca="1">ROUND(IF('数据-取费表'!B22&lt;=1,(1+F14)*F29*'数据-取费表'!B24,(1+F14)*(POWER((1+F29),'数据-取费表'!B24)-1)),4)</f>
        <v>0</v>
      </c>
      <c r="D30" s="1336"/>
      <c r="E30" s="1330"/>
      <c r="F30" s="1337"/>
      <c r="G30" s="514" t="str">
        <f>IF('数据-取费表'!B22&lt;=1,"（(1)+取得税费率/(1+5%)）×年利率×建设期","（(1)+取得税费率）/(1+5%)×((1+年利率)^建设期-1)")</f>
        <v>（(1)+取得税费率）/(1+5%)×((1+年利率)^建设期-1)</v>
      </c>
      <c r="H30" s="1299"/>
      <c r="I30" s="1299"/>
      <c r="J30" s="1299"/>
      <c r="K30" s="1300"/>
    </row>
    <row r="31" s="727" customFormat="1" ht="13.5" customHeight="1" spans="1:33">
      <c r="A31" s="1334" t="s">
        <v>1019</v>
      </c>
      <c r="B31" s="1309" t="s">
        <v>2066</v>
      </c>
      <c r="C31" s="1303">
        <f ca="1">ROUND(IF('数据-取费表'!B22&lt;=1,(C15+C27+C28)*F29*'数据-取费表'!B24/2,(C15+C27+C28)*(POWER((1+F29),'数据-取费表'!B24/2)-1)),0)</f>
        <v>0</v>
      </c>
      <c r="D31" s="1336"/>
      <c r="E31" s="1330"/>
      <c r="F31" s="1337"/>
      <c r="G31" s="514" t="str">
        <f>IF('数据-取费表'!B22&lt;=1,"（1）-（3）项×年利率×建设期÷2","（1）-（3）项×((1+年利率)^(建设期÷2)-1)")</f>
        <v>（1）-（3）项×((1+年利率)^(建设期÷2)-1)</v>
      </c>
      <c r="H31" s="1299"/>
      <c r="I31" s="1299"/>
      <c r="J31" s="1299"/>
      <c r="K31" s="1300"/>
    </row>
    <row r="32" s="725" customFormat="1" ht="13.5" customHeight="1" spans="1:33">
      <c r="A32" s="745">
        <v>7</v>
      </c>
      <c r="B32" s="1338" t="s">
        <v>2067</v>
      </c>
      <c r="C32" s="1339">
        <f>ROUND(C13*F32/(1+'数据-取费表'!C43),0)</f>
        <v>0</v>
      </c>
      <c r="D32" s="779"/>
      <c r="E32" s="1340"/>
      <c r="F32" s="1333"/>
      <c r="G32" s="1341" t="s">
        <v>2068</v>
      </c>
      <c r="H32" s="1341"/>
      <c r="I32" s="1341"/>
      <c r="J32" s="1341"/>
      <c r="K32" s="1342"/>
    </row>
    <row r="33" s="728" customFormat="1" ht="13.5" customHeight="1" spans="1:11">
      <c r="A33" s="745">
        <v>8</v>
      </c>
      <c r="B33" s="1343" t="s">
        <v>2069</v>
      </c>
      <c r="C33" s="1344" t="str">
        <f ca="1">C35&amp;"+"&amp;C34&amp;"V"</f>
        <v>43+0V</v>
      </c>
      <c r="D33" s="1332"/>
      <c r="E33" s="783"/>
      <c r="F33" s="1345">
        <f ca="1">IF(C1="",'数据-取费表'!Q16,INDIRECT("'数据-取费表'!q"&amp;$K$1))</f>
        <v>0.1</v>
      </c>
      <c r="G33" s="1294"/>
      <c r="H33" s="1294"/>
      <c r="I33" s="1294"/>
      <c r="J33" s="1294"/>
      <c r="K33" s="1295"/>
    </row>
    <row r="34" s="1276" customFormat="1" ht="13.5" customHeight="1" spans="1:11">
      <c r="A34" s="1334" t="s">
        <v>1014</v>
      </c>
      <c r="B34" s="1309" t="s">
        <v>2070</v>
      </c>
      <c r="C34" s="1335">
        <f ca="1">ROUND((1+F14)*F33*'数据-取费表'!B24/'数据-取费表'!B22,4)</f>
        <v>0</v>
      </c>
      <c r="D34" s="1336"/>
      <c r="E34" s="1330"/>
      <c r="F34" s="1346"/>
      <c r="G34" s="1299" t="s">
        <v>2071</v>
      </c>
      <c r="H34" s="1299"/>
      <c r="I34" s="1299"/>
      <c r="J34" s="1299"/>
      <c r="K34" s="1300"/>
    </row>
    <row r="35" s="1276" customFormat="1" ht="13.5" customHeight="1" spans="1:11">
      <c r="A35" s="1334" t="s">
        <v>1019</v>
      </c>
      <c r="B35" s="1309" t="s">
        <v>2066</v>
      </c>
      <c r="C35" s="1347">
        <f ca="1">ROUND((C15+C27+C28)*F33,0)</f>
        <v>43</v>
      </c>
      <c r="D35" s="1336"/>
      <c r="E35" s="1330"/>
      <c r="F35" s="1346"/>
      <c r="G35" s="1299"/>
      <c r="H35" s="1299"/>
      <c r="I35" s="1299"/>
      <c r="J35" s="1299"/>
      <c r="K35" s="1300"/>
    </row>
    <row r="36" s="724" customFormat="1" ht="15" spans="1:11">
      <c r="A36" s="745">
        <v>9</v>
      </c>
      <c r="B36" s="772" t="s">
        <v>2072</v>
      </c>
      <c r="C36" s="773">
        <f ca="1">ROUND((C13-C15-C27-C28-C31-C35-C32)/(1+F14+C30+C34),0)</f>
        <v>-455</v>
      </c>
      <c r="D36" s="779"/>
      <c r="E36" s="779"/>
      <c r="F36" s="1332"/>
      <c r="G36" s="1348" t="s">
        <v>2073</v>
      </c>
      <c r="H36" s="779"/>
      <c r="I36" s="779"/>
      <c r="J36" s="779"/>
      <c r="K36" s="1290"/>
    </row>
    <row r="37" s="1277" customFormat="1" ht="15.75" spans="1:11">
      <c r="A37" s="1349">
        <v>10</v>
      </c>
      <c r="B37" s="1350" t="s">
        <v>2074</v>
      </c>
      <c r="C37" s="1351">
        <f ca="1">ROUND(C36*(1+F37),0)</f>
        <v>-496</v>
      </c>
      <c r="D37" s="1352"/>
      <c r="E37" s="1353"/>
      <c r="F37" s="1354">
        <v>0.09</v>
      </c>
      <c r="G37" s="772" t="s">
        <v>2075</v>
      </c>
      <c r="H37" s="779"/>
      <c r="I37" s="779"/>
      <c r="J37" s="779"/>
      <c r="K37" s="1290"/>
    </row>
    <row r="38" customHeight="1"/>
    <row r="44" s="1278" customFormat="1" ht="19.5" spans="1:11">
      <c r="A44" s="1355" t="s">
        <v>2076</v>
      </c>
      <c r="B44" s="1356"/>
      <c r="C44" s="1357"/>
      <c r="D44" s="1356"/>
      <c r="E44" s="1356"/>
      <c r="F44" s="1356"/>
      <c r="G44" s="1356"/>
    </row>
    <row r="45" s="1278" customFormat="1" ht="13.5" spans="1:11">
      <c r="A45" s="766" t="s">
        <v>1004</v>
      </c>
      <c r="B45" s="1358" t="s">
        <v>2030</v>
      </c>
      <c r="C45" s="1359" t="s">
        <v>2077</v>
      </c>
      <c r="D45" s="1360" t="s">
        <v>2035</v>
      </c>
      <c r="E45" s="1360" t="s">
        <v>2036</v>
      </c>
      <c r="F45" s="1360" t="s">
        <v>2037</v>
      </c>
      <c r="G45" s="1361" t="s">
        <v>1485</v>
      </c>
    </row>
    <row r="46" s="1278" customFormat="1" spans="1:11">
      <c r="A46" s="1362">
        <v>1</v>
      </c>
      <c r="B46" s="1325" t="s">
        <v>2078</v>
      </c>
      <c r="C46" s="1326">
        <f>C13</f>
        <v>0</v>
      </c>
      <c r="D46" s="1362"/>
      <c r="E46" s="1362"/>
      <c r="F46" s="1362"/>
      <c r="G46" s="1362"/>
    </row>
    <row r="47" s="1278" customFormat="1" spans="1:11">
      <c r="A47" s="1362">
        <v>2</v>
      </c>
      <c r="B47" s="1325" t="s">
        <v>2079</v>
      </c>
      <c r="C47" s="1326" t="str">
        <f>C14</f>
        <v>0.0305V</v>
      </c>
      <c r="D47" s="1362"/>
      <c r="E47" s="1362"/>
      <c r="F47" s="1362"/>
      <c r="G47" s="1362"/>
    </row>
    <row r="48" s="1278" customFormat="1" spans="1:11">
      <c r="A48" s="1362">
        <v>3</v>
      </c>
      <c r="B48" s="1325" t="s">
        <v>2080</v>
      </c>
      <c r="C48" s="1326" t="e">
        <f ca="1">C49+C59+C60+C63</f>
        <v>#VALUE!</v>
      </c>
      <c r="D48" s="1362"/>
      <c r="E48" s="1362"/>
      <c r="F48" s="1362"/>
      <c r="G48" s="1362"/>
    </row>
    <row r="49" s="1278" customFormat="1" spans="1:7">
      <c r="A49" s="1363" t="s">
        <v>1014</v>
      </c>
      <c r="B49" s="1325" t="s">
        <v>2081</v>
      </c>
      <c r="C49" s="1326">
        <f ca="1">C50+C51+C52+C53+C57+C58</f>
        <v>418</v>
      </c>
      <c r="D49" s="1362"/>
      <c r="E49" s="1362"/>
      <c r="F49" s="1362"/>
      <c r="G49" s="1362"/>
    </row>
    <row r="50" s="1278" customFormat="1" spans="1:7">
      <c r="A50" s="1364" t="s">
        <v>1043</v>
      </c>
      <c r="B50" s="1325" t="s">
        <v>2082</v>
      </c>
      <c r="C50" s="1326">
        <f ca="1">C16</f>
        <v>0</v>
      </c>
      <c r="D50" s="1362"/>
      <c r="E50" s="1362"/>
      <c r="F50" s="1362"/>
      <c r="G50" s="1362"/>
    </row>
    <row r="51" s="1278" customFormat="1" spans="1:7">
      <c r="A51" s="1364" t="s">
        <v>2083</v>
      </c>
      <c r="B51" s="1362" t="s">
        <v>1498</v>
      </c>
      <c r="C51" s="1326">
        <f ca="1" t="shared" ref="C51:C54" si="0">C17</f>
        <v>0</v>
      </c>
      <c r="D51" s="1362"/>
      <c r="E51" s="1362"/>
      <c r="F51" s="1362"/>
      <c r="G51" s="1362"/>
    </row>
    <row r="52" s="1278" customFormat="1" spans="1:7">
      <c r="A52" s="1364" t="s">
        <v>2084</v>
      </c>
      <c r="B52" s="1362" t="s">
        <v>1501</v>
      </c>
      <c r="C52" s="1326">
        <f ca="1" t="shared" si="0"/>
        <v>0</v>
      </c>
      <c r="D52" s="1362"/>
      <c r="E52" s="1362"/>
      <c r="F52" s="1362"/>
      <c r="G52" s="1362"/>
    </row>
    <row r="53" s="1278" customFormat="1" spans="1:7">
      <c r="A53" s="1364" t="s">
        <v>2085</v>
      </c>
      <c r="B53" s="1362" t="s">
        <v>1504</v>
      </c>
      <c r="C53" s="1326">
        <f ca="1" t="shared" si="0"/>
        <v>418</v>
      </c>
      <c r="D53" s="1362"/>
      <c r="E53" s="1362"/>
      <c r="F53" s="1362"/>
      <c r="G53" s="1362"/>
    </row>
    <row r="54" s="1278" customFormat="1" spans="1:7">
      <c r="A54" s="1365" t="s">
        <v>1282</v>
      </c>
      <c r="B54" s="1366" t="s">
        <v>1505</v>
      </c>
      <c r="C54" s="1367">
        <f ca="1" t="shared" si="0"/>
        <v>418</v>
      </c>
      <c r="D54" s="1362"/>
      <c r="E54" s="1362"/>
      <c r="F54" s="1362"/>
      <c r="G54" s="1362"/>
    </row>
    <row r="55" s="1278" customFormat="1" spans="1:7">
      <c r="A55" s="1365" t="s">
        <v>1285</v>
      </c>
      <c r="B55" s="1366" t="s">
        <v>2086</v>
      </c>
      <c r="C55" s="1367">
        <f ca="1">C23</f>
        <v>0</v>
      </c>
      <c r="D55" s="1362"/>
      <c r="E55" s="1362"/>
      <c r="F55" s="1362"/>
      <c r="G55" s="1362"/>
    </row>
    <row r="56" s="1278" customFormat="1" spans="1:7">
      <c r="A56" s="1365" t="s">
        <v>1287</v>
      </c>
      <c r="B56" s="1366" t="s">
        <v>2087</v>
      </c>
      <c r="C56" s="1367">
        <f ca="1">C24</f>
        <v>0</v>
      </c>
      <c r="D56" s="1362"/>
      <c r="E56" s="1362"/>
      <c r="F56" s="1362"/>
      <c r="G56" s="1362"/>
    </row>
    <row r="57" s="1278" customFormat="1" spans="1:7">
      <c r="A57" s="1364" t="s">
        <v>1348</v>
      </c>
      <c r="B57" s="1362" t="s">
        <v>1515</v>
      </c>
      <c r="C57" s="1326">
        <f ca="1">C25</f>
        <v>0</v>
      </c>
      <c r="D57" s="1362"/>
      <c r="E57" s="1362"/>
      <c r="F57" s="1362"/>
      <c r="G57" s="1362"/>
    </row>
    <row r="58" s="1278" customFormat="1" spans="1:7">
      <c r="A58" s="1364" t="s">
        <v>2088</v>
      </c>
      <c r="B58" s="1362" t="s">
        <v>2059</v>
      </c>
      <c r="C58" s="1326">
        <f ca="1">C26</f>
        <v>0</v>
      </c>
      <c r="D58" s="1362"/>
      <c r="E58" s="1362"/>
      <c r="F58" s="1362"/>
      <c r="G58" s="1362"/>
    </row>
    <row r="59" s="1278" customFormat="1" spans="1:7">
      <c r="A59" s="1363" t="s">
        <v>2089</v>
      </c>
      <c r="B59" s="1325" t="s">
        <v>2090</v>
      </c>
      <c r="C59" s="1326">
        <f ca="1">C27</f>
        <v>8</v>
      </c>
      <c r="D59" s="1362"/>
      <c r="E59" s="1362"/>
      <c r="F59" s="1362"/>
      <c r="G59" s="1362"/>
    </row>
    <row r="60" s="1278" customFormat="1" spans="1:7">
      <c r="A60" s="1363" t="s">
        <v>2091</v>
      </c>
      <c r="B60" s="1325" t="s">
        <v>2092</v>
      </c>
      <c r="C60" s="1326">
        <f ca="1">C61+C62</f>
        <v>0</v>
      </c>
      <c r="D60" s="1362"/>
      <c r="E60" s="1362"/>
      <c r="F60" s="1362"/>
      <c r="G60" s="1362"/>
    </row>
    <row r="61" s="1278" customFormat="1" spans="1:7">
      <c r="A61" s="1364" t="s">
        <v>1043</v>
      </c>
      <c r="B61" s="1325" t="s">
        <v>2093</v>
      </c>
      <c r="C61" s="1326">
        <f ca="1">C28</f>
        <v>0</v>
      </c>
      <c r="D61" s="1362"/>
      <c r="E61" s="1362"/>
      <c r="F61" s="1362"/>
      <c r="G61" s="1362"/>
    </row>
    <row r="62" s="1278" customFormat="1" spans="1:7">
      <c r="A62" s="1364" t="s">
        <v>1047</v>
      </c>
      <c r="B62" s="1325" t="s">
        <v>2092</v>
      </c>
      <c r="C62" s="1326">
        <f>C32</f>
        <v>0</v>
      </c>
      <c r="D62" s="1362"/>
      <c r="E62" s="1362"/>
      <c r="F62" s="1362"/>
      <c r="G62" s="1362"/>
    </row>
    <row r="63" s="1278" customFormat="1" spans="1:7">
      <c r="A63" s="1363" t="s">
        <v>2094</v>
      </c>
      <c r="B63" s="1325" t="s">
        <v>1356</v>
      </c>
      <c r="C63" s="1326" t="str">
        <f ca="1">C29</f>
        <v>0+0V</v>
      </c>
      <c r="D63" s="1362"/>
      <c r="E63" s="1362"/>
      <c r="F63" s="1362"/>
      <c r="G63" s="1362"/>
    </row>
    <row r="64" s="1278" customFormat="1" spans="1:7">
      <c r="A64" s="1362">
        <v>4</v>
      </c>
      <c r="B64" s="1325" t="s">
        <v>2095</v>
      </c>
      <c r="C64" s="1326" t="str">
        <f ca="1">C33</f>
        <v>43+0V</v>
      </c>
      <c r="D64" s="1362"/>
      <c r="E64" s="1362"/>
      <c r="F64" s="1362"/>
      <c r="G64" s="1362"/>
    </row>
    <row r="65" s="1278" customFormat="1" spans="1:7">
      <c r="A65" s="1362">
        <v>5</v>
      </c>
      <c r="B65" s="1325" t="s">
        <v>2096</v>
      </c>
      <c r="C65" s="1326">
        <f ca="1">C36</f>
        <v>-455</v>
      </c>
      <c r="D65" s="1362"/>
      <c r="E65" s="1362"/>
      <c r="F65" s="1362"/>
      <c r="G65" s="1362"/>
    </row>
    <row r="66" s="1278" customFormat="1" spans="1:7">
      <c r="A66" s="1368"/>
      <c r="C66" s="1369"/>
      <c r="E66" s="1368"/>
    </row>
    <row r="67" s="1278" customFormat="1" spans="1:7">
      <c r="A67" s="1368"/>
      <c r="C67" s="1369"/>
      <c r="E67" s="1368"/>
    </row>
    <row r="68" s="1278" customFormat="1" spans="1:7">
      <c r="A68" s="1368"/>
      <c r="C68" s="1369"/>
      <c r="E68" s="1368"/>
    </row>
    <row r="69" s="1278" customFormat="1" spans="1:7">
      <c r="A69" s="1368"/>
      <c r="C69" s="1369"/>
      <c r="E69" s="1368"/>
    </row>
    <row r="70" s="1278" customFormat="1" spans="1:7">
      <c r="A70" s="1368"/>
      <c r="C70" s="1369"/>
      <c r="E70" s="1368"/>
    </row>
    <row r="71" s="1278" customFormat="1" spans="1:7">
      <c r="A71" s="1368"/>
      <c r="C71" s="1369"/>
      <c r="E71" s="1368"/>
    </row>
    <row r="72" s="1278" customFormat="1" spans="1:7">
      <c r="A72" s="1368"/>
      <c r="C72" s="1369"/>
      <c r="E72" s="1368"/>
    </row>
    <row r="73" s="1278" customFormat="1" spans="1:7">
      <c r="A73" s="1368"/>
      <c r="C73" s="1369"/>
      <c r="E73" s="1368"/>
    </row>
    <row r="74" s="1278" customFormat="1" spans="1:7">
      <c r="A74" s="1368"/>
      <c r="C74" s="1369"/>
      <c r="E74" s="1368"/>
    </row>
    <row r="75" s="1278" customFormat="1" spans="1:7">
      <c r="A75" s="1368"/>
      <c r="C75" s="1369"/>
      <c r="E75" s="1368"/>
    </row>
    <row r="76" s="1278" customFormat="1" spans="1:7">
      <c r="A76" s="1368"/>
      <c r="C76" s="1369"/>
      <c r="E76" s="1368"/>
    </row>
    <row r="77" s="1278" customFormat="1" spans="1:7">
      <c r="A77" s="1368"/>
      <c r="C77" s="1369"/>
      <c r="E77" s="1368"/>
    </row>
    <row r="78" s="1278" customFormat="1" spans="1:7">
      <c r="A78" s="1368"/>
      <c r="C78" s="1369"/>
      <c r="E78" s="1368"/>
    </row>
    <row r="79" s="1278" customFormat="1" spans="1:7">
      <c r="A79" s="1368"/>
      <c r="C79" s="1369"/>
      <c r="E79" s="136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1263" customWidth="1"/>
    <col min="2" max="2" width="12.5" style="1263" customWidth="1"/>
    <col min="3" max="3" width="12.125" style="1263" customWidth="1"/>
    <col min="4" max="4" width="14.125" style="1263" customWidth="1"/>
    <col min="5" max="5" width="12.5" style="1263" customWidth="1"/>
    <col min="6" max="16384" width="9" style="1263"/>
  </cols>
  <sheetData>
    <row r="1" ht="20.25" spans="1:16">
      <c r="A1" s="1264" t="s">
        <v>2097</v>
      </c>
      <c r="B1" s="1265"/>
      <c r="C1" s="1265"/>
      <c r="D1" s="1265"/>
      <c r="E1" s="1265"/>
      <c r="F1" s="1266"/>
      <c r="G1" s="1266"/>
      <c r="H1" s="1266"/>
      <c r="I1" s="1266"/>
      <c r="J1" s="1266"/>
      <c r="K1" s="1266"/>
      <c r="L1" s="1266"/>
      <c r="M1" s="1266"/>
      <c r="N1" s="1266"/>
      <c r="O1" s="1266"/>
      <c r="P1" s="1266"/>
    </row>
    <row r="2" spans="1:16">
      <c r="A2" s="1267" t="s">
        <v>97</v>
      </c>
      <c r="B2" s="1268">
        <f ca="1">SUMIF(B6:B13,"&lt;&gt;#ref!",B6:B13)</f>
        <v>4297</v>
      </c>
      <c r="C2" s="1267" t="s">
        <v>2098</v>
      </c>
      <c r="D2" s="1267" t="s">
        <v>2099</v>
      </c>
      <c r="E2" s="1269">
        <f ca="1">SUMIF(E6:E13,"&lt;&gt;#ref!",E6:E13)</f>
        <v>20386.47</v>
      </c>
      <c r="F2" s="1266"/>
      <c r="G2" s="1266"/>
      <c r="H2" s="1266"/>
      <c r="I2" s="1266"/>
      <c r="J2" s="1266"/>
      <c r="K2" s="1266"/>
      <c r="L2" s="1266"/>
      <c r="M2" s="1266"/>
      <c r="N2" s="1266"/>
      <c r="O2" s="1266"/>
      <c r="P2" s="1266"/>
    </row>
    <row r="3" ht="15.75" spans="1:16">
      <c r="A3" s="1267" t="s">
        <v>2100</v>
      </c>
      <c r="B3" s="1268">
        <f ca="1">ROUND(B2*10000/E2,0)</f>
        <v>2108</v>
      </c>
      <c r="C3" s="1267" t="s">
        <v>2101</v>
      </c>
      <c r="D3" s="1266"/>
      <c r="E3" s="1266"/>
      <c r="F3" s="1266"/>
      <c r="G3" s="1266"/>
      <c r="H3" s="1266"/>
      <c r="I3" s="1266"/>
      <c r="J3" s="1266"/>
      <c r="K3" s="1266"/>
      <c r="L3" s="1266"/>
      <c r="M3" s="1266"/>
      <c r="N3" s="1266"/>
      <c r="O3" s="1266"/>
      <c r="P3" s="1266"/>
    </row>
    <row r="4" ht="15.75" spans="1:16">
      <c r="A4" s="1270"/>
      <c r="B4" s="1266"/>
      <c r="C4" s="1266"/>
      <c r="D4" s="1266"/>
      <c r="E4" s="1266"/>
      <c r="F4" s="1266"/>
      <c r="G4" s="1266"/>
      <c r="H4" s="1266"/>
      <c r="I4" s="1266"/>
      <c r="J4" s="1266"/>
      <c r="K4" s="1266"/>
      <c r="L4" s="1266"/>
      <c r="M4" s="1266"/>
      <c r="N4" s="1266"/>
      <c r="O4" s="1266"/>
      <c r="P4" s="1266"/>
    </row>
    <row r="5" ht="28.5" spans="1:16">
      <c r="A5" s="1271" t="s">
        <v>2102</v>
      </c>
      <c r="B5" s="1272" t="s">
        <v>2103</v>
      </c>
      <c r="C5" s="1273"/>
      <c r="D5" s="1266"/>
      <c r="E5" s="1274" t="s">
        <v>2104</v>
      </c>
      <c r="F5" s="1266"/>
      <c r="G5" s="1266"/>
      <c r="H5" s="1266"/>
      <c r="I5" s="1266"/>
      <c r="J5" s="1266"/>
      <c r="K5" s="1266"/>
      <c r="L5" s="1266"/>
      <c r="M5" s="1266"/>
      <c r="N5" s="1266"/>
      <c r="O5" s="1266"/>
      <c r="P5" s="1266"/>
    </row>
    <row r="6" spans="1:16">
      <c r="A6" s="1275" t="s">
        <v>2105</v>
      </c>
      <c r="B6" s="1268">
        <f ca="1">SUMIF(INDIRECT("'"&amp;A6&amp;"'"&amp;"!A:A"),"总价",INDIRECT("'"&amp;A6&amp;"'"&amp;"!B:B"))</f>
        <v>4297</v>
      </c>
      <c r="C6" s="1267" t="s">
        <v>2098</v>
      </c>
      <c r="D6" s="1266"/>
      <c r="E6" s="1269">
        <f ca="1">SUMIF(INDIRECT("'"&amp;A6&amp;"'"&amp;"!C:C"),"建筑面积",INDIRECT("'"&amp;A6&amp;"'"&amp;"!D:D"))</f>
        <v>20386.47</v>
      </c>
      <c r="F6" s="1266"/>
      <c r="G6" s="1266"/>
      <c r="H6" s="1266"/>
      <c r="I6" s="1266"/>
      <c r="J6" s="1266"/>
      <c r="K6" s="1266"/>
      <c r="L6" s="1266"/>
      <c r="M6" s="1266"/>
      <c r="N6" s="1266"/>
      <c r="O6" s="1266"/>
      <c r="P6" s="1266"/>
    </row>
    <row r="7" ht="15.75" spans="1:16">
      <c r="A7" s="1275"/>
      <c r="B7" s="1268" t="e">
        <f ca="1">SUMIF(INDIRECT("'"&amp;A7&amp;"'"&amp;"!A:A"),"总价",INDIRECT("'"&amp;A7&amp;"'"&amp;"!B:B"))</f>
        <v>#REF!</v>
      </c>
      <c r="C7" s="1267" t="s">
        <v>2098</v>
      </c>
      <c r="D7" s="1266"/>
      <c r="E7" s="1269" t="e">
        <f ca="1" t="shared" ref="E7:E13" si="0">SUMIF(INDIRECT("'"&amp;A7&amp;"'"&amp;"!C:C"),"建筑面积",INDIRECT("'"&amp;A7&amp;"'"&amp;"!D:D"))</f>
        <v>#REF!</v>
      </c>
      <c r="F7" s="1266"/>
      <c r="G7" s="1266"/>
      <c r="H7" s="1266"/>
      <c r="I7" s="1266"/>
      <c r="J7" s="1266"/>
      <c r="K7" s="1266"/>
      <c r="L7" s="1266"/>
      <c r="M7" s="1266"/>
      <c r="N7" s="1266"/>
      <c r="O7" s="1266"/>
      <c r="P7" s="1266"/>
    </row>
    <row r="8" ht="15.75" spans="1:16">
      <c r="A8" s="1275"/>
      <c r="B8" s="1268" t="e">
        <f ca="1" t="shared" ref="B8:B13" si="1">SUMIF(INDIRECT("'"&amp;A8&amp;"'"&amp;"!A:A"),"总价",INDIRECT("'"&amp;A8&amp;"'"&amp;"!B:B"))</f>
        <v>#REF!</v>
      </c>
      <c r="C8" s="1267" t="s">
        <v>2098</v>
      </c>
      <c r="D8" s="1266"/>
      <c r="E8" s="1269" t="e">
        <f ca="1" t="shared" si="0"/>
        <v>#REF!</v>
      </c>
      <c r="F8" s="1266"/>
      <c r="G8" s="1266"/>
      <c r="H8" s="1266"/>
      <c r="I8" s="1266"/>
      <c r="J8" s="1266"/>
      <c r="K8" s="1266"/>
      <c r="L8" s="1266"/>
      <c r="M8" s="1266"/>
      <c r="N8" s="1266"/>
      <c r="O8" s="1266"/>
      <c r="P8" s="1266"/>
    </row>
    <row r="9" ht="15.75" spans="1:16">
      <c r="A9" s="1275"/>
      <c r="B9" s="1268" t="e">
        <f ca="1" t="shared" si="1"/>
        <v>#REF!</v>
      </c>
      <c r="C9" s="1267" t="s">
        <v>2098</v>
      </c>
      <c r="D9" s="1266"/>
      <c r="E9" s="1269" t="e">
        <f ca="1" t="shared" si="0"/>
        <v>#REF!</v>
      </c>
      <c r="F9" s="1266"/>
      <c r="G9" s="1266"/>
      <c r="H9" s="1266"/>
      <c r="I9" s="1266"/>
      <c r="J9" s="1266"/>
      <c r="K9" s="1266"/>
      <c r="L9" s="1266"/>
      <c r="M9" s="1266"/>
      <c r="N9" s="1266"/>
      <c r="O9" s="1266"/>
      <c r="P9" s="1266"/>
    </row>
    <row r="10" ht="15.75" spans="1:16">
      <c r="A10" s="1275"/>
      <c r="B10" s="1268" t="e">
        <f ca="1" t="shared" si="1"/>
        <v>#REF!</v>
      </c>
      <c r="C10" s="1267" t="s">
        <v>2098</v>
      </c>
      <c r="D10" s="1266"/>
      <c r="E10" s="1269" t="e">
        <f ca="1" t="shared" si="0"/>
        <v>#REF!</v>
      </c>
      <c r="F10" s="1266"/>
      <c r="G10" s="1266"/>
      <c r="H10" s="1266"/>
      <c r="I10" s="1266"/>
      <c r="J10" s="1266"/>
      <c r="K10" s="1266"/>
      <c r="L10" s="1266"/>
      <c r="M10" s="1266"/>
      <c r="N10" s="1266"/>
      <c r="O10" s="1266"/>
      <c r="P10" s="1266"/>
    </row>
    <row r="11" ht="15.75" spans="1:16">
      <c r="A11" s="1275"/>
      <c r="B11" s="1268" t="e">
        <f ca="1" t="shared" si="1"/>
        <v>#REF!</v>
      </c>
      <c r="C11" s="1267" t="s">
        <v>2098</v>
      </c>
      <c r="D11" s="1266"/>
      <c r="E11" s="1269" t="e">
        <f ca="1" t="shared" si="0"/>
        <v>#REF!</v>
      </c>
      <c r="F11" s="1266"/>
      <c r="G11" s="1266"/>
      <c r="H11" s="1266"/>
      <c r="I11" s="1266"/>
      <c r="J11" s="1266"/>
      <c r="K11" s="1266"/>
      <c r="L11" s="1266"/>
      <c r="M11" s="1266"/>
      <c r="N11" s="1266"/>
      <c r="O11" s="1266"/>
      <c r="P11" s="1266"/>
    </row>
    <row r="12" ht="15.75" spans="1:16">
      <c r="A12" s="1275"/>
      <c r="B12" s="1268" t="e">
        <f ca="1" t="shared" si="1"/>
        <v>#REF!</v>
      </c>
      <c r="C12" s="1267" t="s">
        <v>2098</v>
      </c>
      <c r="D12" s="1266"/>
      <c r="E12" s="1269" t="e">
        <f ca="1" t="shared" si="0"/>
        <v>#REF!</v>
      </c>
      <c r="F12" s="1266"/>
      <c r="G12" s="1266"/>
      <c r="H12" s="1266"/>
      <c r="I12" s="1266"/>
      <c r="J12" s="1266"/>
      <c r="K12" s="1266"/>
      <c r="L12" s="1266"/>
      <c r="M12" s="1266"/>
      <c r="N12" s="1266"/>
      <c r="O12" s="1266"/>
      <c r="P12" s="1266"/>
    </row>
    <row r="13" ht="15.75" spans="1:16">
      <c r="A13" s="1275"/>
      <c r="B13" s="1268" t="e">
        <f ca="1" t="shared" si="1"/>
        <v>#REF!</v>
      </c>
      <c r="C13" s="1267" t="s">
        <v>2098</v>
      </c>
      <c r="D13" s="1266"/>
      <c r="E13" s="1269" t="e">
        <f ca="1" t="shared" si="0"/>
        <v>#REF!</v>
      </c>
      <c r="F13" s="1266"/>
      <c r="G13" s="1266"/>
      <c r="H13" s="1266"/>
      <c r="I13" s="1266"/>
      <c r="J13" s="1266"/>
      <c r="K13" s="1266"/>
      <c r="L13" s="1266"/>
      <c r="M13" s="1266"/>
      <c r="N13" s="1266"/>
      <c r="O13" s="1266"/>
      <c r="P13" s="1266"/>
    </row>
    <row r="14" spans="1:16">
      <c r="A14" s="1266"/>
      <c r="B14" s="1266"/>
      <c r="C14" s="1266"/>
      <c r="D14" s="1266"/>
      <c r="E14" s="1266"/>
      <c r="F14" s="1266"/>
      <c r="G14" s="1266"/>
      <c r="H14" s="1266"/>
      <c r="I14" s="1266"/>
      <c r="J14" s="1266"/>
      <c r="K14" s="1266"/>
      <c r="L14" s="1266"/>
      <c r="M14" s="1266"/>
      <c r="N14" s="1266"/>
      <c r="O14" s="1266"/>
      <c r="P14" s="1266"/>
    </row>
    <row r="15" spans="1:16">
      <c r="A15" s="1266"/>
      <c r="B15" s="1266"/>
      <c r="C15" s="1266"/>
      <c r="D15" s="1266"/>
      <c r="E15" s="1266"/>
      <c r="F15" s="1266"/>
      <c r="G15" s="1266"/>
      <c r="H15" s="1266"/>
      <c r="I15" s="1266"/>
      <c r="J15" s="1266"/>
      <c r="K15" s="1266"/>
      <c r="L15" s="1266"/>
      <c r="M15" s="1266"/>
      <c r="N15" s="1266"/>
      <c r="O15" s="1266"/>
      <c r="P15" s="1266"/>
    </row>
    <row r="16" spans="1:16">
      <c r="A16" s="1266"/>
      <c r="B16" s="1266"/>
      <c r="C16" s="1266"/>
      <c r="D16" s="1266"/>
      <c r="E16" s="1266"/>
      <c r="F16" s="1266"/>
      <c r="G16" s="1266"/>
      <c r="H16" s="1266"/>
      <c r="I16" s="1266"/>
      <c r="J16" s="1266"/>
      <c r="K16" s="1266"/>
      <c r="L16" s="1266"/>
      <c r="M16" s="1266"/>
      <c r="N16" s="1266"/>
      <c r="O16" s="1266"/>
      <c r="P16" s="1266"/>
    </row>
    <row r="17" spans="1:16">
      <c r="A17" s="1266"/>
      <c r="B17" s="1266"/>
      <c r="C17" s="1266"/>
      <c r="D17" s="1266"/>
      <c r="E17" s="1266"/>
      <c r="F17" s="1266"/>
      <c r="G17" s="1266"/>
      <c r="H17" s="1266"/>
      <c r="I17" s="1266"/>
      <c r="J17" s="1266"/>
      <c r="K17" s="1266"/>
      <c r="L17" s="1266"/>
      <c r="M17" s="1266"/>
      <c r="N17" s="1266"/>
      <c r="O17" s="1266"/>
      <c r="P17" s="1266"/>
    </row>
    <row r="18" spans="1:16">
      <c r="A18" s="1266"/>
      <c r="B18" s="1266"/>
      <c r="C18" s="1266"/>
      <c r="D18" s="1266"/>
      <c r="E18" s="1266"/>
      <c r="F18" s="1266"/>
      <c r="G18" s="1266"/>
      <c r="H18" s="1266"/>
      <c r="I18" s="1266"/>
      <c r="J18" s="1266"/>
      <c r="K18" s="1266"/>
      <c r="L18" s="1266"/>
      <c r="M18" s="1266"/>
      <c r="N18" s="1266"/>
      <c r="O18" s="1266"/>
      <c r="P18" s="1266"/>
    </row>
    <row r="19" spans="1:16">
      <c r="A19" s="1266"/>
      <c r="B19" s="1266"/>
      <c r="C19" s="1266"/>
      <c r="D19" s="1266"/>
      <c r="E19" s="1266"/>
      <c r="F19" s="1266"/>
      <c r="G19" s="1266"/>
      <c r="H19" s="1266"/>
      <c r="I19" s="1266"/>
      <c r="J19" s="1266"/>
      <c r="K19" s="1266"/>
      <c r="L19" s="1266"/>
      <c r="M19" s="1266"/>
      <c r="N19" s="1266"/>
      <c r="O19" s="1266"/>
      <c r="P19" s="1266"/>
    </row>
    <row r="20" spans="1:16">
      <c r="A20" s="1266"/>
      <c r="B20" s="1266"/>
      <c r="C20" s="1266"/>
      <c r="D20" s="1266"/>
      <c r="E20" s="1266"/>
      <c r="F20" s="1266"/>
      <c r="G20" s="1266"/>
      <c r="H20" s="1266"/>
      <c r="I20" s="1266"/>
      <c r="J20" s="1266"/>
      <c r="K20" s="1266"/>
      <c r="L20" s="1266"/>
      <c r="M20" s="1266"/>
      <c r="N20" s="1266"/>
      <c r="O20" s="1266"/>
      <c r="P20" s="1266"/>
    </row>
    <row r="21" spans="1:16">
      <c r="A21" s="1266"/>
      <c r="B21" s="1266"/>
      <c r="C21" s="1266"/>
      <c r="D21" s="1266"/>
      <c r="E21" s="1266"/>
      <c r="F21" s="1266"/>
      <c r="G21" s="1266"/>
      <c r="H21" s="1266"/>
      <c r="I21" s="1266"/>
      <c r="J21" s="1266"/>
      <c r="K21" s="1266"/>
      <c r="L21" s="1266"/>
      <c r="M21" s="1266"/>
      <c r="N21" s="1266"/>
      <c r="O21" s="1266"/>
      <c r="P21" s="126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10" sqref="D10"/>
    </sheetView>
  </sheetViews>
  <sheetFormatPr defaultColWidth="12" defaultRowHeight="12.75"/>
  <cols>
    <col min="1" max="1" width="9.75" style="851" customWidth="1"/>
    <col min="2" max="2" width="22.5" style="852" customWidth="1"/>
    <col min="3" max="3" width="12" style="853"/>
    <col min="4" max="4" width="14.875" style="853" customWidth="1"/>
    <col min="5" max="5" width="14.625" style="853" customWidth="1"/>
    <col min="6" max="8" width="12" style="853"/>
    <col min="9" max="9" width="12.25" style="853" customWidth="1"/>
    <col min="10" max="10" width="12" style="853"/>
    <col min="11" max="11" width="8.125" style="854" customWidth="1"/>
    <col min="12" max="12" width="19.5" style="853" customWidth="1"/>
    <col min="13" max="13" width="8.5" style="853" customWidth="1"/>
    <col min="14" max="14" width="9.75" style="853" customWidth="1"/>
    <col min="15" max="25" width="12" style="853"/>
    <col min="26" max="26" width="9.375" style="851" customWidth="1"/>
    <col min="27" max="32" width="9.375" style="855" customWidth="1"/>
    <col min="33" max="36" width="9.375" style="851" customWidth="1"/>
    <col min="37" max="38" width="9.375" style="853" customWidth="1"/>
    <col min="39" max="16384" width="12" style="853"/>
  </cols>
  <sheetData>
    <row r="1" ht="28.5" spans="1:36">
      <c r="A1" s="432" t="s">
        <v>2106</v>
      </c>
      <c r="B1" s="433"/>
      <c r="C1" s="436" t="s">
        <v>1126</v>
      </c>
      <c r="D1" s="856">
        <f>SUM(D33:D34,D37:D42)</f>
        <v>20386.47</v>
      </c>
      <c r="E1" s="857"/>
      <c r="F1" s="857"/>
      <c r="G1" s="857"/>
      <c r="H1" s="857"/>
      <c r="I1" s="857"/>
      <c r="J1" s="857"/>
      <c r="K1" s="849"/>
      <c r="L1" s="858" t="s">
        <v>2107</v>
      </c>
      <c r="M1" s="859">
        <f>SUMPRODUCT((区片价!B5:B9=I2)*(区片价!C3:G3=E2)*(区片价!C5:G9))</f>
        <v>0</v>
      </c>
      <c r="N1" s="860">
        <f>SUMPRODUCT((因素修正幅度!B5:B9=I2)*(因素修正幅度!C3:G3=E2)*(因素修正幅度!C5:G9))</f>
        <v>0</v>
      </c>
      <c r="O1" s="850"/>
      <c r="P1" s="850"/>
      <c r="Q1" s="849"/>
      <c r="R1" s="861" t="s">
        <v>2108</v>
      </c>
      <c r="S1" s="861" t="s">
        <v>2109</v>
      </c>
      <c r="T1" s="861" t="s">
        <v>2110</v>
      </c>
      <c r="U1" s="861" t="s">
        <v>2111</v>
      </c>
      <c r="V1" s="861" t="s">
        <v>2112</v>
      </c>
      <c r="W1" s="862"/>
      <c r="X1" s="862"/>
      <c r="Y1" s="862"/>
      <c r="Z1" s="862"/>
      <c r="AA1" s="862"/>
      <c r="AB1" s="862"/>
      <c r="AC1" s="863"/>
      <c r="AD1" s="864"/>
      <c r="AE1" s="864"/>
      <c r="AF1" s="864"/>
      <c r="AG1" s="864"/>
      <c r="AH1" s="864"/>
      <c r="AI1" s="864"/>
      <c r="AJ1" s="865"/>
    </row>
    <row r="2" ht="15.75" spans="1:36">
      <c r="A2" s="436" t="s">
        <v>1122</v>
      </c>
      <c r="B2" s="625">
        <f>C30</f>
        <v>4297</v>
      </c>
      <c r="C2" s="866" t="s">
        <v>1124</v>
      </c>
      <c r="D2" s="867" t="s">
        <v>2113</v>
      </c>
      <c r="E2" s="868" t="s">
        <v>233</v>
      </c>
      <c r="F2" s="867" t="s">
        <v>2114</v>
      </c>
      <c r="G2" s="869" t="str">
        <f>IF(E2="商业",项目基本情况!B37,IF(E2="办公",项目基本情况!C37,IF(E2="住宅",项目基本情况!D37,IF(E2="工业",项目基本情况!E37,项目基本情况!F37))))</f>
        <v>六级</v>
      </c>
      <c r="H2" s="867" t="s">
        <v>2115</v>
      </c>
      <c r="I2" s="869" t="str">
        <f>IF(E2="商业",项目基本情况!B38,IF(E2="办公",项目基本情况!C38,IF(E2="住宅",项目基本情况!D38,IF(E2="工业",项目基本情况!E38,项目基本情况!F38))))</f>
        <v>Ⅵ-BDA核心</v>
      </c>
      <c r="J2" s="857"/>
      <c r="K2" s="849"/>
      <c r="L2" s="870" t="s">
        <v>2116</v>
      </c>
      <c r="M2" s="871">
        <f>SUMPRODUCT((区片价!B10:B29=I2)*(区片价!C3:G3=E2)*(区片价!C10:G29))</f>
        <v>0</v>
      </c>
      <c r="N2" s="860">
        <f>SUMPRODUCT((因素修正幅度!B10:B29=I2)*(因素修正幅度!C3:G3=E2)*(因素修正幅度!C10:G29))</f>
        <v>0</v>
      </c>
      <c r="O2" s="849"/>
      <c r="P2" s="849"/>
      <c r="Q2" s="849"/>
      <c r="R2" s="861">
        <v>1</v>
      </c>
      <c r="S2" s="872">
        <f>ROUND(SUMPRODUCT((B106:B110=R2)*(C105:N105=G2)*(C106:N110)),4)</f>
        <v>1.5019</v>
      </c>
      <c r="T2" s="872">
        <f t="shared" ref="T2:T16" si="0">ROUND($C$5*$C$22*$C$23*$C$24*S2*$C$28,0)</f>
        <v>2992</v>
      </c>
      <c r="U2" s="873"/>
      <c r="V2" s="872">
        <f>ROUND(T2*U2/10000,0)</f>
        <v>0</v>
      </c>
      <c r="W2" s="862"/>
      <c r="X2" s="862"/>
      <c r="Y2" s="862"/>
      <c r="Z2" s="862"/>
      <c r="AA2" s="862"/>
      <c r="AB2" s="862"/>
      <c r="AC2" s="863"/>
      <c r="AD2" s="864"/>
      <c r="AE2" s="864"/>
      <c r="AF2" s="864"/>
      <c r="AG2" s="864"/>
      <c r="AH2" s="864"/>
      <c r="AI2" s="864"/>
      <c r="AJ2" s="865"/>
    </row>
    <row r="3" ht="15.75" spans="1:36">
      <c r="A3" s="439" t="s">
        <v>1125</v>
      </c>
      <c r="B3" s="625">
        <f>ROUND(B2*10000/D1,0)</f>
        <v>2108</v>
      </c>
      <c r="C3" s="866" t="s">
        <v>1480</v>
      </c>
      <c r="D3" s="867" t="s">
        <v>2117</v>
      </c>
      <c r="E3" s="874" t="s">
        <v>248</v>
      </c>
      <c r="F3" s="875" t="s">
        <v>2118</v>
      </c>
      <c r="G3" s="876">
        <f>IF(F3="宗地容积率",'数据-汇总表'!I4,IF(F3="估价对象容积率",'数据-汇总表'!I6,'数据-汇总表'!I7))</f>
        <v>1</v>
      </c>
      <c r="H3" s="867" t="s">
        <v>2119</v>
      </c>
      <c r="I3" s="877"/>
      <c r="J3" s="857" t="s">
        <v>2120</v>
      </c>
      <c r="K3" s="849"/>
      <c r="L3" s="870" t="s">
        <v>2121</v>
      </c>
      <c r="M3" s="871">
        <f>SUMPRODUCT((区片价!B30:B54=I2)*(区片价!C3:G3=E2)*(区片价!C30:G54))</f>
        <v>0</v>
      </c>
      <c r="N3" s="860">
        <f>SUMPRODUCT((因素修正幅度!B30:B54=I2)*(因素修正幅度!C3:G3=E2)*(因素修正幅度!C30:G54))</f>
        <v>0</v>
      </c>
      <c r="O3" s="849"/>
      <c r="P3" s="849"/>
      <c r="Q3" s="849"/>
      <c r="R3" s="861">
        <v>2</v>
      </c>
      <c r="S3" s="872">
        <f>ROUND(SUMPRODUCT((B106:B110=R3)*(C105:N105=G2)*(C106:N110)),4)</f>
        <v>1.1838</v>
      </c>
      <c r="T3" s="872">
        <f t="shared" si="0"/>
        <v>2358</v>
      </c>
      <c r="U3" s="873"/>
      <c r="V3" s="872">
        <f t="shared" ref="V3:V16" si="1">ROUND(T3*U3/10000,0)</f>
        <v>0</v>
      </c>
      <c r="W3" s="862"/>
      <c r="X3" s="862"/>
      <c r="Y3" s="862"/>
      <c r="Z3" s="862"/>
      <c r="AA3" s="862"/>
      <c r="AB3" s="862"/>
      <c r="AC3" s="863"/>
      <c r="AD3" s="864"/>
      <c r="AE3" s="864"/>
      <c r="AF3" s="864"/>
      <c r="AG3" s="864"/>
      <c r="AH3" s="864"/>
      <c r="AI3" s="864"/>
      <c r="AJ3" s="865"/>
    </row>
    <row r="4" ht="15.75" spans="1:36">
      <c r="A4" s="878" t="s">
        <v>890</v>
      </c>
      <c r="B4" s="879" t="e">
        <f>ROUND(B2*10000/F1,0)</f>
        <v>#DIV/0!</v>
      </c>
      <c r="C4" s="880" t="s">
        <v>1961</v>
      </c>
      <c r="D4" s="879" t="e">
        <f>ROUND(B2/(F1/666.67),0)</f>
        <v>#DIV/0!</v>
      </c>
      <c r="E4" s="880" t="s">
        <v>2122</v>
      </c>
      <c r="F4" s="881"/>
      <c r="G4" s="881"/>
      <c r="H4" s="881"/>
      <c r="I4" s="881"/>
      <c r="J4" s="882"/>
      <c r="K4" s="849"/>
      <c r="L4" s="870" t="s">
        <v>2123</v>
      </c>
      <c r="M4" s="871">
        <f>SUMPRODUCT((区片价!B55:B86=I2)*(区片价!C3:G3=E2)*(区片价!C55:G86))</f>
        <v>0</v>
      </c>
      <c r="N4" s="860">
        <f>SUMPRODUCT((因素修正幅度!B55:B86=I2)*(因素修正幅度!C3:G3=E2)*(因素修正幅度!C55:G86))</f>
        <v>0</v>
      </c>
      <c r="O4" s="849"/>
      <c r="P4" s="849"/>
      <c r="Q4" s="849"/>
      <c r="R4" s="861">
        <v>3</v>
      </c>
      <c r="S4" s="872">
        <f>ROUND(SUMPRODUCT((B106:B110=R4)*(C105:N105=G2)*(C106:N110)),4)</f>
        <v>1.0005</v>
      </c>
      <c r="T4" s="872">
        <f t="shared" si="0"/>
        <v>1993</v>
      </c>
      <c r="U4" s="873"/>
      <c r="V4" s="872">
        <f t="shared" si="1"/>
        <v>0</v>
      </c>
      <c r="W4" s="862"/>
      <c r="X4" s="862"/>
      <c r="Y4" s="862"/>
      <c r="Z4" s="862"/>
      <c r="AA4" s="862"/>
      <c r="AB4" s="862"/>
      <c r="AC4" s="863"/>
      <c r="AD4" s="864"/>
      <c r="AE4" s="864"/>
      <c r="AF4" s="864"/>
      <c r="AG4" s="864"/>
      <c r="AH4" s="864"/>
      <c r="AI4" s="864"/>
      <c r="AJ4" s="865"/>
    </row>
    <row r="5" s="848" customFormat="1" ht="15.75" spans="1:36">
      <c r="A5" s="883" t="s">
        <v>1009</v>
      </c>
      <c r="B5" s="884" t="s">
        <v>2124</v>
      </c>
      <c r="C5" s="885">
        <f>ROUND(IF(E2="商业",C6*C7*C17+C20,(IF(E2="住宅",C6*C13*C17+C20,IF(E2="办公",C6*C12*C17+C20,C6+C20)))),0)</f>
        <v>2252</v>
      </c>
      <c r="D5" s="886">
        <f>ROUND(C6*C17+C20,0)</f>
        <v>2252</v>
      </c>
      <c r="E5" s="887"/>
      <c r="F5" s="888"/>
      <c r="G5" s="889"/>
      <c r="H5" s="889"/>
      <c r="I5" s="889"/>
      <c r="J5" s="890"/>
      <c r="K5" s="891"/>
      <c r="L5" s="870" t="s">
        <v>2125</v>
      </c>
      <c r="M5" s="871">
        <f>SUMPRODUCT((区片价!B87:B126=I2)*(区片价!C3:G3=E2)*(区片价!C87:G126))</f>
        <v>0</v>
      </c>
      <c r="N5" s="860">
        <f>SUMPRODUCT((因素修正幅度!B87:B126=I2)*(因素修正幅度!C3:G3=E2)*(因素修正幅度!C87:G126))</f>
        <v>0</v>
      </c>
      <c r="O5" s="849"/>
      <c r="P5" s="849"/>
      <c r="Q5" s="849"/>
      <c r="R5" s="861">
        <v>4</v>
      </c>
      <c r="S5" s="872">
        <f>ROUND(SUMPRODUCT((B106:B110=R5)*(C105:N105=G2)*(C106:N110)),4)</f>
        <v>0.8824</v>
      </c>
      <c r="T5" s="872">
        <f t="shared" si="0"/>
        <v>1758</v>
      </c>
      <c r="U5" s="873"/>
      <c r="V5" s="872">
        <f t="shared" si="1"/>
        <v>0</v>
      </c>
      <c r="W5" s="862"/>
      <c r="X5" s="862"/>
      <c r="Y5" s="862"/>
      <c r="Z5" s="862"/>
      <c r="AA5" s="862"/>
      <c r="AB5" s="862"/>
      <c r="AC5" s="892"/>
      <c r="AD5" s="893"/>
      <c r="AE5" s="893"/>
      <c r="AF5" s="893"/>
      <c r="AG5" s="893"/>
      <c r="AH5" s="893"/>
      <c r="AI5" s="893"/>
      <c r="AJ5" s="894"/>
    </row>
    <row r="6" ht="15.75" spans="1:36">
      <c r="A6" s="895" t="s">
        <v>1576</v>
      </c>
      <c r="B6" s="896" t="s">
        <v>2126</v>
      </c>
      <c r="C6" s="897">
        <f>SUMIF(L1:L12,G2,M1:M12)</f>
        <v>2340</v>
      </c>
      <c r="D6" s="898"/>
      <c r="E6" s="899"/>
      <c r="F6" s="899"/>
      <c r="G6" s="900"/>
      <c r="H6" s="900"/>
      <c r="I6" s="900"/>
      <c r="J6" s="901"/>
      <c r="K6" s="902"/>
      <c r="L6" s="870" t="s">
        <v>2127</v>
      </c>
      <c r="M6" s="871">
        <f>SUMPRODUCT((区片价!B127:B189=I2)*(区片价!C3:G3=E2)*(区片价!C127:G189))</f>
        <v>2340</v>
      </c>
      <c r="N6" s="860">
        <f>SUMPRODUCT((因素修正幅度!B127:B189=I2)*(因素修正幅度!C3:G3=E2)*(因素修正幅度!C127:G189))</f>
        <v>0.05</v>
      </c>
      <c r="O6" s="849"/>
      <c r="P6" s="849"/>
      <c r="Q6" s="849"/>
      <c r="R6" s="861">
        <v>5</v>
      </c>
      <c r="S6" s="872">
        <f>ROUND(SUMPRODUCT((B106:B110=R6)*(C105:N105=G2)*(C106:N110)),4)</f>
        <v>0.848</v>
      </c>
      <c r="T6" s="872">
        <f t="shared" si="0"/>
        <v>1689</v>
      </c>
      <c r="U6" s="873"/>
      <c r="V6" s="872">
        <f t="shared" si="1"/>
        <v>0</v>
      </c>
      <c r="W6" s="862"/>
      <c r="X6" s="862"/>
      <c r="Y6" s="862"/>
      <c r="Z6" s="862"/>
      <c r="AA6" s="862"/>
      <c r="AB6" s="862"/>
      <c r="AC6" s="892"/>
      <c r="AD6" s="893"/>
      <c r="AE6" s="893"/>
      <c r="AF6" s="893"/>
      <c r="AG6" s="893"/>
      <c r="AH6" s="893"/>
      <c r="AI6" s="893"/>
      <c r="AJ6" s="894"/>
    </row>
    <row r="7" ht="24.75" spans="1:36">
      <c r="A7" s="903" t="s">
        <v>1494</v>
      </c>
      <c r="B7" s="904" t="s">
        <v>2128</v>
      </c>
      <c r="C7" s="905" t="e">
        <f>IF(C8="不临65条商业街",1,ROUND(1+(1.6*E8+1.2*E9+0.8*E10+0.4*E11)*C9,4))</f>
        <v>#DIV/0!</v>
      </c>
      <c r="D7" s="906" t="s">
        <v>2129</v>
      </c>
      <c r="E7" s="907"/>
      <c r="F7" s="908"/>
      <c r="G7" s="909"/>
      <c r="H7" s="909"/>
      <c r="I7" s="909"/>
      <c r="J7" s="910"/>
      <c r="K7" s="902"/>
      <c r="L7" s="870" t="s">
        <v>2130</v>
      </c>
      <c r="M7" s="871">
        <f>SUMPRODUCT((区片价!B190:B233=I2)*(区片价!C3:G3=E2)*(区片价!C190:G233))</f>
        <v>0</v>
      </c>
      <c r="N7" s="860">
        <f>SUMPRODUCT((因素修正幅度!B190:B233=I2)*(因素修正幅度!C3:G3=E2)*(因素修正幅度!C190:G233))</f>
        <v>0</v>
      </c>
      <c r="O7" s="849"/>
      <c r="P7" s="849"/>
      <c r="Q7" s="849"/>
      <c r="R7" s="861">
        <v>6</v>
      </c>
      <c r="S7" s="911"/>
      <c r="T7" s="872">
        <f t="shared" si="0"/>
        <v>0</v>
      </c>
      <c r="U7" s="873"/>
      <c r="V7" s="872">
        <f t="shared" si="1"/>
        <v>0</v>
      </c>
      <c r="W7" s="912" t="s">
        <v>2131</v>
      </c>
      <c r="X7" s="913" t="str">
        <f>G2</f>
        <v>六级</v>
      </c>
      <c r="Y7" s="914" t="s">
        <v>2132</v>
      </c>
      <c r="Z7" s="915">
        <f>G3</f>
        <v>1</v>
      </c>
      <c r="AA7" s="862"/>
      <c r="AB7" s="862"/>
      <c r="AC7" s="863"/>
      <c r="AD7" s="864"/>
      <c r="AE7" s="864"/>
      <c r="AF7" s="864"/>
      <c r="AG7" s="864"/>
      <c r="AH7" s="864"/>
      <c r="AI7" s="864"/>
      <c r="AJ7" s="865"/>
    </row>
    <row r="8" ht="15" spans="1:36">
      <c r="A8" s="916"/>
      <c r="B8" s="867" t="s">
        <v>2133</v>
      </c>
      <c r="C8" s="917"/>
      <c r="D8" s="918" t="s">
        <v>2134</v>
      </c>
      <c r="E8" s="919" t="e">
        <f>ROUND(C11/E7,4)</f>
        <v>#DIV/0!</v>
      </c>
      <c r="F8" s="920" t="s">
        <v>2135</v>
      </c>
      <c r="G8" s="921"/>
      <c r="H8" s="921"/>
      <c r="I8" s="921"/>
      <c r="J8" s="922"/>
      <c r="K8" s="849"/>
      <c r="L8" s="870" t="s">
        <v>2136</v>
      </c>
      <c r="M8" s="871">
        <f>SUMPRODUCT((区片价!B234:B276=I2)*(区片价!C3:G3=E2)*(区片价!C234:G276))</f>
        <v>0</v>
      </c>
      <c r="N8" s="860">
        <f>SUMPRODUCT((因素修正幅度!B234:B276=I2)*(因素修正幅度!C3:G3=E2)*(因素修正幅度!C234:G276))</f>
        <v>0</v>
      </c>
      <c r="O8" s="849"/>
      <c r="P8" s="849"/>
      <c r="Q8" s="849"/>
      <c r="R8" s="861">
        <v>7</v>
      </c>
      <c r="S8" s="873"/>
      <c r="T8" s="872">
        <f t="shared" si="0"/>
        <v>0</v>
      </c>
      <c r="U8" s="873"/>
      <c r="V8" s="872">
        <f t="shared" si="1"/>
        <v>0</v>
      </c>
      <c r="W8" s="923" t="s">
        <v>2137</v>
      </c>
      <c r="X8" s="924"/>
      <c r="Y8" s="925" t="s">
        <v>2138</v>
      </c>
      <c r="Z8" s="925" t="s">
        <v>2139</v>
      </c>
      <c r="AA8" s="925" t="s">
        <v>2140</v>
      </c>
      <c r="AB8" s="925" t="s">
        <v>2141</v>
      </c>
      <c r="AC8" s="925" t="s">
        <v>2142</v>
      </c>
      <c r="AD8" s="925" t="s">
        <v>2143</v>
      </c>
      <c r="AE8" s="925" t="s">
        <v>2144</v>
      </c>
      <c r="AF8" s="925" t="s">
        <v>2145</v>
      </c>
      <c r="AG8" s="925" t="s">
        <v>2146</v>
      </c>
      <c r="AH8" s="925" t="s">
        <v>2147</v>
      </c>
      <c r="AI8" s="925" t="s">
        <v>2148</v>
      </c>
      <c r="AJ8" s="925" t="s">
        <v>2149</v>
      </c>
    </row>
    <row r="9" ht="15" spans="1:36">
      <c r="A9" s="916"/>
      <c r="B9" s="867" t="s">
        <v>2150</v>
      </c>
      <c r="C9" s="926">
        <f>SUMIF(修正!C73:C140,C8,修正!E73:E140)</f>
        <v>0</v>
      </c>
      <c r="D9" s="869" t="s">
        <v>2151</v>
      </c>
      <c r="E9" s="869" t="e">
        <f>ROUND(C11/E7,4)</f>
        <v>#DIV/0!</v>
      </c>
      <c r="F9" s="920" t="s">
        <v>2152</v>
      </c>
      <c r="G9" s="921"/>
      <c r="H9" s="921"/>
      <c r="I9" s="921"/>
      <c r="J9" s="922"/>
      <c r="K9" s="849"/>
      <c r="L9" s="870" t="s">
        <v>2153</v>
      </c>
      <c r="M9" s="871">
        <f>SUMPRODUCT((区片价!B277:B326=I2)*(区片价!C3:G3=E2)*(区片价!C277:G326))</f>
        <v>0</v>
      </c>
      <c r="N9" s="860">
        <f>SUMPRODUCT((因素修正幅度!B277:B326=I2)*(因素修正幅度!C3:G3=E2)*(因素修正幅度!C277:G326))</f>
        <v>0</v>
      </c>
      <c r="O9" s="849"/>
      <c r="P9" s="849"/>
      <c r="Q9" s="849"/>
      <c r="R9" s="861">
        <v>8</v>
      </c>
      <c r="S9" s="873"/>
      <c r="T9" s="872">
        <f t="shared" si="0"/>
        <v>0</v>
      </c>
      <c r="U9" s="873"/>
      <c r="V9" s="872">
        <f t="shared" si="1"/>
        <v>0</v>
      </c>
      <c r="W9" s="912"/>
      <c r="X9" s="927" t="s">
        <v>2154</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 spans="1:36">
      <c r="A10" s="916"/>
      <c r="B10" s="867" t="s">
        <v>2155</v>
      </c>
      <c r="C10" s="930">
        <f>SUMIF(修正!C73:C140,C8,修正!F73:F140)</f>
        <v>0</v>
      </c>
      <c r="D10" s="869" t="s">
        <v>2156</v>
      </c>
      <c r="E10" s="869" t="e">
        <f>ROUND(C11/E7,4)</f>
        <v>#DIV/0!</v>
      </c>
      <c r="F10" s="920" t="s">
        <v>2157</v>
      </c>
      <c r="G10" s="921"/>
      <c r="H10" s="921"/>
      <c r="I10" s="921"/>
      <c r="J10" s="922"/>
      <c r="K10" s="849"/>
      <c r="L10" s="870" t="s">
        <v>2158</v>
      </c>
      <c r="M10" s="871">
        <f>SUMPRODUCT((区片价!B327:B357=I2)*(区片价!C3:G3=E2)*(区片价!C327:G357))</f>
        <v>0</v>
      </c>
      <c r="N10" s="860">
        <f>SUMPRODUCT((因素修正幅度!B327:B357=I2)*(因素修正幅度!C3:G3=E2)*(因素修正幅度!C327:G357))</f>
        <v>0</v>
      </c>
      <c r="O10" s="849"/>
      <c r="P10" s="849"/>
      <c r="Q10" s="849"/>
      <c r="R10" s="861">
        <v>9</v>
      </c>
      <c r="S10" s="873"/>
      <c r="T10" s="872">
        <f t="shared" si="0"/>
        <v>0</v>
      </c>
      <c r="U10" s="873"/>
      <c r="V10" s="872">
        <f t="shared" si="1"/>
        <v>0</v>
      </c>
      <c r="W10" s="912"/>
      <c r="X10" s="931">
        <v>6</v>
      </c>
      <c r="Y10" s="932">
        <f>ROUND((-0.5556*(Y9^2)-0.2719*Y9+8944)*(10^(-4)),4)</f>
        <v>0.8922</v>
      </c>
      <c r="Z10" s="932">
        <f>ROUND((-0.5556*(Z9^2)-0.2719*Z9+8944)*(10^(-4)),4)</f>
        <v>0.8922</v>
      </c>
      <c r="AA10" s="932">
        <f>ROUND((-0.7912*(AA9^2)-11.3794*AA9+8482)*(10^(-4)),4)</f>
        <v>0.8385</v>
      </c>
      <c r="AB10" s="932">
        <f>ROUND((-0.7912*(AB9^2)-11.3794*AB9+8482)*(10^(-4)),4)</f>
        <v>0.8385</v>
      </c>
      <c r="AC10" s="932">
        <f>ROUND((-0.7912*(AC9^2)-11.3794*AC9+8482)*(10^(-4)),4)</f>
        <v>0.8385</v>
      </c>
      <c r="AD10" s="932">
        <f>ROUND((-0.7912*(AD9^2)-11.3794*AD9+8482)*(10^(-4)),4)</f>
        <v>0.8385</v>
      </c>
      <c r="AE10" s="932">
        <f>ROUND((-0.7912*(AE9^2)-11.3794*AE9+8482)*(10^(-4)),4)</f>
        <v>0.8385</v>
      </c>
      <c r="AF10" s="932">
        <f>ROUND((-0.989*(AF9^2)-63.78*AF9+7771)*(10^(-4)),4)</f>
        <v>0.7353</v>
      </c>
      <c r="AG10" s="932">
        <f>ROUND((-0.989*(AG9^2)-63.78*AG9+7771)*(10^(-4)),4)</f>
        <v>0.7353</v>
      </c>
      <c r="AH10" s="932">
        <f>ROUND((-0.989*(AH9^2)-63.78*AH9+7771)*(10^(-4)),4)</f>
        <v>0.7353</v>
      </c>
      <c r="AI10" s="932">
        <f>ROUND((-0.989*(AI9^2)-63.78*AI9+7771)*(10^(-4)),4)</f>
        <v>0.7353</v>
      </c>
      <c r="AJ10" s="932">
        <f>ROUND((-0.989*(AJ9^2)-63.78*AJ9+7771)*(10^(-4)),4)</f>
        <v>0.7353</v>
      </c>
    </row>
    <row r="11" ht="15.75" spans="1:36">
      <c r="A11" s="933"/>
      <c r="B11" s="934" t="s">
        <v>2159</v>
      </c>
      <c r="C11" s="935">
        <f>C10/4</f>
        <v>0</v>
      </c>
      <c r="D11" s="936" t="s">
        <v>2160</v>
      </c>
      <c r="E11" s="936" t="e">
        <f>ROUND(C11/E7,4)</f>
        <v>#DIV/0!</v>
      </c>
      <c r="F11" s="937" t="s">
        <v>2161</v>
      </c>
      <c r="G11" s="938"/>
      <c r="H11" s="938"/>
      <c r="I11" s="938"/>
      <c r="J11" s="939"/>
      <c r="K11" s="849"/>
      <c r="L11" s="870" t="s">
        <v>2162</v>
      </c>
      <c r="M11" s="871">
        <f>SUMPRODUCT((区片价!B358:B377=I2)*(区片价!C3:G3=E2)*(区片价!C358:G377))</f>
        <v>0</v>
      </c>
      <c r="N11" s="860">
        <f>SUMPRODUCT((因素修正幅度!B358:B377=I2)*(因素修正幅度!C3:G3=E2)*(因素修正幅度!C358:G377))</f>
        <v>0</v>
      </c>
      <c r="O11" s="849"/>
      <c r="P11" s="849"/>
      <c r="Q11" s="849"/>
      <c r="R11" s="861">
        <v>10</v>
      </c>
      <c r="S11" s="873"/>
      <c r="T11" s="872">
        <f t="shared" si="0"/>
        <v>0</v>
      </c>
      <c r="U11" s="873"/>
      <c r="V11" s="872">
        <f t="shared" si="1"/>
        <v>0</v>
      </c>
      <c r="W11" s="862"/>
      <c r="X11" s="862"/>
      <c r="Y11" s="862"/>
      <c r="Z11" s="862"/>
      <c r="AA11" s="862"/>
      <c r="AB11" s="862"/>
      <c r="AC11" s="863"/>
      <c r="AD11" s="940"/>
      <c r="AE11" s="940"/>
      <c r="AF11" s="940"/>
      <c r="AG11" s="940"/>
      <c r="AH11" s="940"/>
      <c r="AI11" s="940"/>
      <c r="AJ11" s="941"/>
    </row>
    <row r="12" ht="25.5" spans="1:36">
      <c r="A12" s="903" t="s">
        <v>2163</v>
      </c>
      <c r="B12" s="942" t="s">
        <v>2164</v>
      </c>
      <c r="C12" s="943"/>
      <c r="D12" s="944" t="s">
        <v>2165</v>
      </c>
      <c r="E12" s="945" t="s">
        <v>2166</v>
      </c>
      <c r="F12" s="946"/>
      <c r="G12" s="947"/>
      <c r="H12" s="947"/>
      <c r="I12" s="947"/>
      <c r="J12" s="948"/>
      <c r="K12" s="849"/>
      <c r="L12" s="949" t="s">
        <v>2167</v>
      </c>
      <c r="M12" s="950">
        <f>SUMPRODUCT((区片价!B378:B384=I2)*(区片价!C3:G3=E2)*(区片价!C378:G384))</f>
        <v>0</v>
      </c>
      <c r="N12" s="860">
        <f>SUMPRODUCT((因素修正幅度!B378:B384=I2)*(因素修正幅度!C3:G3=E2)*(因素修正幅度!C378:G384))</f>
        <v>0</v>
      </c>
      <c r="O12" s="849"/>
      <c r="P12" s="849"/>
      <c r="Q12" s="849"/>
      <c r="R12" s="861">
        <v>11</v>
      </c>
      <c r="S12" s="873"/>
      <c r="T12" s="872">
        <f t="shared" si="0"/>
        <v>0</v>
      </c>
      <c r="U12" s="873"/>
      <c r="V12" s="872">
        <f t="shared" si="1"/>
        <v>0</v>
      </c>
      <c r="W12" s="862"/>
      <c r="X12" s="862"/>
      <c r="Y12" s="862"/>
      <c r="Z12" s="862"/>
      <c r="AA12" s="862"/>
      <c r="AB12" s="862"/>
      <c r="AC12" s="863"/>
      <c r="AD12" s="940"/>
      <c r="AE12" s="940"/>
      <c r="AF12" s="940"/>
      <c r="AG12" s="940"/>
      <c r="AH12" s="940"/>
      <c r="AI12" s="940"/>
      <c r="AJ12" s="941"/>
    </row>
    <row r="13" ht="15.75" spans="1:36">
      <c r="A13" s="903" t="s">
        <v>2094</v>
      </c>
      <c r="B13" s="951" t="s">
        <v>2168</v>
      </c>
      <c r="C13" s="952">
        <f>ROUND(C16*D16*E16*F16*G16*H16*I16*J16,4)</f>
        <v>0</v>
      </c>
      <c r="D13" s="953" t="s">
        <v>2169</v>
      </c>
      <c r="E13" s="954"/>
      <c r="F13" s="954"/>
      <c r="G13" s="955"/>
      <c r="H13" s="955"/>
      <c r="I13" s="955"/>
      <c r="J13" s="956"/>
      <c r="K13" s="849"/>
      <c r="L13" s="957"/>
      <c r="M13" s="958"/>
      <c r="N13" s="959"/>
      <c r="O13" s="849"/>
      <c r="P13" s="849"/>
      <c r="Q13" s="849"/>
      <c r="R13" s="861">
        <v>12</v>
      </c>
      <c r="S13" s="873"/>
      <c r="T13" s="872">
        <f t="shared" si="0"/>
        <v>0</v>
      </c>
      <c r="U13" s="873"/>
      <c r="V13" s="872">
        <f t="shared" si="1"/>
        <v>0</v>
      </c>
      <c r="W13" s="862"/>
      <c r="X13" s="862"/>
      <c r="Y13" s="862"/>
      <c r="Z13" s="862"/>
      <c r="AA13" s="862"/>
      <c r="AB13" s="862"/>
      <c r="AC13" s="863"/>
      <c r="AD13" s="940"/>
      <c r="AE13" s="940"/>
      <c r="AF13" s="940"/>
      <c r="AG13" s="940"/>
      <c r="AH13" s="940"/>
      <c r="AI13" s="940"/>
      <c r="AJ13" s="941"/>
    </row>
    <row r="14" ht="15" spans="1:36">
      <c r="A14" s="960"/>
      <c r="B14" s="961" t="s">
        <v>2170</v>
      </c>
      <c r="C14" s="962" t="s">
        <v>2171</v>
      </c>
      <c r="D14" s="963" t="s">
        <v>2172</v>
      </c>
      <c r="E14" s="964" t="s">
        <v>2173</v>
      </c>
      <c r="F14" s="965" t="s">
        <v>2174</v>
      </c>
      <c r="G14" s="965" t="s">
        <v>2174</v>
      </c>
      <c r="H14" s="965" t="s">
        <v>2174</v>
      </c>
      <c r="I14" s="965" t="s">
        <v>2174</v>
      </c>
      <c r="J14" s="965" t="s">
        <v>2174</v>
      </c>
      <c r="K14" s="849"/>
      <c r="L14" s="849"/>
      <c r="M14" s="849"/>
      <c r="N14" s="849"/>
      <c r="O14" s="849"/>
      <c r="P14" s="849"/>
      <c r="Q14" s="849"/>
      <c r="R14" s="861">
        <v>13</v>
      </c>
      <c r="S14" s="873"/>
      <c r="T14" s="872">
        <f t="shared" si="0"/>
        <v>0</v>
      </c>
      <c r="U14" s="873"/>
      <c r="V14" s="872">
        <f t="shared" si="1"/>
        <v>0</v>
      </c>
      <c r="W14" s="862"/>
      <c r="X14" s="862"/>
      <c r="Y14" s="862"/>
      <c r="Z14" s="862"/>
      <c r="AA14" s="862"/>
      <c r="AB14" s="862"/>
      <c r="AC14" s="863"/>
      <c r="AD14" s="940"/>
      <c r="AE14" s="940"/>
      <c r="AF14" s="940"/>
      <c r="AG14" s="940"/>
      <c r="AH14" s="940"/>
      <c r="AI14" s="940"/>
      <c r="AJ14" s="941"/>
    </row>
    <row r="15" ht="15" spans="1:36">
      <c r="A15" s="960"/>
      <c r="B15" s="966"/>
      <c r="C15" s="967"/>
      <c r="D15" s="968"/>
      <c r="E15" s="969"/>
      <c r="F15" s="970" t="s">
        <v>2175</v>
      </c>
      <c r="G15" s="971"/>
      <c r="H15" s="972"/>
      <c r="I15" s="973"/>
      <c r="J15" s="974"/>
      <c r="K15" s="849"/>
      <c r="L15" s="849"/>
      <c r="M15" s="849"/>
      <c r="N15" s="849"/>
      <c r="O15" s="849"/>
      <c r="P15" s="849"/>
      <c r="Q15" s="849"/>
      <c r="R15" s="861">
        <v>14</v>
      </c>
      <c r="S15" s="873"/>
      <c r="T15" s="872">
        <f t="shared" si="0"/>
        <v>0</v>
      </c>
      <c r="U15" s="873"/>
      <c r="V15" s="872">
        <f t="shared" si="1"/>
        <v>0</v>
      </c>
      <c r="W15" s="862"/>
      <c r="X15" s="862"/>
      <c r="Y15" s="862"/>
      <c r="Z15" s="862"/>
      <c r="AA15" s="862"/>
      <c r="AB15" s="862"/>
      <c r="AC15" s="863"/>
      <c r="AD15" s="940"/>
      <c r="AE15" s="940"/>
      <c r="AF15" s="940"/>
      <c r="AG15" s="940"/>
      <c r="AH15" s="940"/>
      <c r="AI15" s="940"/>
      <c r="AJ15" s="941"/>
    </row>
    <row r="16" ht="15.75" spans="1:36">
      <c r="A16" s="960"/>
      <c r="B16" s="975" t="s">
        <v>1218</v>
      </c>
      <c r="C16" s="976"/>
      <c r="D16" s="976"/>
      <c r="E16" s="976"/>
      <c r="F16" s="976">
        <v>1</v>
      </c>
      <c r="G16" s="976">
        <v>1</v>
      </c>
      <c r="H16" s="976">
        <v>1</v>
      </c>
      <c r="I16" s="976">
        <v>1</v>
      </c>
      <c r="J16" s="977">
        <v>1</v>
      </c>
      <c r="K16" s="849"/>
      <c r="L16" s="850"/>
      <c r="M16" s="850"/>
      <c r="N16" s="850"/>
      <c r="O16" s="850"/>
      <c r="P16" s="850"/>
      <c r="Q16" s="849"/>
      <c r="R16" s="861">
        <v>15</v>
      </c>
      <c r="S16" s="873"/>
      <c r="T16" s="872">
        <f t="shared" si="0"/>
        <v>0</v>
      </c>
      <c r="U16" s="873"/>
      <c r="V16" s="872">
        <f t="shared" si="1"/>
        <v>0</v>
      </c>
      <c r="W16" s="862"/>
      <c r="X16" s="862"/>
      <c r="Y16" s="862"/>
      <c r="Z16" s="862"/>
      <c r="AA16" s="862"/>
      <c r="AB16" s="862"/>
      <c r="AC16" s="863"/>
      <c r="AD16" s="940"/>
      <c r="AE16" s="940"/>
      <c r="AF16" s="940"/>
      <c r="AG16" s="940"/>
      <c r="AH16" s="940"/>
      <c r="AI16" s="940"/>
      <c r="AJ16" s="941"/>
    </row>
    <row r="17" spans="1:37">
      <c r="A17" s="978" t="s">
        <v>2057</v>
      </c>
      <c r="B17" s="979" t="s">
        <v>2176</v>
      </c>
      <c r="C17" s="980">
        <f>ROUND(IF(OR(E2="工业",E2="公共服务"),1,IF(AND(E18=0,E19=0),1,IF(AND(E18=J24,E19=G19),0.8,IF(E19=0,1+E17*(-0.2),1+E17*G17*(-0.2))))),4)</f>
        <v>1</v>
      </c>
      <c r="D17" s="981" t="s">
        <v>2177</v>
      </c>
      <c r="E17" s="982">
        <f>ROUND(G18/I18,2)</f>
        <v>0</v>
      </c>
      <c r="F17" s="981" t="s">
        <v>2178</v>
      </c>
      <c r="G17" s="982" t="e">
        <f>ROUND(E19/G19,2)</f>
        <v>#DIV/0!</v>
      </c>
      <c r="H17" s="982"/>
      <c r="I17" s="982"/>
      <c r="J17" s="983"/>
      <c r="K17" s="849"/>
      <c r="L17" s="850"/>
      <c r="M17" s="850"/>
      <c r="N17" s="850"/>
      <c r="O17" s="850"/>
      <c r="P17" s="850"/>
      <c r="Q17" s="849"/>
      <c r="R17" s="849"/>
      <c r="S17" s="849"/>
      <c r="T17" s="849"/>
      <c r="U17" s="849"/>
      <c r="V17" s="849"/>
      <c r="W17" s="849"/>
      <c r="X17" s="849"/>
      <c r="Y17" s="849"/>
      <c r="Z17" s="984"/>
      <c r="AA17" s="984"/>
      <c r="AB17" s="984"/>
      <c r="AC17" s="984"/>
      <c r="AD17" s="984"/>
      <c r="AE17" s="849"/>
      <c r="AF17" s="849"/>
      <c r="AG17" s="850"/>
      <c r="AH17" s="850"/>
      <c r="AI17" s="850"/>
      <c r="AJ17" s="850"/>
    </row>
    <row r="18" s="848" customFormat="1" ht="14.25" spans="1:37">
      <c r="A18" s="985"/>
      <c r="B18" s="986"/>
      <c r="C18" s="987"/>
      <c r="D18" s="988" t="s">
        <v>2179</v>
      </c>
      <c r="E18" s="989"/>
      <c r="F18" s="990" t="s">
        <v>2180</v>
      </c>
      <c r="G18" s="991">
        <f>ROUND(1-(1/(POWER(1+G24,E18))),4)</f>
        <v>0</v>
      </c>
      <c r="H18" s="990" t="s">
        <v>2181</v>
      </c>
      <c r="I18" s="991">
        <f>ROUND(1-(1/(POWER(1+G24,J24))),4)</f>
        <v>0.9128</v>
      </c>
      <c r="J18" s="992"/>
      <c r="K18" s="849"/>
      <c r="L18" s="850"/>
      <c r="M18" s="850"/>
      <c r="N18" s="850"/>
      <c r="O18" s="850"/>
      <c r="P18" s="850"/>
      <c r="Q18" s="849"/>
      <c r="R18" s="993"/>
      <c r="S18" s="993"/>
      <c r="T18" s="984"/>
      <c r="U18" s="984"/>
      <c r="V18" s="984"/>
      <c r="W18" s="849"/>
      <c r="X18" s="849"/>
      <c r="Y18" s="849"/>
      <c r="Z18" s="994"/>
      <c r="AA18" s="994"/>
      <c r="AB18" s="994"/>
      <c r="AC18" s="994"/>
      <c r="AD18" s="994"/>
      <c r="AE18" s="984"/>
      <c r="AF18" s="984"/>
      <c r="AG18" s="995"/>
      <c r="AH18" s="995"/>
      <c r="AI18" s="995"/>
      <c r="AJ18" s="996"/>
    </row>
    <row r="19" s="848" customFormat="1" ht="15" spans="1:37">
      <c r="A19" s="997"/>
      <c r="B19" s="998"/>
      <c r="C19" s="999"/>
      <c r="D19" s="1000" t="s">
        <v>2182</v>
      </c>
      <c r="E19" s="1001"/>
      <c r="F19" s="1002" t="s">
        <v>2183</v>
      </c>
      <c r="G19" s="1001"/>
      <c r="H19" s="1000"/>
      <c r="I19" s="1000"/>
      <c r="J19" s="1003"/>
      <c r="K19" s="849"/>
      <c r="L19" s="850"/>
      <c r="M19" s="850"/>
      <c r="N19" s="850"/>
      <c r="O19" s="850"/>
      <c r="P19" s="850"/>
      <c r="Q19" s="993"/>
      <c r="R19" s="993"/>
      <c r="S19" s="993"/>
      <c r="T19" s="984"/>
      <c r="U19" s="984"/>
      <c r="V19" s="984"/>
      <c r="W19" s="849"/>
      <c r="X19" s="849"/>
      <c r="Y19" s="849"/>
      <c r="Z19" s="994"/>
      <c r="AA19" s="994"/>
      <c r="AB19" s="994"/>
      <c r="AC19" s="994"/>
      <c r="AD19" s="994"/>
      <c r="AE19" s="994"/>
      <c r="AF19" s="993"/>
      <c r="AG19" s="1004"/>
      <c r="AH19" s="995"/>
      <c r="AI19" s="1005"/>
      <c r="AJ19" s="1005"/>
      <c r="AK19" s="1006"/>
    </row>
    <row r="20" s="848" customFormat="1" ht="14.25" spans="1:37">
      <c r="A20" s="1007" t="s">
        <v>2058</v>
      </c>
      <c r="B20" s="1008" t="s">
        <v>2184</v>
      </c>
      <c r="C20" s="1009">
        <f>ROUND(IF(F21="与级别开发程度一致",0,(G21-E21)/C21),0)</f>
        <v>-88</v>
      </c>
      <c r="D20" s="1010" t="s">
        <v>2185</v>
      </c>
      <c r="E20" s="1011"/>
      <c r="F20" s="1012" t="s">
        <v>2186</v>
      </c>
      <c r="G20" s="1013"/>
      <c r="H20" s="1014" t="s">
        <v>383</v>
      </c>
      <c r="I20" s="1014" t="s">
        <v>384</v>
      </c>
      <c r="J20" s="1015" t="s">
        <v>385</v>
      </c>
      <c r="K20" s="1016" t="s">
        <v>386</v>
      </c>
      <c r="L20" s="1016" t="s">
        <v>387</v>
      </c>
      <c r="M20" s="1016"/>
      <c r="N20" s="1016"/>
      <c r="O20" s="1017"/>
      <c r="P20" s="850"/>
      <c r="Q20" s="993"/>
      <c r="R20" s="993"/>
      <c r="S20" s="993"/>
      <c r="T20" s="984"/>
      <c r="U20" s="984"/>
      <c r="V20" s="984"/>
      <c r="W20" s="849"/>
      <c r="X20" s="849"/>
      <c r="Y20" s="849"/>
      <c r="Z20" s="994"/>
      <c r="AA20" s="994"/>
      <c r="AB20" s="994"/>
      <c r="AC20" s="994"/>
      <c r="AD20" s="994"/>
      <c r="AE20" s="994"/>
      <c r="AF20" s="994"/>
      <c r="AG20" s="996"/>
      <c r="AH20" s="996"/>
      <c r="AI20" s="996"/>
      <c r="AJ20" s="996"/>
    </row>
    <row r="21" s="848" customFormat="1" ht="15" spans="1:37">
      <c r="A21" s="1018"/>
      <c r="B21" s="1019" t="s">
        <v>2187</v>
      </c>
      <c r="C21" s="1020">
        <f>IF(E3="M4科研用地",SUMPRODUCT((修正!A2:A7=E3)*(修正!B1:M1=G2)*(修正!B2:M7)),SUMPRODUCT((修正!A2:A7=E2)*(修正!B1:M1=G2)*(修正!B2:M7)))</f>
        <v>1.2</v>
      </c>
      <c r="D21" s="1021" t="str">
        <f>IF(OR(G2="八级",G2="九级",G2="十级",G2="十一级",G2="十二级"),"五通一平","七通一平")</f>
        <v>七通一平</v>
      </c>
      <c r="E21" s="1022">
        <f>SUMPRODUCT((修正!B1:M1=G2)*(修正!B17:M17))</f>
        <v>315</v>
      </c>
      <c r="F21" s="1023"/>
      <c r="G21" s="1024">
        <f>SUM(H21:O21)</f>
        <v>210</v>
      </c>
      <c r="H21" s="1025">
        <f>SUMPRODUCT((七通一平=H20)*(修正!B1:M1=G2)*(修正!B8:M16))</f>
        <v>70</v>
      </c>
      <c r="I21" s="1025">
        <f>SUMPRODUCT((七通一平=I20)*(修正!B1:M1=G2)*(修正!B8:M16))</f>
        <v>60</v>
      </c>
      <c r="J21" s="1026">
        <f>SUMPRODUCT((七通一平=J20)*(修正!B1:M1=G2)*(修正!B8:M16))</f>
        <v>15</v>
      </c>
      <c r="K21" s="1025">
        <f>SUMPRODUCT((七通一平=K20)*(修正!B1:M1=G2)*(修正!B8:M16))</f>
        <v>25</v>
      </c>
      <c r="L21" s="1025">
        <f>SUMPRODUCT((七通一平=L20)*(修正!B1:M1=G2)*(修正!B8:M16))</f>
        <v>40</v>
      </c>
      <c r="M21" s="1025">
        <f>SUMPRODUCT((七通一平=M20)*(修正!B1:M1=G2)*(修正!B8:M16))</f>
        <v>0</v>
      </c>
      <c r="N21" s="1025">
        <f>SUMPRODUCT((七通一平=N20)*(修正!B1:M1=G2)*(修正!B8:M16))</f>
        <v>0</v>
      </c>
      <c r="O21" s="1027">
        <f>SUMPRODUCT((七通一平=O20)*(修正!B1:M1=G2)*(修正!B8:M16))</f>
        <v>0</v>
      </c>
      <c r="P21" s="850"/>
      <c r="Q21" s="996"/>
      <c r="R21" s="993"/>
      <c r="S21" s="993"/>
      <c r="T21" s="984"/>
      <c r="U21" s="984"/>
      <c r="V21" s="984"/>
      <c r="W21" s="849"/>
      <c r="X21" s="849"/>
      <c r="Y21" s="849"/>
      <c r="Z21" s="994"/>
      <c r="AA21" s="994"/>
      <c r="AB21" s="994"/>
      <c r="AC21" s="994"/>
      <c r="AD21" s="994"/>
      <c r="AE21" s="994"/>
      <c r="AF21" s="994"/>
      <c r="AG21" s="996"/>
      <c r="AH21" s="996"/>
      <c r="AI21" s="996"/>
      <c r="AJ21" s="996"/>
    </row>
    <row r="22" s="848" customFormat="1" ht="15.75" spans="1:37">
      <c r="A22" s="1028" t="s">
        <v>1023</v>
      </c>
      <c r="B22" s="1029" t="s">
        <v>2188</v>
      </c>
      <c r="C22" s="1030">
        <f>SUMIF(修正!C20:C53,E3,修正!E20:E53)</f>
        <v>1</v>
      </c>
      <c r="D22" s="1031"/>
      <c r="E22" s="1032"/>
      <c r="F22" s="1032"/>
      <c r="G22" s="1032"/>
      <c r="H22" s="1032"/>
      <c r="I22" s="1032"/>
      <c r="J22" s="1033"/>
      <c r="K22" s="994"/>
      <c r="L22" s="996"/>
      <c r="M22" s="996"/>
      <c r="N22" s="996"/>
      <c r="O22" s="1034"/>
      <c r="P22" s="1034"/>
      <c r="Q22" s="996"/>
      <c r="R22" s="993"/>
      <c r="S22" s="993"/>
      <c r="T22" s="984"/>
      <c r="U22" s="984"/>
      <c r="V22" s="984"/>
      <c r="W22" s="849"/>
      <c r="X22" s="849"/>
      <c r="Y22" s="849"/>
      <c r="Z22" s="994"/>
      <c r="AA22" s="994"/>
      <c r="AB22" s="994"/>
      <c r="AC22" s="994"/>
      <c r="AD22" s="994"/>
      <c r="AE22" s="994"/>
      <c r="AF22" s="994"/>
      <c r="AG22" s="996"/>
      <c r="AH22" s="996"/>
      <c r="AI22" s="996"/>
      <c r="AJ22" s="996"/>
    </row>
    <row r="23" ht="24.75" spans="1:37">
      <c r="A23" s="1035" t="s">
        <v>1028</v>
      </c>
      <c r="B23" s="1036" t="s">
        <v>2189</v>
      </c>
      <c r="C23" s="10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8" t="s">
        <v>2190</v>
      </c>
      <c r="E23" s="1039">
        <v>44197</v>
      </c>
      <c r="F23" s="1038" t="s">
        <v>2191</v>
      </c>
      <c r="G23" s="1040">
        <f>'数据-取费表'!B2</f>
        <v>46086</v>
      </c>
      <c r="H23" s="1041" t="s">
        <v>2192</v>
      </c>
      <c r="I23" s="1042" t="str">
        <f>IF(H23="季度增幅（自定义）",SUMIF(N25:N28,E2,O25:O28),"")</f>
        <v/>
      </c>
      <c r="J23" s="1043" t="s">
        <v>2193</v>
      </c>
      <c r="K23" s="994"/>
      <c r="L23" s="1044" t="s">
        <v>2194</v>
      </c>
      <c r="M23" s="1045">
        <f>ROUND(SUMIF(地价!B2:G2,E2,地价!B16:G16),0)</f>
        <v>318</v>
      </c>
      <c r="N23" s="1046" t="s">
        <v>2195</v>
      </c>
      <c r="O23" s="1047">
        <f>ROUNDDOWN(DATEDIF(E23,G23,"M")/3,0)</f>
        <v>20</v>
      </c>
      <c r="P23" s="984"/>
      <c r="Q23" s="996"/>
      <c r="R23" s="993"/>
      <c r="S23" s="993"/>
      <c r="T23" s="984"/>
      <c r="U23" s="984"/>
      <c r="V23" s="984"/>
      <c r="W23" s="849"/>
      <c r="X23" s="849"/>
      <c r="Y23" s="849"/>
      <c r="Z23" s="994"/>
      <c r="AA23" s="994"/>
      <c r="AB23" s="994"/>
      <c r="AC23" s="994"/>
      <c r="AD23" s="994"/>
      <c r="AE23" s="984"/>
      <c r="AF23" s="984"/>
      <c r="AG23" s="995"/>
      <c r="AH23" s="995"/>
      <c r="AI23" s="995"/>
      <c r="AJ23" s="995"/>
      <c r="AK23" s="851"/>
    </row>
    <row r="24" s="848" customFormat="1" ht="24.75" spans="1:37">
      <c r="A24" s="1048" t="s">
        <v>1031</v>
      </c>
      <c r="B24" s="1049" t="s">
        <v>2196</v>
      </c>
      <c r="C24" s="1050">
        <f>ROUND(POWER(1+G24,J24-I24)*(POWER(1+G24,I24)-1)/(POWER(1+G24,J24)-1),4)</f>
        <v>0.7879</v>
      </c>
      <c r="D24" s="1051" t="s">
        <v>2197</v>
      </c>
      <c r="E24" s="1052">
        <f>存贷款利率!E28/100</f>
        <v>0.0435</v>
      </c>
      <c r="F24" s="1051" t="s">
        <v>2198</v>
      </c>
      <c r="G24" s="1053">
        <f>SUMIF(M30:Q30,E2,M33:Q33)</f>
        <v>0.05</v>
      </c>
      <c r="H24" s="1051" t="s">
        <v>2199</v>
      </c>
      <c r="I24" s="1054">
        <f>SUMIF('数据-取费表'!C6:C15,E2,'数据-取费表'!F6:F15)/COUNTIF('数据-取费表'!C6:C15,E2)</f>
        <v>26.03</v>
      </c>
      <c r="J24" s="1055">
        <f>IF(E2="住宅",70,IF(E2="商业",40,50))</f>
        <v>50</v>
      </c>
      <c r="K24" s="994"/>
      <c r="L24" s="1056" t="s">
        <v>2200</v>
      </c>
      <c r="M24" s="1057">
        <f>ROUND(SUMPRODUCT((地价!A4:A16=YEAR(G23)&amp;"-"&amp;ROUNDUP(MONTH(G23)/3,0))*(地价!B2:G2=E2)*(地价!B4:G16)),0)</f>
        <v>0</v>
      </c>
      <c r="N24" s="1058" t="s">
        <v>2201</v>
      </c>
      <c r="O24" s="1059" t="s">
        <v>2202</v>
      </c>
      <c r="P24" s="1060" t="s">
        <v>2203</v>
      </c>
      <c r="Q24" s="850"/>
      <c r="R24" s="993"/>
      <c r="S24" s="993"/>
      <c r="T24" s="984"/>
      <c r="U24" s="984"/>
      <c r="V24" s="984"/>
      <c r="W24" s="849"/>
      <c r="X24" s="849"/>
      <c r="Y24" s="849"/>
      <c r="Z24" s="994"/>
      <c r="AA24" s="994"/>
      <c r="AB24" s="994"/>
      <c r="AC24" s="994"/>
      <c r="AD24" s="994"/>
      <c r="AE24" s="994"/>
      <c r="AF24" s="994"/>
      <c r="AG24" s="996"/>
      <c r="AH24" s="996"/>
      <c r="AI24" s="996"/>
      <c r="AJ24" s="996"/>
    </row>
    <row r="25" ht="15" spans="1:37">
      <c r="A25" s="1061" t="s">
        <v>1057</v>
      </c>
      <c r="B25" s="1062" t="s">
        <v>2204</v>
      </c>
      <c r="C25" s="1063">
        <f>IF(B25="容积率修正",IF(G3&lt;10,D26,J26),C27)</f>
        <v>1.0583</v>
      </c>
      <c r="D25" s="1064"/>
      <c r="E25" s="1064"/>
      <c r="F25" s="1064"/>
      <c r="G25" s="1064"/>
      <c r="H25" s="1064"/>
      <c r="I25" s="1064"/>
      <c r="J25" s="1065"/>
      <c r="K25" s="994"/>
      <c r="L25" s="996"/>
      <c r="M25" s="996"/>
      <c r="N25" s="1066" t="s">
        <v>2205</v>
      </c>
      <c r="O25" s="1067"/>
      <c r="P25" s="1068">
        <f>SUMPRODUCT((地价!A3:A40=YEAR(G23)&amp;"-"&amp;ROUNDUP(MONTH(G23)/3,0))*(地价!AD2:AH2=N25)*(地价!AD3:AH40))</f>
        <v>0</v>
      </c>
      <c r="Q25" s="996"/>
      <c r="R25" s="993"/>
      <c r="S25" s="993"/>
      <c r="T25" s="984"/>
      <c r="U25" s="984"/>
      <c r="V25" s="984"/>
      <c r="W25" s="849"/>
      <c r="X25" s="849"/>
      <c r="Y25" s="849"/>
      <c r="Z25" s="994"/>
      <c r="AA25" s="994"/>
      <c r="AB25" s="994"/>
      <c r="AC25" s="994"/>
      <c r="AD25" s="994"/>
      <c r="AE25" s="984"/>
      <c r="AF25" s="984"/>
      <c r="AG25" s="995"/>
      <c r="AH25" s="995"/>
      <c r="AI25" s="995"/>
      <c r="AJ25" s="995"/>
    </row>
    <row r="26" ht="14.25" spans="1:37">
      <c r="A26" s="1069" t="s">
        <v>2206</v>
      </c>
      <c r="B26" s="1070" t="s">
        <v>2207</v>
      </c>
      <c r="C26" s="1070" t="s">
        <v>2208</v>
      </c>
      <c r="D26" s="1071">
        <f>IF(E26=G26,F26,IF(G3&lt;10,ROUND(F26+(H26-F26)*(G3-E26)/(G26-E26),4),"——"))</f>
        <v>1.0583</v>
      </c>
      <c r="E26" s="1071">
        <f>ROUNDDOWN(G3,1)</f>
        <v>1</v>
      </c>
      <c r="F26" s="10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071">
        <f>ROUNDUP(G3,1)</f>
        <v>1</v>
      </c>
      <c r="H26" s="10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070" t="s">
        <v>2209</v>
      </c>
      <c r="J26" s="1072" t="str">
        <f>IF(G3&gt;=10,D115,"——")</f>
        <v>——</v>
      </c>
      <c r="K26" s="994"/>
      <c r="L26" s="996"/>
      <c r="M26" s="996"/>
      <c r="N26" s="1066" t="s">
        <v>2210</v>
      </c>
      <c r="O26" s="1067"/>
      <c r="P26" s="1068">
        <f>SUMPRODUCT((地价!A3:A40=YEAR(G23)&amp;"-"&amp;ROUNDUP(MONTH(G23)/3,0))*(地价!AD2:AH2=N26)*(地价!AD3:AH40))</f>
        <v>0</v>
      </c>
      <c r="Q26" s="850"/>
      <c r="R26" s="993"/>
      <c r="S26" s="993"/>
      <c r="T26" s="984"/>
      <c r="U26" s="984"/>
      <c r="V26" s="984"/>
      <c r="W26" s="849"/>
      <c r="X26" s="849"/>
      <c r="Y26" s="849"/>
      <c r="Z26" s="994"/>
      <c r="AA26" s="994"/>
      <c r="AB26" s="994"/>
      <c r="AC26" s="994"/>
      <c r="AD26" s="994"/>
      <c r="AE26" s="984"/>
      <c r="AF26" s="984"/>
      <c r="AG26" s="995"/>
      <c r="AH26" s="995"/>
      <c r="AI26" s="995"/>
      <c r="AJ26" s="995"/>
    </row>
    <row r="27" ht="15.75" spans="1:37">
      <c r="A27" s="1069" t="s">
        <v>2211</v>
      </c>
      <c r="B27" s="1073" t="s">
        <v>2212</v>
      </c>
      <c r="C27" s="1074">
        <f>ROUND(IF(I3&lt;6,SUMPRODUCT((B106:B110=I3)*(C105:N105=G2)*(C106:N110)),SUMIF(C105:N105,G2,C112:N112)),4)</f>
        <v>0</v>
      </c>
      <c r="D27" s="1075"/>
      <c r="E27" s="1075"/>
      <c r="F27" s="1076"/>
      <c r="G27" s="1077"/>
      <c r="H27" s="1078"/>
      <c r="I27" s="1079"/>
      <c r="J27" s="1080"/>
      <c r="K27" s="849"/>
      <c r="L27" s="850"/>
      <c r="M27" s="850"/>
      <c r="N27" s="1066" t="s">
        <v>2213</v>
      </c>
      <c r="O27" s="1067"/>
      <c r="P27" s="1068">
        <f>SUMPRODUCT((地价!A3:A40=YEAR(G23)&amp;"-"&amp;ROUNDUP(MONTH(G23)/3,0))*(地价!AD2:AH2=N27)*(地价!AD3:AH40))</f>
        <v>0</v>
      </c>
      <c r="Q27" s="850"/>
      <c r="R27" s="993"/>
      <c r="S27" s="993"/>
      <c r="T27" s="984"/>
      <c r="U27" s="984"/>
      <c r="V27" s="984"/>
      <c r="W27" s="849"/>
      <c r="X27" s="849"/>
      <c r="Y27" s="849"/>
      <c r="Z27" s="994"/>
      <c r="AA27" s="994"/>
      <c r="AB27" s="994"/>
      <c r="AC27" s="994"/>
      <c r="AD27" s="994"/>
      <c r="AE27" s="984"/>
      <c r="AF27" s="984"/>
      <c r="AG27" s="995"/>
      <c r="AH27" s="995"/>
      <c r="AI27" s="995"/>
      <c r="AJ27" s="995"/>
    </row>
    <row r="28" ht="15.75" spans="1:37">
      <c r="A28" s="1048" t="s">
        <v>2214</v>
      </c>
      <c r="B28" s="1036" t="s">
        <v>2215</v>
      </c>
      <c r="C28" s="1081">
        <f>SUMIF(A47:A101,E2,B47:B101)</f>
        <v>1.0305</v>
      </c>
      <c r="D28" s="1082"/>
      <c r="E28" s="1083"/>
      <c r="F28" s="1083"/>
      <c r="G28" s="1083"/>
      <c r="H28" s="1083"/>
      <c r="I28" s="1083"/>
      <c r="J28" s="1084"/>
      <c r="K28" s="994"/>
      <c r="L28" s="996"/>
      <c r="M28" s="996"/>
      <c r="N28" s="1085" t="s">
        <v>2216</v>
      </c>
      <c r="O28" s="1086"/>
      <c r="P28" s="1087">
        <f>SUMPRODUCT((地价!A3:A40=YEAR(G23)&amp;"-"&amp;ROUNDUP(MONTH(G23)/3,0))*(地价!AD2:AH2=N28)*(地价!AD3:AH40))</f>
        <v>0</v>
      </c>
      <c r="Q28" s="993"/>
      <c r="R28" s="993"/>
      <c r="S28" s="993"/>
      <c r="T28" s="984"/>
      <c r="U28" s="984"/>
      <c r="V28" s="984"/>
      <c r="W28" s="849"/>
      <c r="X28" s="849"/>
      <c r="Y28" s="849"/>
      <c r="Z28" s="994"/>
      <c r="AA28" s="994"/>
      <c r="AB28" s="994"/>
      <c r="AC28" s="994"/>
      <c r="AD28" s="994"/>
      <c r="AE28" s="984"/>
      <c r="AF28" s="984"/>
      <c r="AG28" s="995"/>
      <c r="AH28" s="995"/>
      <c r="AI28" s="995"/>
      <c r="AJ28" s="995"/>
    </row>
    <row r="29" ht="15.75" spans="1:37">
      <c r="A29" s="1048" t="s">
        <v>2217</v>
      </c>
      <c r="B29" s="1088" t="s">
        <v>2218</v>
      </c>
      <c r="C29" s="1089"/>
      <c r="D29" s="909"/>
      <c r="E29" s="909"/>
      <c r="F29" s="1090"/>
      <c r="G29" s="909"/>
      <c r="H29" s="909"/>
      <c r="I29" s="909"/>
      <c r="J29" s="910"/>
      <c r="K29" s="849"/>
      <c r="L29" s="850"/>
      <c r="M29" s="850"/>
      <c r="N29" s="1091" t="s">
        <v>2219</v>
      </c>
      <c r="O29" s="1092"/>
      <c r="P29" s="1093">
        <f>SUMPRODUCT((地价!A3:A40=YEAR(G23)&amp;"-"&amp;ROUNDUP(MONTH(G23)/3,0))*(地价!AD2:AH2=N29)*(地价!AD3:AH40))</f>
        <v>0</v>
      </c>
      <c r="Q29" s="993"/>
      <c r="R29" s="993"/>
      <c r="S29" s="993"/>
      <c r="T29" s="984"/>
      <c r="U29" s="984"/>
      <c r="V29" s="984"/>
      <c r="W29" s="849"/>
      <c r="X29" s="849"/>
      <c r="Y29" s="849"/>
      <c r="Z29" s="994"/>
      <c r="AA29" s="994"/>
      <c r="AB29" s="994"/>
      <c r="AC29" s="994"/>
      <c r="AD29" s="994"/>
      <c r="AE29" s="849"/>
      <c r="AF29" s="849"/>
      <c r="AG29" s="850"/>
      <c r="AH29" s="850"/>
      <c r="AI29" s="850"/>
      <c r="AJ29" s="850"/>
    </row>
    <row r="30" ht="15" spans="1:37">
      <c r="A30" s="1094"/>
      <c r="B30" s="1070" t="s">
        <v>2220</v>
      </c>
      <c r="C30" s="1095">
        <f>IF(B25="容积率修正",E33+SUM(I37:I42),SUM(V2:V16)+SUM(I37:I42))</f>
        <v>4297</v>
      </c>
      <c r="D30" s="1096" t="s">
        <v>2221</v>
      </c>
      <c r="E30" s="1075"/>
      <c r="F30" s="1097"/>
      <c r="G30" s="1075"/>
      <c r="H30" s="1075"/>
      <c r="I30" s="1075"/>
      <c r="J30" s="1098"/>
      <c r="K30" s="849"/>
      <c r="L30" s="1099" t="s">
        <v>2113</v>
      </c>
      <c r="M30" s="1100" t="s">
        <v>2222</v>
      </c>
      <c r="N30" s="1100" t="s">
        <v>2223</v>
      </c>
      <c r="O30" s="1100" t="s">
        <v>2224</v>
      </c>
      <c r="P30" s="1100" t="s">
        <v>2225</v>
      </c>
      <c r="Q30" s="1101" t="s">
        <v>231</v>
      </c>
      <c r="R30" s="993"/>
      <c r="S30" s="993"/>
      <c r="T30" s="984"/>
      <c r="U30" s="984"/>
      <c r="V30" s="984"/>
      <c r="W30" s="849"/>
      <c r="X30" s="849"/>
      <c r="Y30" s="849"/>
      <c r="Z30" s="994"/>
      <c r="AA30" s="994"/>
      <c r="AB30" s="994"/>
      <c r="AC30" s="994"/>
      <c r="AD30" s="994"/>
      <c r="AE30" s="849"/>
      <c r="AF30" s="849"/>
      <c r="AG30" s="850"/>
      <c r="AH30" s="850"/>
      <c r="AI30" s="850"/>
      <c r="AJ30" s="850"/>
    </row>
    <row r="31" ht="15.75" spans="1:37">
      <c r="A31" s="1094"/>
      <c r="B31" s="1102" t="s">
        <v>2226</v>
      </c>
      <c r="C31" s="1103">
        <f>E34+SUM(I37:I42)</f>
        <v>0</v>
      </c>
      <c r="D31" s="1104"/>
      <c r="E31" s="1105"/>
      <c r="F31" s="1106"/>
      <c r="G31" s="1105"/>
      <c r="H31" s="1105"/>
      <c r="I31" s="1105"/>
      <c r="J31" s="1107"/>
      <c r="K31" s="849"/>
      <c r="L31" s="1108" t="s">
        <v>2227</v>
      </c>
      <c r="M31" s="1109">
        <v>0.25</v>
      </c>
      <c r="N31" s="1109">
        <v>0.2</v>
      </c>
      <c r="O31" s="1109">
        <v>0.15</v>
      </c>
      <c r="P31" s="1109">
        <v>0.1</v>
      </c>
      <c r="Q31" s="1110">
        <v>0.15</v>
      </c>
      <c r="R31" s="993"/>
      <c r="S31" s="993"/>
      <c r="T31" s="984"/>
      <c r="U31" s="984"/>
      <c r="V31" s="984"/>
      <c r="W31" s="849"/>
      <c r="X31" s="849"/>
      <c r="Y31" s="849"/>
      <c r="Z31" s="994"/>
      <c r="AA31" s="994"/>
      <c r="AB31" s="994"/>
      <c r="AC31" s="994"/>
      <c r="AD31" s="994"/>
      <c r="AE31" s="849"/>
      <c r="AF31" s="849"/>
      <c r="AG31" s="850"/>
      <c r="AH31" s="850"/>
      <c r="AI31" s="850"/>
      <c r="AJ31" s="850"/>
    </row>
    <row r="32" ht="15.75" spans="1:37">
      <c r="A32" s="1111"/>
      <c r="B32" s="1112" t="s">
        <v>2228</v>
      </c>
      <c r="C32" s="1113" t="s">
        <v>1546</v>
      </c>
      <c r="D32" s="1113" t="s">
        <v>641</v>
      </c>
      <c r="E32" s="1114" t="s">
        <v>2229</v>
      </c>
      <c r="F32" s="1115"/>
      <c r="G32" s="955"/>
      <c r="H32" s="955"/>
      <c r="I32" s="955"/>
      <c r="J32" s="956"/>
      <c r="K32" s="849"/>
      <c r="L32" s="1116" t="s">
        <v>2198</v>
      </c>
      <c r="M32" s="1117">
        <f>ROUND($E$24*(1+M31),3)</f>
        <v>0.054</v>
      </c>
      <c r="N32" s="1117">
        <f>ROUND($E$24*(1+N31),3)</f>
        <v>0.052</v>
      </c>
      <c r="O32" s="1117">
        <f>ROUND($E$24*(1+O31),3)</f>
        <v>0.05</v>
      </c>
      <c r="P32" s="1117">
        <f>ROUND($E$24*(1+P31),3)</f>
        <v>0.048</v>
      </c>
      <c r="Q32" s="1118">
        <f>ROUND($E$24*(1+Q31),3)</f>
        <v>0.05</v>
      </c>
      <c r="R32" s="993"/>
      <c r="S32" s="993"/>
      <c r="T32" s="984"/>
      <c r="U32" s="984"/>
      <c r="V32" s="984"/>
      <c r="W32" s="849"/>
      <c r="X32" s="849"/>
      <c r="Y32" s="849"/>
      <c r="Z32" s="994"/>
      <c r="AA32" s="994"/>
      <c r="AB32" s="994"/>
      <c r="AC32" s="994"/>
      <c r="AD32" s="994"/>
      <c r="AE32" s="849"/>
      <c r="AF32" s="849"/>
      <c r="AG32" s="850"/>
      <c r="AH32" s="850"/>
      <c r="AI32" s="850"/>
      <c r="AJ32" s="850"/>
    </row>
    <row r="33" ht="14.25" spans="1:37">
      <c r="A33" s="1119"/>
      <c r="B33" s="1120" t="s">
        <v>2230</v>
      </c>
      <c r="C33" s="1095">
        <f>ROUND(C5*C22*C23*C24*C25*C28,0)</f>
        <v>2108</v>
      </c>
      <c r="D33" s="1121">
        <f>'数据-基础表'!I13</f>
        <v>20386.47</v>
      </c>
      <c r="E33" s="1122">
        <f>ROUND(C33*D33/10000,0)</f>
        <v>4297</v>
      </c>
      <c r="F33" s="1123" t="s">
        <v>2231</v>
      </c>
      <c r="G33" s="1124"/>
      <c r="H33" s="1124"/>
      <c r="I33" s="1124"/>
      <c r="J33" s="1125"/>
      <c r="K33" s="849"/>
      <c r="L33" s="1126" t="s">
        <v>2232</v>
      </c>
      <c r="M33" s="1127">
        <v>0.055</v>
      </c>
      <c r="N33" s="1127">
        <v>0.055</v>
      </c>
      <c r="O33" s="1127">
        <v>0.05</v>
      </c>
      <c r="P33" s="1127">
        <v>0.05</v>
      </c>
      <c r="Q33" s="1127">
        <v>0.05</v>
      </c>
      <c r="R33" s="993"/>
      <c r="S33" s="993"/>
      <c r="T33" s="984"/>
      <c r="U33" s="984"/>
      <c r="V33" s="984"/>
      <c r="W33" s="849"/>
      <c r="X33" s="849"/>
      <c r="Y33" s="849"/>
      <c r="Z33" s="994"/>
      <c r="AA33" s="994"/>
      <c r="AB33" s="994"/>
      <c r="AC33" s="994"/>
      <c r="AD33" s="994"/>
      <c r="AE33" s="984"/>
      <c r="AF33" s="984"/>
      <c r="AG33" s="995"/>
      <c r="AH33" s="995"/>
      <c r="AI33" s="995"/>
      <c r="AJ33" s="995"/>
    </row>
    <row r="34" ht="25.5" spans="1:37">
      <c r="A34" s="1128"/>
      <c r="B34" s="1129" t="s">
        <v>2233</v>
      </c>
      <c r="C34" s="1130">
        <f>ROUND(IF(E2="工业",C33*M42,IF(B25="楼层修正",SUM(V2:V16)*M41*10000/D34,C33*M41)),0)</f>
        <v>316</v>
      </c>
      <c r="D34" s="1131"/>
      <c r="E34" s="1122">
        <f>ROUND(IF(B25="楼层修正",SUM(V2:V16)*M40,C34*D34/10000),0)</f>
        <v>0</v>
      </c>
      <c r="F34" s="1132" t="s">
        <v>2234</v>
      </c>
      <c r="G34" s="1133"/>
      <c r="H34" s="1133"/>
      <c r="I34" s="1133"/>
      <c r="J34" s="1134"/>
      <c r="K34" s="849"/>
      <c r="L34" s="1126" t="s">
        <v>2235</v>
      </c>
      <c r="M34" s="1127">
        <v>0.065</v>
      </c>
      <c r="N34" s="1127">
        <v>0.065</v>
      </c>
      <c r="O34" s="1127">
        <v>0.06</v>
      </c>
      <c r="P34" s="1127">
        <v>0.06</v>
      </c>
      <c r="Q34" s="1127">
        <v>0.06</v>
      </c>
      <c r="R34" s="993"/>
      <c r="S34" s="993"/>
      <c r="T34" s="984"/>
      <c r="U34" s="984"/>
      <c r="V34" s="984"/>
      <c r="W34" s="849"/>
      <c r="X34" s="849"/>
      <c r="Y34" s="849"/>
      <c r="Z34" s="994"/>
      <c r="AA34" s="994"/>
      <c r="AB34" s="994"/>
      <c r="AC34" s="994"/>
      <c r="AD34" s="994"/>
      <c r="AE34" s="984"/>
      <c r="AF34" s="984"/>
      <c r="AG34" s="995"/>
      <c r="AH34" s="995"/>
      <c r="AI34" s="995"/>
      <c r="AJ34" s="995"/>
    </row>
    <row r="35" spans="1:37">
      <c r="A35" s="1135"/>
      <c r="B35" s="1136" t="s">
        <v>2236</v>
      </c>
      <c r="C35" s="1137" t="s">
        <v>2237</v>
      </c>
      <c r="D35" s="955"/>
      <c r="E35" s="1138"/>
      <c r="F35" s="1138"/>
      <c r="G35" s="953" t="s">
        <v>2234</v>
      </c>
      <c r="H35" s="955"/>
      <c r="I35" s="1139"/>
      <c r="J35" s="956"/>
      <c r="K35" s="849"/>
      <c r="L35" s="849"/>
      <c r="M35" s="849"/>
      <c r="N35" s="849"/>
      <c r="O35" s="1034"/>
      <c r="P35" s="1034"/>
      <c r="Q35" s="993"/>
      <c r="R35" s="849"/>
      <c r="S35" s="849"/>
      <c r="T35" s="849"/>
      <c r="U35" s="849"/>
      <c r="V35" s="849"/>
      <c r="W35" s="849"/>
      <c r="X35" s="849"/>
      <c r="Y35" s="849"/>
      <c r="Z35" s="984"/>
      <c r="AA35" s="984"/>
      <c r="AB35" s="984"/>
      <c r="AC35" s="984"/>
      <c r="AD35" s="984"/>
      <c r="AE35" s="984"/>
      <c r="AF35" s="984"/>
      <c r="AG35" s="995"/>
      <c r="AH35" s="995"/>
      <c r="AI35" s="995"/>
      <c r="AJ35" s="995"/>
    </row>
    <row r="36" ht="24.75" spans="1:37">
      <c r="A36" s="1119"/>
      <c r="B36" s="1140"/>
      <c r="C36" s="1141" t="s">
        <v>1546</v>
      </c>
      <c r="D36" s="1142" t="s">
        <v>641</v>
      </c>
      <c r="E36" s="1142" t="s">
        <v>2229</v>
      </c>
      <c r="F36" s="856" t="s">
        <v>2238</v>
      </c>
      <c r="G36" s="1143" t="s">
        <v>1546</v>
      </c>
      <c r="H36" s="1143" t="s">
        <v>641</v>
      </c>
      <c r="I36" s="1143" t="s">
        <v>2229</v>
      </c>
      <c r="J36" s="484"/>
      <c r="K36" s="1144" t="s">
        <v>2239</v>
      </c>
      <c r="L36" s="1145">
        <f ca="1">'数据-取费表'!B41</f>
        <v>0.0313</v>
      </c>
      <c r="M36" s="1146">
        <f ca="1">ROUND($L$36*(1+M31),3)</f>
        <v>0.039</v>
      </c>
      <c r="N36" s="1146">
        <f ca="1">ROUND($L$36*(1+N31),3)</f>
        <v>0.038</v>
      </c>
      <c r="O36" s="1146">
        <f ca="1">ROUND($L$36*(1+O31),3)</f>
        <v>0.036</v>
      </c>
      <c r="P36" s="1146">
        <f ca="1">ROUND($L$36*(1+P31),3)</f>
        <v>0.034</v>
      </c>
      <c r="Q36" s="1146">
        <f ca="1">ROUND($L$36*(1+Q31),3)</f>
        <v>0.036</v>
      </c>
      <c r="R36" s="849"/>
      <c r="S36" s="849"/>
      <c r="T36" s="849"/>
      <c r="U36" s="849"/>
      <c r="V36" s="849"/>
      <c r="W36" s="849"/>
      <c r="X36" s="849"/>
      <c r="Y36" s="849"/>
      <c r="Z36" s="984"/>
      <c r="AA36" s="984"/>
      <c r="AB36" s="984"/>
      <c r="AC36" s="984"/>
      <c r="AD36" s="984"/>
      <c r="AE36" s="984"/>
      <c r="AF36" s="984"/>
      <c r="AG36" s="995"/>
      <c r="AH36" s="995"/>
      <c r="AI36" s="995"/>
      <c r="AJ36" s="995"/>
    </row>
    <row r="37" ht="24.75" spans="1:37">
      <c r="A37" s="1147"/>
      <c r="B37" s="1148" t="s">
        <v>2240</v>
      </c>
      <c r="C37" s="1095">
        <f>ROUND(D5*C22*C23*C24*C28*F37,0)</f>
        <v>1195</v>
      </c>
      <c r="D37" s="1121"/>
      <c r="E37" s="1149">
        <f>ROUND(C37*D37/10000,0)</f>
        <v>0</v>
      </c>
      <c r="F37" s="930">
        <f>SUMIF(修正!A59:A70,G2,修正!B59:B70)</f>
        <v>0.6</v>
      </c>
      <c r="G37" s="1149">
        <f>ROUND(IF(E2="工业",C37*$M$42,C37*$M$41),0)</f>
        <v>179</v>
      </c>
      <c r="H37" s="930">
        <f>D37</f>
        <v>0</v>
      </c>
      <c r="I37" s="1149">
        <f>ROUND(G37*H37/10000,0)</f>
        <v>0</v>
      </c>
      <c r="J37" s="1150"/>
      <c r="K37" s="1151" t="s">
        <v>2241</v>
      </c>
      <c r="L37" s="1152">
        <f ca="1">L36+K38</f>
        <v>0.0363</v>
      </c>
      <c r="M37" s="1146">
        <f ca="1">ROUND($L$37*(1+M31),3)</f>
        <v>0.045</v>
      </c>
      <c r="N37" s="1146">
        <f ca="1" t="shared" ref="N37:Q37" si="3">ROUND($L$37*(1+N31),3)</f>
        <v>0.044</v>
      </c>
      <c r="O37" s="1146">
        <f ca="1" t="shared" si="3"/>
        <v>0.042</v>
      </c>
      <c r="P37" s="1146">
        <f ca="1" t="shared" si="3"/>
        <v>0.04</v>
      </c>
      <c r="Q37" s="1146">
        <f ca="1" t="shared" si="3"/>
        <v>0.042</v>
      </c>
      <c r="R37" s="849"/>
      <c r="S37" s="849"/>
      <c r="T37" s="849"/>
      <c r="U37" s="849"/>
      <c r="V37" s="849"/>
      <c r="W37" s="849"/>
      <c r="X37" s="849"/>
      <c r="Y37" s="849"/>
      <c r="Z37" s="984"/>
      <c r="AA37" s="984"/>
      <c r="AB37" s="984"/>
      <c r="AC37" s="984"/>
      <c r="AD37" s="984"/>
      <c r="AE37" s="984"/>
      <c r="AF37" s="984"/>
      <c r="AG37" s="995"/>
      <c r="AH37" s="995"/>
      <c r="AI37" s="995"/>
      <c r="AJ37" s="995"/>
    </row>
    <row r="38" spans="1:37">
      <c r="A38" s="1153"/>
      <c r="B38" s="1154" t="s">
        <v>2242</v>
      </c>
      <c r="C38" s="1095">
        <f>ROUND(D5*C22*C23*C24*C28*F38,0)</f>
        <v>598</v>
      </c>
      <c r="D38" s="1121"/>
      <c r="E38" s="1149">
        <f t="shared" ref="E38:E42" si="4">ROUND(C38*D38/10000,0)</f>
        <v>0</v>
      </c>
      <c r="F38" s="930">
        <f>SUMIF(修正!A59:A70,G2,修正!C59:C70)</f>
        <v>0.3</v>
      </c>
      <c r="G38" s="1149">
        <f>ROUND(IF(E2="工业",C38*$M$42,C38*$M$41),0)</f>
        <v>90</v>
      </c>
      <c r="H38" s="930">
        <f t="shared" ref="H38:H42" si="5">D38</f>
        <v>0</v>
      </c>
      <c r="I38" s="1149">
        <f t="shared" ref="I38:I42" si="6">ROUND(G38*H38/10000,0)</f>
        <v>0</v>
      </c>
      <c r="J38" s="1153"/>
      <c r="K38" s="1144">
        <v>0.005</v>
      </c>
      <c r="L38" s="1144"/>
      <c r="M38" s="1144"/>
      <c r="N38" s="1144"/>
      <c r="O38" s="1144"/>
      <c r="P38" s="1144"/>
      <c r="Q38" s="1144"/>
      <c r="R38" s="849"/>
      <c r="S38" s="849"/>
      <c r="T38" s="849"/>
      <c r="U38" s="849"/>
      <c r="V38" s="849"/>
      <c r="W38" s="849"/>
      <c r="X38" s="849"/>
      <c r="Y38" s="849"/>
      <c r="Z38" s="984"/>
      <c r="AA38" s="984"/>
      <c r="AB38" s="984"/>
      <c r="AC38" s="984"/>
      <c r="AD38" s="984"/>
    </row>
    <row r="39" ht="13.5" spans="1:37">
      <c r="A39" s="1153"/>
      <c r="B39" s="1154" t="s">
        <v>2243</v>
      </c>
      <c r="C39" s="1095">
        <f>ROUND(D5*C22*C23*C24*C28*F39,0)</f>
        <v>498</v>
      </c>
      <c r="D39" s="1121"/>
      <c r="E39" s="1149">
        <f t="shared" si="4"/>
        <v>0</v>
      </c>
      <c r="F39" s="930">
        <f>SUMIF(修正!A59:A70,G2,修正!D59:D70)</f>
        <v>0.25</v>
      </c>
      <c r="G39" s="1149">
        <f>ROUND(IF(E2="工业",C39*$M$42,C39*$M$41),0)</f>
        <v>75</v>
      </c>
      <c r="H39" s="930">
        <f t="shared" si="5"/>
        <v>0</v>
      </c>
      <c r="I39" s="1149">
        <f t="shared" si="6"/>
        <v>0</v>
      </c>
      <c r="J39" s="1153"/>
      <c r="K39" s="849"/>
      <c r="L39" s="849"/>
      <c r="M39" s="849"/>
      <c r="N39" s="849"/>
      <c r="O39" s="849"/>
      <c r="P39" s="849"/>
      <c r="Q39" s="849"/>
      <c r="R39" s="849"/>
      <c r="S39" s="849"/>
      <c r="T39" s="849"/>
      <c r="U39" s="849"/>
      <c r="V39" s="849"/>
      <c r="W39" s="849"/>
      <c r="X39" s="849"/>
      <c r="Y39" s="849"/>
      <c r="Z39" s="984"/>
      <c r="AA39" s="984"/>
      <c r="AB39" s="984"/>
      <c r="AC39" s="984"/>
      <c r="AD39" s="984"/>
    </row>
    <row r="40" s="849" customFormat="1" spans="1:37">
      <c r="A40" s="1155"/>
      <c r="B40" s="1154" t="s">
        <v>2244</v>
      </c>
      <c r="C40" s="1149">
        <f>ROUND(D5*C22*C23*C24*C28*F40,0)</f>
        <v>498</v>
      </c>
      <c r="D40" s="1121"/>
      <c r="E40" s="1149">
        <f t="shared" si="4"/>
        <v>0</v>
      </c>
      <c r="F40" s="1156">
        <f>SUMIF(修正!A59:A70,G2,修正!E59:E70)</f>
        <v>0.25</v>
      </c>
      <c r="G40" s="1149">
        <f>ROUND(IF(E2="工业",C40*$M$42,C40*$M$41),0)</f>
        <v>75</v>
      </c>
      <c r="H40" s="930">
        <f t="shared" si="5"/>
        <v>0</v>
      </c>
      <c r="I40" s="1149">
        <f t="shared" si="6"/>
        <v>0</v>
      </c>
      <c r="J40" s="1157"/>
      <c r="L40" s="1158" t="s">
        <v>2245</v>
      </c>
      <c r="M40" s="1159"/>
      <c r="Z40" s="984"/>
      <c r="AA40" s="984"/>
      <c r="AB40" s="984"/>
      <c r="AC40" s="984"/>
      <c r="AD40" s="984"/>
      <c r="AE40" s="984"/>
      <c r="AF40" s="984"/>
      <c r="AG40" s="984"/>
      <c r="AH40" s="984"/>
      <c r="AI40" s="984"/>
      <c r="AJ40" s="984"/>
    </row>
    <row r="41" s="849" customFormat="1" spans="1:37">
      <c r="A41" s="1155"/>
      <c r="B41" s="1154" t="s">
        <v>2246</v>
      </c>
      <c r="C41" s="1149">
        <f>ROUND(D5*C22*C23*C44*C28*F41,0)</f>
        <v>0</v>
      </c>
      <c r="D41" s="1121"/>
      <c r="E41" s="1149">
        <f t="shared" si="4"/>
        <v>0</v>
      </c>
      <c r="F41" s="1156">
        <f>SUMIF(修正!A59:A70,G2,修正!F59:F70)</f>
        <v>0.25</v>
      </c>
      <c r="G41" s="1149">
        <f>ROUND(IF(E2="工业",C41*$M$42,C41*$M$41),0)</f>
        <v>0</v>
      </c>
      <c r="H41" s="930">
        <f t="shared" si="5"/>
        <v>0</v>
      </c>
      <c r="I41" s="1149">
        <f t="shared" si="6"/>
        <v>0</v>
      </c>
      <c r="J41" s="1157"/>
      <c r="L41" s="1160" t="s">
        <v>2247</v>
      </c>
      <c r="M41" s="1161">
        <v>0.25</v>
      </c>
      <c r="Z41" s="984"/>
      <c r="AA41" s="984"/>
      <c r="AB41" s="984"/>
      <c r="AC41" s="984"/>
      <c r="AD41" s="984"/>
      <c r="AE41" s="984"/>
      <c r="AF41" s="984"/>
      <c r="AG41" s="984"/>
      <c r="AH41" s="984"/>
      <c r="AI41" s="984"/>
      <c r="AJ41" s="984"/>
    </row>
    <row r="42" s="849" customFormat="1" ht="13.5" spans="1:37">
      <c r="A42" s="1128"/>
      <c r="B42" s="1162" t="s">
        <v>2248</v>
      </c>
      <c r="C42" s="1130">
        <f>ROUND(D5*C22*C23*C44*C28*F42,0)</f>
        <v>0</v>
      </c>
      <c r="D42" s="1131"/>
      <c r="E42" s="1130">
        <f t="shared" si="4"/>
        <v>0</v>
      </c>
      <c r="F42" s="1163">
        <f>SUMIF(修正!A59:A70,G2,修正!G59:G70)</f>
        <v>0.15</v>
      </c>
      <c r="G42" s="1130">
        <f>ROUND(IF(E2="工业",C42*$M$42,C42*$M$41),0)</f>
        <v>0</v>
      </c>
      <c r="H42" s="1164">
        <f t="shared" si="5"/>
        <v>0</v>
      </c>
      <c r="I42" s="1130">
        <f t="shared" si="6"/>
        <v>0</v>
      </c>
      <c r="J42" s="1165"/>
      <c r="L42" s="1166" t="s">
        <v>2225</v>
      </c>
      <c r="M42" s="1167">
        <v>0.15</v>
      </c>
      <c r="Z42" s="984"/>
      <c r="AA42" s="984"/>
      <c r="AB42" s="984"/>
      <c r="AC42" s="984"/>
      <c r="AD42" s="984"/>
      <c r="AE42" s="984"/>
      <c r="AF42" s="984"/>
      <c r="AG42" s="984"/>
      <c r="AH42" s="984"/>
      <c r="AI42" s="984"/>
      <c r="AJ42" s="984"/>
    </row>
    <row r="43" s="849" customFormat="1" spans="1:37">
      <c r="Z43" s="984"/>
      <c r="AA43" s="984"/>
      <c r="AB43" s="984"/>
      <c r="AC43" s="984"/>
      <c r="AD43" s="984"/>
      <c r="AE43" s="984"/>
      <c r="AF43" s="984"/>
      <c r="AG43" s="984"/>
      <c r="AH43" s="984"/>
      <c r="AI43" s="984"/>
      <c r="AJ43" s="984"/>
    </row>
    <row r="44" s="849" customFormat="1" spans="1:37">
      <c r="A44" s="984"/>
      <c r="B44" s="1168" t="s">
        <v>2249</v>
      </c>
      <c r="C44" s="856">
        <f>ROUND(POWER(1+E44,H44-G44)*(POWER(1+E44,G44)-1)/(POWER(1+E44,H44)-1),4)</f>
        <v>0</v>
      </c>
      <c r="D44" s="1169" t="s">
        <v>2198</v>
      </c>
      <c r="E44" s="1170">
        <f>G24</f>
        <v>0.05</v>
      </c>
      <c r="F44" s="1169" t="s">
        <v>2199</v>
      </c>
      <c r="G44" s="1171"/>
      <c r="H44" s="1169">
        <v>50</v>
      </c>
      <c r="Z44" s="984"/>
      <c r="AA44" s="984"/>
      <c r="AB44" s="984"/>
      <c r="AC44" s="984"/>
      <c r="AD44" s="984"/>
      <c r="AE44" s="984"/>
      <c r="AF44" s="984"/>
      <c r="AG44" s="984"/>
      <c r="AH44" s="984"/>
      <c r="AI44" s="984"/>
      <c r="AJ44" s="984"/>
    </row>
    <row r="45" s="849" customFormat="1" spans="1:37">
      <c r="A45" s="984"/>
      <c r="B45" s="1144"/>
      <c r="Z45" s="984"/>
      <c r="AA45" s="984"/>
      <c r="AB45" s="984"/>
      <c r="AC45" s="984"/>
      <c r="AD45" s="984"/>
      <c r="AE45" s="984"/>
      <c r="AF45" s="984"/>
      <c r="AG45" s="984"/>
      <c r="AH45" s="984"/>
      <c r="AI45" s="984"/>
      <c r="AJ45" s="984"/>
    </row>
    <row r="46" s="849" customFormat="1" spans="1:37">
      <c r="A46" s="984"/>
      <c r="B46" s="1144"/>
      <c r="AA46" s="984"/>
      <c r="AB46" s="984"/>
      <c r="AC46" s="984"/>
      <c r="AD46" s="984"/>
      <c r="AE46" s="984"/>
      <c r="AF46" s="984"/>
      <c r="AG46" s="984"/>
      <c r="AH46" s="984"/>
      <c r="AI46" s="984"/>
      <c r="AJ46" s="984"/>
      <c r="AK46" s="984"/>
    </row>
    <row r="47" s="849" customFormat="1" ht="15" spans="1:37">
      <c r="A47" s="1172" t="s">
        <v>2250</v>
      </c>
      <c r="B47" s="1173"/>
      <c r="C47" s="1174"/>
      <c r="D47" s="1174"/>
      <c r="E47" s="1174"/>
      <c r="F47" s="1175"/>
      <c r="G47" s="1175"/>
      <c r="H47" s="1175"/>
      <c r="I47" s="1176"/>
      <c r="J47" s="1176"/>
      <c r="K47" s="1176"/>
      <c r="L47" s="1176"/>
      <c r="M47" s="1176"/>
      <c r="AA47" s="984"/>
      <c r="AB47" s="984"/>
      <c r="AC47" s="984"/>
      <c r="AD47" s="984"/>
      <c r="AE47" s="984"/>
      <c r="AF47" s="984"/>
      <c r="AG47" s="984"/>
      <c r="AH47" s="984"/>
      <c r="AI47" s="984"/>
      <c r="AJ47" s="984"/>
      <c r="AK47" s="984"/>
    </row>
    <row r="48" s="849" customFormat="1" ht="15" spans="1:37">
      <c r="A48" s="1177" t="s">
        <v>2251</v>
      </c>
      <c r="B48" s="1178">
        <f>1+E50</f>
        <v>1</v>
      </c>
      <c r="C48" s="1179"/>
      <c r="D48" s="1180"/>
      <c r="E48" s="1181"/>
      <c r="F48" s="1182"/>
      <c r="G48" s="1175"/>
      <c r="H48" s="1174"/>
      <c r="I48" s="1176"/>
      <c r="J48" s="1176"/>
      <c r="K48" s="1176"/>
      <c r="L48" s="1176"/>
      <c r="M48" s="1176"/>
      <c r="AA48" s="984"/>
      <c r="AB48" s="984"/>
      <c r="AC48" s="984"/>
      <c r="AD48" s="984"/>
      <c r="AE48" s="984"/>
      <c r="AF48" s="984"/>
      <c r="AG48" s="984"/>
      <c r="AH48" s="984"/>
      <c r="AI48" s="984"/>
      <c r="AJ48" s="984"/>
      <c r="AK48" s="984"/>
    </row>
    <row r="49" s="849" customFormat="1" ht="24.75" spans="1:37">
      <c r="A49" s="1183" t="s">
        <v>2252</v>
      </c>
      <c r="B49" s="1184" t="s">
        <v>2253</v>
      </c>
      <c r="C49" s="1184" t="s">
        <v>2254</v>
      </c>
      <c r="D49" s="1184" t="s">
        <v>2255</v>
      </c>
      <c r="E49" s="1185" t="s">
        <v>2256</v>
      </c>
      <c r="F49" s="1186" t="s">
        <v>2257</v>
      </c>
      <c r="G49" s="1184" t="s">
        <v>1218</v>
      </c>
      <c r="H49" s="1187" t="s">
        <v>2258</v>
      </c>
      <c r="I49" s="1184" t="s">
        <v>2259</v>
      </c>
      <c r="J49" s="1188" t="s">
        <v>1200</v>
      </c>
      <c r="K49" s="1188" t="s">
        <v>1201</v>
      </c>
      <c r="L49" s="1188" t="s">
        <v>1202</v>
      </c>
      <c r="M49" s="1188" t="s">
        <v>1203</v>
      </c>
      <c r="N49" s="1188" t="s">
        <v>1204</v>
      </c>
      <c r="AA49" s="984"/>
      <c r="AB49" s="984"/>
      <c r="AC49" s="984"/>
      <c r="AD49" s="984"/>
      <c r="AE49" s="984"/>
      <c r="AF49" s="984"/>
      <c r="AG49" s="984"/>
      <c r="AH49" s="984"/>
      <c r="AI49" s="984"/>
      <c r="AJ49" s="984"/>
      <c r="AK49" s="984"/>
    </row>
    <row r="50" s="849" customFormat="1" ht="36.75" spans="1:37">
      <c r="A50" s="1183" t="s">
        <v>2260</v>
      </c>
      <c r="B50" s="1189" t="str">
        <f>估价对象房地状况!C4</f>
        <v>估价对象位于XX商圈，周边商业氛围成熟，人流量大，商业繁华度好</v>
      </c>
      <c r="C50" s="968"/>
      <c r="D50" s="1190">
        <f t="shared" ref="D50:D58" si="7">SUMIF($J$49:$N$49,C50,J50:N50)</f>
        <v>0</v>
      </c>
      <c r="E50" s="1191">
        <f>ROUND(SUM(D50:D58),4)</f>
        <v>0</v>
      </c>
      <c r="F50" s="1192" t="str">
        <f>IF(E2="商业",SUMIF(L1:L12,G2,N1:N12),"——")</f>
        <v>——</v>
      </c>
      <c r="G50" s="1193"/>
      <c r="H50" s="1194" t="str">
        <f t="shared" ref="H50:H58" si="8">IFERROR(ROUNDDOWN($F$50*I50/2,4),"——")</f>
        <v>——</v>
      </c>
      <c r="I50" s="1195">
        <v>0.3</v>
      </c>
      <c r="J50" s="1196">
        <f t="shared" ref="J50:J58" si="9">K50+$G50</f>
        <v>0</v>
      </c>
      <c r="K50" s="1196">
        <f t="shared" ref="K50:K58" si="10">$L50+$G50</f>
        <v>0</v>
      </c>
      <c r="L50" s="1196">
        <v>0</v>
      </c>
      <c r="M50" s="1196">
        <f t="shared" ref="M50:N58" si="11">L50-$G50</f>
        <v>0</v>
      </c>
      <c r="N50" s="1196">
        <f t="shared" si="11"/>
        <v>0</v>
      </c>
      <c r="AA50" s="984"/>
      <c r="AB50" s="984"/>
      <c r="AC50" s="984"/>
      <c r="AD50" s="984"/>
      <c r="AE50" s="984"/>
      <c r="AF50" s="984"/>
      <c r="AG50" s="984"/>
      <c r="AH50" s="984"/>
      <c r="AI50" s="984"/>
      <c r="AJ50" s="984"/>
      <c r="AK50" s="984"/>
    </row>
    <row r="51" s="849" customFormat="1" ht="36" spans="1:37">
      <c r="A51" s="1183" t="s">
        <v>2261</v>
      </c>
      <c r="B51" s="1184" t="str">
        <f>估价对象房地状况!C18</f>
        <v>估价对象周边道路状况、公共交通通达情况、停车便捷程度，综合评价交通便捷度较好</v>
      </c>
      <c r="C51" s="968"/>
      <c r="D51" s="1190">
        <f t="shared" si="7"/>
        <v>0</v>
      </c>
      <c r="E51" s="1197"/>
      <c r="F51" s="1198"/>
      <c r="G51" s="1193"/>
      <c r="H51" s="1194" t="str">
        <f t="shared" si="8"/>
        <v>——</v>
      </c>
      <c r="I51" s="1195">
        <v>0.22</v>
      </c>
      <c r="J51" s="1196">
        <f t="shared" si="9"/>
        <v>0</v>
      </c>
      <c r="K51" s="1196">
        <f t="shared" si="10"/>
        <v>0</v>
      </c>
      <c r="L51" s="1196">
        <v>0</v>
      </c>
      <c r="M51" s="1196">
        <f t="shared" si="11"/>
        <v>0</v>
      </c>
      <c r="N51" s="1196">
        <f t="shared" si="11"/>
        <v>0</v>
      </c>
      <c r="AA51" s="984"/>
      <c r="AB51" s="984"/>
      <c r="AC51" s="984"/>
      <c r="AD51" s="984"/>
      <c r="AE51" s="984"/>
      <c r="AF51" s="984"/>
      <c r="AG51" s="984"/>
      <c r="AH51" s="984"/>
      <c r="AI51" s="984"/>
      <c r="AJ51" s="984"/>
      <c r="AK51" s="984"/>
    </row>
    <row r="52" s="849" customFormat="1" ht="36" spans="1:37">
      <c r="A52" s="1199" t="s">
        <v>2262</v>
      </c>
      <c r="B52" s="1184">
        <f>估价对象房地状况!C19</f>
        <v>0</v>
      </c>
      <c r="C52" s="968"/>
      <c r="D52" s="1190">
        <f t="shared" si="7"/>
        <v>0</v>
      </c>
      <c r="E52" s="1197"/>
      <c r="F52" s="1198"/>
      <c r="G52" s="1193"/>
      <c r="H52" s="1194" t="str">
        <f t="shared" si="8"/>
        <v>——</v>
      </c>
      <c r="I52" s="1195">
        <v>0.12</v>
      </c>
      <c r="J52" s="1196">
        <f t="shared" si="9"/>
        <v>0</v>
      </c>
      <c r="K52" s="1196">
        <f t="shared" si="10"/>
        <v>0</v>
      </c>
      <c r="L52" s="1196">
        <v>0</v>
      </c>
      <c r="M52" s="1196">
        <f t="shared" si="11"/>
        <v>0</v>
      </c>
      <c r="N52" s="1196">
        <f t="shared" si="11"/>
        <v>0</v>
      </c>
      <c r="AA52" s="984"/>
      <c r="AB52" s="984"/>
      <c r="AC52" s="984"/>
      <c r="AD52" s="984"/>
      <c r="AE52" s="984"/>
      <c r="AF52" s="984"/>
      <c r="AG52" s="984"/>
      <c r="AH52" s="984"/>
      <c r="AI52" s="984"/>
      <c r="AJ52" s="984"/>
      <c r="AK52" s="984"/>
    </row>
    <row r="53" s="849" customFormat="1" ht="36.75" spans="1:37">
      <c r="A53" s="1183" t="s">
        <v>2263</v>
      </c>
      <c r="B53" s="1200" t="s">
        <v>2264</v>
      </c>
      <c r="C53" s="968"/>
      <c r="D53" s="1190">
        <f t="shared" si="7"/>
        <v>0</v>
      </c>
      <c r="E53" s="1197"/>
      <c r="F53" s="1198"/>
      <c r="G53" s="1193"/>
      <c r="H53" s="1194" t="str">
        <f t="shared" si="8"/>
        <v>——</v>
      </c>
      <c r="I53" s="1195">
        <v>0.05</v>
      </c>
      <c r="J53" s="1196">
        <f t="shared" si="9"/>
        <v>0</v>
      </c>
      <c r="K53" s="1196">
        <f t="shared" si="10"/>
        <v>0</v>
      </c>
      <c r="L53" s="1196">
        <v>0</v>
      </c>
      <c r="M53" s="1196">
        <f t="shared" si="11"/>
        <v>0</v>
      </c>
      <c r="N53" s="1196">
        <f t="shared" si="11"/>
        <v>0</v>
      </c>
      <c r="AA53" s="984"/>
      <c r="AB53" s="984"/>
      <c r="AC53" s="984"/>
      <c r="AD53" s="984"/>
      <c r="AE53" s="984"/>
      <c r="AF53" s="984"/>
      <c r="AG53" s="984"/>
      <c r="AH53" s="984"/>
      <c r="AI53" s="984"/>
      <c r="AJ53" s="984"/>
      <c r="AK53" s="984"/>
    </row>
    <row r="54" s="849" customFormat="1" ht="24" spans="1:37">
      <c r="A54" s="1183" t="s">
        <v>2265</v>
      </c>
      <c r="B54" s="1184">
        <f>估价对象房地状况!C24</f>
        <v>0</v>
      </c>
      <c r="C54" s="968"/>
      <c r="D54" s="1190">
        <f t="shared" si="7"/>
        <v>0</v>
      </c>
      <c r="E54" s="1197"/>
      <c r="F54" s="1198"/>
      <c r="G54" s="1193"/>
      <c r="H54" s="1194" t="str">
        <f t="shared" si="8"/>
        <v>——</v>
      </c>
      <c r="I54" s="1195">
        <v>0.08</v>
      </c>
      <c r="J54" s="1196">
        <f t="shared" si="9"/>
        <v>0</v>
      </c>
      <c r="K54" s="1196">
        <f t="shared" si="10"/>
        <v>0</v>
      </c>
      <c r="L54" s="1196">
        <v>0</v>
      </c>
      <c r="M54" s="1196">
        <f t="shared" si="11"/>
        <v>0</v>
      </c>
      <c r="N54" s="1196">
        <f t="shared" si="11"/>
        <v>0</v>
      </c>
      <c r="AA54" s="984"/>
      <c r="AB54" s="984"/>
      <c r="AC54" s="984"/>
      <c r="AD54" s="984"/>
      <c r="AE54" s="984"/>
      <c r="AF54" s="984"/>
      <c r="AG54" s="984"/>
      <c r="AH54" s="984"/>
      <c r="AI54" s="984"/>
      <c r="AJ54" s="984"/>
      <c r="AK54" s="984"/>
    </row>
    <row r="55" s="849" customFormat="1" ht="24" spans="1:37">
      <c r="A55" s="1183" t="s">
        <v>2266</v>
      </c>
      <c r="B55" s="1201" t="s">
        <v>2267</v>
      </c>
      <c r="C55" s="968"/>
      <c r="D55" s="1190">
        <f t="shared" si="7"/>
        <v>0</v>
      </c>
      <c r="E55" s="1197"/>
      <c r="F55" s="1198"/>
      <c r="G55" s="1193"/>
      <c r="H55" s="1194" t="str">
        <f t="shared" si="8"/>
        <v>——</v>
      </c>
      <c r="I55" s="1195">
        <v>0.05</v>
      </c>
      <c r="J55" s="1196">
        <f t="shared" si="9"/>
        <v>0</v>
      </c>
      <c r="K55" s="1196">
        <f t="shared" si="10"/>
        <v>0</v>
      </c>
      <c r="L55" s="1196">
        <v>0</v>
      </c>
      <c r="M55" s="1196">
        <f t="shared" si="11"/>
        <v>0</v>
      </c>
      <c r="N55" s="1196">
        <f t="shared" si="11"/>
        <v>0</v>
      </c>
      <c r="AA55" s="984"/>
      <c r="AB55" s="984"/>
      <c r="AC55" s="984"/>
      <c r="AD55" s="984"/>
      <c r="AE55" s="984"/>
      <c r="AF55" s="984"/>
      <c r="AG55" s="984"/>
      <c r="AH55" s="984"/>
      <c r="AI55" s="984"/>
      <c r="AJ55" s="984"/>
      <c r="AK55" s="984"/>
    </row>
    <row r="56" s="849" customFormat="1" ht="24" spans="1:37">
      <c r="A56" s="1202" t="s">
        <v>2268</v>
      </c>
      <c r="B56" s="1203" t="str">
        <f>估价对象房地状况!C21</f>
        <v>估价对象所在区域公共配套设施齐备情况</v>
      </c>
      <c r="C56" s="968"/>
      <c r="D56" s="1190">
        <f t="shared" si="7"/>
        <v>0</v>
      </c>
      <c r="E56" s="1197"/>
      <c r="F56" s="1198"/>
      <c r="G56" s="1193"/>
      <c r="H56" s="1194" t="str">
        <f t="shared" si="8"/>
        <v>——</v>
      </c>
      <c r="I56" s="1195">
        <v>0.05</v>
      </c>
      <c r="J56" s="1196">
        <f t="shared" si="9"/>
        <v>0</v>
      </c>
      <c r="K56" s="1196">
        <f t="shared" si="10"/>
        <v>0</v>
      </c>
      <c r="L56" s="1196">
        <v>0</v>
      </c>
      <c r="M56" s="1196">
        <f t="shared" si="11"/>
        <v>0</v>
      </c>
      <c r="N56" s="1196">
        <f t="shared" si="11"/>
        <v>0</v>
      </c>
      <c r="AA56" s="984"/>
      <c r="AB56" s="984"/>
      <c r="AC56" s="984"/>
      <c r="AD56" s="984"/>
      <c r="AE56" s="984"/>
      <c r="AF56" s="984"/>
      <c r="AG56" s="984"/>
      <c r="AH56" s="984"/>
      <c r="AI56" s="984"/>
      <c r="AJ56" s="984"/>
      <c r="AK56" s="984"/>
    </row>
    <row r="57" s="849" customFormat="1" ht="24" spans="1:37">
      <c r="A57" s="1202" t="s">
        <v>2269</v>
      </c>
      <c r="B57" s="1184" t="str">
        <f>估价对象房地状况!C22</f>
        <v>估价对象所在区域基础设施水平</v>
      </c>
      <c r="C57" s="968"/>
      <c r="D57" s="1190">
        <f t="shared" si="7"/>
        <v>0</v>
      </c>
      <c r="E57" s="1197"/>
      <c r="F57" s="1198"/>
      <c r="G57" s="1193"/>
      <c r="H57" s="1194" t="str">
        <f t="shared" si="8"/>
        <v>——</v>
      </c>
      <c r="I57" s="1195">
        <v>0.08</v>
      </c>
      <c r="J57" s="1196">
        <f t="shared" si="9"/>
        <v>0</v>
      </c>
      <c r="K57" s="1196">
        <f t="shared" si="10"/>
        <v>0</v>
      </c>
      <c r="L57" s="1196">
        <v>0</v>
      </c>
      <c r="M57" s="1196">
        <f t="shared" si="11"/>
        <v>0</v>
      </c>
      <c r="N57" s="1196">
        <f t="shared" si="11"/>
        <v>0</v>
      </c>
      <c r="AA57" s="984"/>
      <c r="AB57" s="984"/>
      <c r="AC57" s="984"/>
      <c r="AD57" s="984"/>
      <c r="AE57" s="984"/>
      <c r="AF57" s="984"/>
      <c r="AG57" s="984"/>
      <c r="AH57" s="984"/>
      <c r="AI57" s="984"/>
      <c r="AJ57" s="984"/>
      <c r="AK57" s="984"/>
    </row>
    <row r="58" s="849" customFormat="1" ht="24.75" spans="1:37">
      <c r="A58" s="1204" t="s">
        <v>2270</v>
      </c>
      <c r="B58" s="1205" t="str">
        <f>估价对象房地状况!C20</f>
        <v>区域自然环境：；人文环境；综合评价环境状况一般</v>
      </c>
      <c r="C58" s="968"/>
      <c r="D58" s="1190">
        <f t="shared" si="7"/>
        <v>0</v>
      </c>
      <c r="E58" s="1206"/>
      <c r="F58" s="1198"/>
      <c r="G58" s="1193"/>
      <c r="H58" s="1194" t="str">
        <f t="shared" si="8"/>
        <v>——</v>
      </c>
      <c r="I58" s="1207">
        <v>0.05</v>
      </c>
      <c r="J58" s="1196">
        <f t="shared" si="9"/>
        <v>0</v>
      </c>
      <c r="K58" s="1196">
        <f t="shared" si="10"/>
        <v>0</v>
      </c>
      <c r="L58" s="1196">
        <v>0</v>
      </c>
      <c r="M58" s="1196">
        <f t="shared" si="11"/>
        <v>0</v>
      </c>
      <c r="N58" s="1196">
        <f t="shared" si="11"/>
        <v>0</v>
      </c>
      <c r="AA58" s="984"/>
      <c r="AB58" s="984"/>
      <c r="AC58" s="984"/>
      <c r="AD58" s="984"/>
      <c r="AE58" s="984"/>
      <c r="AF58" s="984"/>
      <c r="AG58" s="984"/>
      <c r="AH58" s="984"/>
      <c r="AI58" s="984"/>
      <c r="AJ58" s="984"/>
      <c r="AK58" s="984"/>
    </row>
    <row r="59" s="849" customFormat="1" ht="15" spans="1:37">
      <c r="A59" s="1177" t="s">
        <v>2271</v>
      </c>
      <c r="B59" s="1208">
        <f>1+E61</f>
        <v>1</v>
      </c>
      <c r="C59" s="1180"/>
      <c r="D59" s="1180"/>
      <c r="E59" s="1181"/>
      <c r="F59" s="1182"/>
      <c r="G59" s="1175"/>
      <c r="H59" s="1175"/>
      <c r="I59" s="1175"/>
      <c r="J59" s="1174"/>
      <c r="K59" s="1174"/>
      <c r="L59" s="1174"/>
      <c r="M59" s="1174"/>
      <c r="N59" s="1174"/>
      <c r="AA59" s="984"/>
      <c r="AB59" s="984"/>
      <c r="AC59" s="984"/>
      <c r="AD59" s="984"/>
      <c r="AE59" s="984"/>
      <c r="AF59" s="984"/>
      <c r="AG59" s="984"/>
      <c r="AH59" s="984"/>
      <c r="AI59" s="984"/>
      <c r="AJ59" s="984"/>
      <c r="AK59" s="984"/>
    </row>
    <row r="60" s="849" customFormat="1" ht="24.75" spans="1:37">
      <c r="A60" s="1183" t="s">
        <v>2252</v>
      </c>
      <c r="B60" s="1184"/>
      <c r="C60" s="1184" t="s">
        <v>2254</v>
      </c>
      <c r="D60" s="1184" t="s">
        <v>2255</v>
      </c>
      <c r="E60" s="1185" t="s">
        <v>2256</v>
      </c>
      <c r="F60" s="1186" t="s">
        <v>2272</v>
      </c>
      <c r="G60" s="1184" t="s">
        <v>1218</v>
      </c>
      <c r="H60" s="1187" t="s">
        <v>2258</v>
      </c>
      <c r="I60" s="1184" t="s">
        <v>2259</v>
      </c>
      <c r="J60" s="1188" t="s">
        <v>1200</v>
      </c>
      <c r="K60" s="1188" t="s">
        <v>1201</v>
      </c>
      <c r="L60" s="1188" t="s">
        <v>1202</v>
      </c>
      <c r="M60" s="1188" t="s">
        <v>1203</v>
      </c>
      <c r="N60" s="1188" t="s">
        <v>1204</v>
      </c>
      <c r="AA60" s="984"/>
      <c r="AB60" s="984"/>
      <c r="AC60" s="984"/>
      <c r="AD60" s="984"/>
      <c r="AE60" s="984"/>
      <c r="AF60" s="984"/>
      <c r="AG60" s="984"/>
      <c r="AH60" s="984"/>
      <c r="AI60" s="984"/>
      <c r="AJ60" s="984"/>
      <c r="AK60" s="984"/>
    </row>
    <row r="61" s="849" customFormat="1" ht="36.75" spans="1:37">
      <c r="A61" s="1183" t="s">
        <v>2273</v>
      </c>
      <c r="B61" s="1189" t="str">
        <f>估价对象房地状况!C17</f>
        <v>估价对象位于XX商圈，周边办公楼项目较多，入驻率高，办公集聚程度较好</v>
      </c>
      <c r="C61" s="968"/>
      <c r="D61" s="1190">
        <f t="shared" ref="D61:D69" si="12">SUMIF($J$60:$N$60,C61,J61:N61)</f>
        <v>0</v>
      </c>
      <c r="E61" s="1191">
        <f>ROUND(SUM(D61:D69),4)</f>
        <v>0</v>
      </c>
      <c r="F61" s="1192" t="str">
        <f>IF(E2="办公",SUMIF(L1:L12,G2,N1:N12),"——")</f>
        <v>——</v>
      </c>
      <c r="G61" s="1193"/>
      <c r="H61" s="1194" t="str">
        <f t="shared" ref="H61:H69" si="13">IFERROR(ROUNDDOWN($F$61*I61/2,4),"——")</f>
        <v>——</v>
      </c>
      <c r="I61" s="1195">
        <v>0.25</v>
      </c>
      <c r="J61" s="1196">
        <f t="shared" ref="J61:J69" si="14">K61+$G61</f>
        <v>0</v>
      </c>
      <c r="K61" s="1196">
        <f t="shared" ref="K61:K69" si="15">$L61+$G61</f>
        <v>0</v>
      </c>
      <c r="L61" s="1196">
        <v>0</v>
      </c>
      <c r="M61" s="1196">
        <f t="shared" ref="M61:N69" si="16">L61-$G61</f>
        <v>0</v>
      </c>
      <c r="N61" s="1196">
        <f t="shared" si="16"/>
        <v>0</v>
      </c>
      <c r="AA61" s="984"/>
      <c r="AB61" s="984"/>
      <c r="AC61" s="984"/>
      <c r="AD61" s="984"/>
      <c r="AE61" s="984"/>
      <c r="AF61" s="984"/>
      <c r="AG61" s="984"/>
      <c r="AH61" s="984"/>
      <c r="AI61" s="984"/>
      <c r="AJ61" s="984"/>
      <c r="AK61" s="984"/>
    </row>
    <row r="62" s="849" customFormat="1" ht="36" spans="1:37">
      <c r="A62" s="1183" t="s">
        <v>2261</v>
      </c>
      <c r="B62" s="1184" t="str">
        <f>估价对象房地状况!C18</f>
        <v>估价对象周边道路状况、公共交通通达情况、停车便捷程度，综合评价交通便捷度较好</v>
      </c>
      <c r="C62" s="968"/>
      <c r="D62" s="1190">
        <f t="shared" si="12"/>
        <v>0</v>
      </c>
      <c r="E62" s="1197"/>
      <c r="F62" s="1192"/>
      <c r="G62" s="1193"/>
      <c r="H62" s="1194" t="str">
        <f t="shared" si="13"/>
        <v>——</v>
      </c>
      <c r="I62" s="1195">
        <v>0.26</v>
      </c>
      <c r="J62" s="1196">
        <f t="shared" si="14"/>
        <v>0</v>
      </c>
      <c r="K62" s="1196">
        <f t="shared" si="15"/>
        <v>0</v>
      </c>
      <c r="L62" s="1196">
        <v>0</v>
      </c>
      <c r="M62" s="1196">
        <f t="shared" si="16"/>
        <v>0</v>
      </c>
      <c r="N62" s="1196">
        <f t="shared" si="16"/>
        <v>0</v>
      </c>
      <c r="AA62" s="984"/>
      <c r="AB62" s="984"/>
      <c r="AC62" s="984"/>
      <c r="AD62" s="984"/>
      <c r="AE62" s="984"/>
      <c r="AF62" s="984"/>
      <c r="AG62" s="984"/>
      <c r="AH62" s="984"/>
      <c r="AI62" s="984"/>
      <c r="AJ62" s="984"/>
      <c r="AK62" s="984"/>
    </row>
    <row r="63" s="849" customFormat="1" ht="36" spans="1:37">
      <c r="A63" s="1199" t="s">
        <v>2262</v>
      </c>
      <c r="B63" s="1184">
        <f>估价对象房地状况!C19</f>
        <v>0</v>
      </c>
      <c r="C63" s="968"/>
      <c r="D63" s="1190">
        <f t="shared" si="12"/>
        <v>0</v>
      </c>
      <c r="E63" s="1197"/>
      <c r="F63" s="1192"/>
      <c r="G63" s="1193"/>
      <c r="H63" s="1194" t="str">
        <f t="shared" si="13"/>
        <v>——</v>
      </c>
      <c r="I63" s="1195">
        <v>0.11</v>
      </c>
      <c r="J63" s="1196">
        <f t="shared" si="14"/>
        <v>0</v>
      </c>
      <c r="K63" s="1196">
        <f t="shared" si="15"/>
        <v>0</v>
      </c>
      <c r="L63" s="1196">
        <v>0</v>
      </c>
      <c r="M63" s="1196">
        <f t="shared" si="16"/>
        <v>0</v>
      </c>
      <c r="N63" s="1196">
        <f t="shared" si="16"/>
        <v>0</v>
      </c>
      <c r="AA63" s="984"/>
      <c r="AB63" s="984"/>
      <c r="AC63" s="984"/>
      <c r="AD63" s="984"/>
      <c r="AE63" s="984"/>
      <c r="AF63" s="984"/>
      <c r="AG63" s="984"/>
      <c r="AH63" s="984"/>
      <c r="AI63" s="984"/>
      <c r="AJ63" s="984"/>
      <c r="AK63" s="984"/>
    </row>
    <row r="64" s="849" customFormat="1" ht="36.75" spans="1:37">
      <c r="A64" s="1183" t="s">
        <v>2263</v>
      </c>
      <c r="B64" s="1200" t="s">
        <v>2264</v>
      </c>
      <c r="C64" s="968"/>
      <c r="D64" s="1190">
        <f t="shared" si="12"/>
        <v>0</v>
      </c>
      <c r="E64" s="1197"/>
      <c r="F64" s="1192"/>
      <c r="G64" s="1193"/>
      <c r="H64" s="1194" t="str">
        <f t="shared" si="13"/>
        <v>——</v>
      </c>
      <c r="I64" s="1195">
        <v>0.05</v>
      </c>
      <c r="J64" s="1196">
        <f t="shared" si="14"/>
        <v>0</v>
      </c>
      <c r="K64" s="1196">
        <f t="shared" si="15"/>
        <v>0</v>
      </c>
      <c r="L64" s="1196">
        <v>0</v>
      </c>
      <c r="M64" s="1196">
        <f t="shared" si="16"/>
        <v>0</v>
      </c>
      <c r="N64" s="1196">
        <f t="shared" si="16"/>
        <v>0</v>
      </c>
      <c r="AA64" s="984"/>
      <c r="AB64" s="984"/>
      <c r="AC64" s="984"/>
      <c r="AD64" s="984"/>
      <c r="AE64" s="984"/>
      <c r="AF64" s="984"/>
      <c r="AG64" s="984"/>
      <c r="AH64" s="984"/>
      <c r="AI64" s="984"/>
      <c r="AJ64" s="984"/>
      <c r="AK64" s="984"/>
    </row>
    <row r="65" s="849" customFormat="1" ht="24" spans="1:37">
      <c r="A65" s="1183" t="s">
        <v>2265</v>
      </c>
      <c r="B65" s="1184">
        <f>估价对象房地状况!C24</f>
        <v>0</v>
      </c>
      <c r="C65" s="968"/>
      <c r="D65" s="1190">
        <f t="shared" si="12"/>
        <v>0</v>
      </c>
      <c r="E65" s="1197"/>
      <c r="F65" s="1192"/>
      <c r="G65" s="1193"/>
      <c r="H65" s="1194" t="str">
        <f t="shared" si="13"/>
        <v>——</v>
      </c>
      <c r="I65" s="1195">
        <v>0.05</v>
      </c>
      <c r="J65" s="1196">
        <f t="shared" si="14"/>
        <v>0</v>
      </c>
      <c r="K65" s="1196">
        <f t="shared" si="15"/>
        <v>0</v>
      </c>
      <c r="L65" s="1196">
        <v>0</v>
      </c>
      <c r="M65" s="1196">
        <f t="shared" si="16"/>
        <v>0</v>
      </c>
      <c r="N65" s="1196">
        <f t="shared" si="16"/>
        <v>0</v>
      </c>
      <c r="AA65" s="984"/>
      <c r="AB65" s="984"/>
      <c r="AC65" s="984"/>
      <c r="AD65" s="984"/>
      <c r="AE65" s="984"/>
      <c r="AF65" s="984"/>
      <c r="AG65" s="984"/>
      <c r="AH65" s="984"/>
      <c r="AI65" s="984"/>
      <c r="AJ65" s="984"/>
      <c r="AK65" s="984"/>
    </row>
    <row r="66" s="849" customFormat="1" ht="24" spans="1:37">
      <c r="A66" s="1183" t="s">
        <v>2266</v>
      </c>
      <c r="B66" s="1201" t="s">
        <v>2267</v>
      </c>
      <c r="C66" s="968"/>
      <c r="D66" s="1190">
        <f t="shared" si="12"/>
        <v>0</v>
      </c>
      <c r="E66" s="1197"/>
      <c r="F66" s="1192"/>
      <c r="G66" s="1193"/>
      <c r="H66" s="1194" t="str">
        <f t="shared" si="13"/>
        <v>——</v>
      </c>
      <c r="I66" s="1195">
        <v>0.06</v>
      </c>
      <c r="J66" s="1196">
        <f t="shared" si="14"/>
        <v>0</v>
      </c>
      <c r="K66" s="1196">
        <f t="shared" si="15"/>
        <v>0</v>
      </c>
      <c r="L66" s="1196">
        <v>0</v>
      </c>
      <c r="M66" s="1196">
        <f t="shared" si="16"/>
        <v>0</v>
      </c>
      <c r="N66" s="1196">
        <f t="shared" si="16"/>
        <v>0</v>
      </c>
      <c r="AA66" s="984"/>
      <c r="AB66" s="984"/>
      <c r="AC66" s="984"/>
      <c r="AD66" s="984"/>
      <c r="AE66" s="984"/>
      <c r="AF66" s="984"/>
      <c r="AG66" s="984"/>
      <c r="AH66" s="984"/>
      <c r="AI66" s="984"/>
      <c r="AJ66" s="984"/>
      <c r="AK66" s="984"/>
    </row>
    <row r="67" s="849" customFormat="1" ht="24" spans="1:37">
      <c r="A67" s="1183" t="s">
        <v>2268</v>
      </c>
      <c r="B67" s="1203" t="str">
        <f>估价对象房地状况!C21</f>
        <v>估价对象所在区域公共配套设施齐备情况</v>
      </c>
      <c r="C67" s="968"/>
      <c r="D67" s="1190">
        <f t="shared" si="12"/>
        <v>0</v>
      </c>
      <c r="E67" s="1197"/>
      <c r="F67" s="1192"/>
      <c r="G67" s="1193"/>
      <c r="H67" s="1194" t="str">
        <f t="shared" si="13"/>
        <v>——</v>
      </c>
      <c r="I67" s="1195">
        <v>0.06</v>
      </c>
      <c r="J67" s="1196">
        <f t="shared" si="14"/>
        <v>0</v>
      </c>
      <c r="K67" s="1196">
        <f t="shared" si="15"/>
        <v>0</v>
      </c>
      <c r="L67" s="1196">
        <v>0</v>
      </c>
      <c r="M67" s="1196">
        <f t="shared" si="16"/>
        <v>0</v>
      </c>
      <c r="N67" s="1196">
        <f t="shared" si="16"/>
        <v>0</v>
      </c>
      <c r="AA67" s="984"/>
      <c r="AB67" s="984"/>
      <c r="AC67" s="984"/>
      <c r="AD67" s="984"/>
      <c r="AE67" s="984"/>
      <c r="AF67" s="984"/>
      <c r="AG67" s="984"/>
      <c r="AH67" s="984"/>
      <c r="AI67" s="984"/>
      <c r="AJ67" s="984"/>
      <c r="AK67" s="984"/>
    </row>
    <row r="68" s="849" customFormat="1" ht="24" spans="1:37">
      <c r="A68" s="1183" t="s">
        <v>2269</v>
      </c>
      <c r="B68" s="1203" t="str">
        <f>估价对象房地状况!C22</f>
        <v>估价对象所在区域基础设施水平</v>
      </c>
      <c r="C68" s="968"/>
      <c r="D68" s="1190">
        <f t="shared" si="12"/>
        <v>0</v>
      </c>
      <c r="E68" s="1197"/>
      <c r="F68" s="1192"/>
      <c r="G68" s="1193"/>
      <c r="H68" s="1194" t="str">
        <f t="shared" si="13"/>
        <v>——</v>
      </c>
      <c r="I68" s="1195">
        <v>0.09</v>
      </c>
      <c r="J68" s="1196">
        <f t="shared" si="14"/>
        <v>0</v>
      </c>
      <c r="K68" s="1196">
        <f t="shared" si="15"/>
        <v>0</v>
      </c>
      <c r="L68" s="1196">
        <v>0</v>
      </c>
      <c r="M68" s="1196">
        <f t="shared" si="16"/>
        <v>0</v>
      </c>
      <c r="N68" s="1196">
        <f t="shared" si="16"/>
        <v>0</v>
      </c>
      <c r="AA68" s="984"/>
      <c r="AB68" s="984"/>
      <c r="AC68" s="984"/>
      <c r="AD68" s="984"/>
      <c r="AE68" s="984"/>
      <c r="AF68" s="984"/>
      <c r="AG68" s="984"/>
      <c r="AH68" s="984"/>
      <c r="AI68" s="984"/>
      <c r="AJ68" s="984"/>
      <c r="AK68" s="984"/>
    </row>
    <row r="69" s="849" customFormat="1" ht="24.75" spans="1:37">
      <c r="A69" s="1204" t="s">
        <v>2270</v>
      </c>
      <c r="B69" s="1209" t="str">
        <f>估价对象房地状况!C20</f>
        <v>区域自然环境：；人文环境；综合评价环境状况一般</v>
      </c>
      <c r="C69" s="968"/>
      <c r="D69" s="1190">
        <f t="shared" si="12"/>
        <v>0</v>
      </c>
      <c r="E69" s="1206"/>
      <c r="F69" s="1192"/>
      <c r="G69" s="1193"/>
      <c r="H69" s="1194" t="str">
        <f t="shared" si="13"/>
        <v>——</v>
      </c>
      <c r="I69" s="1207">
        <v>0.07</v>
      </c>
      <c r="J69" s="1196">
        <f t="shared" si="14"/>
        <v>0</v>
      </c>
      <c r="K69" s="1196">
        <f t="shared" si="15"/>
        <v>0</v>
      </c>
      <c r="L69" s="1196">
        <v>0</v>
      </c>
      <c r="M69" s="1196">
        <f t="shared" si="16"/>
        <v>0</v>
      </c>
      <c r="N69" s="1196">
        <f t="shared" si="16"/>
        <v>0</v>
      </c>
      <c r="AA69" s="984"/>
      <c r="AB69" s="984"/>
      <c r="AC69" s="984"/>
      <c r="AD69" s="984"/>
      <c r="AE69" s="984"/>
      <c r="AF69" s="984"/>
      <c r="AG69" s="984"/>
      <c r="AH69" s="984"/>
      <c r="AI69" s="984"/>
      <c r="AJ69" s="984"/>
      <c r="AK69" s="984"/>
    </row>
    <row r="70" s="849" customFormat="1" ht="15" spans="1:37">
      <c r="A70" s="1177" t="s">
        <v>2274</v>
      </c>
      <c r="B70" s="1208">
        <f>1+E72</f>
        <v>1</v>
      </c>
      <c r="C70" s="1180"/>
      <c r="D70" s="1180"/>
      <c r="E70" s="1181"/>
      <c r="F70" s="1182"/>
      <c r="G70" s="1175"/>
      <c r="H70" s="1175"/>
      <c r="I70" s="1175"/>
      <c r="J70" s="1174"/>
      <c r="K70" s="1174"/>
      <c r="L70" s="1174"/>
      <c r="M70" s="1174"/>
      <c r="N70" s="1174"/>
      <c r="AA70" s="984"/>
      <c r="AB70" s="984"/>
      <c r="AC70" s="984"/>
      <c r="AD70" s="984"/>
      <c r="AE70" s="984"/>
      <c r="AF70" s="984"/>
      <c r="AG70" s="984"/>
      <c r="AH70" s="984"/>
      <c r="AI70" s="984"/>
      <c r="AJ70" s="984"/>
      <c r="AK70" s="984"/>
    </row>
    <row r="71" s="849" customFormat="1" ht="24.75" spans="1:37">
      <c r="A71" s="1183" t="s">
        <v>2252</v>
      </c>
      <c r="B71" s="1184"/>
      <c r="C71" s="1184" t="s">
        <v>2254</v>
      </c>
      <c r="D71" s="1184" t="s">
        <v>2255</v>
      </c>
      <c r="E71" s="1185" t="s">
        <v>2256</v>
      </c>
      <c r="F71" s="1186" t="s">
        <v>2272</v>
      </c>
      <c r="G71" s="1184" t="s">
        <v>1218</v>
      </c>
      <c r="H71" s="1187" t="s">
        <v>2258</v>
      </c>
      <c r="I71" s="1184" t="s">
        <v>2259</v>
      </c>
      <c r="J71" s="1188" t="s">
        <v>1200</v>
      </c>
      <c r="K71" s="1188" t="s">
        <v>1201</v>
      </c>
      <c r="L71" s="1188" t="s">
        <v>1202</v>
      </c>
      <c r="M71" s="1188" t="s">
        <v>1203</v>
      </c>
      <c r="N71" s="1188" t="s">
        <v>1204</v>
      </c>
      <c r="AA71" s="984"/>
      <c r="AB71" s="984"/>
      <c r="AC71" s="984"/>
      <c r="AD71" s="984"/>
      <c r="AE71" s="984"/>
      <c r="AF71" s="984"/>
      <c r="AG71" s="984"/>
      <c r="AH71" s="984"/>
      <c r="AI71" s="984"/>
      <c r="AJ71" s="984"/>
      <c r="AK71" s="984"/>
    </row>
    <row r="72" s="849" customFormat="1" ht="48" spans="1:37">
      <c r="A72" s="1183" t="s">
        <v>2275</v>
      </c>
      <c r="B72" s="1189" t="str">
        <f>估价对象房地状况!C15</f>
        <v>估价对象周边居住用地比例、居住小区规模和社区发展完善程度，综合评价居住社区成熟度一般</v>
      </c>
      <c r="C72" s="968"/>
      <c r="D72" s="1190">
        <f t="shared" ref="D72:D80" si="17">SUMIF($J$71:$N$71,C72,J72:N72)</f>
        <v>0</v>
      </c>
      <c r="E72" s="1191">
        <f>ROUND(SUM(D72:D80),4)</f>
        <v>0</v>
      </c>
      <c r="F72" s="1192" t="str">
        <f>IF(E2="住宅",SUMIF(L1:L12,G2,N1:N12),"——")</f>
        <v>——</v>
      </c>
      <c r="G72" s="1193"/>
      <c r="H72" s="1194" t="str">
        <f t="shared" ref="H72:H80" si="18">IFERROR(ROUNDDOWN($F$72*I72/2,4),"——")</f>
        <v>——</v>
      </c>
      <c r="I72" s="1195">
        <v>0.2</v>
      </c>
      <c r="J72" s="1196">
        <f t="shared" ref="J72:J80" si="19">K72+$G72</f>
        <v>0</v>
      </c>
      <c r="K72" s="1196">
        <f t="shared" ref="K72:K80" si="20">$L72+$G72</f>
        <v>0</v>
      </c>
      <c r="L72" s="1196">
        <v>0</v>
      </c>
      <c r="M72" s="1196">
        <f t="shared" ref="M72:N80" si="21">L72-$G72</f>
        <v>0</v>
      </c>
      <c r="N72" s="1196">
        <f t="shared" si="21"/>
        <v>0</v>
      </c>
      <c r="AA72" s="984"/>
      <c r="AB72" s="984"/>
      <c r="AC72" s="984"/>
      <c r="AD72" s="984"/>
      <c r="AE72" s="984"/>
      <c r="AF72" s="984"/>
      <c r="AG72" s="984"/>
      <c r="AH72" s="984"/>
      <c r="AI72" s="984"/>
      <c r="AJ72" s="984"/>
      <c r="AK72" s="984"/>
    </row>
    <row r="73" s="849" customFormat="1" ht="36" spans="1:37">
      <c r="A73" s="1183" t="s">
        <v>2261</v>
      </c>
      <c r="B73" s="1184" t="str">
        <f>估价对象房地状况!C18</f>
        <v>估价对象周边道路状况、公共交通通达情况、停车便捷程度，综合评价交通便捷度较好</v>
      </c>
      <c r="C73" s="968"/>
      <c r="D73" s="1190">
        <f t="shared" si="17"/>
        <v>0</v>
      </c>
      <c r="E73" s="1197"/>
      <c r="F73" s="1192"/>
      <c r="G73" s="1193"/>
      <c r="H73" s="1194" t="str">
        <f t="shared" si="18"/>
        <v>——</v>
      </c>
      <c r="I73" s="1195">
        <v>0.26</v>
      </c>
      <c r="J73" s="1196">
        <f t="shared" si="19"/>
        <v>0</v>
      </c>
      <c r="K73" s="1196">
        <f t="shared" si="20"/>
        <v>0</v>
      </c>
      <c r="L73" s="1196">
        <v>0</v>
      </c>
      <c r="M73" s="1196">
        <f t="shared" si="21"/>
        <v>0</v>
      </c>
      <c r="N73" s="1196">
        <f t="shared" si="21"/>
        <v>0</v>
      </c>
      <c r="AA73" s="984"/>
      <c r="AB73" s="984"/>
      <c r="AC73" s="984"/>
      <c r="AD73" s="984"/>
      <c r="AE73" s="984"/>
      <c r="AF73" s="984"/>
      <c r="AG73" s="984"/>
      <c r="AH73" s="984"/>
      <c r="AI73" s="984"/>
      <c r="AJ73" s="984"/>
      <c r="AK73" s="984"/>
    </row>
    <row r="74" s="850" customFormat="1" ht="36" spans="1:37">
      <c r="A74" s="1199" t="s">
        <v>2262</v>
      </c>
      <c r="B74" s="1184">
        <f>估价对象房地状况!C19</f>
        <v>0</v>
      </c>
      <c r="C74" s="968"/>
      <c r="D74" s="1190">
        <f t="shared" si="17"/>
        <v>0</v>
      </c>
      <c r="E74" s="1197"/>
      <c r="F74" s="1192"/>
      <c r="G74" s="1193"/>
      <c r="H74" s="1194" t="str">
        <f t="shared" si="18"/>
        <v>——</v>
      </c>
      <c r="I74" s="1195">
        <v>0.1</v>
      </c>
      <c r="J74" s="1196">
        <f t="shared" si="19"/>
        <v>0</v>
      </c>
      <c r="K74" s="1196">
        <f t="shared" si="20"/>
        <v>0</v>
      </c>
      <c r="L74" s="1196">
        <v>0</v>
      </c>
      <c r="M74" s="1196">
        <f t="shared" si="21"/>
        <v>0</v>
      </c>
      <c r="N74" s="1196">
        <f t="shared" si="21"/>
        <v>0</v>
      </c>
      <c r="O74" s="849"/>
      <c r="P74" s="849"/>
      <c r="Q74" s="849"/>
      <c r="AA74" s="995"/>
      <c r="AB74" s="984"/>
      <c r="AC74" s="984"/>
      <c r="AD74" s="984"/>
      <c r="AE74" s="984"/>
      <c r="AF74" s="984"/>
      <c r="AG74" s="984"/>
      <c r="AH74" s="995"/>
      <c r="AI74" s="995"/>
      <c r="AJ74" s="995"/>
      <c r="AK74" s="995"/>
    </row>
    <row r="75" ht="14.25" spans="1:37">
      <c r="A75" s="1183" t="s">
        <v>2276</v>
      </c>
      <c r="B75" s="1184">
        <f>估价对象房地状况!C24</f>
        <v>0</v>
      </c>
      <c r="C75" s="968"/>
      <c r="D75" s="1190">
        <f t="shared" si="17"/>
        <v>0</v>
      </c>
      <c r="E75" s="1197"/>
      <c r="F75" s="1192"/>
      <c r="G75" s="1193"/>
      <c r="H75" s="1194" t="str">
        <f t="shared" si="18"/>
        <v>——</v>
      </c>
      <c r="I75" s="1195">
        <v>0.05</v>
      </c>
      <c r="J75" s="1196">
        <f t="shared" si="19"/>
        <v>0</v>
      </c>
      <c r="K75" s="1196">
        <f t="shared" si="20"/>
        <v>0</v>
      </c>
      <c r="L75" s="1196">
        <v>0</v>
      </c>
      <c r="M75" s="1196">
        <f t="shared" si="21"/>
        <v>0</v>
      </c>
      <c r="N75" s="1196">
        <f t="shared" si="21"/>
        <v>0</v>
      </c>
      <c r="O75" s="849"/>
      <c r="P75" s="849"/>
      <c r="Q75" s="850"/>
      <c r="Z75" s="853"/>
      <c r="AA75" s="851"/>
      <c r="AG75" s="855"/>
      <c r="AK75" s="851"/>
    </row>
    <row r="76" ht="24" spans="1:37">
      <c r="A76" s="1183" t="s">
        <v>2268</v>
      </c>
      <c r="B76" s="1203" t="str">
        <f>估价对象房地状况!C21</f>
        <v>估价对象所在区域公共配套设施齐备情况</v>
      </c>
      <c r="C76" s="968"/>
      <c r="D76" s="1190">
        <f t="shared" si="17"/>
        <v>0</v>
      </c>
      <c r="E76" s="1197"/>
      <c r="F76" s="1192"/>
      <c r="G76" s="1193"/>
      <c r="H76" s="1194" t="str">
        <f t="shared" si="18"/>
        <v>——</v>
      </c>
      <c r="I76" s="1195">
        <v>0.08</v>
      </c>
      <c r="J76" s="1196">
        <f t="shared" si="19"/>
        <v>0</v>
      </c>
      <c r="K76" s="1196">
        <f t="shared" si="20"/>
        <v>0</v>
      </c>
      <c r="L76" s="1196">
        <v>0</v>
      </c>
      <c r="M76" s="1196">
        <f t="shared" si="21"/>
        <v>0</v>
      </c>
      <c r="N76" s="1196">
        <f t="shared" si="21"/>
        <v>0</v>
      </c>
      <c r="O76" s="849"/>
      <c r="P76" s="849"/>
      <c r="Z76" s="853"/>
      <c r="AA76" s="851"/>
      <c r="AG76" s="855"/>
      <c r="AK76" s="851"/>
    </row>
    <row r="77" ht="24" spans="1:37">
      <c r="A77" s="1183" t="s">
        <v>2269</v>
      </c>
      <c r="B77" s="1203" t="str">
        <f>估价对象房地状况!C22</f>
        <v>估价对象所在区域基础设施水平</v>
      </c>
      <c r="C77" s="968"/>
      <c r="D77" s="1190">
        <f t="shared" si="17"/>
        <v>0</v>
      </c>
      <c r="E77" s="1197"/>
      <c r="F77" s="1192"/>
      <c r="G77" s="1193"/>
      <c r="H77" s="1194" t="str">
        <f t="shared" si="18"/>
        <v>——</v>
      </c>
      <c r="I77" s="1195">
        <v>0.09</v>
      </c>
      <c r="J77" s="1196">
        <f t="shared" si="19"/>
        <v>0</v>
      </c>
      <c r="K77" s="1196">
        <f t="shared" si="20"/>
        <v>0</v>
      </c>
      <c r="L77" s="1196">
        <v>0</v>
      </c>
      <c r="M77" s="1196">
        <f t="shared" si="21"/>
        <v>0</v>
      </c>
      <c r="N77" s="1196">
        <f t="shared" si="21"/>
        <v>0</v>
      </c>
      <c r="O77" s="849"/>
      <c r="P77" s="849"/>
      <c r="Z77" s="853"/>
      <c r="AA77" s="851"/>
      <c r="AG77" s="855"/>
      <c r="AK77" s="851"/>
    </row>
    <row r="78" ht="24" spans="1:37">
      <c r="A78" s="1183" t="s">
        <v>2266</v>
      </c>
      <c r="B78" s="1201" t="s">
        <v>2267</v>
      </c>
      <c r="C78" s="968"/>
      <c r="D78" s="1190">
        <f t="shared" si="17"/>
        <v>0</v>
      </c>
      <c r="E78" s="1197"/>
      <c r="F78" s="1192"/>
      <c r="G78" s="1193"/>
      <c r="H78" s="1194" t="str">
        <f t="shared" si="18"/>
        <v>——</v>
      </c>
      <c r="I78" s="1195">
        <v>0.05</v>
      </c>
      <c r="J78" s="1196">
        <f t="shared" si="19"/>
        <v>0</v>
      </c>
      <c r="K78" s="1196">
        <f t="shared" si="20"/>
        <v>0</v>
      </c>
      <c r="L78" s="1196">
        <v>0</v>
      </c>
      <c r="M78" s="1196">
        <f t="shared" si="21"/>
        <v>0</v>
      </c>
      <c r="N78" s="1196">
        <f t="shared" si="21"/>
        <v>0</v>
      </c>
      <c r="O78" s="850"/>
      <c r="P78" s="850"/>
      <c r="Z78" s="853"/>
      <c r="AA78" s="851"/>
      <c r="AG78" s="855"/>
      <c r="AK78" s="851"/>
    </row>
    <row r="79" ht="24" spans="1:37">
      <c r="A79" s="1183" t="s">
        <v>2270</v>
      </c>
      <c r="B79" s="1189" t="str">
        <f>估价对象房地状况!C20</f>
        <v>区域自然环境：；人文环境；综合评价环境状况一般</v>
      </c>
      <c r="C79" s="968"/>
      <c r="D79" s="1190">
        <f t="shared" si="17"/>
        <v>0</v>
      </c>
      <c r="E79" s="1197"/>
      <c r="F79" s="1192"/>
      <c r="G79" s="1193"/>
      <c r="H79" s="1194" t="str">
        <f t="shared" si="18"/>
        <v>——</v>
      </c>
      <c r="I79" s="1195">
        <v>0.12</v>
      </c>
      <c r="J79" s="1196">
        <f t="shared" si="19"/>
        <v>0</v>
      </c>
      <c r="K79" s="1196">
        <f t="shared" si="20"/>
        <v>0</v>
      </c>
      <c r="L79" s="1196">
        <v>0</v>
      </c>
      <c r="M79" s="1196">
        <f t="shared" si="21"/>
        <v>0</v>
      </c>
      <c r="N79" s="1196">
        <f t="shared" si="21"/>
        <v>0</v>
      </c>
      <c r="Z79" s="853"/>
      <c r="AA79" s="851"/>
      <c r="AG79" s="855"/>
      <c r="AK79" s="851"/>
    </row>
    <row r="80" ht="24.75" spans="1:37">
      <c r="A80" s="1204" t="s">
        <v>2277</v>
      </c>
      <c r="B80" s="1210"/>
      <c r="C80" s="968"/>
      <c r="D80" s="1190">
        <f t="shared" si="17"/>
        <v>0</v>
      </c>
      <c r="E80" s="1206"/>
      <c r="F80" s="1192"/>
      <c r="G80" s="1193"/>
      <c r="H80" s="1194" t="str">
        <f t="shared" si="18"/>
        <v>——</v>
      </c>
      <c r="I80" s="1207">
        <v>0.05</v>
      </c>
      <c r="J80" s="1196">
        <f t="shared" si="19"/>
        <v>0</v>
      </c>
      <c r="K80" s="1196">
        <f t="shared" si="20"/>
        <v>0</v>
      </c>
      <c r="L80" s="1196">
        <v>0</v>
      </c>
      <c r="M80" s="1196">
        <f t="shared" si="21"/>
        <v>0</v>
      </c>
      <c r="N80" s="1196">
        <f t="shared" si="21"/>
        <v>0</v>
      </c>
      <c r="Z80" s="853"/>
      <c r="AA80" s="851"/>
      <c r="AG80" s="855"/>
      <c r="AK80" s="851"/>
    </row>
    <row r="81" ht="15" spans="1:37">
      <c r="A81" s="1177" t="s">
        <v>2278</v>
      </c>
      <c r="B81" s="1208">
        <f>1+E83</f>
        <v>1.0305</v>
      </c>
      <c r="C81" s="1180"/>
      <c r="D81" s="1180"/>
      <c r="E81" s="1181"/>
      <c r="F81" s="1182"/>
      <c r="G81" s="1175"/>
      <c r="H81" s="1175"/>
      <c r="I81" s="1175"/>
      <c r="J81" s="1174"/>
      <c r="K81" s="1174"/>
      <c r="L81" s="1174"/>
      <c r="M81" s="1174"/>
      <c r="N81" s="1174"/>
      <c r="Z81" s="853"/>
      <c r="AA81" s="851"/>
      <c r="AG81" s="855"/>
      <c r="AK81" s="851"/>
    </row>
    <row r="82" ht="24.75" spans="1:37">
      <c r="A82" s="1183" t="s">
        <v>2252</v>
      </c>
      <c r="B82" s="1184"/>
      <c r="C82" s="1184" t="s">
        <v>2254</v>
      </c>
      <c r="D82" s="1184" t="s">
        <v>2255</v>
      </c>
      <c r="E82" s="1185" t="s">
        <v>2256</v>
      </c>
      <c r="F82" s="1186" t="s">
        <v>2272</v>
      </c>
      <c r="G82" s="1184" t="s">
        <v>1218</v>
      </c>
      <c r="H82" s="1187" t="s">
        <v>2258</v>
      </c>
      <c r="I82" s="1184" t="s">
        <v>2259</v>
      </c>
      <c r="J82" s="1188" t="s">
        <v>1200</v>
      </c>
      <c r="K82" s="1188" t="s">
        <v>1201</v>
      </c>
      <c r="L82" s="1188" t="s">
        <v>1202</v>
      </c>
      <c r="M82" s="1188" t="s">
        <v>1203</v>
      </c>
      <c r="N82" s="1188" t="s">
        <v>1204</v>
      </c>
      <c r="Z82" s="853"/>
      <c r="AA82" s="851"/>
      <c r="AG82" s="855"/>
      <c r="AK82" s="851"/>
    </row>
    <row r="83" ht="38.25" spans="1:37">
      <c r="A83" s="1183" t="s">
        <v>2279</v>
      </c>
      <c r="B83" s="1184" t="str">
        <f>估价对象房地状况!G15</f>
        <v>估价对象位于XX开发区，园区建设成熟度XX，产业集聚程度XX</v>
      </c>
      <c r="C83" s="968" t="s">
        <v>2280</v>
      </c>
      <c r="D83" s="1190">
        <f t="shared" ref="D83:D90" si="22">SUMIF($J$82:$N$82,C83,J83:N83)</f>
        <v>0.013</v>
      </c>
      <c r="E83" s="1191">
        <f>ROUND(SUM(D83:D90),4)</f>
        <v>0.0305</v>
      </c>
      <c r="F83" s="1192">
        <f>IF(E2="工业",SUMIF(L1:L12,G2,N1:N12),"——")</f>
        <v>0.05</v>
      </c>
      <c r="G83" s="1193">
        <f>H83</f>
        <v>0.0065</v>
      </c>
      <c r="H83" s="1194">
        <f t="shared" ref="H83:H90" si="23">IFERROR(ROUNDDOWN($F$83*I83/2,4),"——")</f>
        <v>0.0065</v>
      </c>
      <c r="I83" s="1195">
        <v>0.26</v>
      </c>
      <c r="J83" s="1196">
        <f t="shared" ref="J83:J90" si="24">K83+$G83</f>
        <v>0.013</v>
      </c>
      <c r="K83" s="1196">
        <f t="shared" ref="K83:K90" si="25">$L83+$G83</f>
        <v>0.0065</v>
      </c>
      <c r="L83" s="1196">
        <v>0</v>
      </c>
      <c r="M83" s="1196">
        <f t="shared" ref="M83:N90" si="26">L83-$G83</f>
        <v>-0.0065</v>
      </c>
      <c r="N83" s="1196">
        <f t="shared" si="26"/>
        <v>-0.013</v>
      </c>
      <c r="Z83" s="853"/>
      <c r="AA83" s="851"/>
      <c r="AG83" s="855"/>
      <c r="AK83" s="851"/>
    </row>
    <row r="84" ht="36" spans="1:37">
      <c r="A84" s="1183" t="s">
        <v>2261</v>
      </c>
      <c r="B84" s="1184" t="str">
        <f>估价对象房地状况!G16</f>
        <v>估价对象周边道路状况、公共交通通达情况、停车便捷程度，综合评价交通便捷度较好</v>
      </c>
      <c r="C84" s="968" t="s">
        <v>1158</v>
      </c>
      <c r="D84" s="1190">
        <f t="shared" si="22"/>
        <v>0.0075</v>
      </c>
      <c r="E84" s="1197"/>
      <c r="F84" s="1192"/>
      <c r="G84" s="1193">
        <f t="shared" ref="G84:G90" si="27">H84</f>
        <v>0.0075</v>
      </c>
      <c r="H84" s="1194">
        <f t="shared" si="23"/>
        <v>0.0075</v>
      </c>
      <c r="I84" s="1195">
        <v>0.3</v>
      </c>
      <c r="J84" s="1196">
        <f t="shared" si="24"/>
        <v>0.015</v>
      </c>
      <c r="K84" s="1196">
        <f t="shared" si="25"/>
        <v>0.0075</v>
      </c>
      <c r="L84" s="1196">
        <v>0</v>
      </c>
      <c r="M84" s="1196">
        <f t="shared" si="26"/>
        <v>-0.0075</v>
      </c>
      <c r="N84" s="1196">
        <f t="shared" si="26"/>
        <v>-0.015</v>
      </c>
      <c r="Z84" s="853"/>
      <c r="AA84" s="851"/>
      <c r="AG84" s="855"/>
      <c r="AK84" s="851"/>
    </row>
    <row r="85" ht="36" spans="1:37">
      <c r="A85" s="1199" t="s">
        <v>2262</v>
      </c>
      <c r="B85" s="1184">
        <f>估价对象房地状况!G17</f>
        <v>0</v>
      </c>
      <c r="C85" s="968" t="s">
        <v>1158</v>
      </c>
      <c r="D85" s="1190">
        <f t="shared" si="22"/>
        <v>0.0025</v>
      </c>
      <c r="E85" s="1197"/>
      <c r="F85" s="1192"/>
      <c r="G85" s="1193">
        <f t="shared" si="27"/>
        <v>0.0025</v>
      </c>
      <c r="H85" s="1194">
        <f t="shared" si="23"/>
        <v>0.0025</v>
      </c>
      <c r="I85" s="1195">
        <v>0.1</v>
      </c>
      <c r="J85" s="1196">
        <f t="shared" si="24"/>
        <v>0.005</v>
      </c>
      <c r="K85" s="1196">
        <f t="shared" si="25"/>
        <v>0.0025</v>
      </c>
      <c r="L85" s="1196">
        <v>0</v>
      </c>
      <c r="M85" s="1196">
        <f t="shared" si="26"/>
        <v>-0.0025</v>
      </c>
      <c r="N85" s="1196">
        <f t="shared" si="26"/>
        <v>-0.005</v>
      </c>
      <c r="Z85" s="853"/>
      <c r="AA85" s="851"/>
      <c r="AG85" s="855"/>
      <c r="AK85" s="851"/>
    </row>
    <row r="86" ht="14.25" spans="1:37">
      <c r="A86" s="1183" t="s">
        <v>2276</v>
      </c>
      <c r="B86" s="1184">
        <f>估价对象房地状况!G22</f>
        <v>0</v>
      </c>
      <c r="C86" s="968" t="s">
        <v>1161</v>
      </c>
      <c r="D86" s="1190">
        <f t="shared" si="22"/>
        <v>0</v>
      </c>
      <c r="E86" s="1197"/>
      <c r="F86" s="1192"/>
      <c r="G86" s="1193">
        <f t="shared" si="27"/>
        <v>0.0012</v>
      </c>
      <c r="H86" s="1194">
        <f t="shared" si="23"/>
        <v>0.0012</v>
      </c>
      <c r="I86" s="1195">
        <v>0.05</v>
      </c>
      <c r="J86" s="1196">
        <f t="shared" si="24"/>
        <v>0.0024</v>
      </c>
      <c r="K86" s="1196">
        <f t="shared" si="25"/>
        <v>0.0012</v>
      </c>
      <c r="L86" s="1196">
        <v>0</v>
      </c>
      <c r="M86" s="1196">
        <f t="shared" si="26"/>
        <v>-0.0012</v>
      </c>
      <c r="N86" s="1196">
        <f t="shared" si="26"/>
        <v>-0.0024</v>
      </c>
      <c r="Z86" s="853"/>
      <c r="AA86" s="851"/>
      <c r="AG86" s="855"/>
      <c r="AK86" s="851"/>
    </row>
    <row r="87" ht="24" spans="1:37">
      <c r="A87" s="1183" t="s">
        <v>2268</v>
      </c>
      <c r="B87" s="1203" t="str">
        <f>估价对象房地状况!G19</f>
        <v>估价对象所在区域公共配套设施齐备情况</v>
      </c>
      <c r="C87" s="968" t="s">
        <v>1161</v>
      </c>
      <c r="D87" s="1190">
        <f t="shared" si="22"/>
        <v>0</v>
      </c>
      <c r="E87" s="1197"/>
      <c r="F87" s="1192"/>
      <c r="G87" s="1193">
        <f t="shared" si="27"/>
        <v>0.0015</v>
      </c>
      <c r="H87" s="1194">
        <f t="shared" si="23"/>
        <v>0.0015</v>
      </c>
      <c r="I87" s="1195">
        <v>0.06</v>
      </c>
      <c r="J87" s="1196">
        <f t="shared" si="24"/>
        <v>0.003</v>
      </c>
      <c r="K87" s="1196">
        <f t="shared" si="25"/>
        <v>0.0015</v>
      </c>
      <c r="L87" s="1196">
        <v>0</v>
      </c>
      <c r="M87" s="1196">
        <f t="shared" si="26"/>
        <v>-0.0015</v>
      </c>
      <c r="N87" s="1196">
        <f t="shared" si="26"/>
        <v>-0.003</v>
      </c>
    </row>
    <row r="88" ht="24" spans="1:37">
      <c r="A88" s="1183" t="s">
        <v>2269</v>
      </c>
      <c r="B88" s="1203" t="str">
        <f>估价对象房地状况!G20</f>
        <v>估价对象所在区域基础设施水平</v>
      </c>
      <c r="C88" s="968" t="s">
        <v>2280</v>
      </c>
      <c r="D88" s="1190">
        <f t="shared" si="22"/>
        <v>0.006</v>
      </c>
      <c r="E88" s="1197"/>
      <c r="F88" s="1192"/>
      <c r="G88" s="1193">
        <f t="shared" si="27"/>
        <v>0.003</v>
      </c>
      <c r="H88" s="1194">
        <f t="shared" si="23"/>
        <v>0.003</v>
      </c>
      <c r="I88" s="1195">
        <v>0.12</v>
      </c>
      <c r="J88" s="1196">
        <f t="shared" si="24"/>
        <v>0.006</v>
      </c>
      <c r="K88" s="1196">
        <f t="shared" si="25"/>
        <v>0.003</v>
      </c>
      <c r="L88" s="1196">
        <v>0</v>
      </c>
      <c r="M88" s="1196">
        <f t="shared" si="26"/>
        <v>-0.003</v>
      </c>
      <c r="N88" s="1196">
        <f t="shared" si="26"/>
        <v>-0.006</v>
      </c>
    </row>
    <row r="89" ht="24" spans="1:37">
      <c r="A89" s="1183" t="s">
        <v>2266</v>
      </c>
      <c r="B89" s="1201" t="s">
        <v>2281</v>
      </c>
      <c r="C89" s="968" t="s">
        <v>1158</v>
      </c>
      <c r="D89" s="1190">
        <f t="shared" si="22"/>
        <v>0.0015</v>
      </c>
      <c r="E89" s="1197"/>
      <c r="F89" s="1192"/>
      <c r="G89" s="1193">
        <f t="shared" si="27"/>
        <v>0.0015</v>
      </c>
      <c r="H89" s="1194">
        <f t="shared" si="23"/>
        <v>0.0015</v>
      </c>
      <c r="I89" s="1195">
        <v>0.06</v>
      </c>
      <c r="J89" s="1196">
        <f t="shared" si="24"/>
        <v>0.003</v>
      </c>
      <c r="K89" s="1196">
        <f t="shared" si="25"/>
        <v>0.0015</v>
      </c>
      <c r="L89" s="1196">
        <v>0</v>
      </c>
      <c r="M89" s="1196">
        <f t="shared" si="26"/>
        <v>-0.0015</v>
      </c>
      <c r="N89" s="1196">
        <f t="shared" si="26"/>
        <v>-0.003</v>
      </c>
    </row>
    <row r="90" ht="36.75" spans="1:37">
      <c r="A90" s="1204" t="s">
        <v>2282</v>
      </c>
      <c r="B90" s="1211" t="str">
        <f>估价对象房地状况!G18</f>
        <v>该园区内是否有污染型企业，绿化情况，卫生条件，整体环境状况判断</v>
      </c>
      <c r="C90" s="968" t="s">
        <v>1161</v>
      </c>
      <c r="D90" s="1190">
        <f t="shared" si="22"/>
        <v>0</v>
      </c>
      <c r="E90" s="1206"/>
      <c r="F90" s="1192"/>
      <c r="G90" s="1193">
        <f t="shared" si="27"/>
        <v>0.0012</v>
      </c>
      <c r="H90" s="1194">
        <f t="shared" si="23"/>
        <v>0.0012</v>
      </c>
      <c r="I90" s="1207">
        <v>0.05</v>
      </c>
      <c r="J90" s="1196">
        <f t="shared" si="24"/>
        <v>0.0024</v>
      </c>
      <c r="K90" s="1196">
        <f t="shared" si="25"/>
        <v>0.0012</v>
      </c>
      <c r="L90" s="1196">
        <v>0</v>
      </c>
      <c r="M90" s="1196">
        <f t="shared" si="26"/>
        <v>-0.0012</v>
      </c>
      <c r="N90" s="1196">
        <f t="shared" si="26"/>
        <v>-0.0024</v>
      </c>
    </row>
    <row r="91" ht="15" spans="1:37">
      <c r="A91" s="1212" t="s">
        <v>231</v>
      </c>
      <c r="B91" s="1213">
        <f>1+E93</f>
        <v>1</v>
      </c>
      <c r="C91" s="1214"/>
      <c r="D91" s="1215"/>
      <c r="E91" s="1198"/>
      <c r="F91" s="1198"/>
      <c r="G91" s="1216"/>
      <c r="H91" s="1217"/>
      <c r="I91" s="1218"/>
      <c r="J91" s="1219"/>
      <c r="K91" s="1219"/>
      <c r="L91" s="1219"/>
      <c r="M91" s="1219"/>
      <c r="N91" s="1219"/>
    </row>
    <row r="92" ht="24.75" spans="1:37">
      <c r="A92" s="1220" t="s">
        <v>2252</v>
      </c>
      <c r="B92" s="986"/>
      <c r="C92" s="986" t="s">
        <v>2254</v>
      </c>
      <c r="D92" s="986" t="s">
        <v>2255</v>
      </c>
      <c r="E92" s="1221" t="s">
        <v>2256</v>
      </c>
      <c r="F92" s="1222" t="s">
        <v>2272</v>
      </c>
      <c r="G92" s="986" t="s">
        <v>1218</v>
      </c>
      <c r="H92" s="1223" t="s">
        <v>2258</v>
      </c>
      <c r="I92" s="986" t="s">
        <v>2259</v>
      </c>
      <c r="J92" s="1224" t="s">
        <v>1200</v>
      </c>
      <c r="K92" s="1224" t="s">
        <v>1201</v>
      </c>
      <c r="L92" s="1224" t="s">
        <v>1202</v>
      </c>
      <c r="M92" s="1224" t="s">
        <v>1203</v>
      </c>
      <c r="N92" s="1224" t="s">
        <v>1204</v>
      </c>
    </row>
    <row r="93" ht="24" spans="1:37">
      <c r="A93" s="1199" t="s">
        <v>2283</v>
      </c>
      <c r="B93" s="1225"/>
      <c r="C93" s="968"/>
      <c r="D93" s="1226">
        <f>SUMIF($J$92:$N$92,C93,J93:N93)</f>
        <v>0</v>
      </c>
      <c r="E93" s="1227">
        <f>ROUND(SUM(D93:D101),4)</f>
        <v>0</v>
      </c>
      <c r="F93" s="1192" t="str">
        <f>IF(E2="公共服务",SUMIF(L1:L12,G2,N1:N12),"——")</f>
        <v>——</v>
      </c>
      <c r="G93" s="1228"/>
      <c r="H93" s="1229" t="str">
        <f>IFERROR(ROUNDDOWN($F$93*I93/2,4),"——")</f>
        <v>——</v>
      </c>
      <c r="I93" s="1195">
        <v>0.25</v>
      </c>
      <c r="J93" s="1230">
        <f t="shared" ref="J93:J101" si="28">K93+$G93</f>
        <v>0</v>
      </c>
      <c r="K93" s="1230">
        <f t="shared" ref="K93:K101" si="29">$L93+$G93</f>
        <v>0</v>
      </c>
      <c r="L93" s="1230">
        <v>0</v>
      </c>
      <c r="M93" s="1230">
        <f t="shared" ref="M93:N101" si="30">L93-$G93</f>
        <v>0</v>
      </c>
      <c r="N93" s="1230">
        <f t="shared" si="30"/>
        <v>0</v>
      </c>
    </row>
    <row r="94" ht="36" spans="1:37">
      <c r="A94" s="1220" t="s">
        <v>2261</v>
      </c>
      <c r="B94" s="1231" t="str">
        <f>估价对象房地状况!C18</f>
        <v>估价对象周边道路状况、公共交通通达情况、停车便捷程度，综合评价交通便捷度较好</v>
      </c>
      <c r="C94" s="968"/>
      <c r="D94" s="1226">
        <f t="shared" ref="D94:D101" si="31">SUMIF($J$60:$N$60,C94,J94:N94)</f>
        <v>0</v>
      </c>
      <c r="E94" s="1232"/>
      <c r="F94" s="1192"/>
      <c r="G94" s="1228"/>
      <c r="H94" s="1229" t="str">
        <f>IFERROR(ROUNDDOWN($F$93*I94/2,4),"——")</f>
        <v>——</v>
      </c>
      <c r="I94" s="1195">
        <v>0.26</v>
      </c>
      <c r="J94" s="1230">
        <f t="shared" si="28"/>
        <v>0</v>
      </c>
      <c r="K94" s="1230">
        <f t="shared" si="29"/>
        <v>0</v>
      </c>
      <c r="L94" s="1230">
        <v>0</v>
      </c>
      <c r="M94" s="1230">
        <f t="shared" si="30"/>
        <v>0</v>
      </c>
      <c r="N94" s="1230">
        <f t="shared" si="30"/>
        <v>0</v>
      </c>
    </row>
    <row r="95" ht="36" spans="1:37">
      <c r="A95" s="1199" t="s">
        <v>2262</v>
      </c>
      <c r="B95" s="1231">
        <f>估价对象房地状况!C19</f>
        <v>0</v>
      </c>
      <c r="C95" s="968"/>
      <c r="D95" s="1226">
        <f t="shared" si="31"/>
        <v>0</v>
      </c>
      <c r="E95" s="1232"/>
      <c r="F95" s="1192"/>
      <c r="G95" s="1228"/>
      <c r="H95" s="1229" t="str">
        <f t="shared" ref="H95:H101" si="32">IFERROR(ROUNDDOWN($F$93*I95/2,4),"——")</f>
        <v>——</v>
      </c>
      <c r="I95" s="1195">
        <v>0.11</v>
      </c>
      <c r="J95" s="1230">
        <f t="shared" si="28"/>
        <v>0</v>
      </c>
      <c r="K95" s="1230">
        <f t="shared" si="29"/>
        <v>0</v>
      </c>
      <c r="L95" s="1230">
        <v>0</v>
      </c>
      <c r="M95" s="1230">
        <f t="shared" si="30"/>
        <v>0</v>
      </c>
      <c r="N95" s="1230">
        <f t="shared" si="30"/>
        <v>0</v>
      </c>
    </row>
    <row r="96" ht="36.75" spans="1:37">
      <c r="A96" s="1220" t="s">
        <v>2263</v>
      </c>
      <c r="B96" s="1233" t="s">
        <v>2264</v>
      </c>
      <c r="C96" s="968"/>
      <c r="D96" s="1226">
        <f t="shared" si="31"/>
        <v>0</v>
      </c>
      <c r="E96" s="1232"/>
      <c r="F96" s="1192"/>
      <c r="G96" s="1228"/>
      <c r="H96" s="1229" t="str">
        <f t="shared" si="32"/>
        <v>——</v>
      </c>
      <c r="I96" s="1195">
        <v>0.05</v>
      </c>
      <c r="J96" s="1230">
        <f t="shared" si="28"/>
        <v>0</v>
      </c>
      <c r="K96" s="1230">
        <f t="shared" si="29"/>
        <v>0</v>
      </c>
      <c r="L96" s="1230">
        <v>0</v>
      </c>
      <c r="M96" s="1230">
        <f t="shared" si="30"/>
        <v>0</v>
      </c>
      <c r="N96" s="1230">
        <f t="shared" si="30"/>
        <v>0</v>
      </c>
    </row>
    <row r="97" ht="24" spans="1:14">
      <c r="A97" s="1220" t="s">
        <v>2265</v>
      </c>
      <c r="B97" s="1231">
        <f>估价对象房地状况!C24</f>
        <v>0</v>
      </c>
      <c r="C97" s="968"/>
      <c r="D97" s="1226">
        <f t="shared" si="31"/>
        <v>0</v>
      </c>
      <c r="E97" s="1232"/>
      <c r="F97" s="1192"/>
      <c r="G97" s="1228"/>
      <c r="H97" s="1229" t="str">
        <f t="shared" si="32"/>
        <v>——</v>
      </c>
      <c r="I97" s="1195">
        <v>0.05</v>
      </c>
      <c r="J97" s="1230">
        <f t="shared" si="28"/>
        <v>0</v>
      </c>
      <c r="K97" s="1230">
        <f t="shared" si="29"/>
        <v>0</v>
      </c>
      <c r="L97" s="1230">
        <v>0</v>
      </c>
      <c r="M97" s="1230">
        <f t="shared" si="30"/>
        <v>0</v>
      </c>
      <c r="N97" s="1230">
        <f t="shared" si="30"/>
        <v>0</v>
      </c>
    </row>
    <row r="98" ht="24" spans="1:14">
      <c r="A98" s="1220" t="s">
        <v>2266</v>
      </c>
      <c r="B98" s="1234" t="s">
        <v>2267</v>
      </c>
      <c r="C98" s="968"/>
      <c r="D98" s="1226">
        <f t="shared" si="31"/>
        <v>0</v>
      </c>
      <c r="E98" s="1232"/>
      <c r="F98" s="1192"/>
      <c r="G98" s="1228"/>
      <c r="H98" s="1229" t="str">
        <f t="shared" si="32"/>
        <v>——</v>
      </c>
      <c r="I98" s="1195">
        <v>0.06</v>
      </c>
      <c r="J98" s="1230">
        <f t="shared" si="28"/>
        <v>0</v>
      </c>
      <c r="K98" s="1230">
        <f t="shared" si="29"/>
        <v>0</v>
      </c>
      <c r="L98" s="1230">
        <v>0</v>
      </c>
      <c r="M98" s="1230">
        <f t="shared" si="30"/>
        <v>0</v>
      </c>
      <c r="N98" s="1230">
        <f t="shared" si="30"/>
        <v>0</v>
      </c>
    </row>
    <row r="99" ht="24" spans="1:14">
      <c r="A99" s="1220" t="s">
        <v>2268</v>
      </c>
      <c r="B99" s="1231" t="str">
        <f>估价对象房地状况!C21</f>
        <v>估价对象所在区域公共配套设施齐备情况</v>
      </c>
      <c r="C99" s="968"/>
      <c r="D99" s="1226">
        <f t="shared" si="31"/>
        <v>0</v>
      </c>
      <c r="E99" s="1232"/>
      <c r="F99" s="1192"/>
      <c r="G99" s="1228"/>
      <c r="H99" s="1229" t="str">
        <f t="shared" si="32"/>
        <v>——</v>
      </c>
      <c r="I99" s="1195">
        <v>0.06</v>
      </c>
      <c r="J99" s="1230">
        <f t="shared" si="28"/>
        <v>0</v>
      </c>
      <c r="K99" s="1230">
        <f t="shared" si="29"/>
        <v>0</v>
      </c>
      <c r="L99" s="1230">
        <v>0</v>
      </c>
      <c r="M99" s="1230">
        <f t="shared" si="30"/>
        <v>0</v>
      </c>
      <c r="N99" s="1230">
        <f t="shared" si="30"/>
        <v>0</v>
      </c>
    </row>
    <row r="100" ht="24" spans="1:14">
      <c r="A100" s="1220" t="s">
        <v>2269</v>
      </c>
      <c r="B100" s="1231" t="str">
        <f>估价对象房地状况!C22</f>
        <v>估价对象所在区域基础设施水平</v>
      </c>
      <c r="C100" s="968"/>
      <c r="D100" s="1226">
        <f t="shared" si="31"/>
        <v>0</v>
      </c>
      <c r="E100" s="1232"/>
      <c r="F100" s="1192"/>
      <c r="G100" s="1228"/>
      <c r="H100" s="1229" t="str">
        <f t="shared" si="32"/>
        <v>——</v>
      </c>
      <c r="I100" s="1195">
        <v>0.09</v>
      </c>
      <c r="J100" s="1230">
        <f t="shared" si="28"/>
        <v>0</v>
      </c>
      <c r="K100" s="1230">
        <f t="shared" si="29"/>
        <v>0</v>
      </c>
      <c r="L100" s="1230">
        <v>0</v>
      </c>
      <c r="M100" s="1230">
        <f t="shared" si="30"/>
        <v>0</v>
      </c>
      <c r="N100" s="1230">
        <f t="shared" si="30"/>
        <v>0</v>
      </c>
    </row>
    <row r="101" ht="24.75" spans="1:14">
      <c r="A101" s="1235" t="s">
        <v>2270</v>
      </c>
      <c r="B101" s="1236" t="str">
        <f>估价对象房地状况!C20</f>
        <v>区域自然环境：；人文环境；综合评价环境状况一般</v>
      </c>
      <c r="C101" s="968"/>
      <c r="D101" s="1226">
        <f t="shared" si="31"/>
        <v>0</v>
      </c>
      <c r="E101" s="1027"/>
      <c r="F101" s="1192"/>
      <c r="G101" s="1228"/>
      <c r="H101" s="1229" t="str">
        <f t="shared" si="32"/>
        <v>——</v>
      </c>
      <c r="I101" s="1207">
        <v>0.07</v>
      </c>
      <c r="J101" s="1230">
        <f t="shared" si="28"/>
        <v>0</v>
      </c>
      <c r="K101" s="1230">
        <f t="shared" si="29"/>
        <v>0</v>
      </c>
      <c r="L101" s="1230">
        <v>0</v>
      </c>
      <c r="M101" s="1230">
        <f t="shared" si="30"/>
        <v>0</v>
      </c>
      <c r="N101" s="1230">
        <f t="shared" si="30"/>
        <v>0</v>
      </c>
    </row>
    <row r="103" spans="1:14">
      <c r="A103" s="1237" t="s">
        <v>2284</v>
      </c>
      <c r="B103" s="1237"/>
      <c r="C103" s="1237"/>
      <c r="D103" s="1237"/>
      <c r="E103" s="1237"/>
      <c r="F103" s="1237"/>
      <c r="G103" s="1237"/>
      <c r="H103" s="1237"/>
      <c r="I103" s="1237"/>
      <c r="J103" s="1237"/>
      <c r="K103" s="1237"/>
      <c r="L103" s="1237"/>
      <c r="M103" s="1237"/>
      <c r="N103" s="1237"/>
    </row>
    <row r="104" spans="1:14">
      <c r="A104" s="1238" t="s">
        <v>2285</v>
      </c>
      <c r="B104" s="1238" t="s">
        <v>2286</v>
      </c>
      <c r="C104" s="1239" t="s">
        <v>2287</v>
      </c>
      <c r="D104" s="1124"/>
      <c r="E104" s="1124"/>
      <c r="F104" s="1124"/>
      <c r="G104" s="1124"/>
      <c r="H104" s="1124"/>
      <c r="I104" s="1124"/>
      <c r="J104" s="1124"/>
      <c r="K104" s="1124"/>
      <c r="L104" s="1124"/>
      <c r="M104" s="1124"/>
      <c r="N104" s="1240"/>
    </row>
    <row r="105" spans="1:14">
      <c r="A105" s="1238"/>
      <c r="B105" s="1238"/>
      <c r="C105" s="1238" t="s">
        <v>2138</v>
      </c>
      <c r="D105" s="1238" t="s">
        <v>2139</v>
      </c>
      <c r="E105" s="1238" t="s">
        <v>2140</v>
      </c>
      <c r="F105" s="1238" t="s">
        <v>2141</v>
      </c>
      <c r="G105" s="1238" t="s">
        <v>2142</v>
      </c>
      <c r="H105" s="1238" t="s">
        <v>2143</v>
      </c>
      <c r="I105" s="1238" t="s">
        <v>2144</v>
      </c>
      <c r="J105" s="1238" t="s">
        <v>2145</v>
      </c>
      <c r="K105" s="1238" t="s">
        <v>2146</v>
      </c>
      <c r="L105" s="1238" t="s">
        <v>2147</v>
      </c>
      <c r="M105" s="1238" t="s">
        <v>2148</v>
      </c>
      <c r="N105" s="1238" t="s">
        <v>2149</v>
      </c>
    </row>
    <row r="106" spans="1:14">
      <c r="A106" s="1241" t="s">
        <v>2288</v>
      </c>
      <c r="B106" s="1238">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8">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8">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8">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8">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8" t="s">
        <v>2154</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8">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2289</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44"/>
      <c r="L114" s="1248"/>
      <c r="M114" s="1248"/>
      <c r="N114" s="1248"/>
    </row>
    <row r="115" ht="13.5" spans="1:14">
      <c r="A115" s="1248"/>
      <c r="B115" s="1248"/>
      <c r="C115" s="1248"/>
      <c r="D115" s="1248"/>
      <c r="E115" s="1248"/>
      <c r="F115" s="1248"/>
      <c r="G115" s="1248"/>
      <c r="H115" s="1248"/>
      <c r="I115" s="1248"/>
      <c r="J115" s="1248"/>
      <c r="K115" s="1144"/>
      <c r="L115" s="1248"/>
      <c r="M115" s="1248"/>
      <c r="N115" s="1248"/>
    </row>
    <row r="116" ht="25.5" spans="1:14">
      <c r="A116" s="1249" t="s">
        <v>2290</v>
      </c>
      <c r="B116" s="1250">
        <f>G3</f>
        <v>1</v>
      </c>
      <c r="C116" s="1251" t="s">
        <v>2291</v>
      </c>
      <c r="D116" s="1252">
        <f>SUMPRODUCT((A118:A122=F116)*(B117:M117=H116)*B118:M122)</f>
        <v>0.6432</v>
      </c>
      <c r="E116" s="1251" t="s">
        <v>2113</v>
      </c>
      <c r="F116" s="1253" t="str">
        <f>E2</f>
        <v>工业</v>
      </c>
      <c r="G116" s="1251" t="s">
        <v>2114</v>
      </c>
      <c r="H116" s="1253" t="str">
        <f>G2</f>
        <v>六级</v>
      </c>
      <c r="I116" s="1254"/>
      <c r="J116" s="1255"/>
      <c r="K116" s="1255"/>
      <c r="L116" s="1255"/>
      <c r="M116" s="1255"/>
      <c r="N116" s="1248"/>
    </row>
    <row r="117" spans="1:14">
      <c r="A117" s="1099"/>
      <c r="B117" s="1256" t="s">
        <v>2292</v>
      </c>
      <c r="C117" s="1256" t="s">
        <v>2293</v>
      </c>
      <c r="D117" s="1256" t="s">
        <v>2294</v>
      </c>
      <c r="E117" s="1256" t="s">
        <v>2295</v>
      </c>
      <c r="F117" s="1256" t="s">
        <v>2296</v>
      </c>
      <c r="G117" s="1256" t="s">
        <v>2297</v>
      </c>
      <c r="H117" s="1257" t="s">
        <v>2298</v>
      </c>
      <c r="I117" s="1257" t="s">
        <v>2299</v>
      </c>
      <c r="J117" s="1256" t="s">
        <v>2300</v>
      </c>
      <c r="K117" s="1256" t="s">
        <v>2301</v>
      </c>
      <c r="L117" s="1256" t="s">
        <v>2302</v>
      </c>
      <c r="M117" s="1258" t="s">
        <v>2303</v>
      </c>
      <c r="N117" s="1248"/>
    </row>
    <row r="118" spans="1:14">
      <c r="A118" s="1108" t="s">
        <v>2222</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6">I118</f>
        <v>0.8306</v>
      </c>
      <c r="K118" s="1246">
        <f t="shared" si="36"/>
        <v>0.8306</v>
      </c>
      <c r="L118" s="1246">
        <f t="shared" si="36"/>
        <v>0.8306</v>
      </c>
      <c r="M118" s="1259">
        <f t="shared" si="36"/>
        <v>0.8306</v>
      </c>
      <c r="N118" s="1248"/>
    </row>
    <row r="119" spans="1:14">
      <c r="A119" s="1108" t="s">
        <v>2223</v>
      </c>
      <c r="B119" s="1246">
        <f>ROUND(0.993-0.0112*B116,4)</f>
        <v>0.9818</v>
      </c>
      <c r="C119" s="1246">
        <f>B119</f>
        <v>0.9818</v>
      </c>
      <c r="D119" s="1246">
        <f>ROUND(0.9415-0.0142*B116,4)</f>
        <v>0.9273</v>
      </c>
      <c r="E119" s="1246">
        <f t="shared" ref="E119:H120" si="37">D119</f>
        <v>0.9273</v>
      </c>
      <c r="F119" s="1246">
        <f t="shared" si="37"/>
        <v>0.9273</v>
      </c>
      <c r="G119" s="1246">
        <f t="shared" si="37"/>
        <v>0.9273</v>
      </c>
      <c r="H119" s="1246">
        <f t="shared" si="37"/>
        <v>0.9273</v>
      </c>
      <c r="I119" s="1246">
        <f>ROUND(0.838-0.0182*B116,4)</f>
        <v>0.8198</v>
      </c>
      <c r="J119" s="1246">
        <f t="shared" si="36"/>
        <v>0.8198</v>
      </c>
      <c r="K119" s="1246">
        <f t="shared" si="36"/>
        <v>0.8198</v>
      </c>
      <c r="L119" s="1246">
        <f t="shared" si="36"/>
        <v>0.8198</v>
      </c>
      <c r="M119" s="1259">
        <f t="shared" si="36"/>
        <v>0.8198</v>
      </c>
      <c r="N119" s="1248"/>
    </row>
    <row r="120" spans="1:14">
      <c r="A120" s="1108" t="s">
        <v>2224</v>
      </c>
      <c r="B120" s="1246">
        <f>ROUND(0.9448-0.0115*B116,4)</f>
        <v>0.9333</v>
      </c>
      <c r="C120" s="1246">
        <f>B120</f>
        <v>0.9333</v>
      </c>
      <c r="D120" s="1246">
        <f>ROUND(0.937-0.0145*B116,4)</f>
        <v>0.9225</v>
      </c>
      <c r="E120" s="1246">
        <f t="shared" si="37"/>
        <v>0.9225</v>
      </c>
      <c r="F120" s="1246">
        <f t="shared" si="37"/>
        <v>0.9225</v>
      </c>
      <c r="G120" s="1246">
        <f t="shared" si="37"/>
        <v>0.9225</v>
      </c>
      <c r="H120" s="1246">
        <f t="shared" si="37"/>
        <v>0.9225</v>
      </c>
      <c r="I120" s="1246">
        <f>ROUND(0.7965-0.0185*B116,4)</f>
        <v>0.778</v>
      </c>
      <c r="J120" s="1246">
        <f t="shared" si="36"/>
        <v>0.778</v>
      </c>
      <c r="K120" s="1246">
        <f t="shared" si="36"/>
        <v>0.778</v>
      </c>
      <c r="L120" s="1246">
        <f t="shared" si="36"/>
        <v>0.778</v>
      </c>
      <c r="M120" s="1259">
        <f t="shared" si="36"/>
        <v>0.778</v>
      </c>
      <c r="N120" s="1248"/>
    </row>
    <row r="121" spans="1:14">
      <c r="A121" s="1108" t="s">
        <v>2225</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6"/>
        <v>0.5715</v>
      </c>
      <c r="K121" s="1246">
        <f t="shared" si="36"/>
        <v>0.5715</v>
      </c>
      <c r="L121" s="1246">
        <f t="shared" si="36"/>
        <v>0.5715</v>
      </c>
      <c r="M121" s="1259">
        <f t="shared" si="36"/>
        <v>0.5715</v>
      </c>
      <c r="N121" s="1248"/>
    </row>
    <row r="122" ht="13.5" spans="1:14">
      <c r="A122" s="1260" t="s">
        <v>231</v>
      </c>
      <c r="B122" s="1261">
        <f>ROUND(0.9404-0.0106*B116,4)</f>
        <v>0.9298</v>
      </c>
      <c r="C122" s="1261">
        <f>B122</f>
        <v>0.9298</v>
      </c>
      <c r="D122" s="1261">
        <f>ROUND(0.8955-0.0135*B116,4)</f>
        <v>0.882</v>
      </c>
      <c r="E122" s="1261">
        <f t="shared" ref="E122:H122" si="38">D122</f>
        <v>0.882</v>
      </c>
      <c r="F122" s="1261">
        <f t="shared" si="38"/>
        <v>0.882</v>
      </c>
      <c r="G122" s="1261">
        <f t="shared" si="38"/>
        <v>0.882</v>
      </c>
      <c r="H122" s="1261">
        <f t="shared" si="38"/>
        <v>0.882</v>
      </c>
      <c r="I122" s="1261">
        <f>ROUND(0.7632-0.0166*B116,4)</f>
        <v>0.7466</v>
      </c>
      <c r="J122" s="1261">
        <f t="shared" si="36"/>
        <v>0.7466</v>
      </c>
      <c r="K122" s="1261">
        <f t="shared" si="36"/>
        <v>0.7466</v>
      </c>
      <c r="L122" s="1261">
        <f t="shared" si="36"/>
        <v>0.7466</v>
      </c>
      <c r="M122" s="1262">
        <f t="shared" si="36"/>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619" t="s">
        <v>351</v>
      </c>
      <c r="B1" s="732"/>
      <c r="C1" s="733"/>
      <c r="D1" s="734"/>
      <c r="E1" s="735"/>
      <c r="F1" s="735"/>
      <c r="G1" s="736"/>
      <c r="H1" s="735"/>
      <c r="I1" s="735"/>
      <c r="J1" s="735"/>
      <c r="K1" s="737">
        <f>MATCH(C1,'数据-取费表'!A6:A16,0)+5</f>
        <v>7</v>
      </c>
    </row>
    <row r="2" ht="18" customHeight="1" spans="1:33">
      <c r="A2" s="436" t="s">
        <v>1122</v>
      </c>
      <c r="B2" s="625">
        <f ca="1">C34</f>
        <v>-6821</v>
      </c>
      <c r="C2" s="738" t="s">
        <v>2023</v>
      </c>
      <c r="D2" s="738"/>
      <c r="E2" s="735"/>
      <c r="F2" s="735"/>
      <c r="G2" s="735"/>
      <c r="H2" s="735"/>
      <c r="I2" s="735"/>
      <c r="J2" s="735"/>
      <c r="K2" s="735"/>
    </row>
    <row r="3" ht="18" customHeight="1" spans="1:33">
      <c r="A3" s="439" t="s">
        <v>1125</v>
      </c>
      <c r="B3" s="625">
        <f ca="1">ROUND(B2*10000/IF(C1="",'数据-汇总表'!E3,INDIRECT("'数据-取费表'!K"&amp;$K$1)),0)</f>
        <v>-3263</v>
      </c>
      <c r="C3" s="738" t="s">
        <v>2024</v>
      </c>
      <c r="D3" s="738"/>
      <c r="E3" s="735"/>
      <c r="F3" s="735"/>
      <c r="G3" s="735"/>
      <c r="H3" s="735"/>
      <c r="I3" s="735"/>
      <c r="J3" s="735"/>
      <c r="K3" s="735"/>
    </row>
    <row r="4" ht="18" customHeight="1" spans="1:33">
      <c r="A4" s="626" t="s">
        <v>1970</v>
      </c>
      <c r="B4" s="623" t="e">
        <f ca="1">ROUND(B2*10000/IF(C1="",'数据-汇总表'!D3,INDIRECT("'数据-取费表'!R"&amp;$K$1)),0)</f>
        <v>#DIV/0!</v>
      </c>
      <c r="C4" s="739" t="s">
        <v>1480</v>
      </c>
      <c r="D4" s="738"/>
      <c r="E4" s="735"/>
      <c r="F4" s="735"/>
      <c r="G4" s="735"/>
      <c r="H4" s="735"/>
      <c r="I4" s="735"/>
      <c r="J4" s="735"/>
      <c r="K4" s="735"/>
    </row>
    <row r="5" ht="18" customHeight="1" spans="1:33">
      <c r="A5" s="435"/>
      <c r="B5" s="627" t="e">
        <f ca="1">ROUND(B2/(IF(C1="",'数据-汇总表'!D3,INDIRECT("'数据-取费表'!R"&amp;$K$1))/666.67),0)</f>
        <v>#DIV/0!</v>
      </c>
      <c r="C5" s="740" t="s">
        <v>1971</v>
      </c>
      <c r="D5" s="738"/>
      <c r="E5" s="735"/>
      <c r="F5" s="735"/>
      <c r="G5" s="735"/>
      <c r="H5" s="735"/>
      <c r="I5" s="735"/>
      <c r="J5" s="735"/>
      <c r="K5" s="735"/>
    </row>
    <row r="6" s="719" customFormat="1" ht="16.5" customHeight="1" spans="1:33">
      <c r="A6" s="741" t="s">
        <v>2304</v>
      </c>
      <c r="B6" s="742"/>
      <c r="C6" s="743" t="s">
        <v>2028</v>
      </c>
      <c r="D6" s="743"/>
      <c r="E6" s="743"/>
      <c r="F6" s="743"/>
      <c r="G6" s="743"/>
      <c r="H6" s="743"/>
      <c r="I6" s="743"/>
      <c r="J6" s="743"/>
      <c r="K6" s="744"/>
    </row>
    <row r="7" s="720" customFormat="1" ht="15" spans="1:33">
      <c r="A7" s="745" t="s">
        <v>2029</v>
      </c>
      <c r="B7" s="746" t="s">
        <v>2030</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2031</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2032</v>
      </c>
      <c r="C9" s="755">
        <f>SUMIF('数据-汇总表'!$C19:$C33,'剩余法（现房）'!C7,'数据-汇总表'!$E19:$E33)</f>
        <v>0</v>
      </c>
      <c r="D9" s="755">
        <f>SUMIF('数据-汇总表'!$C19:$C33,'剩余法（现房）'!D7,'数据-汇总表'!$E19:$E33)</f>
        <v>0</v>
      </c>
      <c r="E9" s="755">
        <f>SUMIF('数据-汇总表'!$C19:$C33,'剩余法（现房）'!E7,'数据-汇总表'!$E19:$E33)</f>
        <v>0</v>
      </c>
      <c r="F9" s="755">
        <f>SUMIF('数据-汇总表'!$C19:$C33,'剩余法（现房）'!F7,'数据-汇总表'!$E19:$E33)</f>
        <v>0</v>
      </c>
      <c r="G9" s="755">
        <f>SUMIF('数据-汇总表'!$C19:$C33,'剩余法（现房）'!G7,'数据-汇总表'!$E19:$E33)</f>
        <v>0</v>
      </c>
      <c r="H9" s="755">
        <f>SUMIF('数据-汇总表'!$C19:$C33,'剩余法（现房）'!H7,'数据-汇总表'!$E19:$E33)</f>
        <v>0</v>
      </c>
      <c r="I9" s="755">
        <f>SUMIF('数据-汇总表'!$C19:$C33,'剩余法（现房）'!I7,'数据-汇总表'!$E19:$E33)</f>
        <v>0</v>
      </c>
      <c r="J9" s="755">
        <f>SUMIF('数据-汇总表'!$C19:$C33,'剩余法（现房）'!J7,'数据-汇总表'!$E19:$E33)</f>
        <v>0</v>
      </c>
      <c r="K9" s="756">
        <f>SUMIF('数据-汇总表'!$C19:$C33,'剩余法（现房）'!K7,'数据-汇总表'!$E19:$E33)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1340</v>
      </c>
      <c r="B10" s="758" t="s">
        <v>1481</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763" t="s">
        <v>2305</v>
      </c>
      <c r="B11" s="764"/>
      <c r="C11" s="764"/>
      <c r="D11" s="764"/>
      <c r="E11" s="764"/>
      <c r="F11" s="764"/>
      <c r="G11" s="764"/>
      <c r="H11" s="764"/>
      <c r="I11" s="764"/>
      <c r="J11" s="764"/>
      <c r="K11" s="765"/>
    </row>
    <row r="12" s="723" customFormat="1" ht="13.5" customHeight="1" spans="1:33">
      <c r="A12" s="766" t="s">
        <v>1004</v>
      </c>
      <c r="B12" s="767" t="s">
        <v>2030</v>
      </c>
      <c r="C12" s="768" t="s">
        <v>1481</v>
      </c>
      <c r="D12" s="767" t="s">
        <v>2035</v>
      </c>
      <c r="E12" s="767" t="s">
        <v>2036</v>
      </c>
      <c r="F12" s="767" t="s">
        <v>2037</v>
      </c>
      <c r="G12" s="769" t="s">
        <v>1485</v>
      </c>
      <c r="H12" s="770"/>
      <c r="I12" s="770"/>
      <c r="J12" s="770"/>
      <c r="K12" s="771"/>
    </row>
    <row r="13" s="724" customFormat="1" ht="13.5" customHeight="1" spans="1:33">
      <c r="A13" s="745">
        <v>1</v>
      </c>
      <c r="B13" s="772" t="s">
        <v>2306</v>
      </c>
      <c r="C13" s="773">
        <f>SUM(C10:K10)</f>
        <v>0</v>
      </c>
      <c r="D13" s="774"/>
      <c r="E13" s="774"/>
      <c r="F13" s="775"/>
      <c r="G13" s="776"/>
      <c r="H13" s="777"/>
      <c r="I13" s="777"/>
      <c r="J13" s="777"/>
      <c r="K13" s="778"/>
    </row>
    <row r="14" s="724" customFormat="1" ht="13.5" customHeight="1" spans="1:33">
      <c r="A14" s="745">
        <v>2</v>
      </c>
      <c r="B14" s="779" t="s">
        <v>2307</v>
      </c>
      <c r="C14" s="773">
        <v>0</v>
      </c>
      <c r="D14" s="779"/>
      <c r="E14" s="779"/>
      <c r="F14" s="780">
        <v>0</v>
      </c>
      <c r="G14" s="781" t="s">
        <v>2308</v>
      </c>
      <c r="H14" s="777"/>
      <c r="I14" s="777"/>
      <c r="J14" s="777"/>
      <c r="K14" s="778"/>
    </row>
    <row r="15" s="725" customFormat="1" ht="13.5" customHeight="1" spans="1:33">
      <c r="A15" s="745">
        <v>3</v>
      </c>
      <c r="B15" s="782" t="s">
        <v>2309</v>
      </c>
      <c r="C15" s="670">
        <f ca="1">C32-C33</f>
        <v>6821</v>
      </c>
      <c r="D15" s="782"/>
      <c r="E15" s="783"/>
      <c r="F15" s="784"/>
      <c r="G15" s="785" t="s">
        <v>1566</v>
      </c>
      <c r="H15" s="786"/>
      <c r="I15" s="786"/>
      <c r="J15" s="786"/>
      <c r="K15" s="787"/>
    </row>
    <row r="16" s="725" customFormat="1" ht="13.5" customHeight="1" spans="1:33">
      <c r="A16" s="788" t="s">
        <v>2206</v>
      </c>
      <c r="B16" s="789" t="s">
        <v>1548</v>
      </c>
      <c r="C16" s="790">
        <f ca="1">SUM(C17:C22)</f>
        <v>7809</v>
      </c>
      <c r="D16" s="789"/>
      <c r="E16" s="789"/>
      <c r="F16" s="791"/>
      <c r="G16" s="792"/>
      <c r="H16" s="777"/>
      <c r="I16" s="777"/>
      <c r="J16" s="777"/>
      <c r="K16" s="778"/>
    </row>
    <row r="17" s="725" customFormat="1" ht="13.5" customHeight="1" spans="1:33">
      <c r="A17" s="793" t="s">
        <v>2310</v>
      </c>
      <c r="B17" s="794" t="s">
        <v>1496</v>
      </c>
      <c r="C17" s="795">
        <f ca="1">IF(C1="",'数据-取费表'!M16,INDIRECT("'数据-取费表'!M"&amp;$K$1)+INDIRECT("'数据-取费表'!ap"&amp;$K$1))</f>
        <v>6689</v>
      </c>
      <c r="D17" s="796"/>
      <c r="E17" s="797"/>
      <c r="F17" s="798"/>
      <c r="G17" s="799"/>
      <c r="H17" s="777"/>
      <c r="I17" s="777"/>
      <c r="J17" s="777"/>
      <c r="K17" s="778"/>
    </row>
    <row r="18" s="725" customFormat="1" ht="13.5" customHeight="1" spans="1:33">
      <c r="A18" s="793" t="s">
        <v>2311</v>
      </c>
      <c r="B18" s="800" t="s">
        <v>1498</v>
      </c>
      <c r="C18" s="795">
        <f ca="1">ROUND(C17*F18,0)</f>
        <v>468</v>
      </c>
      <c r="D18" s="789"/>
      <c r="E18" s="789"/>
      <c r="F18" s="801">
        <f>'数据-取费表'!B33</f>
        <v>0.07</v>
      </c>
      <c r="G18" s="792"/>
      <c r="H18" s="777"/>
      <c r="I18" s="777"/>
      <c r="J18" s="777"/>
      <c r="K18" s="778"/>
    </row>
    <row r="19" s="725" customFormat="1" ht="13.5" customHeight="1" spans="1:33">
      <c r="A19" s="793" t="s">
        <v>2312</v>
      </c>
      <c r="B19" s="802" t="s">
        <v>1501</v>
      </c>
      <c r="C19" s="795">
        <f ca="1">ROUND(IF(C1="",SUMIF('数据-取费表'!C:C,"住宅",'数据-取费表'!M:M)*F19,IF(INDIRECT("'数据-取费表'!c"&amp;$K$1)="住宅",INDIRECT("'数据-取费表'!M"&amp;$K$1)*F19,0)),0)</f>
        <v>0</v>
      </c>
      <c r="D19" s="803"/>
      <c r="E19" s="803"/>
      <c r="F19" s="801">
        <f>'数据-取费表'!B34</f>
        <v>0</v>
      </c>
      <c r="G19" s="804"/>
      <c r="H19" s="777"/>
      <c r="I19" s="777"/>
      <c r="J19" s="777"/>
      <c r="K19" s="778"/>
    </row>
    <row r="20" s="725" customFormat="1" ht="13.5" customHeight="1" spans="1:33">
      <c r="A20" s="793" t="s">
        <v>2313</v>
      </c>
      <c r="B20" s="802" t="s">
        <v>2314</v>
      </c>
      <c r="C20" s="795">
        <f ca="1">ROUND(D20*E20/10000,0)</f>
        <v>585</v>
      </c>
      <c r="D20" s="805">
        <f ca="1">IF(C1="",'数据-汇总表'!E3,INDIRECT("'数据-取费表'!K"&amp;$K$1)+INDIRECT("'数据-取费表'!S"&amp;$K$1))</f>
        <v>20903.38</v>
      </c>
      <c r="E20" s="806">
        <f>'数据-取费表'!B35</f>
        <v>280</v>
      </c>
      <c r="F20" s="805"/>
      <c r="G20" s="804"/>
      <c r="H20" s="777"/>
      <c r="I20" s="777"/>
      <c r="J20" s="786"/>
      <c r="K20" s="787"/>
    </row>
    <row r="21" s="725" customFormat="1" ht="13.5" customHeight="1" spans="1:33">
      <c r="A21" s="793" t="s">
        <v>2315</v>
      </c>
      <c r="B21" s="807" t="s">
        <v>1515</v>
      </c>
      <c r="C21" s="795">
        <f ca="1">ROUND(C17*F21,0)</f>
        <v>67</v>
      </c>
      <c r="D21" s="803"/>
      <c r="E21" s="803"/>
      <c r="F21" s="801">
        <f>'数据-取费表'!B36</f>
        <v>0.01</v>
      </c>
      <c r="G21" s="804"/>
      <c r="H21" s="808"/>
      <c r="I21" s="808"/>
      <c r="J21" s="808"/>
      <c r="K21" s="809"/>
    </row>
    <row r="22" s="725" customFormat="1" ht="13.5" customHeight="1" spans="1:33">
      <c r="A22" s="793" t="s">
        <v>2316</v>
      </c>
      <c r="B22" s="807" t="s">
        <v>1518</v>
      </c>
      <c r="C22" s="795">
        <f ca="1">ROUND(C17*F22,0)</f>
        <v>0</v>
      </c>
      <c r="D22" s="803"/>
      <c r="E22" s="803"/>
      <c r="F22" s="801">
        <f>'数据-取费表'!B37</f>
        <v>0</v>
      </c>
      <c r="G22" s="804"/>
      <c r="H22" s="808"/>
      <c r="I22" s="808"/>
      <c r="J22" s="808"/>
      <c r="K22" s="809"/>
    </row>
    <row r="23" s="726" customFormat="1" ht="13.5" customHeight="1" spans="1:33">
      <c r="A23" s="788" t="s">
        <v>2211</v>
      </c>
      <c r="B23" s="789" t="s">
        <v>2090</v>
      </c>
      <c r="C23" s="810">
        <f ca="1">ROUND(C16*F23,0)</f>
        <v>156</v>
      </c>
      <c r="D23" s="811"/>
      <c r="E23" s="811"/>
      <c r="F23" s="812">
        <f>'数据-取费表'!B38</f>
        <v>0.02</v>
      </c>
      <c r="G23" s="813" t="s">
        <v>2317</v>
      </c>
      <c r="H23" s="777"/>
      <c r="I23" s="777"/>
      <c r="J23" s="777"/>
      <c r="K23" s="778"/>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788" t="s">
        <v>2318</v>
      </c>
      <c r="B24" s="789" t="s">
        <v>2093</v>
      </c>
      <c r="C24" s="810" t="str">
        <f>F24&amp;"V建"</f>
        <v>0.02V建</v>
      </c>
      <c r="D24" s="811"/>
      <c r="E24" s="811"/>
      <c r="F24" s="812">
        <f>'数据-取费表'!B39</f>
        <v>0.02</v>
      </c>
      <c r="G24" s="813" t="s">
        <v>2319</v>
      </c>
      <c r="H24" s="786"/>
      <c r="I24" s="786"/>
      <c r="J24" s="786"/>
      <c r="K24" s="787"/>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ht="15" spans="1:33">
      <c r="A25" s="788" t="s">
        <v>2320</v>
      </c>
      <c r="B25" s="789" t="s">
        <v>1356</v>
      </c>
      <c r="C25" s="814" t="str">
        <f ca="1">C26&amp;"+"&amp;C27&amp;"V建"</f>
        <v>249+0.0004V建</v>
      </c>
      <c r="D25" s="815"/>
      <c r="E25" s="815"/>
      <c r="F25" s="801">
        <f ca="1">'数据-取费表'!B41</f>
        <v>0.0313</v>
      </c>
      <c r="G25" s="816" t="s">
        <v>2321</v>
      </c>
      <c r="H25" s="817"/>
      <c r="I25" s="817"/>
      <c r="J25" s="817"/>
      <c r="K25" s="818"/>
    </row>
    <row r="26" s="726" customFormat="1" ht="13.5" customHeight="1" spans="1:33">
      <c r="A26" s="793" t="s">
        <v>2310</v>
      </c>
      <c r="B26" s="807" t="s">
        <v>2322</v>
      </c>
      <c r="C26" s="814">
        <f ca="1">ROUND(IF('数据-取费表'!B20&lt;=1,(C16+C23)*F25*'数据-取费表'!B20/2,(C23+C16)*(POWER((1+F25),'数据-取费表'!B20/2)-1)),0)</f>
        <v>249</v>
      </c>
      <c r="D26" s="815"/>
      <c r="E26" s="815"/>
      <c r="F26" s="805"/>
      <c r="G26" s="816" t="s">
        <v>2323</v>
      </c>
      <c r="H26" s="786"/>
      <c r="I26" s="786"/>
      <c r="J26" s="786"/>
      <c r="K26" s="787"/>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93" t="s">
        <v>2311</v>
      </c>
      <c r="B27" s="807" t="s">
        <v>2324</v>
      </c>
      <c r="C27" s="819">
        <f ca="1">ROUND(IF('数据-取费表'!B20&lt;=1,F24*F25*'数据-取费表'!B20/2,F24*(POWER((1+F23),'数据-取费表'!B20/2)-1)),4)</f>
        <v>0.0004</v>
      </c>
      <c r="D27" s="820"/>
      <c r="E27" s="820"/>
      <c r="F27" s="798"/>
      <c r="G27" s="821"/>
      <c r="H27" s="777"/>
      <c r="I27" s="777"/>
      <c r="J27" s="777"/>
      <c r="K27" s="778"/>
    </row>
    <row r="28" s="725" customFormat="1" ht="13.5" customHeight="1" spans="1:33">
      <c r="A28" s="788" t="s">
        <v>2057</v>
      </c>
      <c r="B28" s="789" t="s">
        <v>1362</v>
      </c>
      <c r="C28" s="822" t="str">
        <f ca="1">C29&amp;"+"&amp;C30&amp;"V建"</f>
        <v>797+0.002V建</v>
      </c>
      <c r="D28" s="823"/>
      <c r="E28" s="823"/>
      <c r="F28" s="824">
        <f ca="1">IF(C1="",'数据-取费表'!Q16,INDIRECT("'数据-取费表'!q"&amp;$K$1))</f>
        <v>0.1</v>
      </c>
      <c r="G28" s="825" t="s">
        <v>2325</v>
      </c>
      <c r="H28" s="777"/>
      <c r="I28" s="777"/>
      <c r="J28" s="777"/>
      <c r="K28" s="778"/>
    </row>
    <row r="29" s="725" customFormat="1" ht="13.5" customHeight="1" spans="1:33">
      <c r="A29" s="793" t="s">
        <v>2310</v>
      </c>
      <c r="B29" s="807" t="s">
        <v>2326</v>
      </c>
      <c r="C29" s="826">
        <f ca="1">ROUND((C16+C23)*F28,0)</f>
        <v>797</v>
      </c>
      <c r="D29" s="823"/>
      <c r="E29" s="823"/>
      <c r="F29" s="827"/>
      <c r="G29" s="825"/>
      <c r="H29" s="828"/>
      <c r="I29" s="828"/>
      <c r="J29" s="828"/>
      <c r="K29" s="829"/>
    </row>
    <row r="30" s="727" customFormat="1" ht="13.5" customHeight="1" spans="1:33">
      <c r="A30" s="793" t="s">
        <v>2311</v>
      </c>
      <c r="B30" s="807" t="s">
        <v>2327</v>
      </c>
      <c r="C30" s="795">
        <f ca="1">ROUND(F24*F28,4)</f>
        <v>0.002</v>
      </c>
      <c r="D30" s="830"/>
      <c r="E30" s="815"/>
      <c r="F30" s="805"/>
      <c r="G30" s="831"/>
      <c r="H30" s="786"/>
      <c r="I30" s="786"/>
      <c r="J30" s="786"/>
      <c r="K30" s="787"/>
    </row>
    <row r="31" s="727" customFormat="1" ht="13.5" customHeight="1" spans="1:33">
      <c r="A31" s="788" t="s">
        <v>2058</v>
      </c>
      <c r="B31" s="789" t="s">
        <v>2092</v>
      </c>
      <c r="C31" s="795">
        <v>0</v>
      </c>
      <c r="D31" s="832"/>
      <c r="E31" s="833"/>
      <c r="F31" s="805"/>
      <c r="G31" s="834" t="s">
        <v>1559</v>
      </c>
      <c r="H31" s="786"/>
      <c r="I31" s="786"/>
      <c r="J31" s="786"/>
      <c r="K31" s="787"/>
    </row>
    <row r="32" s="725" customFormat="1" ht="13.5" customHeight="1" spans="1:33">
      <c r="A32" s="788" t="s">
        <v>1560</v>
      </c>
      <c r="B32" s="789" t="s">
        <v>2328</v>
      </c>
      <c r="C32" s="790">
        <f ca="1">ROUND((C16+C23+C26+C29)/(1-F24-C27-C30),0)</f>
        <v>9217</v>
      </c>
      <c r="D32" s="832"/>
      <c r="E32" s="833"/>
      <c r="F32" s="805"/>
      <c r="G32" s="835" t="s">
        <v>1562</v>
      </c>
      <c r="H32" s="836"/>
      <c r="I32" s="836"/>
      <c r="J32" s="836"/>
      <c r="K32" s="837"/>
    </row>
    <row r="33" s="728" customFormat="1" ht="13.5" customHeight="1" spans="1:11">
      <c r="A33" s="788" t="s">
        <v>1374</v>
      </c>
      <c r="B33" s="838" t="s">
        <v>1336</v>
      </c>
      <c r="C33" s="839">
        <f ca="1">ROUND(C32*(1-F33),0)</f>
        <v>2396</v>
      </c>
      <c r="D33" s="840"/>
      <c r="E33" s="820"/>
      <c r="F33" s="812">
        <f>IF('数据-取费表'!B24=0,'数据-取费表'!N16,1)</f>
        <v>0.74</v>
      </c>
      <c r="G33" s="785" t="s">
        <v>1563</v>
      </c>
      <c r="H33" s="828"/>
      <c r="I33" s="828"/>
      <c r="J33" s="828"/>
      <c r="K33" s="829"/>
    </row>
    <row r="34" s="724" customFormat="1" ht="15.75" spans="1:11">
      <c r="A34" s="841">
        <v>4</v>
      </c>
      <c r="B34" s="842" t="s">
        <v>2329</v>
      </c>
      <c r="C34" s="843">
        <f ca="1">C13-C15</f>
        <v>-6821</v>
      </c>
      <c r="D34" s="842"/>
      <c r="E34" s="842"/>
      <c r="F34" s="844"/>
      <c r="G34" s="845" t="s">
        <v>2330</v>
      </c>
      <c r="H34" s="846"/>
      <c r="I34" s="846"/>
      <c r="J34" s="846"/>
      <c r="K34" s="84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1" customWidth="1"/>
    <col min="2" max="2" width="37.25" style="4711" customWidth="1"/>
    <col min="3" max="3" width="11.375" style="4711" customWidth="1"/>
    <col min="4" max="4" width="31.75" style="4711" customWidth="1"/>
    <col min="5" max="5" width="0.5" style="4711" customWidth="1"/>
    <col min="6" max="7" width="13" style="4711" customWidth="1"/>
    <col min="8" max="16384" width="9" style="4711"/>
  </cols>
  <sheetData>
    <row r="1" ht="18.75" spans="1:5">
      <c r="A1" s="4712" t="s">
        <v>94</v>
      </c>
      <c r="B1" s="4713"/>
      <c r="C1" s="4713"/>
      <c r="D1" s="4713"/>
      <c r="E1" s="4713"/>
    </row>
    <row r="2" ht="78" customHeight="1" spans="1:5">
      <c r="A2" s="47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4"/>
      <c r="C2" s="4714"/>
      <c r="D2" s="4714"/>
      <c r="E2" s="4714"/>
    </row>
    <row r="3" ht="18" spans="1:5">
      <c r="A3" s="4715" t="str">
        <f>IF(项目基本情况!B9="房地产市场价值","估价结果一览表（市场价值不需“结果表-1”）","估价结果一览表")</f>
        <v>估价结果一览表</v>
      </c>
      <c r="B3" s="4715"/>
      <c r="C3" s="4715"/>
      <c r="D3" s="4715"/>
      <c r="E3" s="4715"/>
    </row>
    <row r="4" ht="19.5" spans="1:5">
      <c r="A4" s="4715"/>
      <c r="B4" s="4716" t="s">
        <v>95</v>
      </c>
      <c r="C4" s="4716"/>
      <c r="D4" s="4716"/>
      <c r="E4" s="4715"/>
    </row>
    <row r="5" ht="16.5" spans="1:5">
      <c r="A5" s="4713"/>
      <c r="B5" s="4717" t="s">
        <v>96</v>
      </c>
      <c r="C5" s="4718" t="s">
        <v>97</v>
      </c>
      <c r="D5" s="4719">
        <f ca="1">结果表!H101</f>
        <v>26223</v>
      </c>
      <c r="E5" s="4713"/>
    </row>
    <row r="6" spans="1:5">
      <c r="A6" s="4713"/>
      <c r="B6" s="4717"/>
      <c r="C6" s="4718" t="s">
        <v>98</v>
      </c>
      <c r="D6" s="4719" t="str">
        <f ca="1">NUMBERSTRING(INT(D5*10000),2)&amp;"元整"</f>
        <v>贰亿陆仟贰佰贰拾叁万元整</v>
      </c>
      <c r="E6" s="4713"/>
    </row>
    <row r="7" ht="15.75" spans="1:5">
      <c r="A7" s="4713"/>
      <c r="B7" s="4720"/>
      <c r="C7" s="4721" t="s">
        <v>99</v>
      </c>
      <c r="D7" s="4722">
        <f ca="1">结果表!H102</f>
        <v>12545</v>
      </c>
      <c r="E7" s="4713"/>
    </row>
    <row r="8" ht="15.75" spans="1:5">
      <c r="A8" s="4713"/>
      <c r="B8" s="4723" t="str">
        <f>结果表!E103</f>
        <v>2.估价师知悉的法定优先受偿款</v>
      </c>
      <c r="C8" s="4724" t="s">
        <v>100</v>
      </c>
      <c r="D8" s="4722">
        <f>结果表!H103</f>
        <v>0</v>
      </c>
      <c r="E8" s="4713"/>
    </row>
    <row r="9" spans="1:5">
      <c r="A9" s="4713"/>
      <c r="B9" s="4725"/>
      <c r="C9" s="4718" t="s">
        <v>98</v>
      </c>
      <c r="D9" s="4719" t="str">
        <f>NUMBERSTRING(INT(D8*10000),2)&amp;"元整"</f>
        <v>零元整</v>
      </c>
      <c r="E9" s="4713"/>
    </row>
    <row r="10" ht="15" spans="1:5">
      <c r="A10" s="4713"/>
      <c r="B10" s="4726" t="s">
        <v>101</v>
      </c>
      <c r="C10" s="4727" t="s">
        <v>102</v>
      </c>
      <c r="D10" s="4728">
        <f>结果表!H104</f>
        <v>0</v>
      </c>
      <c r="E10" s="4713"/>
    </row>
    <row r="11" ht="15" spans="1:5">
      <c r="A11" s="4713"/>
      <c r="B11" s="4726" t="s">
        <v>103</v>
      </c>
      <c r="C11" s="4727" t="s">
        <v>102</v>
      </c>
      <c r="D11" s="4728">
        <f>结果表!H105</f>
        <v>0</v>
      </c>
      <c r="E11" s="4713"/>
    </row>
    <row r="12" ht="15" spans="1:5">
      <c r="A12" s="4713"/>
      <c r="B12" s="4726" t="s">
        <v>104</v>
      </c>
      <c r="C12" s="4727" t="s">
        <v>102</v>
      </c>
      <c r="D12" s="4728">
        <f>结果表!H106</f>
        <v>0</v>
      </c>
      <c r="E12" s="4713"/>
    </row>
    <row r="13" ht="15.75" spans="1:5">
      <c r="A13" s="4713"/>
      <c r="B13" s="4729" t="str">
        <f>结果表!E107</f>
        <v>3.房地产抵押价值</v>
      </c>
      <c r="C13" s="4730" t="s">
        <v>97</v>
      </c>
      <c r="D13" s="4731">
        <f ca="1">结果表!H107</f>
        <v>26223</v>
      </c>
      <c r="E13" s="4713"/>
    </row>
    <row r="14" spans="1:5">
      <c r="A14" s="4713"/>
      <c r="B14" s="4717"/>
      <c r="C14" s="4718" t="s">
        <v>98</v>
      </c>
      <c r="D14" s="4719" t="str">
        <f ca="1">NUMBERSTRING(INT(D13*10000),2)&amp;"元整"</f>
        <v>贰亿陆仟贰佰贰拾叁万元整</v>
      </c>
      <c r="E14" s="4713"/>
    </row>
    <row r="15" ht="15" spans="1:5">
      <c r="A15" s="4713"/>
      <c r="B15" s="4720"/>
      <c r="C15" s="4721" t="s">
        <v>99</v>
      </c>
      <c r="D15" s="4732">
        <f ca="1">结果表!H108</f>
        <v>12545</v>
      </c>
      <c r="E15" s="4713"/>
    </row>
    <row r="16" ht="15" spans="1:5">
      <c r="A16" s="4713"/>
      <c r="B16" s="4723" t="str">
        <f>结果表!E109</f>
        <v>——</v>
      </c>
      <c r="C16" s="4730" t="s">
        <v>97</v>
      </c>
      <c r="D16" s="4733" t="str">
        <f ca="1">结果表!H109</f>
        <v>——</v>
      </c>
      <c r="E16" s="4713"/>
    </row>
    <row r="17" ht="15.75" spans="1:5">
      <c r="A17" s="4713"/>
      <c r="B17" s="4734"/>
      <c r="C17" s="4718" t="s">
        <v>98</v>
      </c>
      <c r="D17" s="4719" t="e">
        <f ca="1">NUMBERSTRING(INT(D16*10000),2)&amp;"元整"</f>
        <v>#VALUE!</v>
      </c>
      <c r="E17" s="4713"/>
    </row>
    <row r="18" ht="15" spans="1:5">
      <c r="A18" s="4713"/>
      <c r="B18" s="4725"/>
      <c r="C18" s="4721" t="s">
        <v>99</v>
      </c>
      <c r="D18" s="4732" t="str">
        <f ca="1">结果表!H110</f>
        <v>——</v>
      </c>
      <c r="E18" s="4713"/>
    </row>
    <row r="19" ht="15.75" spans="1:5">
      <c r="A19" s="4713"/>
      <c r="B19" s="4729" t="str">
        <f>结果表!E111</f>
        <v>4.抵押净值</v>
      </c>
      <c r="C19" s="4730" t="s">
        <v>97</v>
      </c>
      <c r="D19" s="4722">
        <f ca="1">结果表!H111</f>
        <v>13119</v>
      </c>
      <c r="E19" s="4713"/>
    </row>
    <row r="20" spans="1:5">
      <c r="A20" s="4713"/>
      <c r="B20" s="4717"/>
      <c r="C20" s="4718" t="s">
        <v>98</v>
      </c>
      <c r="D20" s="4719" t="str">
        <f ca="1">NUMBERSTRING(INT(D19*10000),2)&amp;"元整"</f>
        <v>壹亿叁仟壹佰壹拾玖万元整</v>
      </c>
      <c r="E20" s="4713"/>
    </row>
    <row r="21" ht="15.75" spans="1:5">
      <c r="A21" s="4713"/>
      <c r="B21" s="4735"/>
      <c r="C21" s="4736" t="s">
        <v>99</v>
      </c>
      <c r="D21" s="4737">
        <f ca="1">结果表!H112</f>
        <v>6276</v>
      </c>
      <c r="E21" s="4713"/>
    </row>
    <row r="22" ht="15" spans="1:5">
      <c r="A22" s="4713"/>
      <c r="B22" s="4738" t="s">
        <v>105</v>
      </c>
      <c r="C22" s="4713"/>
      <c r="D22" s="4713"/>
      <c r="E22" s="4713"/>
    </row>
    <row r="23" spans="1:5">
      <c r="A23" s="4713"/>
      <c r="B23" s="4713"/>
      <c r="C23" s="4713"/>
      <c r="D23" s="4713"/>
      <c r="E23" s="4713"/>
    </row>
    <row r="24" ht="18.75" spans="1:5">
      <c r="A24" s="4739"/>
      <c r="B24" s="4740" t="s">
        <v>106</v>
      </c>
      <c r="C24" s="4739"/>
      <c r="D24" s="4739"/>
      <c r="E24" s="4739"/>
    </row>
    <row r="25" spans="1:5">
      <c r="A25" s="4739"/>
      <c r="B25" s="4739"/>
      <c r="C25" s="4739"/>
      <c r="D25" s="4739"/>
      <c r="E25" s="4739"/>
    </row>
    <row r="26" spans="1:5">
      <c r="A26" s="4739"/>
      <c r="B26" s="4739"/>
      <c r="C26" s="4739"/>
      <c r="D26" s="4739"/>
      <c r="E26" s="4739"/>
    </row>
    <row r="27" spans="1:5">
      <c r="A27" s="4739"/>
      <c r="B27" s="4739"/>
      <c r="C27" s="4739"/>
      <c r="D27" s="4739"/>
      <c r="E27" s="4739"/>
    </row>
    <row r="28" spans="1:5">
      <c r="A28" s="4739"/>
      <c r="B28" s="4739"/>
      <c r="C28" s="4739"/>
      <c r="D28" s="4739"/>
      <c r="E28" s="4739"/>
    </row>
    <row r="29" spans="1:5">
      <c r="A29" s="4739"/>
      <c r="B29" s="4739"/>
      <c r="C29" s="4739"/>
      <c r="D29" s="4739"/>
      <c r="E29" s="4739"/>
    </row>
    <row r="30" spans="1:5">
      <c r="A30" s="4739"/>
      <c r="B30" s="4739"/>
      <c r="C30" s="4739"/>
      <c r="D30" s="4739"/>
      <c r="E30" s="4739"/>
    </row>
    <row r="31" spans="1:5">
      <c r="A31" s="4739"/>
      <c r="B31" s="4739"/>
      <c r="C31" s="4739"/>
      <c r="D31" s="4739"/>
      <c r="E31" s="4739"/>
    </row>
    <row r="32" spans="1:5">
      <c r="A32" s="4739"/>
      <c r="B32" s="4739"/>
      <c r="C32" s="4739"/>
      <c r="D32" s="4739"/>
      <c r="E32" s="4739"/>
    </row>
    <row r="33" spans="1:5">
      <c r="A33" s="4739"/>
      <c r="B33" s="4739"/>
      <c r="C33" s="4739"/>
      <c r="D33" s="4739"/>
      <c r="E33" s="4739"/>
    </row>
    <row r="34" spans="1:5">
      <c r="A34" s="4739"/>
      <c r="B34" s="4739"/>
      <c r="C34" s="4739"/>
      <c r="D34" s="4739"/>
      <c r="E34" s="4739"/>
    </row>
    <row r="35" spans="1:5">
      <c r="A35" s="4739"/>
      <c r="B35" s="4739"/>
      <c r="C35" s="4739"/>
      <c r="D35" s="4739"/>
      <c r="E35" s="4739"/>
    </row>
    <row r="36" spans="1:5">
      <c r="A36" s="4739"/>
      <c r="B36" s="4739"/>
      <c r="C36" s="4739"/>
      <c r="D36" s="4739"/>
      <c r="E36" s="4739"/>
    </row>
    <row r="37" spans="1:5">
      <c r="A37" s="4739"/>
      <c r="B37" s="4739"/>
      <c r="C37" s="4739"/>
      <c r="D37" s="4739"/>
      <c r="E37" s="4739"/>
    </row>
    <row r="38" spans="1:5">
      <c r="A38" s="4739"/>
      <c r="B38" s="4739"/>
      <c r="C38" s="4739"/>
      <c r="D38" s="4739"/>
      <c r="E38" s="4739"/>
    </row>
    <row r="39" spans="1:5">
      <c r="A39" s="4739"/>
      <c r="B39" s="4739"/>
      <c r="C39" s="4739"/>
      <c r="D39" s="4739"/>
      <c r="E39" s="4739"/>
    </row>
    <row r="40" spans="1:5">
      <c r="A40" s="4739"/>
      <c r="B40" s="4739"/>
      <c r="C40" s="4739"/>
      <c r="D40" s="4739"/>
      <c r="E40" s="4739"/>
    </row>
    <row r="41" spans="1:5">
      <c r="A41" s="4739"/>
      <c r="B41" s="4739"/>
      <c r="C41" s="4739"/>
      <c r="D41" s="4739"/>
      <c r="E41" s="4739"/>
    </row>
    <row r="42" spans="1:5">
      <c r="A42" s="4739"/>
      <c r="B42" s="4739"/>
      <c r="C42" s="4739"/>
      <c r="D42" s="4739"/>
      <c r="E42" s="473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7">
      <c r="A1" s="619" t="s">
        <v>353</v>
      </c>
      <c r="B1" s="620"/>
      <c r="C1" s="621"/>
      <c r="D1" s="434"/>
      <c r="E1" s="434"/>
      <c r="F1" s="434"/>
      <c r="G1" s="622">
        <f>MATCH(C1,'数据-取费表'!A6:A16,0)+5</f>
        <v>7</v>
      </c>
    </row>
    <row r="2" s="424" customFormat="1" ht="15.75" spans="1:7">
      <c r="A2" s="436" t="s">
        <v>1122</v>
      </c>
      <c r="B2" s="623">
        <f ca="1">C34</f>
        <v>1018</v>
      </c>
      <c r="C2" s="435" t="s">
        <v>1124</v>
      </c>
      <c r="D2" s="435"/>
      <c r="E2" s="624"/>
      <c r="F2" s="435"/>
      <c r="G2" s="435"/>
    </row>
    <row r="3" s="424" customFormat="1" ht="15.75" spans="1:7">
      <c r="A3" s="439" t="s">
        <v>1125</v>
      </c>
      <c r="B3" s="625">
        <f ca="1">ROUND(B2*10000/(IF(C1="",'数据-汇总表'!E3,INDIRECT("'数据-取费表'!k"&amp;$G$1))),0)</f>
        <v>487</v>
      </c>
      <c r="C3" s="435" t="s">
        <v>1480</v>
      </c>
      <c r="D3" s="435"/>
      <c r="E3" s="624"/>
      <c r="F3" s="435"/>
      <c r="G3" s="435"/>
    </row>
    <row r="4" s="424" customFormat="1" ht="15.75" spans="1:7">
      <c r="A4" s="626" t="s">
        <v>1970</v>
      </c>
      <c r="B4" s="623" t="e">
        <f ca="1">ROUND(B2*10000/'数据-汇总表'!D3,0)</f>
        <v>#DIV/0!</v>
      </c>
      <c r="C4" s="436" t="s">
        <v>1480</v>
      </c>
      <c r="D4" s="435"/>
      <c r="E4" s="624"/>
      <c r="F4" s="435"/>
      <c r="G4" s="435"/>
    </row>
    <row r="5" s="424" customFormat="1" ht="16.5" spans="1:7">
      <c r="A5" s="435"/>
      <c r="B5" s="627" t="e">
        <f ca="1">ROUND(B2/('数据-汇总表'!D3/666.67),0)</f>
        <v>#DIV/0!</v>
      </c>
      <c r="C5" s="628" t="s">
        <v>1971</v>
      </c>
      <c r="D5" s="435"/>
      <c r="E5" s="624"/>
      <c r="F5" s="435"/>
      <c r="G5" s="435"/>
    </row>
    <row r="6" s="424" customFormat="1" ht="15" spans="1:7">
      <c r="A6" s="629" t="s">
        <v>1004</v>
      </c>
      <c r="B6" s="630" t="s">
        <v>1005</v>
      </c>
      <c r="C6" s="631" t="s">
        <v>1481</v>
      </c>
      <c r="D6" s="632" t="s">
        <v>1482</v>
      </c>
      <c r="E6" s="633" t="s">
        <v>1483</v>
      </c>
      <c r="F6" s="633" t="s">
        <v>1484</v>
      </c>
      <c r="G6" s="634" t="s">
        <v>1485</v>
      </c>
    </row>
    <row r="7" s="425" customFormat="1" ht="15.75" spans="1:7">
      <c r="A7" s="635" t="s">
        <v>1391</v>
      </c>
      <c r="B7" s="636" t="s">
        <v>2331</v>
      </c>
      <c r="C7" s="637">
        <f>IF(G7="征收国有地",C8,IF(G7="征收集体地",C11,C17))</f>
        <v>0</v>
      </c>
      <c r="D7" s="638"/>
      <c r="E7" s="638"/>
      <c r="F7" s="638"/>
      <c r="G7" s="639"/>
    </row>
    <row r="8" s="426" customFormat="1" spans="1:7">
      <c r="A8" s="640" t="s">
        <v>1576</v>
      </c>
      <c r="B8" s="641" t="s">
        <v>2332</v>
      </c>
      <c r="C8" s="642">
        <f>C9+C10</f>
        <v>0</v>
      </c>
      <c r="D8" s="643"/>
      <c r="E8" s="643"/>
      <c r="F8" s="643"/>
      <c r="G8" s="644"/>
    </row>
    <row r="9" s="426" customFormat="1" spans="1:7">
      <c r="A9" s="645" t="s">
        <v>1490</v>
      </c>
      <c r="B9" s="646" t="s">
        <v>2333</v>
      </c>
      <c r="C9" s="647">
        <f>ROUND(D9*E9/10000,0)</f>
        <v>0</v>
      </c>
      <c r="D9" s="648"/>
      <c r="E9" s="648"/>
      <c r="F9" s="643"/>
      <c r="G9" s="649"/>
    </row>
    <row r="10" s="426" customFormat="1" spans="1:7">
      <c r="A10" s="645" t="s">
        <v>1492</v>
      </c>
      <c r="B10" s="646" t="s">
        <v>2334</v>
      </c>
      <c r="C10" s="647">
        <f>ROUND(D10*E10/10000,0)</f>
        <v>0</v>
      </c>
      <c r="D10" s="648"/>
      <c r="E10" s="648"/>
      <c r="F10" s="643"/>
      <c r="G10" s="649"/>
    </row>
    <row r="11" s="426" customFormat="1" ht="13.5" spans="1:7">
      <c r="A11" s="650" t="s">
        <v>1494</v>
      </c>
      <c r="B11" s="651" t="s">
        <v>2335</v>
      </c>
      <c r="C11" s="482">
        <f>C12+C15+C16</f>
        <v>0</v>
      </c>
      <c r="D11" s="643"/>
      <c r="E11" s="643"/>
      <c r="F11" s="643"/>
      <c r="G11" s="649"/>
    </row>
    <row r="12" s="426" customFormat="1" spans="1:7">
      <c r="A12" s="645" t="s">
        <v>1490</v>
      </c>
      <c r="B12" s="646" t="s">
        <v>2336</v>
      </c>
      <c r="C12" s="646">
        <f>C13+C14</f>
        <v>0</v>
      </c>
      <c r="D12" s="652"/>
      <c r="E12" s="652"/>
      <c r="F12" s="643"/>
      <c r="G12" s="653" t="s">
        <v>2337</v>
      </c>
    </row>
    <row r="13" s="426" customFormat="1" spans="1:7">
      <c r="A13" s="654" t="s">
        <v>1282</v>
      </c>
      <c r="B13" s="655" t="s">
        <v>2338</v>
      </c>
      <c r="C13" s="647">
        <f>ROUND(D13*E13/10000,0)</f>
        <v>0</v>
      </c>
      <c r="D13" s="648"/>
      <c r="E13" s="648"/>
      <c r="F13" s="643"/>
      <c r="G13" s="656" t="s">
        <v>2339</v>
      </c>
    </row>
    <row r="14" s="426" customFormat="1" spans="1:7">
      <c r="A14" s="654" t="s">
        <v>1285</v>
      </c>
      <c r="B14" s="655" t="s">
        <v>2340</v>
      </c>
      <c r="C14" s="648">
        <v>0</v>
      </c>
      <c r="D14" s="652"/>
      <c r="E14" s="652"/>
      <c r="F14" s="643"/>
      <c r="G14" s="656"/>
    </row>
    <row r="15" s="426" customFormat="1" spans="1:7">
      <c r="A15" s="645" t="s">
        <v>1492</v>
      </c>
      <c r="B15" s="646" t="s">
        <v>2341</v>
      </c>
      <c r="C15" s="647">
        <f t="shared" ref="C15" si="0">ROUND(D15*E15/10000,0)</f>
        <v>0</v>
      </c>
      <c r="D15" s="648"/>
      <c r="E15" s="648"/>
      <c r="F15" s="643"/>
      <c r="G15" s="656" t="s">
        <v>2342</v>
      </c>
    </row>
    <row r="16" s="426" customFormat="1" spans="1:7">
      <c r="A16" s="645" t="s">
        <v>2343</v>
      </c>
      <c r="B16" s="657" t="s">
        <v>2344</v>
      </c>
      <c r="C16" s="647">
        <f>C13*F16</f>
        <v>0</v>
      </c>
      <c r="D16" s="648"/>
      <c r="E16" s="648"/>
      <c r="F16" s="658">
        <v>0.25</v>
      </c>
      <c r="G16" s="659" t="s">
        <v>2345</v>
      </c>
    </row>
    <row r="17" s="426" customFormat="1" ht="13.5" spans="1:9">
      <c r="A17" s="650" t="s">
        <v>2163</v>
      </c>
      <c r="B17" s="641" t="s">
        <v>2346</v>
      </c>
      <c r="C17" s="660">
        <f>C18+C19</f>
        <v>0</v>
      </c>
      <c r="D17" s="661"/>
      <c r="E17" s="662"/>
      <c r="F17" s="663"/>
      <c r="G17" s="664"/>
    </row>
    <row r="18" s="426" customFormat="1" spans="1:9">
      <c r="A18" s="665" t="s">
        <v>1490</v>
      </c>
      <c r="B18" s="657" t="s">
        <v>1491</v>
      </c>
      <c r="C18" s="666"/>
      <c r="D18" s="667"/>
      <c r="E18" s="662"/>
      <c r="F18" s="668"/>
      <c r="G18" s="669" t="s">
        <v>2347</v>
      </c>
    </row>
    <row r="19" s="426" customFormat="1" spans="1:9">
      <c r="A19" s="665" t="s">
        <v>1492</v>
      </c>
      <c r="B19" s="657" t="s">
        <v>1493</v>
      </c>
      <c r="C19" s="660">
        <f>ROUND(C18*F19,0)</f>
        <v>0</v>
      </c>
      <c r="D19" s="661"/>
      <c r="E19" s="662"/>
      <c r="F19" s="663">
        <f>IF(项目基本情况!B8="出让",0,'数据-取费表'!B49+'数据-取费表'!B50)</f>
        <v>0.0305</v>
      </c>
      <c r="G19" s="664"/>
    </row>
    <row r="20" s="618" customFormat="1" ht="15.75" spans="1:9">
      <c r="A20" s="635" t="s">
        <v>1273</v>
      </c>
      <c r="B20" s="636" t="s">
        <v>2348</v>
      </c>
      <c r="C20" s="670">
        <f ca="1">C21+C24+C25</f>
        <v>1170</v>
      </c>
      <c r="D20" s="671"/>
      <c r="E20" s="672"/>
      <c r="F20" s="673"/>
      <c r="G20" s="674"/>
    </row>
    <row r="21" s="427" customFormat="1" ht="15" spans="1:9">
      <c r="A21" s="675" t="s">
        <v>1488</v>
      </c>
      <c r="B21" s="676" t="s">
        <v>1505</v>
      </c>
      <c r="C21" s="642">
        <f ca="1">IF(G21="已包含在土地购买价格中","0",IF(C1="",'数据-取费表'!B29,IF(G22="全部缴纳",C22+C23,H22)))</f>
        <v>0</v>
      </c>
      <c r="D21" s="677"/>
      <c r="E21" s="678"/>
      <c r="F21" s="679"/>
      <c r="G21" s="680"/>
    </row>
    <row r="22" s="426" customFormat="1" spans="1:9">
      <c r="A22" s="681" t="s">
        <v>2310</v>
      </c>
      <c r="B22" s="682" t="s">
        <v>1507</v>
      </c>
      <c r="C22" s="683">
        <f ca="1">ROUND(D22*E22/10000,0)</f>
        <v>0</v>
      </c>
      <c r="D22" s="684">
        <f ca="1">IF(C1="",'数据-汇总表'!E5,IF(INDIRECT("'数据-取费表'!c"&amp;$G$1)="住宅",INDIRECT("'数据-取费表'!k"&amp;$G$1),0))</f>
        <v>0</v>
      </c>
      <c r="E22" s="684">
        <f>'数据-取费表'!B27</f>
        <v>0</v>
      </c>
      <c r="F22" s="663"/>
      <c r="G22" s="685"/>
      <c r="H22" s="686"/>
      <c r="I22" s="687" t="s">
        <v>1509</v>
      </c>
    </row>
    <row r="23" s="426" customFormat="1" spans="1:9">
      <c r="A23" s="681" t="s">
        <v>2311</v>
      </c>
      <c r="B23" s="682" t="s">
        <v>1510</v>
      </c>
      <c r="C23" s="683">
        <f ca="1">ROUND(D23*E23/10000,0)</f>
        <v>418</v>
      </c>
      <c r="D23" s="684">
        <f ca="1">IF(C1="",'数据-汇总表'!E6,IF(INDIRECT("'数据-取费表'!c"&amp;$G$1)="住宅",INDIRECT("'数据-取费表'!s"&amp;$G$1),INDIRECT("'数据-取费表'!k"&amp;$G$1)+INDIRECT("'数据-取费表'!s"&amp;$G$1)))</f>
        <v>20903.38</v>
      </c>
      <c r="E23" s="684">
        <f>'数据-取费表'!B28</f>
        <v>200</v>
      </c>
      <c r="F23" s="663"/>
      <c r="G23" s="688"/>
    </row>
    <row r="24" s="426" customFormat="1" ht="13.5" spans="1:9">
      <c r="A24" s="650" t="s">
        <v>1494</v>
      </c>
      <c r="B24" s="689" t="s">
        <v>1598</v>
      </c>
      <c r="C24" s="642">
        <f ca="1">IF(G24="已包含在土地取得成本中","0",ROUND(D24*E24/10000,0))</f>
        <v>585</v>
      </c>
      <c r="D24" s="690">
        <f ca="1">D22+D23</f>
        <v>20903.38</v>
      </c>
      <c r="E24" s="690">
        <f>'数据-取费表'!B31</f>
        <v>280</v>
      </c>
      <c r="F24" s="691"/>
      <c r="G24" s="680"/>
    </row>
    <row r="25" s="426" customFormat="1" ht="13.5" spans="1:9">
      <c r="A25" s="650" t="s">
        <v>2163</v>
      </c>
      <c r="B25" s="689" t="s">
        <v>2349</v>
      </c>
      <c r="C25" s="642">
        <f ca="1">ROUND(E25*D25/10000,0)</f>
        <v>585</v>
      </c>
      <c r="D25" s="690">
        <f ca="1">D24</f>
        <v>20903.38</v>
      </c>
      <c r="E25" s="690">
        <f>'数据-取费表'!B35</f>
        <v>280</v>
      </c>
      <c r="F25" s="679"/>
      <c r="G25" s="692"/>
    </row>
    <row r="26" s="425" customFormat="1" ht="15.75" spans="1:9">
      <c r="A26" s="635" t="s">
        <v>1308</v>
      </c>
      <c r="B26" s="636" t="s">
        <v>2350</v>
      </c>
      <c r="C26" s="623">
        <f>C27+C28</f>
        <v>0</v>
      </c>
      <c r="D26" s="693"/>
      <c r="E26" s="693"/>
      <c r="F26" s="679"/>
      <c r="G26" s="694"/>
    </row>
    <row r="27" s="426" customFormat="1" spans="1:9">
      <c r="A27" s="640" t="s">
        <v>1576</v>
      </c>
      <c r="B27" s="695" t="s">
        <v>2351</v>
      </c>
      <c r="C27" s="642">
        <f>ROUND(E27*D27/10000,0)</f>
        <v>0</v>
      </c>
      <c r="D27" s="696"/>
      <c r="E27" s="697">
        <v>25</v>
      </c>
      <c r="F27" s="679"/>
      <c r="G27" s="659" t="s">
        <v>2352</v>
      </c>
    </row>
    <row r="28" s="426" customFormat="1" spans="1:9">
      <c r="A28" s="698" t="s">
        <v>1494</v>
      </c>
      <c r="B28" s="695" t="s">
        <v>2353</v>
      </c>
      <c r="C28" s="642">
        <f>ROUND(E28*D28/10000,0)</f>
        <v>0</v>
      </c>
      <c r="D28" s="696"/>
      <c r="E28" s="697">
        <v>60.1</v>
      </c>
      <c r="F28" s="679"/>
      <c r="G28" s="659" t="s">
        <v>2354</v>
      </c>
    </row>
    <row r="29" s="618" customFormat="1" ht="15.75" spans="1:9">
      <c r="A29" s="635" t="s">
        <v>1311</v>
      </c>
      <c r="B29" s="636" t="s">
        <v>1825</v>
      </c>
      <c r="C29" s="699">
        <f ca="1">ROUND(IF('数据-取费表'!B19&lt;=1,((C7+C26)*'数据-取费表'!B19+C20*'数据-取费表'!B19/2)*F29,((C7+C26)*(POWER((1+F29),'数据-取费表'!B19)-1)+C20*(POWER((1+F29),'数据-取费表'!B19/2)-1))),0)</f>
        <v>0</v>
      </c>
      <c r="D29" s="700"/>
      <c r="E29" s="701"/>
      <c r="F29" s="702">
        <f ca="1">'数据-取费表'!B41</f>
        <v>0.0313</v>
      </c>
      <c r="G29" s="703" t="str">
        <f>IF('数据-取费表'!B19&lt;=1,"单利计息","复利计息")</f>
        <v>单利计息</v>
      </c>
    </row>
    <row r="30" s="618" customFormat="1" ht="15.75" spans="1:9">
      <c r="A30" s="635" t="s">
        <v>1319</v>
      </c>
      <c r="B30" s="636" t="s">
        <v>2095</v>
      </c>
      <c r="C30" s="704">
        <f ca="1">ROUND((C7+C20+C26)*F30,0)</f>
        <v>117</v>
      </c>
      <c r="D30" s="700"/>
      <c r="E30" s="701"/>
      <c r="F30" s="705">
        <f ca="1">IF(C1="",'数据-取费表'!Q16,INDIRECT("'数据-取费表'!q"&amp;$G$1))</f>
        <v>0.1</v>
      </c>
      <c r="G30" s="703"/>
    </row>
    <row r="31" s="426" customFormat="1" ht="15.75" spans="1:9">
      <c r="A31" s="706" t="s">
        <v>1324</v>
      </c>
      <c r="B31" s="636" t="s">
        <v>2355</v>
      </c>
      <c r="C31" s="637">
        <f ca="1">C7+C20+C29+C30</f>
        <v>1287</v>
      </c>
      <c r="D31" s="707"/>
      <c r="E31" s="707"/>
      <c r="F31" s="708"/>
      <c r="G31" s="709" t="s">
        <v>2356</v>
      </c>
    </row>
    <row r="32" s="426" customFormat="1" ht="15.75" spans="1:9">
      <c r="A32" s="706" t="s">
        <v>2357</v>
      </c>
      <c r="B32" s="636" t="s">
        <v>2358</v>
      </c>
      <c r="C32" s="710">
        <f ca="1">ROUND(C31*F32,0)</f>
        <v>129</v>
      </c>
      <c r="D32" s="472"/>
      <c r="E32" s="473"/>
      <c r="F32" s="711">
        <v>0.1</v>
      </c>
      <c r="G32" s="712"/>
    </row>
    <row r="33" s="426" customFormat="1" ht="15.75" spans="1:7">
      <c r="A33" s="713">
        <v>8</v>
      </c>
      <c r="B33" s="636" t="s">
        <v>2359</v>
      </c>
      <c r="C33" s="637">
        <f ca="1">C31+C32</f>
        <v>1416</v>
      </c>
      <c r="D33" s="707"/>
      <c r="E33" s="707"/>
      <c r="F33" s="714"/>
      <c r="G33" s="709" t="s">
        <v>2360</v>
      </c>
    </row>
    <row r="34" s="427" customFormat="1" ht="16.5" spans="1:7">
      <c r="A34" s="715">
        <v>9</v>
      </c>
      <c r="B34" s="716" t="s">
        <v>2361</v>
      </c>
      <c r="C34" s="637">
        <f ca="1">ROUND(C33*F34,0)</f>
        <v>1018</v>
      </c>
      <c r="D34" s="717"/>
      <c r="E34" s="717"/>
      <c r="F34" s="718">
        <f>'数据-取费表'!AS16</f>
        <v>0.719</v>
      </c>
      <c r="G34" s="709" t="s">
        <v>2362</v>
      </c>
    </row>
    <row r="35" s="426" customFormat="1"/>
    <row r="36" s="426"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37" customWidth="1"/>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208</v>
      </c>
      <c r="B1" s="539" t="s">
        <v>235</v>
      </c>
      <c r="C1" s="539" t="s">
        <v>251</v>
      </c>
      <c r="D1" s="539" t="s">
        <v>264</v>
      </c>
      <c r="E1" s="539" t="s">
        <v>275</v>
      </c>
      <c r="F1" s="539" t="s">
        <v>286</v>
      </c>
      <c r="G1" s="539" t="s">
        <v>295</v>
      </c>
      <c r="H1" s="539" t="s">
        <v>303</v>
      </c>
      <c r="I1" s="539" t="s">
        <v>311</v>
      </c>
      <c r="J1" s="539" t="s">
        <v>318</v>
      </c>
      <c r="K1" s="539" t="s">
        <v>324</v>
      </c>
      <c r="L1" s="539" t="s">
        <v>330</v>
      </c>
      <c r="M1" s="540" t="s">
        <v>336</v>
      </c>
    </row>
    <row r="2" customHeight="1" spans="1:13">
      <c r="A2" s="541" t="s">
        <v>229</v>
      </c>
      <c r="B2" s="542">
        <v>3.5</v>
      </c>
      <c r="C2" s="542">
        <v>3.5</v>
      </c>
      <c r="D2" s="543">
        <v>2.5</v>
      </c>
      <c r="E2" s="543">
        <v>2.5</v>
      </c>
      <c r="F2" s="543">
        <v>2.5</v>
      </c>
      <c r="G2" s="543">
        <v>2.5</v>
      </c>
      <c r="H2" s="543">
        <v>2.5</v>
      </c>
      <c r="I2" s="542">
        <v>2</v>
      </c>
      <c r="J2" s="542">
        <v>2</v>
      </c>
      <c r="K2" s="542">
        <v>2</v>
      </c>
      <c r="L2" s="542">
        <v>2</v>
      </c>
      <c r="M2" s="544">
        <v>2</v>
      </c>
    </row>
    <row r="3" customHeight="1" spans="1:13">
      <c r="A3" s="545" t="s">
        <v>230</v>
      </c>
      <c r="B3" s="546">
        <v>3.5</v>
      </c>
      <c r="C3" s="546">
        <v>3.5</v>
      </c>
      <c r="D3" s="547">
        <v>2.5</v>
      </c>
      <c r="E3" s="547">
        <v>2.5</v>
      </c>
      <c r="F3" s="547">
        <v>2.5</v>
      </c>
      <c r="G3" s="547">
        <v>2.5</v>
      </c>
      <c r="H3" s="547">
        <v>2.5</v>
      </c>
      <c r="I3" s="546">
        <v>2</v>
      </c>
      <c r="J3" s="546">
        <v>2</v>
      </c>
      <c r="K3" s="546">
        <v>2</v>
      </c>
      <c r="L3" s="546">
        <v>2</v>
      </c>
      <c r="M3" s="548">
        <v>2</v>
      </c>
    </row>
    <row r="4" customHeight="1" spans="1:13">
      <c r="A4" s="545" t="s">
        <v>232</v>
      </c>
      <c r="B4" s="547">
        <v>2.5</v>
      </c>
      <c r="C4" s="547">
        <v>2.5</v>
      </c>
      <c r="D4" s="547">
        <v>2.5</v>
      </c>
      <c r="E4" s="547">
        <v>2.5</v>
      </c>
      <c r="F4" s="547">
        <v>2.5</v>
      </c>
      <c r="G4" s="547">
        <v>2.5</v>
      </c>
      <c r="H4" s="547">
        <v>2.5</v>
      </c>
      <c r="I4" s="546">
        <v>1.5</v>
      </c>
      <c r="J4" s="546">
        <v>1.5</v>
      </c>
      <c r="K4" s="546">
        <v>1.5</v>
      </c>
      <c r="L4" s="546">
        <v>1.5</v>
      </c>
      <c r="M4" s="548">
        <v>1.5</v>
      </c>
    </row>
    <row r="5" customHeight="1" spans="1:13">
      <c r="A5" s="549" t="s">
        <v>233</v>
      </c>
      <c r="B5" s="546">
        <v>1.5</v>
      </c>
      <c r="C5" s="546">
        <v>1.5</v>
      </c>
      <c r="D5" s="546">
        <v>1.5</v>
      </c>
      <c r="E5" s="546">
        <v>1.5</v>
      </c>
      <c r="F5" s="546">
        <v>1.5</v>
      </c>
      <c r="G5" s="546">
        <v>1.2</v>
      </c>
      <c r="H5" s="546">
        <v>1.2</v>
      </c>
      <c r="I5" s="546">
        <v>1</v>
      </c>
      <c r="J5" s="546">
        <v>1</v>
      </c>
      <c r="K5" s="546">
        <v>1</v>
      </c>
      <c r="L5" s="546">
        <v>1</v>
      </c>
      <c r="M5" s="548">
        <v>1</v>
      </c>
    </row>
    <row r="6" customHeight="1" spans="1:13">
      <c r="A6" s="550" t="s">
        <v>283</v>
      </c>
      <c r="B6" s="551">
        <v>2.5</v>
      </c>
      <c r="C6" s="551">
        <v>2.5</v>
      </c>
      <c r="D6" s="551">
        <v>2</v>
      </c>
      <c r="E6" s="551">
        <v>2</v>
      </c>
      <c r="F6" s="551">
        <v>2</v>
      </c>
      <c r="G6" s="551">
        <v>2</v>
      </c>
      <c r="H6" s="551">
        <v>2</v>
      </c>
      <c r="I6" s="552">
        <v>1.5</v>
      </c>
      <c r="J6" s="552">
        <v>1.5</v>
      </c>
      <c r="K6" s="552">
        <v>1.5</v>
      </c>
      <c r="L6" s="552">
        <v>1.5</v>
      </c>
      <c r="M6" s="553">
        <v>1.5</v>
      </c>
    </row>
    <row r="7" customHeight="1" spans="1:13">
      <c r="A7" s="554" t="s">
        <v>231</v>
      </c>
      <c r="B7" s="555">
        <v>2.5</v>
      </c>
      <c r="C7" s="555">
        <v>2.5</v>
      </c>
      <c r="D7" s="555">
        <v>2</v>
      </c>
      <c r="E7" s="555">
        <v>2</v>
      </c>
      <c r="F7" s="555">
        <v>2</v>
      </c>
      <c r="G7" s="555">
        <v>2</v>
      </c>
      <c r="H7" s="555">
        <v>2</v>
      </c>
      <c r="I7" s="556">
        <v>1.5</v>
      </c>
      <c r="J7" s="556">
        <v>1.5</v>
      </c>
      <c r="K7" s="556">
        <v>1.5</v>
      </c>
      <c r="L7" s="556">
        <v>1.5</v>
      </c>
      <c r="M7" s="557">
        <v>1.5</v>
      </c>
    </row>
    <row r="8" customHeight="1" spans="1:13">
      <c r="A8" s="558" t="s">
        <v>383</v>
      </c>
      <c r="B8" s="559">
        <v>80</v>
      </c>
      <c r="C8" s="559">
        <v>80</v>
      </c>
      <c r="D8" s="559">
        <v>70</v>
      </c>
      <c r="E8" s="559">
        <v>70</v>
      </c>
      <c r="F8" s="559">
        <v>70</v>
      </c>
      <c r="G8" s="559">
        <v>70</v>
      </c>
      <c r="H8" s="559">
        <v>70</v>
      </c>
      <c r="I8" s="559">
        <v>60</v>
      </c>
      <c r="J8" s="559">
        <v>60</v>
      </c>
      <c r="K8" s="559">
        <v>60</v>
      </c>
      <c r="L8" s="559">
        <v>60</v>
      </c>
      <c r="M8" s="560">
        <v>60</v>
      </c>
    </row>
    <row r="9" customHeight="1" spans="1:13">
      <c r="A9" s="561" t="s">
        <v>384</v>
      </c>
      <c r="B9" s="562">
        <v>70</v>
      </c>
      <c r="C9" s="562">
        <v>70</v>
      </c>
      <c r="D9" s="562">
        <v>60</v>
      </c>
      <c r="E9" s="562">
        <v>60</v>
      </c>
      <c r="F9" s="562">
        <v>60</v>
      </c>
      <c r="G9" s="562">
        <v>60</v>
      </c>
      <c r="H9" s="562">
        <v>60</v>
      </c>
      <c r="I9" s="562">
        <v>50</v>
      </c>
      <c r="J9" s="562">
        <v>50</v>
      </c>
      <c r="K9" s="562">
        <v>50</v>
      </c>
      <c r="L9" s="562">
        <v>50</v>
      </c>
      <c r="M9" s="563">
        <v>50</v>
      </c>
    </row>
    <row r="10" customHeight="1" spans="1:13">
      <c r="A10" s="561" t="s">
        <v>385</v>
      </c>
      <c r="B10" s="562">
        <v>20</v>
      </c>
      <c r="C10" s="562">
        <v>20</v>
      </c>
      <c r="D10" s="562">
        <v>15</v>
      </c>
      <c r="E10" s="562">
        <v>15</v>
      </c>
      <c r="F10" s="562">
        <v>15</v>
      </c>
      <c r="G10" s="562">
        <v>15</v>
      </c>
      <c r="H10" s="562">
        <v>15</v>
      </c>
      <c r="I10" s="562">
        <v>10</v>
      </c>
      <c r="J10" s="562">
        <v>10</v>
      </c>
      <c r="K10" s="562">
        <v>10</v>
      </c>
      <c r="L10" s="562">
        <v>10</v>
      </c>
      <c r="M10" s="563">
        <v>10</v>
      </c>
    </row>
    <row r="11" customHeight="1" spans="1:13">
      <c r="A11" s="561" t="s">
        <v>386</v>
      </c>
      <c r="B11" s="562">
        <v>30</v>
      </c>
      <c r="C11" s="562">
        <v>30</v>
      </c>
      <c r="D11" s="562">
        <v>25</v>
      </c>
      <c r="E11" s="562">
        <v>25</v>
      </c>
      <c r="F11" s="562">
        <v>25</v>
      </c>
      <c r="G11" s="562">
        <v>25</v>
      </c>
      <c r="H11" s="562">
        <v>25</v>
      </c>
      <c r="I11" s="562">
        <v>20</v>
      </c>
      <c r="J11" s="562">
        <v>20</v>
      </c>
      <c r="K11" s="562">
        <v>20</v>
      </c>
      <c r="L11" s="562">
        <v>20</v>
      </c>
      <c r="M11" s="563">
        <v>20</v>
      </c>
    </row>
    <row r="12" customHeight="1" spans="1:13">
      <c r="A12" s="561" t="s">
        <v>387</v>
      </c>
      <c r="B12" s="562">
        <v>45</v>
      </c>
      <c r="C12" s="562">
        <v>45</v>
      </c>
      <c r="D12" s="562">
        <v>40</v>
      </c>
      <c r="E12" s="562">
        <v>40</v>
      </c>
      <c r="F12" s="562">
        <v>40</v>
      </c>
      <c r="G12" s="562">
        <v>40</v>
      </c>
      <c r="H12" s="562">
        <v>40</v>
      </c>
      <c r="I12" s="562">
        <v>35</v>
      </c>
      <c r="J12" s="562">
        <v>35</v>
      </c>
      <c r="K12" s="562">
        <v>35</v>
      </c>
      <c r="L12" s="562">
        <v>35</v>
      </c>
      <c r="M12" s="563">
        <v>35</v>
      </c>
    </row>
    <row r="13" customHeight="1" spans="1:13">
      <c r="A13" s="561" t="s">
        <v>388</v>
      </c>
      <c r="B13" s="562">
        <v>60</v>
      </c>
      <c r="C13" s="562">
        <v>60</v>
      </c>
      <c r="D13" s="562">
        <v>50</v>
      </c>
      <c r="E13" s="562">
        <v>50</v>
      </c>
      <c r="F13" s="562">
        <v>50</v>
      </c>
      <c r="G13" s="562">
        <v>50</v>
      </c>
      <c r="H13" s="562">
        <v>50</v>
      </c>
      <c r="I13" s="562">
        <v>40</v>
      </c>
      <c r="J13" s="562">
        <v>40</v>
      </c>
      <c r="K13" s="562">
        <v>40</v>
      </c>
      <c r="L13" s="562">
        <v>40</v>
      </c>
      <c r="M13" s="563">
        <v>40</v>
      </c>
    </row>
    <row r="14" customHeight="1" spans="1:13">
      <c r="A14" s="561" t="s">
        <v>2363</v>
      </c>
      <c r="B14" s="562">
        <v>50</v>
      </c>
      <c r="C14" s="562">
        <v>50</v>
      </c>
      <c r="D14" s="562">
        <v>40</v>
      </c>
      <c r="E14" s="562">
        <v>40</v>
      </c>
      <c r="F14" s="562">
        <v>40</v>
      </c>
      <c r="G14" s="562">
        <v>40</v>
      </c>
      <c r="H14" s="562">
        <v>40</v>
      </c>
      <c r="I14" s="562">
        <v>30</v>
      </c>
      <c r="J14" s="562">
        <v>30</v>
      </c>
      <c r="K14" s="562">
        <v>30</v>
      </c>
      <c r="L14" s="562">
        <v>30</v>
      </c>
      <c r="M14" s="563">
        <v>30</v>
      </c>
    </row>
    <row r="15" customHeight="1" spans="1:13">
      <c r="A15" s="564" t="s">
        <v>390</v>
      </c>
      <c r="B15" s="565">
        <v>20</v>
      </c>
      <c r="C15" s="565">
        <v>20</v>
      </c>
      <c r="D15" s="565">
        <v>15</v>
      </c>
      <c r="E15" s="565">
        <v>15</v>
      </c>
      <c r="F15" s="565">
        <v>15</v>
      </c>
      <c r="G15" s="565">
        <v>15</v>
      </c>
      <c r="H15" s="565">
        <v>15</v>
      </c>
      <c r="I15" s="565">
        <v>10</v>
      </c>
      <c r="J15" s="565">
        <v>10</v>
      </c>
      <c r="K15" s="565">
        <v>10</v>
      </c>
      <c r="L15" s="565">
        <v>10</v>
      </c>
      <c r="M15" s="566">
        <v>10</v>
      </c>
    </row>
    <row r="16" customHeight="1" spans="1:13">
      <c r="A16" s="567" t="s">
        <v>124</v>
      </c>
      <c r="B16" s="568">
        <v>0</v>
      </c>
      <c r="C16" s="568">
        <v>0</v>
      </c>
      <c r="D16" s="568">
        <v>0</v>
      </c>
      <c r="E16" s="568">
        <v>0</v>
      </c>
      <c r="F16" s="568">
        <v>0</v>
      </c>
      <c r="G16" s="568">
        <v>0</v>
      </c>
      <c r="H16" s="568">
        <v>0</v>
      </c>
      <c r="I16" s="568">
        <v>0</v>
      </c>
      <c r="J16" s="568">
        <v>0</v>
      </c>
      <c r="K16" s="568">
        <v>0</v>
      </c>
      <c r="L16" s="568">
        <v>0</v>
      </c>
      <c r="M16" s="568">
        <v>0</v>
      </c>
    </row>
    <row r="17" customHeight="1" spans="1:13">
      <c r="A17" s="567" t="s">
        <v>2364</v>
      </c>
      <c r="B17" s="568">
        <f>SUM(B8:B15)</f>
        <v>375</v>
      </c>
      <c r="C17" s="568">
        <f t="shared" ref="C17:H17" si="0">SUM(C8:C15)</f>
        <v>375</v>
      </c>
      <c r="D17" s="568">
        <f t="shared" si="0"/>
        <v>315</v>
      </c>
      <c r="E17" s="568">
        <f t="shared" si="0"/>
        <v>315</v>
      </c>
      <c r="F17" s="568">
        <f t="shared" si="0"/>
        <v>315</v>
      </c>
      <c r="G17" s="568">
        <f t="shared" si="0"/>
        <v>315</v>
      </c>
      <c r="H17" s="568">
        <f t="shared" si="0"/>
        <v>315</v>
      </c>
      <c r="I17" s="568">
        <f>SUM(I8:I15)-I13-I14</f>
        <v>185</v>
      </c>
      <c r="J17" s="568">
        <f t="shared" ref="J17:M17" si="1">SUM(J8:J15)-J13-J14</f>
        <v>185</v>
      </c>
      <c r="K17" s="568">
        <f t="shared" si="1"/>
        <v>185</v>
      </c>
      <c r="L17" s="568">
        <f t="shared" si="1"/>
        <v>185</v>
      </c>
      <c r="M17" s="568">
        <f t="shared" si="1"/>
        <v>185</v>
      </c>
    </row>
    <row r="18" s="536" customFormat="1" customHeight="1" spans="1:13">
      <c r="A18" s="569" t="s">
        <v>2365</v>
      </c>
      <c r="B18" s="569"/>
      <c r="C18" s="570"/>
      <c r="D18" s="570"/>
      <c r="E18" s="569"/>
      <c r="F18" s="570"/>
      <c r="G18" s="570"/>
    </row>
    <row r="19" customHeight="1" spans="1:13">
      <c r="A19" s="571" t="s">
        <v>2366</v>
      </c>
      <c r="B19" s="572" t="s">
        <v>2367</v>
      </c>
      <c r="C19" s="572" t="s">
        <v>2368</v>
      </c>
      <c r="D19" s="573"/>
      <c r="E19" s="571" t="s">
        <v>2369</v>
      </c>
      <c r="F19" s="574"/>
      <c r="G19" s="574"/>
    </row>
    <row r="20" customHeight="1" spans="1:13">
      <c r="A20" s="575" t="s">
        <v>229</v>
      </c>
      <c r="B20" s="576" t="s">
        <v>2370</v>
      </c>
      <c r="C20" s="576" t="s">
        <v>244</v>
      </c>
      <c r="D20" s="576"/>
      <c r="E20" s="577">
        <v>1</v>
      </c>
      <c r="F20" s="578" t="s">
        <v>2371</v>
      </c>
      <c r="G20" s="578"/>
    </row>
    <row r="21" customHeight="1" spans="1:13">
      <c r="A21" s="579"/>
      <c r="B21" s="580"/>
      <c r="C21" s="580" t="s">
        <v>259</v>
      </c>
      <c r="D21" s="580"/>
      <c r="E21" s="581">
        <v>1</v>
      </c>
      <c r="F21" s="578" t="s">
        <v>2372</v>
      </c>
      <c r="G21" s="578"/>
    </row>
    <row r="22" customHeight="1" spans="1:13">
      <c r="A22" s="579"/>
      <c r="B22" s="580"/>
      <c r="C22" s="580" t="s">
        <v>270</v>
      </c>
      <c r="D22" s="580"/>
      <c r="E22" s="581">
        <v>0.9</v>
      </c>
      <c r="F22" s="578" t="s">
        <v>2373</v>
      </c>
      <c r="G22" s="578"/>
    </row>
    <row r="23" customHeight="1" spans="1:13">
      <c r="A23" s="579"/>
      <c r="B23" s="580"/>
      <c r="C23" s="580" t="s">
        <v>281</v>
      </c>
      <c r="D23" s="580"/>
      <c r="E23" s="581">
        <v>0.9</v>
      </c>
      <c r="F23" s="578" t="s">
        <v>2374</v>
      </c>
      <c r="G23" s="578"/>
    </row>
    <row r="24" customHeight="1" spans="1:13">
      <c r="A24" s="579"/>
      <c r="B24" s="580"/>
      <c r="C24" s="580" t="s">
        <v>290</v>
      </c>
      <c r="D24" s="580"/>
      <c r="E24" s="581">
        <v>0.8</v>
      </c>
      <c r="F24" s="578" t="s">
        <v>2375</v>
      </c>
      <c r="G24" s="578"/>
    </row>
    <row r="25" customHeight="1" spans="1:13">
      <c r="A25" s="579"/>
      <c r="B25" s="580"/>
      <c r="C25" s="580" t="s">
        <v>298</v>
      </c>
      <c r="D25" s="580"/>
      <c r="E25" s="581">
        <v>0.8</v>
      </c>
      <c r="F25" s="578"/>
      <c r="G25" s="578"/>
    </row>
    <row r="26" customHeight="1" spans="1:13">
      <c r="A26" s="579"/>
      <c r="B26" s="580"/>
      <c r="C26" s="580" t="s">
        <v>306</v>
      </c>
      <c r="D26" s="580"/>
      <c r="E26" s="581">
        <v>0.43</v>
      </c>
      <c r="F26" s="578"/>
      <c r="G26" s="578"/>
    </row>
    <row r="27" customHeight="1" spans="1:13">
      <c r="A27" s="582"/>
      <c r="B27" s="583"/>
      <c r="C27" s="583" t="s">
        <v>313</v>
      </c>
      <c r="D27" s="583"/>
      <c r="E27" s="584">
        <f>E26*0.9</f>
        <v>0.387</v>
      </c>
      <c r="F27" s="578" t="s">
        <v>2376</v>
      </c>
      <c r="G27" s="578"/>
    </row>
    <row r="28" customHeight="1" spans="1:13">
      <c r="A28" s="585" t="s">
        <v>230</v>
      </c>
      <c r="B28" s="586" t="s">
        <v>2370</v>
      </c>
      <c r="C28" s="587" t="s">
        <v>245</v>
      </c>
      <c r="D28" s="588"/>
      <c r="E28" s="589">
        <v>1</v>
      </c>
      <c r="F28" s="578" t="s">
        <v>2377</v>
      </c>
      <c r="G28" s="578"/>
    </row>
    <row r="29" customHeight="1" spans="1:13">
      <c r="A29" s="590" t="s">
        <v>231</v>
      </c>
      <c r="B29" s="591" t="s">
        <v>231</v>
      </c>
      <c r="C29" s="592" t="s">
        <v>246</v>
      </c>
      <c r="D29" s="593"/>
      <c r="E29" s="577">
        <v>1</v>
      </c>
      <c r="F29" s="578" t="s">
        <v>2378</v>
      </c>
      <c r="G29" s="578"/>
    </row>
    <row r="30" customHeight="1" spans="1:13">
      <c r="A30" s="594"/>
      <c r="B30" s="595"/>
      <c r="C30" s="596" t="s">
        <v>260</v>
      </c>
      <c r="D30" s="597"/>
      <c r="E30" s="581">
        <v>1</v>
      </c>
      <c r="F30" s="578" t="s">
        <v>2379</v>
      </c>
      <c r="G30" s="578"/>
    </row>
    <row r="31" customHeight="1" spans="1:13">
      <c r="A31" s="594"/>
      <c r="B31" s="595"/>
      <c r="C31" s="596" t="s">
        <v>271</v>
      </c>
      <c r="D31" s="597"/>
      <c r="E31" s="581">
        <v>0.8</v>
      </c>
      <c r="F31" s="578" t="s">
        <v>2380</v>
      </c>
      <c r="G31" s="578"/>
    </row>
    <row r="32" customHeight="1" spans="1:13">
      <c r="A32" s="594"/>
      <c r="B32" s="595"/>
      <c r="C32" s="596" t="s">
        <v>282</v>
      </c>
      <c r="D32" s="597"/>
      <c r="E32" s="581">
        <v>0.8</v>
      </c>
      <c r="F32" s="578" t="s">
        <v>2381</v>
      </c>
      <c r="G32" s="578"/>
    </row>
    <row r="33" customHeight="1" spans="1:7">
      <c r="A33" s="594"/>
      <c r="B33" s="595"/>
      <c r="C33" s="596" t="s">
        <v>291</v>
      </c>
      <c r="D33" s="597"/>
      <c r="E33" s="581">
        <v>0.8</v>
      </c>
      <c r="F33" s="578" t="s">
        <v>2382</v>
      </c>
      <c r="G33" s="578"/>
    </row>
    <row r="34" customHeight="1" spans="1:7">
      <c r="A34" s="594"/>
      <c r="B34" s="595"/>
      <c r="C34" s="596" t="s">
        <v>299</v>
      </c>
      <c r="D34" s="597"/>
      <c r="E34" s="581">
        <v>0.7</v>
      </c>
      <c r="F34" s="578" t="s">
        <v>2383</v>
      </c>
      <c r="G34" s="578"/>
    </row>
    <row r="35" customHeight="1" spans="1:7">
      <c r="A35" s="594"/>
      <c r="B35" s="595"/>
      <c r="C35" s="596" t="s">
        <v>307</v>
      </c>
      <c r="D35" s="597"/>
      <c r="E35" s="581">
        <v>0.8</v>
      </c>
      <c r="F35" s="578" t="s">
        <v>2384</v>
      </c>
      <c r="G35" s="578"/>
    </row>
    <row r="36" customHeight="1" spans="1:7">
      <c r="A36" s="594"/>
      <c r="B36" s="595"/>
      <c r="C36" s="596" t="s">
        <v>314</v>
      </c>
      <c r="D36" s="597"/>
      <c r="E36" s="581">
        <v>0.6</v>
      </c>
      <c r="F36" s="578" t="s">
        <v>2385</v>
      </c>
      <c r="G36" s="578"/>
    </row>
    <row r="37" customHeight="1" spans="1:7">
      <c r="A37" s="594"/>
      <c r="B37" s="595"/>
      <c r="C37" s="596" t="s">
        <v>320</v>
      </c>
      <c r="D37" s="597"/>
      <c r="E37" s="581">
        <v>0.2</v>
      </c>
      <c r="F37" s="578" t="s">
        <v>2386</v>
      </c>
      <c r="G37" s="578"/>
    </row>
    <row r="38" customHeight="1" spans="1:7">
      <c r="A38" s="594"/>
      <c r="B38" s="595"/>
      <c r="C38" s="596" t="s">
        <v>326</v>
      </c>
      <c r="D38" s="597"/>
      <c r="E38" s="581">
        <v>0.2</v>
      </c>
      <c r="F38" s="578" t="s">
        <v>2387</v>
      </c>
      <c r="G38" s="578"/>
    </row>
    <row r="39" customHeight="1" spans="1:7">
      <c r="A39" s="594"/>
      <c r="B39" s="598" t="s">
        <v>2388</v>
      </c>
      <c r="C39" s="596" t="s">
        <v>332</v>
      </c>
      <c r="D39" s="597"/>
      <c r="E39" s="581">
        <v>0.6</v>
      </c>
      <c r="F39" s="578" t="s">
        <v>2389</v>
      </c>
      <c r="G39" s="578"/>
    </row>
    <row r="40" customHeight="1" spans="1:7">
      <c r="A40" s="594"/>
      <c r="B40" s="595"/>
      <c r="C40" s="596" t="s">
        <v>338</v>
      </c>
      <c r="D40" s="597"/>
      <c r="E40" s="581">
        <v>0.6</v>
      </c>
      <c r="F40" s="578" t="s">
        <v>2390</v>
      </c>
      <c r="G40" s="578"/>
    </row>
    <row r="41" customHeight="1" spans="1:7">
      <c r="A41" s="585"/>
      <c r="B41" s="586"/>
      <c r="C41" s="599" t="s">
        <v>342</v>
      </c>
      <c r="D41" s="600"/>
      <c r="E41" s="584">
        <v>0.6</v>
      </c>
      <c r="F41" s="578" t="s">
        <v>2391</v>
      </c>
      <c r="G41" s="578"/>
    </row>
    <row r="42" customHeight="1" spans="1:7">
      <c r="A42" s="601" t="s">
        <v>232</v>
      </c>
      <c r="B42" s="602" t="s">
        <v>232</v>
      </c>
      <c r="C42" s="603" t="s">
        <v>247</v>
      </c>
      <c r="D42" s="604"/>
      <c r="E42" s="605">
        <v>1</v>
      </c>
      <c r="F42" s="578" t="s">
        <v>2392</v>
      </c>
      <c r="G42" s="578"/>
    </row>
    <row r="43" customHeight="1" spans="1:7">
      <c r="A43" s="575" t="s">
        <v>233</v>
      </c>
      <c r="B43" s="591" t="s">
        <v>2393</v>
      </c>
      <c r="C43" s="592" t="s">
        <v>248</v>
      </c>
      <c r="D43" s="593"/>
      <c r="E43" s="577">
        <v>1</v>
      </c>
      <c r="F43" s="578" t="s">
        <v>2394</v>
      </c>
      <c r="G43" s="578"/>
    </row>
    <row r="44" customHeight="1" spans="1:7">
      <c r="A44" s="579"/>
      <c r="B44" s="595"/>
      <c r="C44" s="596" t="s">
        <v>261</v>
      </c>
      <c r="D44" s="597"/>
      <c r="E44" s="581">
        <v>1</v>
      </c>
      <c r="F44" s="578" t="s">
        <v>2395</v>
      </c>
      <c r="G44" s="578"/>
    </row>
    <row r="45" customHeight="1" spans="1:7">
      <c r="A45" s="579"/>
      <c r="B45" s="606"/>
      <c r="C45" s="596" t="s">
        <v>272</v>
      </c>
      <c r="D45" s="597"/>
      <c r="E45" s="581">
        <v>1.5</v>
      </c>
      <c r="F45" s="578" t="s">
        <v>2396</v>
      </c>
      <c r="G45" s="578"/>
    </row>
    <row r="46" customHeight="1" spans="1:7">
      <c r="A46" s="579"/>
      <c r="B46" s="580" t="s">
        <v>231</v>
      </c>
      <c r="C46" s="596" t="s">
        <v>283</v>
      </c>
      <c r="D46" s="597"/>
      <c r="E46" s="581">
        <v>2</v>
      </c>
      <c r="F46" s="578" t="s">
        <v>2397</v>
      </c>
      <c r="G46" s="578"/>
    </row>
    <row r="47" customHeight="1" spans="1:7">
      <c r="A47" s="579"/>
      <c r="B47" s="598" t="s">
        <v>2398</v>
      </c>
      <c r="C47" s="596" t="s">
        <v>292</v>
      </c>
      <c r="D47" s="597"/>
      <c r="E47" s="581">
        <v>1</v>
      </c>
      <c r="F47" s="578" t="s">
        <v>2399</v>
      </c>
      <c r="G47" s="578"/>
    </row>
    <row r="48" customHeight="1" spans="1:7">
      <c r="A48" s="579"/>
      <c r="B48" s="595"/>
      <c r="C48" s="596" t="s">
        <v>300</v>
      </c>
      <c r="D48" s="597"/>
      <c r="E48" s="581">
        <v>1</v>
      </c>
      <c r="F48" s="578" t="s">
        <v>2400</v>
      </c>
      <c r="G48" s="578"/>
    </row>
    <row r="49" customHeight="1" spans="1:7">
      <c r="A49" s="579"/>
      <c r="B49" s="595"/>
      <c r="C49" s="596" t="s">
        <v>308</v>
      </c>
      <c r="D49" s="597"/>
      <c r="E49" s="581">
        <v>1</v>
      </c>
      <c r="F49" s="578" t="s">
        <v>2401</v>
      </c>
      <c r="G49" s="578"/>
    </row>
    <row r="50" customHeight="1" spans="1:7">
      <c r="A50" s="579"/>
      <c r="B50" s="595"/>
      <c r="C50" s="596" t="s">
        <v>315</v>
      </c>
      <c r="D50" s="597"/>
      <c r="E50" s="581">
        <v>1</v>
      </c>
      <c r="F50" s="578" t="s">
        <v>2402</v>
      </c>
      <c r="G50" s="578"/>
    </row>
    <row r="51" customHeight="1" spans="1:7">
      <c r="A51" s="579"/>
      <c r="B51" s="595"/>
      <c r="C51" s="596" t="s">
        <v>321</v>
      </c>
      <c r="D51" s="597"/>
      <c r="E51" s="581">
        <v>1</v>
      </c>
      <c r="F51" s="578" t="s">
        <v>2403</v>
      </c>
      <c r="G51" s="578"/>
    </row>
    <row r="52" customHeight="1" spans="1:7">
      <c r="A52" s="579"/>
      <c r="B52" s="595"/>
      <c r="C52" s="596" t="s">
        <v>327</v>
      </c>
      <c r="D52" s="597"/>
      <c r="E52" s="581">
        <v>1</v>
      </c>
      <c r="F52" s="578" t="s">
        <v>2404</v>
      </c>
      <c r="G52" s="578"/>
    </row>
    <row r="53" customHeight="1" spans="1:7">
      <c r="A53" s="582"/>
      <c r="B53" s="586"/>
      <c r="C53" s="599" t="s">
        <v>333</v>
      </c>
      <c r="D53" s="600"/>
      <c r="E53" s="584">
        <v>1</v>
      </c>
      <c r="F53" s="578" t="s">
        <v>2405</v>
      </c>
      <c r="G53" s="578"/>
    </row>
    <row r="54" customHeight="1" spans="1:7">
      <c r="A54" s="607"/>
      <c r="B54" s="607"/>
      <c r="C54" s="607"/>
      <c r="D54" s="607"/>
      <c r="E54" s="607"/>
      <c r="F54" s="607"/>
      <c r="G54" s="607"/>
    </row>
    <row r="56" customHeight="1" spans="1:7">
      <c r="A56" s="608"/>
      <c r="B56" s="567" t="s">
        <v>490</v>
      </c>
      <c r="C56" s="567" t="s">
        <v>490</v>
      </c>
      <c r="D56" s="567" t="s">
        <v>490</v>
      </c>
      <c r="E56" s="571" t="s">
        <v>490</v>
      </c>
      <c r="F56" s="571" t="s">
        <v>2406</v>
      </c>
      <c r="G56" s="571" t="s">
        <v>490</v>
      </c>
    </row>
    <row r="57" customHeight="1" spans="1:7">
      <c r="A57" s="609"/>
      <c r="B57" s="571" t="s">
        <v>229</v>
      </c>
      <c r="C57" s="571" t="s">
        <v>229</v>
      </c>
      <c r="D57" s="571" t="s">
        <v>229</v>
      </c>
      <c r="E57" s="567" t="s">
        <v>230</v>
      </c>
      <c r="F57" s="567" t="s">
        <v>233</v>
      </c>
      <c r="G57" s="567" t="s">
        <v>1951</v>
      </c>
    </row>
    <row r="58" customHeight="1" spans="1:7">
      <c r="A58" s="610"/>
      <c r="B58" s="562">
        <v>1</v>
      </c>
      <c r="C58" s="562">
        <v>2</v>
      </c>
      <c r="D58" s="562">
        <v>3</v>
      </c>
      <c r="E58" s="611" t="s">
        <v>2407</v>
      </c>
      <c r="F58" s="611" t="s">
        <v>2407</v>
      </c>
      <c r="G58" s="611" t="s">
        <v>2407</v>
      </c>
    </row>
    <row r="59" customHeight="1" spans="1:7">
      <c r="A59" s="606" t="s">
        <v>235</v>
      </c>
      <c r="B59" s="612">
        <v>0.7</v>
      </c>
      <c r="C59" s="612">
        <v>0.4</v>
      </c>
      <c r="D59" s="612">
        <v>0.3</v>
      </c>
      <c r="E59" s="613">
        <v>0.3</v>
      </c>
      <c r="F59" s="612">
        <v>0.3</v>
      </c>
      <c r="G59" s="612">
        <v>0.2</v>
      </c>
    </row>
    <row r="60" customHeight="1" spans="1:7">
      <c r="A60" s="606" t="s">
        <v>251</v>
      </c>
      <c r="B60" s="612">
        <v>0.7</v>
      </c>
      <c r="C60" s="612">
        <v>0.4</v>
      </c>
      <c r="D60" s="612">
        <v>0.3</v>
      </c>
      <c r="E60" s="612">
        <v>0.3</v>
      </c>
      <c r="F60" s="612">
        <v>0.3</v>
      </c>
      <c r="G60" s="612">
        <v>0.2</v>
      </c>
    </row>
    <row r="61" customHeight="1" spans="1:7">
      <c r="A61" s="606" t="s">
        <v>264</v>
      </c>
      <c r="B61" s="612">
        <v>0.6</v>
      </c>
      <c r="C61" s="612">
        <v>0.3</v>
      </c>
      <c r="D61" s="612">
        <v>0.25</v>
      </c>
      <c r="E61" s="612">
        <v>0.25</v>
      </c>
      <c r="F61" s="612">
        <v>0.25</v>
      </c>
      <c r="G61" s="612">
        <v>0.15</v>
      </c>
    </row>
    <row r="62" customHeight="1" spans="1:7">
      <c r="A62" s="606" t="s">
        <v>275</v>
      </c>
      <c r="B62" s="612">
        <v>0.6</v>
      </c>
      <c r="C62" s="612">
        <v>0.3</v>
      </c>
      <c r="D62" s="612">
        <v>0.25</v>
      </c>
      <c r="E62" s="612">
        <v>0.25</v>
      </c>
      <c r="F62" s="612">
        <v>0.25</v>
      </c>
      <c r="G62" s="612">
        <v>0.15</v>
      </c>
    </row>
    <row r="63" customHeight="1" spans="1:7">
      <c r="A63" s="606" t="s">
        <v>286</v>
      </c>
      <c r="B63" s="612">
        <v>0.6</v>
      </c>
      <c r="C63" s="612">
        <v>0.3</v>
      </c>
      <c r="D63" s="612">
        <v>0.25</v>
      </c>
      <c r="E63" s="612">
        <v>0.25</v>
      </c>
      <c r="F63" s="612">
        <v>0.25</v>
      </c>
      <c r="G63" s="612">
        <v>0.15</v>
      </c>
    </row>
    <row r="64" customHeight="1" spans="1:7">
      <c r="A64" s="606" t="s">
        <v>295</v>
      </c>
      <c r="B64" s="612">
        <v>0.6</v>
      </c>
      <c r="C64" s="612">
        <v>0.3</v>
      </c>
      <c r="D64" s="612">
        <v>0.25</v>
      </c>
      <c r="E64" s="612">
        <v>0.25</v>
      </c>
      <c r="F64" s="612">
        <v>0.25</v>
      </c>
      <c r="G64" s="612">
        <v>0.15</v>
      </c>
    </row>
    <row r="65" customHeight="1" spans="1:7">
      <c r="A65" s="606" t="s">
        <v>303</v>
      </c>
      <c r="B65" s="612">
        <v>0.6</v>
      </c>
      <c r="C65" s="612">
        <v>0.3</v>
      </c>
      <c r="D65" s="612">
        <v>0.25</v>
      </c>
      <c r="E65" s="612">
        <v>0.25</v>
      </c>
      <c r="F65" s="612">
        <v>0.25</v>
      </c>
      <c r="G65" s="612">
        <v>0.15</v>
      </c>
    </row>
    <row r="66" customHeight="1" spans="1:7">
      <c r="A66" s="606" t="s">
        <v>311</v>
      </c>
      <c r="B66" s="612">
        <v>0.5</v>
      </c>
      <c r="C66" s="612">
        <v>0.2</v>
      </c>
      <c r="D66" s="612">
        <v>0.2</v>
      </c>
      <c r="E66" s="612">
        <v>0.2</v>
      </c>
      <c r="F66" s="612">
        <v>0.2</v>
      </c>
      <c r="G66" s="612">
        <v>0.1</v>
      </c>
    </row>
    <row r="67" customHeight="1" spans="1:7">
      <c r="A67" s="606" t="s">
        <v>318</v>
      </c>
      <c r="B67" s="612">
        <v>0.5</v>
      </c>
      <c r="C67" s="612">
        <v>0.2</v>
      </c>
      <c r="D67" s="612">
        <v>0.2</v>
      </c>
      <c r="E67" s="612">
        <v>0.2</v>
      </c>
      <c r="F67" s="612">
        <v>0.2</v>
      </c>
      <c r="G67" s="612">
        <v>0.1</v>
      </c>
    </row>
    <row r="68" customHeight="1" spans="1:7">
      <c r="A68" s="606" t="s">
        <v>324</v>
      </c>
      <c r="B68" s="612">
        <v>0.5</v>
      </c>
      <c r="C68" s="612">
        <v>0.2</v>
      </c>
      <c r="D68" s="612">
        <v>0.2</v>
      </c>
      <c r="E68" s="612">
        <v>0.2</v>
      </c>
      <c r="F68" s="612">
        <v>0.2</v>
      </c>
      <c r="G68" s="612">
        <v>0.1</v>
      </c>
    </row>
    <row r="69" customHeight="1" spans="1:7">
      <c r="A69" s="606" t="s">
        <v>330</v>
      </c>
      <c r="B69" s="612">
        <v>0.5</v>
      </c>
      <c r="C69" s="612">
        <v>0.2</v>
      </c>
      <c r="D69" s="612">
        <v>0.2</v>
      </c>
      <c r="E69" s="612">
        <v>0.2</v>
      </c>
      <c r="F69" s="612">
        <v>0.2</v>
      </c>
      <c r="G69" s="612">
        <v>0.1</v>
      </c>
    </row>
    <row r="70" customHeight="1" spans="1:7">
      <c r="A70" s="606" t="s">
        <v>336</v>
      </c>
      <c r="B70" s="612">
        <v>0.5</v>
      </c>
      <c r="C70" s="612">
        <v>0.2</v>
      </c>
      <c r="D70" s="612">
        <v>0.2</v>
      </c>
      <c r="E70" s="612">
        <v>0.2</v>
      </c>
      <c r="F70" s="612">
        <v>0.2</v>
      </c>
      <c r="G70" s="612">
        <v>0.1</v>
      </c>
    </row>
    <row r="72" customHeight="1" spans="1:7">
      <c r="A72" s="614"/>
      <c r="B72" s="615"/>
      <c r="C72" s="615"/>
      <c r="D72" s="615" t="s">
        <v>2408</v>
      </c>
      <c r="E72" s="615"/>
      <c r="F72" s="615"/>
    </row>
    <row r="73" customHeight="1" spans="1:7">
      <c r="A73" s="580" t="s">
        <v>1004</v>
      </c>
      <c r="B73" s="580" t="s">
        <v>2409</v>
      </c>
      <c r="C73" s="580" t="s">
        <v>2410</v>
      </c>
      <c r="D73" s="580" t="s">
        <v>2411</v>
      </c>
      <c r="E73" s="580" t="s">
        <v>2412</v>
      </c>
      <c r="F73" s="580" t="s">
        <v>2413</v>
      </c>
    </row>
    <row r="74" ht="13.5" spans="1:7">
      <c r="A74" s="580"/>
      <c r="B74" s="580"/>
      <c r="C74" s="580" t="s">
        <v>2414</v>
      </c>
      <c r="D74" s="580"/>
      <c r="E74" s="580" t="s">
        <v>124</v>
      </c>
      <c r="F74" s="580" t="s">
        <v>124</v>
      </c>
    </row>
    <row r="75" ht="13.5" spans="1:7">
      <c r="A75" s="580">
        <v>1</v>
      </c>
      <c r="B75" s="598" t="s">
        <v>2415</v>
      </c>
      <c r="C75" s="567" t="s">
        <v>2416</v>
      </c>
      <c r="D75" s="567" t="s">
        <v>2417</v>
      </c>
      <c r="E75" s="616">
        <v>0.2</v>
      </c>
      <c r="F75" s="617">
        <v>25</v>
      </c>
    </row>
    <row r="76" ht="24" spans="1:7">
      <c r="A76" s="580">
        <v>2</v>
      </c>
      <c r="B76" s="595"/>
      <c r="C76" s="567" t="s">
        <v>2418</v>
      </c>
      <c r="D76" s="567" t="s">
        <v>2419</v>
      </c>
      <c r="E76" s="616">
        <v>0.2</v>
      </c>
      <c r="F76" s="617">
        <v>25</v>
      </c>
    </row>
    <row r="77" ht="24" spans="1:7">
      <c r="A77" s="580">
        <v>3</v>
      </c>
      <c r="B77" s="595"/>
      <c r="C77" s="567" t="s">
        <v>2420</v>
      </c>
      <c r="D77" s="567" t="s">
        <v>2421</v>
      </c>
      <c r="E77" s="616">
        <v>0.2</v>
      </c>
      <c r="F77" s="617">
        <v>25</v>
      </c>
    </row>
    <row r="78" ht="13.5" spans="1:7">
      <c r="A78" s="580">
        <v>4</v>
      </c>
      <c r="B78" s="595"/>
      <c r="C78" s="567" t="s">
        <v>2422</v>
      </c>
      <c r="D78" s="567" t="s">
        <v>2423</v>
      </c>
      <c r="E78" s="616">
        <v>0.15</v>
      </c>
      <c r="F78" s="617">
        <v>20</v>
      </c>
    </row>
    <row r="79" ht="24" spans="1:7">
      <c r="A79" s="580">
        <v>5</v>
      </c>
      <c r="B79" s="595"/>
      <c r="C79" s="567" t="s">
        <v>2424</v>
      </c>
      <c r="D79" s="567" t="s">
        <v>2425</v>
      </c>
      <c r="E79" s="616">
        <v>0.15</v>
      </c>
      <c r="F79" s="617">
        <v>20</v>
      </c>
    </row>
    <row r="80" ht="24" spans="1:7">
      <c r="A80" s="580">
        <v>6</v>
      </c>
      <c r="B80" s="595"/>
      <c r="C80" s="567" t="s">
        <v>2426</v>
      </c>
      <c r="D80" s="567" t="s">
        <v>2427</v>
      </c>
      <c r="E80" s="616">
        <v>0.15</v>
      </c>
      <c r="F80" s="617">
        <v>20</v>
      </c>
    </row>
    <row r="81" ht="24" spans="1:6">
      <c r="A81" s="580">
        <v>7</v>
      </c>
      <c r="B81" s="595"/>
      <c r="C81" s="567" t="s">
        <v>2428</v>
      </c>
      <c r="D81" s="567" t="s">
        <v>2429</v>
      </c>
      <c r="E81" s="616">
        <v>0.15</v>
      </c>
      <c r="F81" s="617">
        <v>20</v>
      </c>
    </row>
    <row r="82" ht="24" spans="1:6">
      <c r="A82" s="580">
        <v>8</v>
      </c>
      <c r="B82" s="595"/>
      <c r="C82" s="567" t="s">
        <v>2430</v>
      </c>
      <c r="D82" s="567" t="s">
        <v>2431</v>
      </c>
      <c r="E82" s="616">
        <v>0.1</v>
      </c>
      <c r="F82" s="617">
        <v>15</v>
      </c>
    </row>
    <row r="83" ht="24" spans="1:6">
      <c r="A83" s="580">
        <v>9</v>
      </c>
      <c r="B83" s="595"/>
      <c r="C83" s="567" t="s">
        <v>2432</v>
      </c>
      <c r="D83" s="567" t="s">
        <v>2433</v>
      </c>
      <c r="E83" s="616">
        <v>0.1</v>
      </c>
      <c r="F83" s="617">
        <v>15</v>
      </c>
    </row>
    <row r="84" ht="24" spans="1:6">
      <c r="A84" s="580">
        <v>10</v>
      </c>
      <c r="B84" s="595"/>
      <c r="C84" s="567" t="s">
        <v>2434</v>
      </c>
      <c r="D84" s="567" t="s">
        <v>2435</v>
      </c>
      <c r="E84" s="616">
        <v>0.1</v>
      </c>
      <c r="F84" s="617">
        <v>15</v>
      </c>
    </row>
    <row r="85" ht="24" spans="1:6">
      <c r="A85" s="580">
        <v>11</v>
      </c>
      <c r="B85" s="595"/>
      <c r="C85" s="567" t="s">
        <v>2436</v>
      </c>
      <c r="D85" s="567" t="s">
        <v>2437</v>
      </c>
      <c r="E85" s="616">
        <v>0.1</v>
      </c>
      <c r="F85" s="617">
        <v>15</v>
      </c>
    </row>
    <row r="86" ht="24" spans="1:6">
      <c r="A86" s="580">
        <v>12</v>
      </c>
      <c r="B86" s="595"/>
      <c r="C86" s="567" t="s">
        <v>2438</v>
      </c>
      <c r="D86" s="567" t="s">
        <v>2439</v>
      </c>
      <c r="E86" s="616">
        <v>0.1</v>
      </c>
      <c r="F86" s="617">
        <v>15</v>
      </c>
    </row>
    <row r="87" ht="13.5" spans="1:6">
      <c r="A87" s="580">
        <v>13</v>
      </c>
      <c r="B87" s="595"/>
      <c r="C87" s="567" t="s">
        <v>2440</v>
      </c>
      <c r="D87" s="567" t="s">
        <v>2441</v>
      </c>
      <c r="E87" s="616">
        <v>0.1</v>
      </c>
      <c r="F87" s="617">
        <v>15</v>
      </c>
    </row>
    <row r="88" ht="13.5" spans="1:6">
      <c r="A88" s="580">
        <v>14</v>
      </c>
      <c r="B88" s="595"/>
      <c r="C88" s="567" t="s">
        <v>2442</v>
      </c>
      <c r="D88" s="567" t="s">
        <v>2443</v>
      </c>
      <c r="E88" s="616">
        <v>0.1</v>
      </c>
      <c r="F88" s="617">
        <v>15</v>
      </c>
    </row>
    <row r="89" ht="13.5" spans="1:6">
      <c r="A89" s="580">
        <v>15</v>
      </c>
      <c r="B89" s="595"/>
      <c r="C89" s="567" t="s">
        <v>2444</v>
      </c>
      <c r="D89" s="567" t="s">
        <v>2445</v>
      </c>
      <c r="E89" s="616">
        <v>0.1</v>
      </c>
      <c r="F89" s="617">
        <v>15</v>
      </c>
    </row>
    <row r="90" ht="24" spans="1:6">
      <c r="A90" s="580">
        <v>16</v>
      </c>
      <c r="B90" s="595"/>
      <c r="C90" s="567" t="s">
        <v>2446</v>
      </c>
      <c r="D90" s="567" t="s">
        <v>2447</v>
      </c>
      <c r="E90" s="616">
        <v>0.1</v>
      </c>
      <c r="F90" s="617">
        <v>15</v>
      </c>
    </row>
    <row r="91" ht="24" spans="1:6">
      <c r="A91" s="580">
        <v>17</v>
      </c>
      <c r="B91" s="606"/>
      <c r="C91" s="567" t="s">
        <v>2448</v>
      </c>
      <c r="D91" s="567" t="s">
        <v>2449</v>
      </c>
      <c r="E91" s="616">
        <v>0.1</v>
      </c>
      <c r="F91" s="617">
        <v>15</v>
      </c>
    </row>
    <row r="92" ht="13.5" spans="1:6">
      <c r="A92" s="580">
        <v>18</v>
      </c>
      <c r="B92" s="598" t="s">
        <v>2450</v>
      </c>
      <c r="C92" s="567" t="s">
        <v>2451</v>
      </c>
      <c r="D92" s="567" t="s">
        <v>2452</v>
      </c>
      <c r="E92" s="616">
        <v>0.2</v>
      </c>
      <c r="F92" s="617">
        <v>25</v>
      </c>
    </row>
    <row r="93" ht="24" spans="1:6">
      <c r="A93" s="580">
        <v>19</v>
      </c>
      <c r="B93" s="595"/>
      <c r="C93" s="567" t="s">
        <v>2453</v>
      </c>
      <c r="D93" s="567" t="s">
        <v>2454</v>
      </c>
      <c r="E93" s="616">
        <v>0.2</v>
      </c>
      <c r="F93" s="617">
        <v>25</v>
      </c>
    </row>
    <row r="94" ht="13.5" spans="1:6">
      <c r="A94" s="580">
        <v>20</v>
      </c>
      <c r="B94" s="595"/>
      <c r="C94" s="567" t="s">
        <v>2455</v>
      </c>
      <c r="D94" s="567" t="s">
        <v>2456</v>
      </c>
      <c r="E94" s="616">
        <v>0.15</v>
      </c>
      <c r="F94" s="617">
        <v>20</v>
      </c>
    </row>
    <row r="95" ht="13.5" spans="1:6">
      <c r="A95" s="580">
        <v>21</v>
      </c>
      <c r="B95" s="595"/>
      <c r="C95" s="567" t="s">
        <v>2457</v>
      </c>
      <c r="D95" s="567" t="s">
        <v>2458</v>
      </c>
      <c r="E95" s="616">
        <v>0.15</v>
      </c>
      <c r="F95" s="617">
        <v>20</v>
      </c>
    </row>
    <row r="96" ht="13.5" spans="1:6">
      <c r="A96" s="580">
        <v>22</v>
      </c>
      <c r="B96" s="595"/>
      <c r="C96" s="567" t="s">
        <v>2459</v>
      </c>
      <c r="D96" s="567" t="s">
        <v>2460</v>
      </c>
      <c r="E96" s="616">
        <v>0.15</v>
      </c>
      <c r="F96" s="617">
        <v>20</v>
      </c>
    </row>
    <row r="97" ht="36" spans="1:6">
      <c r="A97" s="580">
        <v>23</v>
      </c>
      <c r="B97" s="595"/>
      <c r="C97" s="567" t="s">
        <v>2461</v>
      </c>
      <c r="D97" s="567" t="s">
        <v>2462</v>
      </c>
      <c r="E97" s="616">
        <v>0.15</v>
      </c>
      <c r="F97" s="617">
        <v>20</v>
      </c>
    </row>
    <row r="98" ht="13.5" spans="1:6">
      <c r="A98" s="580">
        <v>24</v>
      </c>
      <c r="B98" s="595"/>
      <c r="C98" s="567" t="s">
        <v>2463</v>
      </c>
      <c r="D98" s="567" t="s">
        <v>2464</v>
      </c>
      <c r="E98" s="616">
        <v>0.1</v>
      </c>
      <c r="F98" s="617">
        <v>15</v>
      </c>
    </row>
    <row r="99" ht="13.5" spans="1:6">
      <c r="A99" s="580">
        <v>25</v>
      </c>
      <c r="B99" s="595"/>
      <c r="C99" s="567" t="s">
        <v>2465</v>
      </c>
      <c r="D99" s="567" t="s">
        <v>2466</v>
      </c>
      <c r="E99" s="616">
        <v>0.1</v>
      </c>
      <c r="F99" s="617">
        <v>15</v>
      </c>
    </row>
    <row r="100" ht="24" spans="1:6">
      <c r="A100" s="580">
        <v>26</v>
      </c>
      <c r="B100" s="595"/>
      <c r="C100" s="567" t="s">
        <v>2467</v>
      </c>
      <c r="D100" s="567" t="s">
        <v>2468</v>
      </c>
      <c r="E100" s="616">
        <v>0.1</v>
      </c>
      <c r="F100" s="617">
        <v>15</v>
      </c>
    </row>
    <row r="101" ht="24" spans="1:6">
      <c r="A101" s="580">
        <v>27</v>
      </c>
      <c r="B101" s="595"/>
      <c r="C101" s="567" t="s">
        <v>2469</v>
      </c>
      <c r="D101" s="567" t="s">
        <v>2470</v>
      </c>
      <c r="E101" s="616">
        <v>0.1</v>
      </c>
      <c r="F101" s="617">
        <v>15</v>
      </c>
    </row>
    <row r="102" ht="13.5" spans="1:6">
      <c r="A102" s="580">
        <v>28</v>
      </c>
      <c r="B102" s="595"/>
      <c r="C102" s="567" t="s">
        <v>2471</v>
      </c>
      <c r="D102" s="567" t="s">
        <v>2472</v>
      </c>
      <c r="E102" s="616">
        <v>0.1</v>
      </c>
      <c r="F102" s="617">
        <v>15</v>
      </c>
    </row>
    <row r="103" ht="13.5" spans="1:6">
      <c r="A103" s="580">
        <v>29</v>
      </c>
      <c r="B103" s="595"/>
      <c r="C103" s="567" t="s">
        <v>2473</v>
      </c>
      <c r="D103" s="567" t="s">
        <v>2474</v>
      </c>
      <c r="E103" s="616">
        <v>0.1</v>
      </c>
      <c r="F103" s="617">
        <v>15</v>
      </c>
    </row>
    <row r="104" ht="13.5" spans="1:6">
      <c r="A104" s="580">
        <v>30</v>
      </c>
      <c r="B104" s="595"/>
      <c r="C104" s="567" t="s">
        <v>2475</v>
      </c>
      <c r="D104" s="567" t="s">
        <v>2476</v>
      </c>
      <c r="E104" s="616">
        <v>0.1</v>
      </c>
      <c r="F104" s="617">
        <v>15</v>
      </c>
    </row>
    <row r="105" ht="24" spans="1:6">
      <c r="A105" s="580">
        <v>31</v>
      </c>
      <c r="B105" s="595"/>
      <c r="C105" s="567" t="s">
        <v>2477</v>
      </c>
      <c r="D105" s="567" t="s">
        <v>2478</v>
      </c>
      <c r="E105" s="616">
        <v>0.1</v>
      </c>
      <c r="F105" s="617">
        <v>15</v>
      </c>
    </row>
    <row r="106" ht="24" spans="1:6">
      <c r="A106" s="580">
        <v>32</v>
      </c>
      <c r="B106" s="595"/>
      <c r="C106" s="567" t="s">
        <v>2479</v>
      </c>
      <c r="D106" s="567" t="s">
        <v>2480</v>
      </c>
      <c r="E106" s="616">
        <v>0.1</v>
      </c>
      <c r="F106" s="617">
        <v>15</v>
      </c>
    </row>
    <row r="107" ht="24" spans="1:6">
      <c r="A107" s="580">
        <v>33</v>
      </c>
      <c r="B107" s="595"/>
      <c r="C107" s="567" t="s">
        <v>2481</v>
      </c>
      <c r="D107" s="567" t="s">
        <v>2482</v>
      </c>
      <c r="E107" s="616">
        <v>0.1</v>
      </c>
      <c r="F107" s="617">
        <v>15</v>
      </c>
    </row>
    <row r="108" ht="24" spans="1:6">
      <c r="A108" s="580">
        <v>34</v>
      </c>
      <c r="B108" s="606"/>
      <c r="C108" s="567" t="s">
        <v>2483</v>
      </c>
      <c r="D108" s="567" t="s">
        <v>2484</v>
      </c>
      <c r="E108" s="616">
        <v>0.1</v>
      </c>
      <c r="F108" s="617">
        <v>15</v>
      </c>
    </row>
    <row r="109" ht="24" spans="1:6">
      <c r="A109" s="580">
        <v>35</v>
      </c>
      <c r="B109" s="598" t="s">
        <v>2485</v>
      </c>
      <c r="C109" s="580" t="s">
        <v>2486</v>
      </c>
      <c r="D109" s="567" t="s">
        <v>2487</v>
      </c>
      <c r="E109" s="616">
        <v>0.15</v>
      </c>
      <c r="F109" s="617">
        <v>20</v>
      </c>
    </row>
    <row r="110" ht="13.5" spans="1:6">
      <c r="A110" s="580">
        <v>36</v>
      </c>
      <c r="B110" s="595"/>
      <c r="C110" s="580" t="s">
        <v>2488</v>
      </c>
      <c r="D110" s="567" t="s">
        <v>2489</v>
      </c>
      <c r="E110" s="616">
        <v>0.15</v>
      </c>
      <c r="F110" s="617">
        <v>20</v>
      </c>
    </row>
    <row r="111" ht="13.5" spans="1:6">
      <c r="A111" s="580">
        <v>37</v>
      </c>
      <c r="B111" s="595"/>
      <c r="C111" s="580" t="s">
        <v>2490</v>
      </c>
      <c r="D111" s="567" t="s">
        <v>2491</v>
      </c>
      <c r="E111" s="616">
        <v>0.15</v>
      </c>
      <c r="F111" s="617">
        <v>20</v>
      </c>
    </row>
    <row r="112" ht="13.5" spans="1:6">
      <c r="A112" s="580">
        <v>38</v>
      </c>
      <c r="B112" s="595"/>
      <c r="C112" s="580" t="s">
        <v>2492</v>
      </c>
      <c r="D112" s="567" t="s">
        <v>2493</v>
      </c>
      <c r="E112" s="616">
        <v>0.1</v>
      </c>
      <c r="F112" s="617">
        <v>15</v>
      </c>
    </row>
    <row r="113" ht="24" spans="1:6">
      <c r="A113" s="580">
        <v>39</v>
      </c>
      <c r="B113" s="595"/>
      <c r="C113" s="580" t="s">
        <v>2494</v>
      </c>
      <c r="D113" s="567" t="s">
        <v>2495</v>
      </c>
      <c r="E113" s="616">
        <v>0.1</v>
      </c>
      <c r="F113" s="617">
        <v>15</v>
      </c>
    </row>
    <row r="114" ht="24" spans="1:6">
      <c r="A114" s="580">
        <v>40</v>
      </c>
      <c r="B114" s="606"/>
      <c r="C114" s="580" t="s">
        <v>2496</v>
      </c>
      <c r="D114" s="567" t="s">
        <v>2497</v>
      </c>
      <c r="E114" s="616">
        <v>0.1</v>
      </c>
      <c r="F114" s="617">
        <v>15</v>
      </c>
    </row>
    <row r="115" ht="13.5" spans="1:6">
      <c r="A115" s="580">
        <v>41</v>
      </c>
      <c r="B115" s="580" t="s">
        <v>2498</v>
      </c>
      <c r="C115" s="580" t="s">
        <v>2499</v>
      </c>
      <c r="D115" s="567" t="s">
        <v>2500</v>
      </c>
      <c r="E115" s="616">
        <v>0.1</v>
      </c>
      <c r="F115" s="617">
        <v>15</v>
      </c>
    </row>
    <row r="116" ht="13.5" spans="1:6">
      <c r="A116" s="580">
        <v>42</v>
      </c>
      <c r="B116" s="580"/>
      <c r="C116" s="580" t="s">
        <v>2501</v>
      </c>
      <c r="D116" s="567" t="s">
        <v>2502</v>
      </c>
      <c r="E116" s="616">
        <v>0.1</v>
      </c>
      <c r="F116" s="617">
        <v>15</v>
      </c>
    </row>
    <row r="117" ht="24" spans="1:6">
      <c r="A117" s="580">
        <v>43</v>
      </c>
      <c r="B117" s="580"/>
      <c r="C117" s="580" t="s">
        <v>2503</v>
      </c>
      <c r="D117" s="567" t="s">
        <v>2504</v>
      </c>
      <c r="E117" s="616">
        <v>0.1</v>
      </c>
      <c r="F117" s="617">
        <v>15</v>
      </c>
    </row>
    <row r="118" ht="13.5" spans="1:6">
      <c r="A118" s="580">
        <v>44</v>
      </c>
      <c r="B118" s="598" t="s">
        <v>2505</v>
      </c>
      <c r="C118" s="580" t="s">
        <v>2506</v>
      </c>
      <c r="D118" s="567" t="s">
        <v>2507</v>
      </c>
      <c r="E118" s="616">
        <v>0.1</v>
      </c>
      <c r="F118" s="617">
        <v>15</v>
      </c>
    </row>
    <row r="119" ht="24" spans="1:6">
      <c r="A119" s="580">
        <v>45</v>
      </c>
      <c r="B119" s="606"/>
      <c r="C119" s="567" t="s">
        <v>2508</v>
      </c>
      <c r="D119" s="567" t="s">
        <v>2509</v>
      </c>
      <c r="E119" s="616">
        <v>0.1</v>
      </c>
      <c r="F119" s="617">
        <v>15</v>
      </c>
    </row>
    <row r="120" ht="24" spans="1:6">
      <c r="A120" s="580">
        <v>46</v>
      </c>
      <c r="B120" s="598" t="s">
        <v>2510</v>
      </c>
      <c r="C120" s="580" t="s">
        <v>2511</v>
      </c>
      <c r="D120" s="567" t="s">
        <v>2512</v>
      </c>
      <c r="E120" s="616">
        <v>0.1</v>
      </c>
      <c r="F120" s="617">
        <v>15</v>
      </c>
    </row>
    <row r="121" ht="24" spans="1:6">
      <c r="A121" s="580">
        <v>47</v>
      </c>
      <c r="B121" s="606"/>
      <c r="C121" s="580" t="s">
        <v>2513</v>
      </c>
      <c r="D121" s="567" t="s">
        <v>2514</v>
      </c>
      <c r="E121" s="616">
        <v>0.1</v>
      </c>
      <c r="F121" s="617">
        <v>15</v>
      </c>
    </row>
    <row r="122" ht="13.5" spans="1:6">
      <c r="A122" s="580">
        <v>48</v>
      </c>
      <c r="B122" s="598" t="s">
        <v>2515</v>
      </c>
      <c r="C122" s="580" t="s">
        <v>2516</v>
      </c>
      <c r="D122" s="567" t="s">
        <v>2517</v>
      </c>
      <c r="E122" s="616">
        <v>0.1</v>
      </c>
      <c r="F122" s="617">
        <v>15</v>
      </c>
    </row>
    <row r="123" ht="13.5" spans="1:6">
      <c r="A123" s="580">
        <v>49</v>
      </c>
      <c r="B123" s="606"/>
      <c r="C123" s="580" t="s">
        <v>2518</v>
      </c>
      <c r="D123" s="567" t="s">
        <v>2519</v>
      </c>
      <c r="E123" s="616">
        <v>0.1</v>
      </c>
      <c r="F123" s="617">
        <v>15</v>
      </c>
    </row>
    <row r="124" ht="24" spans="1:6">
      <c r="A124" s="580">
        <v>50</v>
      </c>
      <c r="B124" s="580" t="s">
        <v>2520</v>
      </c>
      <c r="C124" s="580" t="s">
        <v>2521</v>
      </c>
      <c r="D124" s="567" t="s">
        <v>2522</v>
      </c>
      <c r="E124" s="616">
        <v>0.1</v>
      </c>
      <c r="F124" s="617">
        <v>15</v>
      </c>
    </row>
    <row r="125" ht="24" spans="1:6">
      <c r="A125" s="580">
        <v>51</v>
      </c>
      <c r="B125" s="580"/>
      <c r="C125" s="580" t="s">
        <v>2523</v>
      </c>
      <c r="D125" s="567" t="s">
        <v>2524</v>
      </c>
      <c r="E125" s="616">
        <v>0.1</v>
      </c>
      <c r="F125" s="617">
        <v>15</v>
      </c>
    </row>
    <row r="126" ht="24" spans="1:6">
      <c r="A126" s="580">
        <v>52</v>
      </c>
      <c r="B126" s="580" t="s">
        <v>2525</v>
      </c>
      <c r="C126" s="580" t="s">
        <v>2526</v>
      </c>
      <c r="D126" s="567" t="s">
        <v>2527</v>
      </c>
      <c r="E126" s="616">
        <v>0.1</v>
      </c>
      <c r="F126" s="617">
        <v>15</v>
      </c>
    </row>
    <row r="127" ht="24" spans="1:6">
      <c r="A127" s="580">
        <v>53</v>
      </c>
      <c r="B127" s="580"/>
      <c r="C127" s="580" t="s">
        <v>2528</v>
      </c>
      <c r="D127" s="567" t="s">
        <v>2529</v>
      </c>
      <c r="E127" s="616">
        <v>0.1</v>
      </c>
      <c r="F127" s="617">
        <v>15</v>
      </c>
    </row>
    <row r="128" ht="13.5" spans="1:6">
      <c r="A128" s="580">
        <v>54</v>
      </c>
      <c r="B128" s="580" t="s">
        <v>2530</v>
      </c>
      <c r="C128" s="580" t="s">
        <v>2531</v>
      </c>
      <c r="D128" s="567" t="s">
        <v>2532</v>
      </c>
      <c r="E128" s="616">
        <v>0.1</v>
      </c>
      <c r="F128" s="617">
        <v>15</v>
      </c>
    </row>
    <row r="129" ht="13.5" spans="1:6">
      <c r="A129" s="580">
        <v>55</v>
      </c>
      <c r="B129" s="580" t="s">
        <v>2533</v>
      </c>
      <c r="C129" s="580" t="s">
        <v>2534</v>
      </c>
      <c r="D129" s="567" t="s">
        <v>2535</v>
      </c>
      <c r="E129" s="616">
        <v>0.1</v>
      </c>
      <c r="F129" s="617">
        <v>15</v>
      </c>
    </row>
    <row r="130" ht="13.5" spans="1:6">
      <c r="A130" s="580">
        <v>56</v>
      </c>
      <c r="B130" s="580"/>
      <c r="C130" s="580" t="s">
        <v>2536</v>
      </c>
      <c r="D130" s="567" t="s">
        <v>2537</v>
      </c>
      <c r="E130" s="616">
        <v>0.1</v>
      </c>
      <c r="F130" s="617">
        <v>15</v>
      </c>
    </row>
    <row r="131" ht="24" spans="1:6">
      <c r="A131" s="580">
        <v>57</v>
      </c>
      <c r="B131" s="580"/>
      <c r="C131" s="580" t="s">
        <v>2538</v>
      </c>
      <c r="D131" s="567" t="s">
        <v>2539</v>
      </c>
      <c r="E131" s="616">
        <v>0.1</v>
      </c>
      <c r="F131" s="617">
        <v>15</v>
      </c>
    </row>
    <row r="132" ht="24" spans="1:6">
      <c r="A132" s="580">
        <v>58</v>
      </c>
      <c r="B132" s="580" t="s">
        <v>2540</v>
      </c>
      <c r="C132" s="580" t="s">
        <v>2541</v>
      </c>
      <c r="D132" s="567" t="s">
        <v>2542</v>
      </c>
      <c r="E132" s="616">
        <v>0.1</v>
      </c>
      <c r="F132" s="617">
        <v>15</v>
      </c>
    </row>
    <row r="133" ht="13.5" spans="1:6">
      <c r="A133" s="580">
        <v>59</v>
      </c>
      <c r="B133" s="580"/>
      <c r="C133" s="580" t="s">
        <v>2543</v>
      </c>
      <c r="D133" s="567" t="s">
        <v>2544</v>
      </c>
      <c r="E133" s="616">
        <v>0.1</v>
      </c>
      <c r="F133" s="617">
        <v>15</v>
      </c>
    </row>
    <row r="134" ht="13.5" spans="1:6">
      <c r="A134" s="580">
        <v>60</v>
      </c>
      <c r="B134" s="598" t="s">
        <v>2545</v>
      </c>
      <c r="C134" s="580" t="s">
        <v>2546</v>
      </c>
      <c r="D134" s="567" t="s">
        <v>2547</v>
      </c>
      <c r="E134" s="616">
        <v>0.1</v>
      </c>
      <c r="F134" s="617">
        <v>15</v>
      </c>
    </row>
    <row r="135" ht="13.5" spans="1:6">
      <c r="A135" s="580">
        <v>61</v>
      </c>
      <c r="B135" s="606"/>
      <c r="C135" s="580" t="s">
        <v>2548</v>
      </c>
      <c r="D135" s="567" t="s">
        <v>2549</v>
      </c>
      <c r="E135" s="616">
        <v>0.1</v>
      </c>
      <c r="F135" s="617">
        <v>15</v>
      </c>
    </row>
    <row r="136" ht="24" spans="1:6">
      <c r="A136" s="580">
        <v>62</v>
      </c>
      <c r="B136" s="580" t="s">
        <v>2550</v>
      </c>
      <c r="C136" s="580" t="s">
        <v>2551</v>
      </c>
      <c r="D136" s="567" t="s">
        <v>2552</v>
      </c>
      <c r="E136" s="616">
        <v>0.1</v>
      </c>
      <c r="F136" s="617">
        <v>15</v>
      </c>
    </row>
    <row r="137" ht="13.5" spans="1:6">
      <c r="A137" s="580">
        <v>63</v>
      </c>
      <c r="B137" s="580" t="s">
        <v>2553</v>
      </c>
      <c r="C137" s="580" t="s">
        <v>2554</v>
      </c>
      <c r="D137" s="567" t="s">
        <v>2555</v>
      </c>
      <c r="E137" s="616">
        <v>0.1</v>
      </c>
      <c r="F137" s="617">
        <v>15</v>
      </c>
    </row>
    <row r="138" ht="13.5" spans="1:6">
      <c r="A138" s="580">
        <v>64</v>
      </c>
      <c r="B138" s="580"/>
      <c r="C138" s="580" t="s">
        <v>2556</v>
      </c>
      <c r="D138" s="567" t="s">
        <v>2557</v>
      </c>
      <c r="E138" s="616">
        <v>0.1</v>
      </c>
      <c r="F138" s="617">
        <v>15</v>
      </c>
    </row>
    <row r="139" ht="13.5" spans="1:6">
      <c r="A139" s="580">
        <v>65</v>
      </c>
      <c r="B139" s="580" t="s">
        <v>2558</v>
      </c>
      <c r="C139" s="580" t="s">
        <v>2559</v>
      </c>
      <c r="D139" s="567" t="s">
        <v>2560</v>
      </c>
      <c r="E139" s="616">
        <v>0.1</v>
      </c>
      <c r="F139" s="617">
        <v>15</v>
      </c>
    </row>
    <row r="140" ht="13.5" spans="1:6">
      <c r="A140" s="580"/>
      <c r="B140" s="580"/>
      <c r="C140" s="580"/>
      <c r="D140" s="580"/>
      <c r="E140" s="580" t="s">
        <v>124</v>
      </c>
      <c r="F140" s="58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17"/>
    <col min="14" max="16384" width="9" style="518"/>
  </cols>
  <sheetData>
    <row r="1" ht="15" spans="1:20">
      <c r="A1" s="519" t="s">
        <v>2561</v>
      </c>
      <c r="B1" s="519"/>
      <c r="C1" s="519"/>
      <c r="D1" s="519"/>
      <c r="E1" s="519"/>
      <c r="F1" s="519"/>
      <c r="G1" s="519"/>
      <c r="H1" s="519"/>
      <c r="I1" s="519"/>
      <c r="J1" s="519"/>
      <c r="K1" s="519"/>
      <c r="L1" s="519"/>
      <c r="M1" s="519"/>
      <c r="N1" s="520"/>
    </row>
    <row r="2" spans="1:20">
      <c r="A2" s="521" t="s">
        <v>2562</v>
      </c>
      <c r="B2" s="522" t="s">
        <v>235</v>
      </c>
      <c r="C2" s="522" t="s">
        <v>251</v>
      </c>
      <c r="D2" s="522" t="s">
        <v>264</v>
      </c>
      <c r="E2" s="522" t="s">
        <v>275</v>
      </c>
      <c r="F2" s="522" t="s">
        <v>286</v>
      </c>
      <c r="G2" s="522" t="s">
        <v>295</v>
      </c>
      <c r="H2" s="523" t="s">
        <v>303</v>
      </c>
      <c r="I2" s="523" t="s">
        <v>311</v>
      </c>
      <c r="J2" s="524" t="s">
        <v>318</v>
      </c>
      <c r="K2" s="524" t="s">
        <v>324</v>
      </c>
      <c r="L2" s="524" t="s">
        <v>330</v>
      </c>
      <c r="M2" s="525" t="s">
        <v>336</v>
      </c>
      <c r="Q2" s="526" t="s">
        <v>2563</v>
      </c>
      <c r="R2" s="526" t="s">
        <v>2564</v>
      </c>
      <c r="S2" s="526" t="s">
        <v>2565</v>
      </c>
      <c r="T2" s="526" t="s">
        <v>2566</v>
      </c>
    </row>
    <row r="3" spans="1:20">
      <c r="A3" s="527">
        <v>1</v>
      </c>
      <c r="B3" s="528">
        <v>1.2574</v>
      </c>
      <c r="C3" s="528">
        <v>1.2574</v>
      </c>
      <c r="D3" s="528">
        <v>1.2299</v>
      </c>
      <c r="E3" s="528">
        <v>1.2299</v>
      </c>
      <c r="F3" s="528">
        <v>1.2299</v>
      </c>
      <c r="G3" s="528">
        <v>1.2299</v>
      </c>
      <c r="H3" s="528">
        <v>1.2299</v>
      </c>
      <c r="I3" s="528">
        <v>1.2333</v>
      </c>
      <c r="J3" s="528">
        <v>1.2333</v>
      </c>
      <c r="K3" s="528">
        <v>1.2333</v>
      </c>
      <c r="L3" s="528">
        <v>1.2333</v>
      </c>
      <c r="M3" s="529">
        <v>1.2333</v>
      </c>
      <c r="N3" s="530"/>
      <c r="Q3" s="526">
        <v>10</v>
      </c>
      <c r="R3" s="526">
        <f>ROUND(0.9968-0.011*Q3,4)</f>
        <v>0.8868</v>
      </c>
      <c r="S3" s="526">
        <f>ROUND(0.949-0.014*Q3,4)</f>
        <v>0.809</v>
      </c>
      <c r="T3" s="526">
        <f>ROUND(0.8486-0.018*Q3,4)</f>
        <v>0.6686</v>
      </c>
    </row>
    <row r="4" spans="1:20">
      <c r="A4" s="527">
        <v>1.1</v>
      </c>
      <c r="B4" s="528">
        <v>1.2284</v>
      </c>
      <c r="C4" s="528">
        <v>1.2284</v>
      </c>
      <c r="D4" s="528">
        <v>1.1985</v>
      </c>
      <c r="E4" s="528">
        <v>1.1985</v>
      </c>
      <c r="F4" s="528">
        <v>1.1985</v>
      </c>
      <c r="G4" s="528">
        <v>1.1985</v>
      </c>
      <c r="H4" s="528">
        <v>1.1985</v>
      </c>
      <c r="I4" s="528">
        <v>1.1899</v>
      </c>
      <c r="J4" s="528">
        <v>1.1899</v>
      </c>
      <c r="K4" s="528">
        <v>1.1899</v>
      </c>
      <c r="L4" s="528">
        <v>1.1899</v>
      </c>
      <c r="M4" s="529">
        <v>1.1899</v>
      </c>
    </row>
    <row r="5" spans="1:20">
      <c r="A5" s="527">
        <v>1.2</v>
      </c>
      <c r="B5" s="528">
        <v>1.2031</v>
      </c>
      <c r="C5" s="528">
        <v>1.2031</v>
      </c>
      <c r="D5" s="528">
        <v>1.1711</v>
      </c>
      <c r="E5" s="528">
        <v>1.1711</v>
      </c>
      <c r="F5" s="528">
        <v>1.1711</v>
      </c>
      <c r="G5" s="528">
        <v>1.1711</v>
      </c>
      <c r="H5" s="528">
        <v>1.1711</v>
      </c>
      <c r="I5" s="528">
        <v>1.1528</v>
      </c>
      <c r="J5" s="528">
        <v>1.1528</v>
      </c>
      <c r="K5" s="528">
        <v>1.1528</v>
      </c>
      <c r="L5" s="528">
        <v>1.1528</v>
      </c>
      <c r="M5" s="529">
        <v>1.1528</v>
      </c>
    </row>
    <row r="6" spans="1:20">
      <c r="A6" s="527">
        <v>1.3</v>
      </c>
      <c r="B6" s="528">
        <v>1.1811</v>
      </c>
      <c r="C6" s="528">
        <v>1.1811</v>
      </c>
      <c r="D6" s="528">
        <v>1.1472</v>
      </c>
      <c r="E6" s="528">
        <v>1.1472</v>
      </c>
      <c r="F6" s="528">
        <v>1.1472</v>
      </c>
      <c r="G6" s="528">
        <v>1.1472</v>
      </c>
      <c r="H6" s="528">
        <v>1.1472</v>
      </c>
      <c r="I6" s="528">
        <v>1.1214</v>
      </c>
      <c r="J6" s="528">
        <v>1.1214</v>
      </c>
      <c r="K6" s="528">
        <v>1.1214</v>
      </c>
      <c r="L6" s="528">
        <v>1.1214</v>
      </c>
      <c r="M6" s="529">
        <v>1.1214</v>
      </c>
    </row>
    <row r="7" spans="1:20">
      <c r="A7" s="527">
        <v>1.4</v>
      </c>
      <c r="B7" s="528">
        <v>1.162</v>
      </c>
      <c r="C7" s="528">
        <v>1.162</v>
      </c>
      <c r="D7" s="528">
        <v>1.1265</v>
      </c>
      <c r="E7" s="528">
        <v>1.1265</v>
      </c>
      <c r="F7" s="528">
        <v>1.1265</v>
      </c>
      <c r="G7" s="528">
        <v>1.1265</v>
      </c>
      <c r="H7" s="528">
        <v>1.1265</v>
      </c>
      <c r="I7" s="528">
        <v>1.0948</v>
      </c>
      <c r="J7" s="528">
        <v>1.0948</v>
      </c>
      <c r="K7" s="528">
        <v>1.0948</v>
      </c>
      <c r="L7" s="528">
        <v>1.0948</v>
      </c>
      <c r="M7" s="529">
        <v>1.0948</v>
      </c>
    </row>
    <row r="8" spans="1:20">
      <c r="A8" s="527">
        <v>1.5</v>
      </c>
      <c r="B8" s="528">
        <v>1.1453</v>
      </c>
      <c r="C8" s="528">
        <v>1.1453</v>
      </c>
      <c r="D8" s="528">
        <v>1.1084</v>
      </c>
      <c r="E8" s="528">
        <v>1.1084</v>
      </c>
      <c r="F8" s="528">
        <v>1.1084</v>
      </c>
      <c r="G8" s="528">
        <v>1.1084</v>
      </c>
      <c r="H8" s="528">
        <v>1.1084</v>
      </c>
      <c r="I8" s="528">
        <v>1.0725</v>
      </c>
      <c r="J8" s="528">
        <v>1.0725</v>
      </c>
      <c r="K8" s="528">
        <v>1.0725</v>
      </c>
      <c r="L8" s="528">
        <v>1.0725</v>
      </c>
      <c r="M8" s="529">
        <v>1.0725</v>
      </c>
    </row>
    <row r="9" spans="1:20">
      <c r="A9" s="527">
        <v>1.6</v>
      </c>
      <c r="B9" s="528">
        <v>1.1306</v>
      </c>
      <c r="C9" s="528">
        <v>1.1306</v>
      </c>
      <c r="D9" s="528">
        <v>1.0924</v>
      </c>
      <c r="E9" s="528">
        <v>1.0924</v>
      </c>
      <c r="F9" s="528">
        <v>1.0924</v>
      </c>
      <c r="G9" s="528">
        <v>1.0924</v>
      </c>
      <c r="H9" s="528">
        <v>1.0924</v>
      </c>
      <c r="I9" s="528">
        <v>1.0538</v>
      </c>
      <c r="J9" s="528">
        <v>1.0538</v>
      </c>
      <c r="K9" s="528">
        <v>1.0538</v>
      </c>
      <c r="L9" s="528">
        <v>1.0538</v>
      </c>
      <c r="M9" s="529">
        <v>1.0538</v>
      </c>
    </row>
    <row r="10" spans="1:20">
      <c r="A10" s="527">
        <v>1.7</v>
      </c>
      <c r="B10" s="528">
        <v>1.1176</v>
      </c>
      <c r="C10" s="528">
        <v>1.1176</v>
      </c>
      <c r="D10" s="528">
        <v>1.0783</v>
      </c>
      <c r="E10" s="528">
        <v>1.0783</v>
      </c>
      <c r="F10" s="528">
        <v>1.0783</v>
      </c>
      <c r="G10" s="528">
        <v>1.0783</v>
      </c>
      <c r="H10" s="528">
        <v>1.0783</v>
      </c>
      <c r="I10" s="528">
        <v>1.0379</v>
      </c>
      <c r="J10" s="528">
        <v>1.0379</v>
      </c>
      <c r="K10" s="528">
        <v>1.0379</v>
      </c>
      <c r="L10" s="528">
        <v>1.0379</v>
      </c>
      <c r="M10" s="529">
        <v>1.0379</v>
      </c>
    </row>
    <row r="11" spans="1:20">
      <c r="A11" s="527">
        <v>1.8</v>
      </c>
      <c r="B11" s="528">
        <v>1.1058</v>
      </c>
      <c r="C11" s="528">
        <v>1.1058</v>
      </c>
      <c r="D11" s="528">
        <v>1.0654</v>
      </c>
      <c r="E11" s="528">
        <v>1.0654</v>
      </c>
      <c r="F11" s="528">
        <v>1.0654</v>
      </c>
      <c r="G11" s="528">
        <v>1.0654</v>
      </c>
      <c r="H11" s="528">
        <v>1.0654</v>
      </c>
      <c r="I11" s="528">
        <v>1.0241</v>
      </c>
      <c r="J11" s="528">
        <v>1.0241</v>
      </c>
      <c r="K11" s="528">
        <v>1.0241</v>
      </c>
      <c r="L11" s="528">
        <v>1.0241</v>
      </c>
      <c r="M11" s="529">
        <v>1.0241</v>
      </c>
    </row>
    <row r="12" spans="1:20">
      <c r="A12" s="527">
        <v>1.9</v>
      </c>
      <c r="B12" s="528">
        <v>1.0949</v>
      </c>
      <c r="C12" s="528">
        <v>1.0949</v>
      </c>
      <c r="D12" s="528">
        <v>1.0537</v>
      </c>
      <c r="E12" s="528">
        <v>1.0537</v>
      </c>
      <c r="F12" s="528">
        <v>1.0537</v>
      </c>
      <c r="G12" s="528">
        <v>1.0537</v>
      </c>
      <c r="H12" s="528">
        <v>1.0537</v>
      </c>
      <c r="I12" s="528">
        <v>1.0117</v>
      </c>
      <c r="J12" s="528">
        <v>1.0117</v>
      </c>
      <c r="K12" s="528">
        <v>1.0117</v>
      </c>
      <c r="L12" s="528">
        <v>1.0117</v>
      </c>
      <c r="M12" s="529">
        <v>1.0117</v>
      </c>
    </row>
    <row r="13" spans="1:20">
      <c r="A13" s="527">
        <v>2</v>
      </c>
      <c r="B13" s="528">
        <v>1.0847</v>
      </c>
      <c r="C13" s="528">
        <v>1.0847</v>
      </c>
      <c r="D13" s="528">
        <v>1.0427</v>
      </c>
      <c r="E13" s="528">
        <v>1.0427</v>
      </c>
      <c r="F13" s="528">
        <v>1.0427</v>
      </c>
      <c r="G13" s="528">
        <v>1.0427</v>
      </c>
      <c r="H13" s="528">
        <v>1.0427</v>
      </c>
      <c r="I13" s="528">
        <v>1</v>
      </c>
      <c r="J13" s="528">
        <v>1</v>
      </c>
      <c r="K13" s="528">
        <v>1</v>
      </c>
      <c r="L13" s="528">
        <v>1</v>
      </c>
      <c r="M13" s="529">
        <v>1</v>
      </c>
    </row>
    <row r="14" spans="1:20">
      <c r="A14" s="531">
        <v>2.1</v>
      </c>
      <c r="B14" s="528">
        <v>1.0749</v>
      </c>
      <c r="C14" s="528">
        <v>1.0749</v>
      </c>
      <c r="D14" s="528">
        <v>1.0328</v>
      </c>
      <c r="E14" s="528">
        <v>1.0328</v>
      </c>
      <c r="F14" s="528">
        <v>1.0328</v>
      </c>
      <c r="G14" s="528">
        <v>1.0328</v>
      </c>
      <c r="H14" s="528">
        <v>1.0328</v>
      </c>
      <c r="I14" s="528">
        <v>0.9882</v>
      </c>
      <c r="J14" s="528">
        <v>0.9882</v>
      </c>
      <c r="K14" s="528">
        <v>0.9882</v>
      </c>
      <c r="L14" s="528">
        <v>0.9882</v>
      </c>
      <c r="M14" s="529">
        <v>0.9882</v>
      </c>
    </row>
    <row r="15" spans="1:20">
      <c r="A15" s="531">
        <v>2.2</v>
      </c>
      <c r="B15" s="528">
        <v>1.0663</v>
      </c>
      <c r="C15" s="528">
        <v>1.0663</v>
      </c>
      <c r="D15" s="528">
        <v>1.0237</v>
      </c>
      <c r="E15" s="528">
        <v>1.0237</v>
      </c>
      <c r="F15" s="528">
        <v>1.0237</v>
      </c>
      <c r="G15" s="528">
        <v>1.0237</v>
      </c>
      <c r="H15" s="528">
        <v>1.0237</v>
      </c>
      <c r="I15" s="528">
        <v>0.9768</v>
      </c>
      <c r="J15" s="528">
        <v>0.9768</v>
      </c>
      <c r="K15" s="528">
        <v>0.9768</v>
      </c>
      <c r="L15" s="528">
        <v>0.9768</v>
      </c>
      <c r="M15" s="529">
        <v>0.9768</v>
      </c>
    </row>
    <row r="16" spans="1:20">
      <c r="A16" s="531">
        <v>2.3</v>
      </c>
      <c r="B16" s="528">
        <v>1.0584</v>
      </c>
      <c r="C16" s="528">
        <v>1.0584</v>
      </c>
      <c r="D16" s="528">
        <v>1.0152</v>
      </c>
      <c r="E16" s="528">
        <v>1.0152</v>
      </c>
      <c r="F16" s="528">
        <v>1.0152</v>
      </c>
      <c r="G16" s="528">
        <v>1.0152</v>
      </c>
      <c r="H16" s="528">
        <v>1.0152</v>
      </c>
      <c r="I16" s="528">
        <v>0.9661</v>
      </c>
      <c r="J16" s="528">
        <v>0.9661</v>
      </c>
      <c r="K16" s="528">
        <v>0.9661</v>
      </c>
      <c r="L16" s="528">
        <v>0.9661</v>
      </c>
      <c r="M16" s="529">
        <v>0.9661</v>
      </c>
      <c r="N16" s="530"/>
    </row>
    <row r="17" spans="1:14">
      <c r="A17" s="531">
        <v>2.4</v>
      </c>
      <c r="B17" s="528">
        <v>1.0512</v>
      </c>
      <c r="C17" s="528">
        <v>1.0512</v>
      </c>
      <c r="D17" s="528">
        <v>1.0074</v>
      </c>
      <c r="E17" s="528">
        <v>1.0074</v>
      </c>
      <c r="F17" s="528">
        <v>1.0074</v>
      </c>
      <c r="G17" s="528">
        <v>1.0074</v>
      </c>
      <c r="H17" s="528">
        <v>1.0074</v>
      </c>
      <c r="I17" s="528">
        <v>0.9558</v>
      </c>
      <c r="J17" s="528">
        <v>0.9558</v>
      </c>
      <c r="K17" s="528">
        <v>0.9558</v>
      </c>
      <c r="L17" s="528">
        <v>0.9558</v>
      </c>
      <c r="M17" s="529">
        <v>0.9558</v>
      </c>
      <c r="N17" s="530"/>
    </row>
    <row r="18" spans="1:14">
      <c r="A18" s="531">
        <v>2.5</v>
      </c>
      <c r="B18" s="528">
        <v>1.0445</v>
      </c>
      <c r="C18" s="528">
        <v>1.0445</v>
      </c>
      <c r="D18" s="528">
        <v>1</v>
      </c>
      <c r="E18" s="528">
        <v>1</v>
      </c>
      <c r="F18" s="528">
        <v>1</v>
      </c>
      <c r="G18" s="528">
        <v>1</v>
      </c>
      <c r="H18" s="528">
        <v>1</v>
      </c>
      <c r="I18" s="528">
        <v>0.9462</v>
      </c>
      <c r="J18" s="528">
        <v>0.9462</v>
      </c>
      <c r="K18" s="528">
        <v>0.9462</v>
      </c>
      <c r="L18" s="528">
        <v>0.9462</v>
      </c>
      <c r="M18" s="529">
        <v>0.9462</v>
      </c>
    </row>
    <row r="19" spans="1:14">
      <c r="A19" s="531">
        <v>2.6</v>
      </c>
      <c r="B19" s="528">
        <v>1.0386</v>
      </c>
      <c r="C19" s="528">
        <v>1.0386</v>
      </c>
      <c r="D19" s="528">
        <v>0.9935</v>
      </c>
      <c r="E19" s="528">
        <v>0.9935</v>
      </c>
      <c r="F19" s="528">
        <v>0.9935</v>
      </c>
      <c r="G19" s="528">
        <v>0.9935</v>
      </c>
      <c r="H19" s="528">
        <v>0.9935</v>
      </c>
      <c r="I19" s="528">
        <v>0.9371</v>
      </c>
      <c r="J19" s="528">
        <v>0.9371</v>
      </c>
      <c r="K19" s="528">
        <v>0.9371</v>
      </c>
      <c r="L19" s="528">
        <v>0.9371</v>
      </c>
      <c r="M19" s="529">
        <v>0.9371</v>
      </c>
    </row>
    <row r="20" spans="1:14">
      <c r="A20" s="531">
        <v>2.7</v>
      </c>
      <c r="B20" s="528">
        <v>1.0332</v>
      </c>
      <c r="C20" s="528">
        <v>1.0332</v>
      </c>
      <c r="D20" s="528">
        <v>0.9877</v>
      </c>
      <c r="E20" s="528">
        <v>0.9877</v>
      </c>
      <c r="F20" s="528">
        <v>0.9877</v>
      </c>
      <c r="G20" s="528">
        <v>0.9877</v>
      </c>
      <c r="H20" s="528">
        <v>0.9877</v>
      </c>
      <c r="I20" s="528">
        <v>0.9286</v>
      </c>
      <c r="J20" s="528">
        <v>0.9286</v>
      </c>
      <c r="K20" s="528">
        <v>0.9286</v>
      </c>
      <c r="L20" s="528">
        <v>0.9286</v>
      </c>
      <c r="M20" s="529">
        <v>0.9286</v>
      </c>
    </row>
    <row r="21" spans="1:14">
      <c r="A21" s="531">
        <v>2.8</v>
      </c>
      <c r="B21" s="528">
        <v>1.0282</v>
      </c>
      <c r="C21" s="528">
        <v>1.0282</v>
      </c>
      <c r="D21" s="528">
        <v>0.9826</v>
      </c>
      <c r="E21" s="528">
        <v>0.9826</v>
      </c>
      <c r="F21" s="528">
        <v>0.9826</v>
      </c>
      <c r="G21" s="528">
        <v>0.9826</v>
      </c>
      <c r="H21" s="528">
        <v>0.9826</v>
      </c>
      <c r="I21" s="528">
        <v>0.9207</v>
      </c>
      <c r="J21" s="528">
        <v>0.9207</v>
      </c>
      <c r="K21" s="528">
        <v>0.9207</v>
      </c>
      <c r="L21" s="528">
        <v>0.9207</v>
      </c>
      <c r="M21" s="529">
        <v>0.9207</v>
      </c>
    </row>
    <row r="22" spans="1:14">
      <c r="A22" s="531">
        <v>2.9</v>
      </c>
      <c r="B22" s="528">
        <v>1.0235</v>
      </c>
      <c r="C22" s="528">
        <v>1.0235</v>
      </c>
      <c r="D22" s="528">
        <v>0.9777</v>
      </c>
      <c r="E22" s="528">
        <v>0.9777</v>
      </c>
      <c r="F22" s="528">
        <v>0.9777</v>
      </c>
      <c r="G22" s="528">
        <v>0.9777</v>
      </c>
      <c r="H22" s="528">
        <v>0.9777</v>
      </c>
      <c r="I22" s="528">
        <v>0.9133</v>
      </c>
      <c r="J22" s="528">
        <v>0.9133</v>
      </c>
      <c r="K22" s="528">
        <v>0.9133</v>
      </c>
      <c r="L22" s="528">
        <v>0.9133</v>
      </c>
      <c r="M22" s="529">
        <v>0.9133</v>
      </c>
    </row>
    <row r="23" spans="1:14">
      <c r="A23" s="531">
        <v>3</v>
      </c>
      <c r="B23" s="528">
        <v>1.0191</v>
      </c>
      <c r="C23" s="528">
        <v>1.0191</v>
      </c>
      <c r="D23" s="528">
        <v>0.973</v>
      </c>
      <c r="E23" s="528">
        <v>0.973</v>
      </c>
      <c r="F23" s="528">
        <v>0.973</v>
      </c>
      <c r="G23" s="528">
        <v>0.973</v>
      </c>
      <c r="H23" s="528">
        <v>0.973</v>
      </c>
      <c r="I23" s="528">
        <v>0.9063</v>
      </c>
      <c r="J23" s="528">
        <v>0.9063</v>
      </c>
      <c r="K23" s="528">
        <v>0.9063</v>
      </c>
      <c r="L23" s="528">
        <v>0.9063</v>
      </c>
      <c r="M23" s="529">
        <v>0.9063</v>
      </c>
    </row>
    <row r="24" spans="1:14">
      <c r="A24" s="531">
        <v>3.1</v>
      </c>
      <c r="B24" s="528">
        <v>1.0149</v>
      </c>
      <c r="C24" s="528">
        <v>1.0149</v>
      </c>
      <c r="D24" s="528">
        <v>0.9684</v>
      </c>
      <c r="E24" s="528">
        <v>0.9684</v>
      </c>
      <c r="F24" s="528">
        <v>0.9684</v>
      </c>
      <c r="G24" s="528">
        <v>0.9684</v>
      </c>
      <c r="H24" s="528">
        <v>0.9684</v>
      </c>
      <c r="I24" s="528">
        <v>0.8996</v>
      </c>
      <c r="J24" s="528">
        <v>0.8996</v>
      </c>
      <c r="K24" s="528">
        <v>0.8996</v>
      </c>
      <c r="L24" s="528">
        <v>0.8996</v>
      </c>
      <c r="M24" s="529">
        <v>0.8996</v>
      </c>
    </row>
    <row r="25" spans="1:14">
      <c r="A25" s="531">
        <v>3.2</v>
      </c>
      <c r="B25" s="528">
        <v>1.0109</v>
      </c>
      <c r="C25" s="528">
        <v>1.0109</v>
      </c>
      <c r="D25" s="528">
        <v>0.964</v>
      </c>
      <c r="E25" s="528">
        <v>0.964</v>
      </c>
      <c r="F25" s="528">
        <v>0.964</v>
      </c>
      <c r="G25" s="528">
        <v>0.964</v>
      </c>
      <c r="H25" s="528">
        <v>0.964</v>
      </c>
      <c r="I25" s="528">
        <v>0.8932</v>
      </c>
      <c r="J25" s="528">
        <v>0.8932</v>
      </c>
      <c r="K25" s="528">
        <v>0.8932</v>
      </c>
      <c r="L25" s="528">
        <v>0.8932</v>
      </c>
      <c r="M25" s="529">
        <v>0.8932</v>
      </c>
    </row>
    <row r="26" spans="1:14">
      <c r="A26" s="531">
        <v>3.3</v>
      </c>
      <c r="B26" s="528">
        <v>1.0071</v>
      </c>
      <c r="C26" s="528">
        <v>1.0071</v>
      </c>
      <c r="D26" s="528">
        <v>0.9598</v>
      </c>
      <c r="E26" s="528">
        <v>0.9598</v>
      </c>
      <c r="F26" s="528">
        <v>0.9598</v>
      </c>
      <c r="G26" s="528">
        <v>0.9598</v>
      </c>
      <c r="H26" s="528">
        <v>0.9598</v>
      </c>
      <c r="I26" s="528">
        <v>0.8871</v>
      </c>
      <c r="J26" s="528">
        <v>0.8871</v>
      </c>
      <c r="K26" s="528">
        <v>0.8871</v>
      </c>
      <c r="L26" s="528">
        <v>0.8871</v>
      </c>
      <c r="M26" s="529">
        <v>0.8871</v>
      </c>
    </row>
    <row r="27" spans="1:14">
      <c r="A27" s="531">
        <v>3.4</v>
      </c>
      <c r="B27" s="528">
        <v>1.0035</v>
      </c>
      <c r="C27" s="528">
        <v>1.0035</v>
      </c>
      <c r="D27" s="528">
        <v>0.9558</v>
      </c>
      <c r="E27" s="528">
        <v>0.9558</v>
      </c>
      <c r="F27" s="528">
        <v>0.9558</v>
      </c>
      <c r="G27" s="528">
        <v>0.9558</v>
      </c>
      <c r="H27" s="528">
        <v>0.9558</v>
      </c>
      <c r="I27" s="528">
        <v>0.8812</v>
      </c>
      <c r="J27" s="528">
        <v>0.8812</v>
      </c>
      <c r="K27" s="528">
        <v>0.8812</v>
      </c>
      <c r="L27" s="528">
        <v>0.8812</v>
      </c>
      <c r="M27" s="529">
        <v>0.8812</v>
      </c>
    </row>
    <row r="28" spans="1:14">
      <c r="A28" s="531">
        <v>3.5</v>
      </c>
      <c r="B28" s="528">
        <v>1</v>
      </c>
      <c r="C28" s="528">
        <v>1</v>
      </c>
      <c r="D28" s="528">
        <v>0.952</v>
      </c>
      <c r="E28" s="528">
        <v>0.952</v>
      </c>
      <c r="F28" s="528">
        <v>0.952</v>
      </c>
      <c r="G28" s="528">
        <v>0.952</v>
      </c>
      <c r="H28" s="528">
        <v>0.952</v>
      </c>
      <c r="I28" s="528">
        <v>0.8755</v>
      </c>
      <c r="J28" s="528">
        <v>0.8755</v>
      </c>
      <c r="K28" s="528">
        <v>0.8755</v>
      </c>
      <c r="L28" s="528">
        <v>0.8755</v>
      </c>
      <c r="M28" s="529">
        <v>0.8755</v>
      </c>
    </row>
    <row r="29" spans="1:14">
      <c r="A29" s="531">
        <v>3.6</v>
      </c>
      <c r="B29" s="528">
        <v>0.9966</v>
      </c>
      <c r="C29" s="528">
        <v>0.9966</v>
      </c>
      <c r="D29" s="528">
        <v>0.9484</v>
      </c>
      <c r="E29" s="528">
        <v>0.9484</v>
      </c>
      <c r="F29" s="528">
        <v>0.9484</v>
      </c>
      <c r="G29" s="528">
        <v>0.9484</v>
      </c>
      <c r="H29" s="528">
        <v>0.9484</v>
      </c>
      <c r="I29" s="528">
        <v>0.87</v>
      </c>
      <c r="J29" s="528">
        <v>0.87</v>
      </c>
      <c r="K29" s="528">
        <v>0.87</v>
      </c>
      <c r="L29" s="528">
        <v>0.87</v>
      </c>
      <c r="M29" s="529">
        <v>0.87</v>
      </c>
    </row>
    <row r="30" spans="1:14">
      <c r="A30" s="531">
        <v>3.7</v>
      </c>
      <c r="B30" s="528">
        <v>0.9933</v>
      </c>
      <c r="C30" s="528">
        <v>0.9933</v>
      </c>
      <c r="D30" s="528">
        <v>0.945</v>
      </c>
      <c r="E30" s="528">
        <v>0.945</v>
      </c>
      <c r="F30" s="528">
        <v>0.945</v>
      </c>
      <c r="G30" s="528">
        <v>0.945</v>
      </c>
      <c r="H30" s="528">
        <v>0.945</v>
      </c>
      <c r="I30" s="528">
        <v>0.8647</v>
      </c>
      <c r="J30" s="528">
        <v>0.8647</v>
      </c>
      <c r="K30" s="528">
        <v>0.8647</v>
      </c>
      <c r="L30" s="528">
        <v>0.8647</v>
      </c>
      <c r="M30" s="529">
        <v>0.8647</v>
      </c>
    </row>
    <row r="31" spans="1:14">
      <c r="A31" s="531">
        <v>3.8</v>
      </c>
      <c r="B31" s="528">
        <v>0.9901</v>
      </c>
      <c r="C31" s="528">
        <v>0.9901</v>
      </c>
      <c r="D31" s="528">
        <v>0.9417</v>
      </c>
      <c r="E31" s="528">
        <v>0.9417</v>
      </c>
      <c r="F31" s="528">
        <v>0.9417</v>
      </c>
      <c r="G31" s="528">
        <v>0.9417</v>
      </c>
      <c r="H31" s="528">
        <v>0.9417</v>
      </c>
      <c r="I31" s="528">
        <v>0.8596</v>
      </c>
      <c r="J31" s="528">
        <v>0.8596</v>
      </c>
      <c r="K31" s="528">
        <v>0.8596</v>
      </c>
      <c r="L31" s="528">
        <v>0.8596</v>
      </c>
      <c r="M31" s="529">
        <v>0.8596</v>
      </c>
    </row>
    <row r="32" spans="1:14">
      <c r="A32" s="531">
        <v>3.9</v>
      </c>
      <c r="B32" s="528">
        <v>0.987</v>
      </c>
      <c r="C32" s="528">
        <v>0.987</v>
      </c>
      <c r="D32" s="528">
        <v>0.9385</v>
      </c>
      <c r="E32" s="528">
        <v>0.9385</v>
      </c>
      <c r="F32" s="528">
        <v>0.9385</v>
      </c>
      <c r="G32" s="528">
        <v>0.9385</v>
      </c>
      <c r="H32" s="528">
        <v>0.9385</v>
      </c>
      <c r="I32" s="528">
        <v>0.8547</v>
      </c>
      <c r="J32" s="528">
        <v>0.8547</v>
      </c>
      <c r="K32" s="528">
        <v>0.8547</v>
      </c>
      <c r="L32" s="528">
        <v>0.8547</v>
      </c>
      <c r="M32" s="529">
        <v>0.8547</v>
      </c>
    </row>
    <row r="33" spans="1:13">
      <c r="A33" s="531">
        <v>4</v>
      </c>
      <c r="B33" s="528">
        <v>0.984</v>
      </c>
      <c r="C33" s="528">
        <v>0.984</v>
      </c>
      <c r="D33" s="528">
        <v>0.9354</v>
      </c>
      <c r="E33" s="528">
        <v>0.9354</v>
      </c>
      <c r="F33" s="528">
        <v>0.9354</v>
      </c>
      <c r="G33" s="528">
        <v>0.9354</v>
      </c>
      <c r="H33" s="528">
        <v>0.9354</v>
      </c>
      <c r="I33" s="528">
        <v>0.8499</v>
      </c>
      <c r="J33" s="528">
        <v>0.8499</v>
      </c>
      <c r="K33" s="528">
        <v>0.8499</v>
      </c>
      <c r="L33" s="528">
        <v>0.8499</v>
      </c>
      <c r="M33" s="529">
        <v>0.8499</v>
      </c>
    </row>
    <row r="34" spans="1:13">
      <c r="A34" s="531">
        <v>4.1</v>
      </c>
      <c r="B34" s="528">
        <v>0.9811</v>
      </c>
      <c r="C34" s="528">
        <v>0.9811</v>
      </c>
      <c r="D34" s="528">
        <v>0.9324</v>
      </c>
      <c r="E34" s="528">
        <v>0.9324</v>
      </c>
      <c r="F34" s="528">
        <v>0.9324</v>
      </c>
      <c r="G34" s="528">
        <v>0.9324</v>
      </c>
      <c r="H34" s="528">
        <v>0.9324</v>
      </c>
      <c r="I34" s="528">
        <v>0.8452</v>
      </c>
      <c r="J34" s="528">
        <v>0.8452</v>
      </c>
      <c r="K34" s="528">
        <v>0.8452</v>
      </c>
      <c r="L34" s="528">
        <v>0.8452</v>
      </c>
      <c r="M34" s="529">
        <v>0.8452</v>
      </c>
    </row>
    <row r="35" spans="1:13">
      <c r="A35" s="531">
        <v>4.2</v>
      </c>
      <c r="B35" s="528">
        <v>0.9783</v>
      </c>
      <c r="C35" s="528">
        <v>0.9783</v>
      </c>
      <c r="D35" s="528">
        <v>0.9295</v>
      </c>
      <c r="E35" s="528">
        <v>0.9295</v>
      </c>
      <c r="F35" s="528">
        <v>0.9295</v>
      </c>
      <c r="G35" s="528">
        <v>0.9295</v>
      </c>
      <c r="H35" s="528">
        <v>0.9295</v>
      </c>
      <c r="I35" s="528">
        <v>0.8406</v>
      </c>
      <c r="J35" s="528">
        <v>0.8406</v>
      </c>
      <c r="K35" s="528">
        <v>0.8406</v>
      </c>
      <c r="L35" s="528">
        <v>0.8406</v>
      </c>
      <c r="M35" s="529">
        <v>0.8406</v>
      </c>
    </row>
    <row r="36" spans="1:13">
      <c r="A36" s="531">
        <v>4.3</v>
      </c>
      <c r="B36" s="528">
        <v>0.9756</v>
      </c>
      <c r="C36" s="528">
        <v>0.9756</v>
      </c>
      <c r="D36" s="528">
        <v>0.9267</v>
      </c>
      <c r="E36" s="528">
        <v>0.9267</v>
      </c>
      <c r="F36" s="528">
        <v>0.9267</v>
      </c>
      <c r="G36" s="528">
        <v>0.9267</v>
      </c>
      <c r="H36" s="528">
        <v>0.9267</v>
      </c>
      <c r="I36" s="528">
        <v>0.8361</v>
      </c>
      <c r="J36" s="528">
        <v>0.8361</v>
      </c>
      <c r="K36" s="528">
        <v>0.8361</v>
      </c>
      <c r="L36" s="528">
        <v>0.8361</v>
      </c>
      <c r="M36" s="529">
        <v>0.8361</v>
      </c>
    </row>
    <row r="37" spans="1:13">
      <c r="A37" s="531">
        <v>4.4</v>
      </c>
      <c r="B37" s="528">
        <v>0.973</v>
      </c>
      <c r="C37" s="528">
        <v>0.973</v>
      </c>
      <c r="D37" s="528">
        <v>0.924</v>
      </c>
      <c r="E37" s="528">
        <v>0.924</v>
      </c>
      <c r="F37" s="528">
        <v>0.924</v>
      </c>
      <c r="G37" s="528">
        <v>0.924</v>
      </c>
      <c r="H37" s="528">
        <v>0.924</v>
      </c>
      <c r="I37" s="528">
        <v>0.8317</v>
      </c>
      <c r="J37" s="528">
        <v>0.8317</v>
      </c>
      <c r="K37" s="528">
        <v>0.8317</v>
      </c>
      <c r="L37" s="528">
        <v>0.8317</v>
      </c>
      <c r="M37" s="529">
        <v>0.8317</v>
      </c>
    </row>
    <row r="38" spans="1:13">
      <c r="A38" s="531">
        <v>4.5</v>
      </c>
      <c r="B38" s="528">
        <v>0.9705</v>
      </c>
      <c r="C38" s="528">
        <v>0.9705</v>
      </c>
      <c r="D38" s="528">
        <v>0.9213</v>
      </c>
      <c r="E38" s="528">
        <v>0.9213</v>
      </c>
      <c r="F38" s="528">
        <v>0.9213</v>
      </c>
      <c r="G38" s="528">
        <v>0.9213</v>
      </c>
      <c r="H38" s="528">
        <v>0.9213</v>
      </c>
      <c r="I38" s="528">
        <v>0.8274</v>
      </c>
      <c r="J38" s="528">
        <v>0.8274</v>
      </c>
      <c r="K38" s="528">
        <v>0.8274</v>
      </c>
      <c r="L38" s="528">
        <v>0.8274</v>
      </c>
      <c r="M38" s="529">
        <v>0.8274</v>
      </c>
    </row>
    <row r="39" spans="1:13">
      <c r="A39" s="531">
        <v>4.6</v>
      </c>
      <c r="B39" s="528">
        <v>0.9681</v>
      </c>
      <c r="C39" s="528">
        <v>0.9681</v>
      </c>
      <c r="D39" s="528">
        <v>0.9187</v>
      </c>
      <c r="E39" s="528">
        <v>0.9187</v>
      </c>
      <c r="F39" s="528">
        <v>0.9187</v>
      </c>
      <c r="G39" s="528">
        <v>0.9187</v>
      </c>
      <c r="H39" s="528">
        <v>0.9187</v>
      </c>
      <c r="I39" s="528">
        <v>0.8232</v>
      </c>
      <c r="J39" s="528">
        <v>0.8232</v>
      </c>
      <c r="K39" s="528">
        <v>0.8232</v>
      </c>
      <c r="L39" s="528">
        <v>0.8232</v>
      </c>
      <c r="M39" s="529">
        <v>0.8232</v>
      </c>
    </row>
    <row r="40" spans="1:13">
      <c r="A40" s="531">
        <v>4.7</v>
      </c>
      <c r="B40" s="528">
        <v>0.9658</v>
      </c>
      <c r="C40" s="528">
        <v>0.9658</v>
      </c>
      <c r="D40" s="528">
        <v>0.9161</v>
      </c>
      <c r="E40" s="528">
        <v>0.9161</v>
      </c>
      <c r="F40" s="528">
        <v>0.9161</v>
      </c>
      <c r="G40" s="528">
        <v>0.9161</v>
      </c>
      <c r="H40" s="528">
        <v>0.9161</v>
      </c>
      <c r="I40" s="528">
        <v>0.8191</v>
      </c>
      <c r="J40" s="528">
        <v>0.8191</v>
      </c>
      <c r="K40" s="528">
        <v>0.8191</v>
      </c>
      <c r="L40" s="528">
        <v>0.8191</v>
      </c>
      <c r="M40" s="529">
        <v>0.8191</v>
      </c>
    </row>
    <row r="41" spans="1:13">
      <c r="A41" s="531">
        <v>4.8</v>
      </c>
      <c r="B41" s="528">
        <v>0.9636</v>
      </c>
      <c r="C41" s="528">
        <v>0.9636</v>
      </c>
      <c r="D41" s="528">
        <v>0.9135</v>
      </c>
      <c r="E41" s="528">
        <v>0.9135</v>
      </c>
      <c r="F41" s="528">
        <v>0.9135</v>
      </c>
      <c r="G41" s="528">
        <v>0.9135</v>
      </c>
      <c r="H41" s="528">
        <v>0.9135</v>
      </c>
      <c r="I41" s="528">
        <v>0.8151</v>
      </c>
      <c r="J41" s="528">
        <v>0.8151</v>
      </c>
      <c r="K41" s="528">
        <v>0.8151</v>
      </c>
      <c r="L41" s="528">
        <v>0.8151</v>
      </c>
      <c r="M41" s="529">
        <v>0.8151</v>
      </c>
    </row>
    <row r="42" spans="1:13">
      <c r="A42" s="531">
        <v>4.9</v>
      </c>
      <c r="B42" s="528">
        <v>0.9615</v>
      </c>
      <c r="C42" s="528">
        <v>0.9615</v>
      </c>
      <c r="D42" s="528">
        <v>0.911</v>
      </c>
      <c r="E42" s="528">
        <v>0.911</v>
      </c>
      <c r="F42" s="528">
        <v>0.911</v>
      </c>
      <c r="G42" s="528">
        <v>0.911</v>
      </c>
      <c r="H42" s="528">
        <v>0.911</v>
      </c>
      <c r="I42" s="528">
        <v>0.8111</v>
      </c>
      <c r="J42" s="528">
        <v>0.8111</v>
      </c>
      <c r="K42" s="528">
        <v>0.8111</v>
      </c>
      <c r="L42" s="528">
        <v>0.8111</v>
      </c>
      <c r="M42" s="529">
        <v>0.8111</v>
      </c>
    </row>
    <row r="43" spans="1:13">
      <c r="A43" s="531">
        <v>5</v>
      </c>
      <c r="B43" s="528">
        <v>0.9594</v>
      </c>
      <c r="C43" s="528">
        <v>0.9594</v>
      </c>
      <c r="D43" s="528">
        <v>0.9085</v>
      </c>
      <c r="E43" s="528">
        <v>0.9085</v>
      </c>
      <c r="F43" s="528">
        <v>0.9085</v>
      </c>
      <c r="G43" s="528">
        <v>0.9085</v>
      </c>
      <c r="H43" s="528">
        <v>0.9085</v>
      </c>
      <c r="I43" s="528">
        <v>0.8072</v>
      </c>
      <c r="J43" s="528">
        <v>0.8072</v>
      </c>
      <c r="K43" s="528">
        <v>0.8072</v>
      </c>
      <c r="L43" s="528">
        <v>0.8072</v>
      </c>
      <c r="M43" s="529">
        <v>0.8072</v>
      </c>
    </row>
    <row r="44" spans="1:13">
      <c r="A44" s="527">
        <v>5.1</v>
      </c>
      <c r="B44" s="528">
        <v>0.9574</v>
      </c>
      <c r="C44" s="528">
        <v>0.9574</v>
      </c>
      <c r="D44" s="528">
        <v>0.906</v>
      </c>
      <c r="E44" s="528">
        <v>0.906</v>
      </c>
      <c r="F44" s="528">
        <v>0.906</v>
      </c>
      <c r="G44" s="528">
        <v>0.906</v>
      </c>
      <c r="H44" s="528">
        <v>0.906</v>
      </c>
      <c r="I44" s="528">
        <v>0.8033</v>
      </c>
      <c r="J44" s="528">
        <v>0.8033</v>
      </c>
      <c r="K44" s="528">
        <v>0.8033</v>
      </c>
      <c r="L44" s="528">
        <v>0.8033</v>
      </c>
      <c r="M44" s="529">
        <v>0.8033</v>
      </c>
    </row>
    <row r="45" spans="1:13">
      <c r="A45" s="527">
        <v>5.2</v>
      </c>
      <c r="B45" s="528">
        <v>0.9554</v>
      </c>
      <c r="C45" s="528">
        <v>0.9554</v>
      </c>
      <c r="D45" s="528">
        <v>0.9035</v>
      </c>
      <c r="E45" s="528">
        <v>0.9035</v>
      </c>
      <c r="F45" s="528">
        <v>0.9035</v>
      </c>
      <c r="G45" s="528">
        <v>0.9035</v>
      </c>
      <c r="H45" s="528">
        <v>0.9035</v>
      </c>
      <c r="I45" s="528">
        <v>0.7995</v>
      </c>
      <c r="J45" s="528">
        <v>0.7995</v>
      </c>
      <c r="K45" s="528">
        <v>0.7995</v>
      </c>
      <c r="L45" s="528">
        <v>0.7995</v>
      </c>
      <c r="M45" s="529">
        <v>0.7995</v>
      </c>
    </row>
    <row r="46" spans="1:13">
      <c r="A46" s="527">
        <v>5.3</v>
      </c>
      <c r="B46" s="528">
        <v>0.9535</v>
      </c>
      <c r="C46" s="528">
        <v>0.9535</v>
      </c>
      <c r="D46" s="528">
        <v>0.9011</v>
      </c>
      <c r="E46" s="528">
        <v>0.9011</v>
      </c>
      <c r="F46" s="528">
        <v>0.9011</v>
      </c>
      <c r="G46" s="528">
        <v>0.9011</v>
      </c>
      <c r="H46" s="528">
        <v>0.9011</v>
      </c>
      <c r="I46" s="528">
        <v>0.7957</v>
      </c>
      <c r="J46" s="528">
        <v>0.7957</v>
      </c>
      <c r="K46" s="528">
        <v>0.7957</v>
      </c>
      <c r="L46" s="528">
        <v>0.7957</v>
      </c>
      <c r="M46" s="529">
        <v>0.7957</v>
      </c>
    </row>
    <row r="47" spans="1:13">
      <c r="A47" s="527">
        <v>5.4</v>
      </c>
      <c r="B47" s="528">
        <v>0.9516</v>
      </c>
      <c r="C47" s="528">
        <v>0.9516</v>
      </c>
      <c r="D47" s="528">
        <v>0.8987</v>
      </c>
      <c r="E47" s="528">
        <v>0.8987</v>
      </c>
      <c r="F47" s="528">
        <v>0.8987</v>
      </c>
      <c r="G47" s="528">
        <v>0.8987</v>
      </c>
      <c r="H47" s="528">
        <v>0.8987</v>
      </c>
      <c r="I47" s="528">
        <v>0.792</v>
      </c>
      <c r="J47" s="528">
        <v>0.792</v>
      </c>
      <c r="K47" s="528">
        <v>0.792</v>
      </c>
      <c r="L47" s="528">
        <v>0.792</v>
      </c>
      <c r="M47" s="529">
        <v>0.792</v>
      </c>
    </row>
    <row r="48" spans="1:13">
      <c r="A48" s="527">
        <v>5.5</v>
      </c>
      <c r="B48" s="528">
        <v>0.9498</v>
      </c>
      <c r="C48" s="528">
        <v>0.9498</v>
      </c>
      <c r="D48" s="528">
        <v>0.8963</v>
      </c>
      <c r="E48" s="528">
        <v>0.8963</v>
      </c>
      <c r="F48" s="528">
        <v>0.8963</v>
      </c>
      <c r="G48" s="528">
        <v>0.8963</v>
      </c>
      <c r="H48" s="528">
        <v>0.8963</v>
      </c>
      <c r="I48" s="528">
        <v>0.7883</v>
      </c>
      <c r="J48" s="528">
        <v>0.7883</v>
      </c>
      <c r="K48" s="528">
        <v>0.7883</v>
      </c>
      <c r="L48" s="528">
        <v>0.7883</v>
      </c>
      <c r="M48" s="529">
        <v>0.7883</v>
      </c>
    </row>
    <row r="49" spans="1:13">
      <c r="A49" s="527">
        <v>5.6</v>
      </c>
      <c r="B49" s="528">
        <v>0.948</v>
      </c>
      <c r="C49" s="528">
        <v>0.948</v>
      </c>
      <c r="D49" s="528">
        <v>0.8939</v>
      </c>
      <c r="E49" s="528">
        <v>0.8939</v>
      </c>
      <c r="F49" s="528">
        <v>0.8939</v>
      </c>
      <c r="G49" s="528">
        <v>0.8939</v>
      </c>
      <c r="H49" s="528">
        <v>0.8939</v>
      </c>
      <c r="I49" s="528">
        <v>0.7847</v>
      </c>
      <c r="J49" s="528">
        <v>0.7847</v>
      </c>
      <c r="K49" s="528">
        <v>0.7847</v>
      </c>
      <c r="L49" s="528">
        <v>0.7847</v>
      </c>
      <c r="M49" s="529">
        <v>0.7847</v>
      </c>
    </row>
    <row r="50" spans="1:13">
      <c r="A50" s="531">
        <v>5.7</v>
      </c>
      <c r="B50" s="528">
        <v>0.9462</v>
      </c>
      <c r="C50" s="528">
        <v>0.9462</v>
      </c>
      <c r="D50" s="528">
        <v>0.8915</v>
      </c>
      <c r="E50" s="528">
        <v>0.8915</v>
      </c>
      <c r="F50" s="528">
        <v>0.8915</v>
      </c>
      <c r="G50" s="528">
        <v>0.8915</v>
      </c>
      <c r="H50" s="528">
        <v>0.8915</v>
      </c>
      <c r="I50" s="528">
        <v>0.7811</v>
      </c>
      <c r="J50" s="528">
        <v>0.7811</v>
      </c>
      <c r="K50" s="528">
        <v>0.7811</v>
      </c>
      <c r="L50" s="528">
        <v>0.7811</v>
      </c>
      <c r="M50" s="529">
        <v>0.7811</v>
      </c>
    </row>
    <row r="51" spans="1:13">
      <c r="A51" s="527">
        <v>5.8</v>
      </c>
      <c r="B51" s="528">
        <v>0.9445</v>
      </c>
      <c r="C51" s="528">
        <v>0.9445</v>
      </c>
      <c r="D51" s="528">
        <v>0.8892</v>
      </c>
      <c r="E51" s="528">
        <v>0.8892</v>
      </c>
      <c r="F51" s="528">
        <v>0.8892</v>
      </c>
      <c r="G51" s="528">
        <v>0.8892</v>
      </c>
      <c r="H51" s="528">
        <v>0.8892</v>
      </c>
      <c r="I51" s="528">
        <v>0.7776</v>
      </c>
      <c r="J51" s="528">
        <v>0.7776</v>
      </c>
      <c r="K51" s="528">
        <v>0.7776</v>
      </c>
      <c r="L51" s="528">
        <v>0.7776</v>
      </c>
      <c r="M51" s="529">
        <v>0.7776</v>
      </c>
    </row>
    <row r="52" spans="1:13">
      <c r="A52" s="527">
        <v>5.9</v>
      </c>
      <c r="B52" s="528">
        <v>0.9428</v>
      </c>
      <c r="C52" s="528">
        <v>0.9428</v>
      </c>
      <c r="D52" s="528">
        <v>0.8869</v>
      </c>
      <c r="E52" s="528">
        <v>0.8869</v>
      </c>
      <c r="F52" s="528">
        <v>0.8869</v>
      </c>
      <c r="G52" s="528">
        <v>0.8869</v>
      </c>
      <c r="H52" s="528">
        <v>0.8869</v>
      </c>
      <c r="I52" s="528">
        <v>0.7741</v>
      </c>
      <c r="J52" s="528">
        <v>0.7741</v>
      </c>
      <c r="K52" s="528">
        <v>0.7741</v>
      </c>
      <c r="L52" s="528">
        <v>0.7741</v>
      </c>
      <c r="M52" s="529">
        <v>0.7741</v>
      </c>
    </row>
    <row r="53" spans="1:13">
      <c r="A53" s="527">
        <v>6</v>
      </c>
      <c r="B53" s="528">
        <v>0.9411</v>
      </c>
      <c r="C53" s="528">
        <v>0.9411</v>
      </c>
      <c r="D53" s="528">
        <v>0.8846</v>
      </c>
      <c r="E53" s="528">
        <v>0.8846</v>
      </c>
      <c r="F53" s="528">
        <v>0.8846</v>
      </c>
      <c r="G53" s="528">
        <v>0.8846</v>
      </c>
      <c r="H53" s="528">
        <v>0.8846</v>
      </c>
      <c r="I53" s="528">
        <v>0.7707</v>
      </c>
      <c r="J53" s="528">
        <v>0.7707</v>
      </c>
      <c r="K53" s="528">
        <v>0.7707</v>
      </c>
      <c r="L53" s="528">
        <v>0.7707</v>
      </c>
      <c r="M53" s="529">
        <v>0.7707</v>
      </c>
    </row>
    <row r="54" spans="1:13">
      <c r="A54" s="527">
        <v>6.1</v>
      </c>
      <c r="B54" s="528">
        <v>0.9394</v>
      </c>
      <c r="C54" s="528">
        <v>0.9394</v>
      </c>
      <c r="D54" s="528">
        <v>0.8823</v>
      </c>
      <c r="E54" s="528">
        <v>0.8823</v>
      </c>
      <c r="F54" s="528">
        <v>0.8823</v>
      </c>
      <c r="G54" s="528">
        <v>0.8823</v>
      </c>
      <c r="H54" s="528">
        <v>0.8823</v>
      </c>
      <c r="I54" s="528">
        <v>0.7673</v>
      </c>
      <c r="J54" s="528">
        <v>0.7673</v>
      </c>
      <c r="K54" s="528">
        <v>0.7673</v>
      </c>
      <c r="L54" s="528">
        <v>0.7673</v>
      </c>
      <c r="M54" s="529">
        <v>0.7673</v>
      </c>
    </row>
    <row r="55" spans="1:13">
      <c r="A55" s="527">
        <v>6.2</v>
      </c>
      <c r="B55" s="528">
        <v>0.9377</v>
      </c>
      <c r="C55" s="528">
        <v>0.9377</v>
      </c>
      <c r="D55" s="528">
        <v>0.88</v>
      </c>
      <c r="E55" s="528">
        <v>0.88</v>
      </c>
      <c r="F55" s="528">
        <v>0.88</v>
      </c>
      <c r="G55" s="528">
        <v>0.88</v>
      </c>
      <c r="H55" s="528">
        <v>0.88</v>
      </c>
      <c r="I55" s="528">
        <v>0.764</v>
      </c>
      <c r="J55" s="528">
        <v>0.764</v>
      </c>
      <c r="K55" s="528">
        <v>0.764</v>
      </c>
      <c r="L55" s="528">
        <v>0.764</v>
      </c>
      <c r="M55" s="529">
        <v>0.764</v>
      </c>
    </row>
    <row r="56" spans="1:13">
      <c r="A56" s="527">
        <v>6.3</v>
      </c>
      <c r="B56" s="528">
        <v>0.9361</v>
      </c>
      <c r="C56" s="528">
        <v>0.9361</v>
      </c>
      <c r="D56" s="528">
        <v>0.8778</v>
      </c>
      <c r="E56" s="528">
        <v>0.8778</v>
      </c>
      <c r="F56" s="528">
        <v>0.8778</v>
      </c>
      <c r="G56" s="528">
        <v>0.8778</v>
      </c>
      <c r="H56" s="528">
        <v>0.8778</v>
      </c>
      <c r="I56" s="528">
        <v>0.7607</v>
      </c>
      <c r="J56" s="528">
        <v>0.7607</v>
      </c>
      <c r="K56" s="528">
        <v>0.7607</v>
      </c>
      <c r="L56" s="528">
        <v>0.7607</v>
      </c>
      <c r="M56" s="529">
        <v>0.7607</v>
      </c>
    </row>
    <row r="57" spans="1:13">
      <c r="A57" s="527">
        <v>6.4</v>
      </c>
      <c r="B57" s="528">
        <v>0.9345</v>
      </c>
      <c r="C57" s="528">
        <v>0.9345</v>
      </c>
      <c r="D57" s="528">
        <v>0.8756</v>
      </c>
      <c r="E57" s="528">
        <v>0.8756</v>
      </c>
      <c r="F57" s="528">
        <v>0.8756</v>
      </c>
      <c r="G57" s="528">
        <v>0.8756</v>
      </c>
      <c r="H57" s="528">
        <v>0.8756</v>
      </c>
      <c r="I57" s="528">
        <v>0.7575</v>
      </c>
      <c r="J57" s="528">
        <v>0.7575</v>
      </c>
      <c r="K57" s="528">
        <v>0.7575</v>
      </c>
      <c r="L57" s="528">
        <v>0.7575</v>
      </c>
      <c r="M57" s="529">
        <v>0.7575</v>
      </c>
    </row>
    <row r="58" spans="1:13">
      <c r="A58" s="527">
        <v>6.5</v>
      </c>
      <c r="B58" s="528">
        <v>0.9329</v>
      </c>
      <c r="C58" s="528">
        <v>0.9329</v>
      </c>
      <c r="D58" s="528">
        <v>0.8734</v>
      </c>
      <c r="E58" s="528">
        <v>0.8734</v>
      </c>
      <c r="F58" s="528">
        <v>0.8734</v>
      </c>
      <c r="G58" s="528">
        <v>0.8734</v>
      </c>
      <c r="H58" s="528">
        <v>0.8734</v>
      </c>
      <c r="I58" s="528">
        <v>0.7543</v>
      </c>
      <c r="J58" s="528">
        <v>0.7543</v>
      </c>
      <c r="K58" s="528">
        <v>0.7543</v>
      </c>
      <c r="L58" s="528">
        <v>0.7543</v>
      </c>
      <c r="M58" s="529">
        <v>0.7543</v>
      </c>
    </row>
    <row r="59" spans="1:13">
      <c r="A59" s="527">
        <v>6.6</v>
      </c>
      <c r="B59" s="528">
        <v>0.9313</v>
      </c>
      <c r="C59" s="528">
        <v>0.9313</v>
      </c>
      <c r="D59" s="528">
        <v>0.8712</v>
      </c>
      <c r="E59" s="528">
        <v>0.8712</v>
      </c>
      <c r="F59" s="528">
        <v>0.8712</v>
      </c>
      <c r="G59" s="528">
        <v>0.8712</v>
      </c>
      <c r="H59" s="528">
        <v>0.8712</v>
      </c>
      <c r="I59" s="528">
        <v>0.7512</v>
      </c>
      <c r="J59" s="528">
        <v>0.7512</v>
      </c>
      <c r="K59" s="528">
        <v>0.7512</v>
      </c>
      <c r="L59" s="528">
        <v>0.7512</v>
      </c>
      <c r="M59" s="529">
        <v>0.7512</v>
      </c>
    </row>
    <row r="60" spans="1:13">
      <c r="A60" s="527">
        <v>6.7</v>
      </c>
      <c r="B60" s="528">
        <v>0.9297</v>
      </c>
      <c r="C60" s="528">
        <v>0.9297</v>
      </c>
      <c r="D60" s="528">
        <v>0.869</v>
      </c>
      <c r="E60" s="528">
        <v>0.869</v>
      </c>
      <c r="F60" s="528">
        <v>0.869</v>
      </c>
      <c r="G60" s="528">
        <v>0.869</v>
      </c>
      <c r="H60" s="528">
        <v>0.869</v>
      </c>
      <c r="I60" s="528">
        <v>0.7481</v>
      </c>
      <c r="J60" s="528">
        <v>0.7481</v>
      </c>
      <c r="K60" s="528">
        <v>0.7481</v>
      </c>
      <c r="L60" s="528">
        <v>0.7481</v>
      </c>
      <c r="M60" s="529">
        <v>0.7481</v>
      </c>
    </row>
    <row r="61" spans="1:13">
      <c r="A61" s="527">
        <v>6.8</v>
      </c>
      <c r="B61" s="528">
        <v>0.9282</v>
      </c>
      <c r="C61" s="528">
        <v>0.9282</v>
      </c>
      <c r="D61" s="528">
        <v>0.8669</v>
      </c>
      <c r="E61" s="528">
        <v>0.8669</v>
      </c>
      <c r="F61" s="528">
        <v>0.8669</v>
      </c>
      <c r="G61" s="528">
        <v>0.8669</v>
      </c>
      <c r="H61" s="528">
        <v>0.8669</v>
      </c>
      <c r="I61" s="528">
        <v>0.7451</v>
      </c>
      <c r="J61" s="528">
        <v>0.7451</v>
      </c>
      <c r="K61" s="528">
        <v>0.7451</v>
      </c>
      <c r="L61" s="528">
        <v>0.7451</v>
      </c>
      <c r="M61" s="529">
        <v>0.7451</v>
      </c>
    </row>
    <row r="62" spans="1:13">
      <c r="A62" s="527">
        <v>6.9</v>
      </c>
      <c r="B62" s="528">
        <v>0.9267</v>
      </c>
      <c r="C62" s="528">
        <v>0.9267</v>
      </c>
      <c r="D62" s="528">
        <v>0.8648</v>
      </c>
      <c r="E62" s="528">
        <v>0.8648</v>
      </c>
      <c r="F62" s="528">
        <v>0.8648</v>
      </c>
      <c r="G62" s="528">
        <v>0.8648</v>
      </c>
      <c r="H62" s="528">
        <v>0.8648</v>
      </c>
      <c r="I62" s="528">
        <v>0.7421</v>
      </c>
      <c r="J62" s="528">
        <v>0.7421</v>
      </c>
      <c r="K62" s="528">
        <v>0.7421</v>
      </c>
      <c r="L62" s="528">
        <v>0.7421</v>
      </c>
      <c r="M62" s="529">
        <v>0.7421</v>
      </c>
    </row>
    <row r="63" spans="1:13">
      <c r="A63" s="527">
        <v>7</v>
      </c>
      <c r="B63" s="528">
        <v>0.9252</v>
      </c>
      <c r="C63" s="528">
        <v>0.9252</v>
      </c>
      <c r="D63" s="528">
        <v>0.8627</v>
      </c>
      <c r="E63" s="528">
        <v>0.8627</v>
      </c>
      <c r="F63" s="528">
        <v>0.8627</v>
      </c>
      <c r="G63" s="528">
        <v>0.8627</v>
      </c>
      <c r="H63" s="528">
        <v>0.8627</v>
      </c>
      <c r="I63" s="528">
        <v>0.7392</v>
      </c>
      <c r="J63" s="528">
        <v>0.7392</v>
      </c>
      <c r="K63" s="528">
        <v>0.7392</v>
      </c>
      <c r="L63" s="528">
        <v>0.7392</v>
      </c>
      <c r="M63" s="529">
        <v>0.7392</v>
      </c>
    </row>
    <row r="64" spans="1:13">
      <c r="A64" s="527">
        <v>7.1</v>
      </c>
      <c r="B64" s="528">
        <v>0.9237</v>
      </c>
      <c r="C64" s="528">
        <v>0.9237</v>
      </c>
      <c r="D64" s="528">
        <v>0.8606</v>
      </c>
      <c r="E64" s="528">
        <v>0.8606</v>
      </c>
      <c r="F64" s="528">
        <v>0.8606</v>
      </c>
      <c r="G64" s="528">
        <v>0.8606</v>
      </c>
      <c r="H64" s="528">
        <v>0.8606</v>
      </c>
      <c r="I64" s="528">
        <v>0.7363</v>
      </c>
      <c r="J64" s="528">
        <v>0.7363</v>
      </c>
      <c r="K64" s="528">
        <v>0.7363</v>
      </c>
      <c r="L64" s="528">
        <v>0.7363</v>
      </c>
      <c r="M64" s="529">
        <v>0.7363</v>
      </c>
    </row>
    <row r="65" spans="1:13">
      <c r="A65" s="527">
        <v>7.2</v>
      </c>
      <c r="B65" s="528">
        <v>0.9222</v>
      </c>
      <c r="C65" s="528">
        <v>0.9222</v>
      </c>
      <c r="D65" s="528">
        <v>0.8585</v>
      </c>
      <c r="E65" s="528">
        <v>0.8585</v>
      </c>
      <c r="F65" s="528">
        <v>0.8585</v>
      </c>
      <c r="G65" s="528">
        <v>0.8585</v>
      </c>
      <c r="H65" s="528">
        <v>0.8585</v>
      </c>
      <c r="I65" s="528">
        <v>0.7335</v>
      </c>
      <c r="J65" s="528">
        <v>0.7335</v>
      </c>
      <c r="K65" s="528">
        <v>0.7335</v>
      </c>
      <c r="L65" s="528">
        <v>0.7335</v>
      </c>
      <c r="M65" s="529">
        <v>0.7335</v>
      </c>
    </row>
    <row r="66" spans="1:13">
      <c r="A66" s="527">
        <v>7.3</v>
      </c>
      <c r="B66" s="528">
        <v>0.9207</v>
      </c>
      <c r="C66" s="528">
        <v>0.9207</v>
      </c>
      <c r="D66" s="528">
        <v>0.8565</v>
      </c>
      <c r="E66" s="528">
        <v>0.8565</v>
      </c>
      <c r="F66" s="528">
        <v>0.8565</v>
      </c>
      <c r="G66" s="528">
        <v>0.8565</v>
      </c>
      <c r="H66" s="528">
        <v>0.8565</v>
      </c>
      <c r="I66" s="528">
        <v>0.7307</v>
      </c>
      <c r="J66" s="528">
        <v>0.7307</v>
      </c>
      <c r="K66" s="528">
        <v>0.7307</v>
      </c>
      <c r="L66" s="528">
        <v>0.7307</v>
      </c>
      <c r="M66" s="529">
        <v>0.7307</v>
      </c>
    </row>
    <row r="67" spans="1:13">
      <c r="A67" s="527">
        <v>7.4</v>
      </c>
      <c r="B67" s="528">
        <v>0.9193</v>
      </c>
      <c r="C67" s="528">
        <v>0.9193</v>
      </c>
      <c r="D67" s="528">
        <v>0.8545</v>
      </c>
      <c r="E67" s="528">
        <v>0.8545</v>
      </c>
      <c r="F67" s="528">
        <v>0.8545</v>
      </c>
      <c r="G67" s="528">
        <v>0.8545</v>
      </c>
      <c r="H67" s="528">
        <v>0.8545</v>
      </c>
      <c r="I67" s="528">
        <v>0.728</v>
      </c>
      <c r="J67" s="528">
        <v>0.728</v>
      </c>
      <c r="K67" s="528">
        <v>0.728</v>
      </c>
      <c r="L67" s="528">
        <v>0.728</v>
      </c>
      <c r="M67" s="529">
        <v>0.728</v>
      </c>
    </row>
    <row r="68" spans="1:13">
      <c r="A68" s="527">
        <v>7.5</v>
      </c>
      <c r="B68" s="528">
        <v>0.9179</v>
      </c>
      <c r="C68" s="528">
        <v>0.9179</v>
      </c>
      <c r="D68" s="528">
        <v>0.8525</v>
      </c>
      <c r="E68" s="528">
        <v>0.8525</v>
      </c>
      <c r="F68" s="528">
        <v>0.8525</v>
      </c>
      <c r="G68" s="528">
        <v>0.8525</v>
      </c>
      <c r="H68" s="528">
        <v>0.8525</v>
      </c>
      <c r="I68" s="528">
        <v>0.7253</v>
      </c>
      <c r="J68" s="528">
        <v>0.7253</v>
      </c>
      <c r="K68" s="528">
        <v>0.7253</v>
      </c>
      <c r="L68" s="528">
        <v>0.7253</v>
      </c>
      <c r="M68" s="529">
        <v>0.7253</v>
      </c>
    </row>
    <row r="69" spans="1:13">
      <c r="A69" s="527">
        <v>7.6</v>
      </c>
      <c r="B69" s="528">
        <v>0.9165</v>
      </c>
      <c r="C69" s="528">
        <v>0.9165</v>
      </c>
      <c r="D69" s="528">
        <v>0.8505</v>
      </c>
      <c r="E69" s="528">
        <v>0.8505</v>
      </c>
      <c r="F69" s="528">
        <v>0.8505</v>
      </c>
      <c r="G69" s="528">
        <v>0.8505</v>
      </c>
      <c r="H69" s="528">
        <v>0.8505</v>
      </c>
      <c r="I69" s="528">
        <v>0.7226</v>
      </c>
      <c r="J69" s="528">
        <v>0.7226</v>
      </c>
      <c r="K69" s="528">
        <v>0.7226</v>
      </c>
      <c r="L69" s="528">
        <v>0.7226</v>
      </c>
      <c r="M69" s="529">
        <v>0.7226</v>
      </c>
    </row>
    <row r="70" spans="1:13">
      <c r="A70" s="527">
        <v>7.7</v>
      </c>
      <c r="B70" s="528">
        <v>0.9151</v>
      </c>
      <c r="C70" s="528">
        <v>0.9151</v>
      </c>
      <c r="D70" s="528">
        <v>0.8485</v>
      </c>
      <c r="E70" s="528">
        <v>0.8485</v>
      </c>
      <c r="F70" s="528">
        <v>0.8485</v>
      </c>
      <c r="G70" s="528">
        <v>0.8485</v>
      </c>
      <c r="H70" s="528">
        <v>0.8485</v>
      </c>
      <c r="I70" s="528">
        <v>0.72</v>
      </c>
      <c r="J70" s="528">
        <v>0.72</v>
      </c>
      <c r="K70" s="528">
        <v>0.72</v>
      </c>
      <c r="L70" s="528">
        <v>0.72</v>
      </c>
      <c r="M70" s="529">
        <v>0.72</v>
      </c>
    </row>
    <row r="71" spans="1:13">
      <c r="A71" s="527">
        <v>7.8</v>
      </c>
      <c r="B71" s="528">
        <v>0.9137</v>
      </c>
      <c r="C71" s="528">
        <v>0.9137</v>
      </c>
      <c r="D71" s="528">
        <v>0.8466</v>
      </c>
      <c r="E71" s="528">
        <v>0.8466</v>
      </c>
      <c r="F71" s="528">
        <v>0.8466</v>
      </c>
      <c r="G71" s="528">
        <v>0.8466</v>
      </c>
      <c r="H71" s="528">
        <v>0.8466</v>
      </c>
      <c r="I71" s="528">
        <v>0.7174</v>
      </c>
      <c r="J71" s="528">
        <v>0.7174</v>
      </c>
      <c r="K71" s="528">
        <v>0.7174</v>
      </c>
      <c r="L71" s="528">
        <v>0.7174</v>
      </c>
      <c r="M71" s="529">
        <v>0.7174</v>
      </c>
    </row>
    <row r="72" spans="1:13">
      <c r="A72" s="527">
        <v>7.9</v>
      </c>
      <c r="B72" s="528">
        <v>0.9123</v>
      </c>
      <c r="C72" s="528">
        <v>0.9123</v>
      </c>
      <c r="D72" s="528">
        <v>0.8447</v>
      </c>
      <c r="E72" s="528">
        <v>0.8447</v>
      </c>
      <c r="F72" s="528">
        <v>0.8447</v>
      </c>
      <c r="G72" s="528">
        <v>0.8447</v>
      </c>
      <c r="H72" s="528">
        <v>0.8447</v>
      </c>
      <c r="I72" s="528">
        <v>0.7148</v>
      </c>
      <c r="J72" s="528">
        <v>0.7148</v>
      </c>
      <c r="K72" s="528">
        <v>0.7148</v>
      </c>
      <c r="L72" s="528">
        <v>0.7148</v>
      </c>
      <c r="M72" s="529">
        <v>0.7148</v>
      </c>
    </row>
    <row r="73" spans="1:13">
      <c r="A73" s="527">
        <v>8</v>
      </c>
      <c r="B73" s="528">
        <v>0.9109</v>
      </c>
      <c r="C73" s="528">
        <v>0.9109</v>
      </c>
      <c r="D73" s="528">
        <v>0.8428</v>
      </c>
      <c r="E73" s="528">
        <v>0.8428</v>
      </c>
      <c r="F73" s="528">
        <v>0.8428</v>
      </c>
      <c r="G73" s="528">
        <v>0.8428</v>
      </c>
      <c r="H73" s="528">
        <v>0.8428</v>
      </c>
      <c r="I73" s="528">
        <v>0.7123</v>
      </c>
      <c r="J73" s="528">
        <v>0.7123</v>
      </c>
      <c r="K73" s="528">
        <v>0.7123</v>
      </c>
      <c r="L73" s="528">
        <v>0.7123</v>
      </c>
      <c r="M73" s="529">
        <v>0.7123</v>
      </c>
    </row>
    <row r="74" spans="1:13">
      <c r="A74" s="527">
        <v>8.1</v>
      </c>
      <c r="B74" s="528">
        <v>0.9096</v>
      </c>
      <c r="C74" s="528">
        <v>0.9096</v>
      </c>
      <c r="D74" s="528">
        <v>0.8409</v>
      </c>
      <c r="E74" s="528">
        <v>0.8409</v>
      </c>
      <c r="F74" s="528">
        <v>0.8409</v>
      </c>
      <c r="G74" s="528">
        <v>0.8409</v>
      </c>
      <c r="H74" s="528">
        <v>0.8409</v>
      </c>
      <c r="I74" s="528">
        <v>0.7098</v>
      </c>
      <c r="J74" s="528">
        <v>0.7098</v>
      </c>
      <c r="K74" s="528">
        <v>0.7098</v>
      </c>
      <c r="L74" s="528">
        <v>0.7098</v>
      </c>
      <c r="M74" s="529">
        <v>0.7098</v>
      </c>
    </row>
    <row r="75" spans="1:13">
      <c r="A75" s="527">
        <v>8.2</v>
      </c>
      <c r="B75" s="528">
        <v>0.9083</v>
      </c>
      <c r="C75" s="528">
        <v>0.9083</v>
      </c>
      <c r="D75" s="528">
        <v>0.839</v>
      </c>
      <c r="E75" s="528">
        <v>0.839</v>
      </c>
      <c r="F75" s="528">
        <v>0.839</v>
      </c>
      <c r="G75" s="528">
        <v>0.839</v>
      </c>
      <c r="H75" s="528">
        <v>0.839</v>
      </c>
      <c r="I75" s="528">
        <v>0.7073</v>
      </c>
      <c r="J75" s="528">
        <v>0.7073</v>
      </c>
      <c r="K75" s="528">
        <v>0.7073</v>
      </c>
      <c r="L75" s="528">
        <v>0.7073</v>
      </c>
      <c r="M75" s="529">
        <v>0.7073</v>
      </c>
    </row>
    <row r="76" spans="1:13">
      <c r="A76" s="527">
        <v>8.3</v>
      </c>
      <c r="B76" s="528">
        <v>0.907</v>
      </c>
      <c r="C76" s="528">
        <v>0.907</v>
      </c>
      <c r="D76" s="528">
        <v>0.8372</v>
      </c>
      <c r="E76" s="528">
        <v>0.8372</v>
      </c>
      <c r="F76" s="528">
        <v>0.8372</v>
      </c>
      <c r="G76" s="528">
        <v>0.8372</v>
      </c>
      <c r="H76" s="528">
        <v>0.8372</v>
      </c>
      <c r="I76" s="528">
        <v>0.7049</v>
      </c>
      <c r="J76" s="528">
        <v>0.7049</v>
      </c>
      <c r="K76" s="528">
        <v>0.7049</v>
      </c>
      <c r="L76" s="528">
        <v>0.7049</v>
      </c>
      <c r="M76" s="529">
        <v>0.7049</v>
      </c>
    </row>
    <row r="77" spans="1:13">
      <c r="A77" s="527">
        <v>8.4</v>
      </c>
      <c r="B77" s="528">
        <v>0.9057</v>
      </c>
      <c r="C77" s="528">
        <v>0.9057</v>
      </c>
      <c r="D77" s="528">
        <v>0.8354</v>
      </c>
      <c r="E77" s="528">
        <v>0.8354</v>
      </c>
      <c r="F77" s="528">
        <v>0.8354</v>
      </c>
      <c r="G77" s="528">
        <v>0.8354</v>
      </c>
      <c r="H77" s="528">
        <v>0.8354</v>
      </c>
      <c r="I77" s="528">
        <v>0.7025</v>
      </c>
      <c r="J77" s="528">
        <v>0.7025</v>
      </c>
      <c r="K77" s="528">
        <v>0.7025</v>
      </c>
      <c r="L77" s="528">
        <v>0.7025</v>
      </c>
      <c r="M77" s="529">
        <v>0.7025</v>
      </c>
    </row>
    <row r="78" spans="1:13">
      <c r="A78" s="527">
        <v>8.5</v>
      </c>
      <c r="B78" s="528">
        <v>0.9044</v>
      </c>
      <c r="C78" s="528">
        <v>0.9044</v>
      </c>
      <c r="D78" s="528">
        <v>0.8336</v>
      </c>
      <c r="E78" s="528">
        <v>0.8336</v>
      </c>
      <c r="F78" s="528">
        <v>0.8336</v>
      </c>
      <c r="G78" s="528">
        <v>0.8336</v>
      </c>
      <c r="H78" s="528">
        <v>0.8336</v>
      </c>
      <c r="I78" s="528">
        <v>0.7001</v>
      </c>
      <c r="J78" s="528">
        <v>0.7001</v>
      </c>
      <c r="K78" s="528">
        <v>0.7001</v>
      </c>
      <c r="L78" s="528">
        <v>0.7001</v>
      </c>
      <c r="M78" s="529">
        <v>0.7001</v>
      </c>
    </row>
    <row r="79" spans="1:13">
      <c r="A79" s="527">
        <v>8.6</v>
      </c>
      <c r="B79" s="528">
        <v>0.9031</v>
      </c>
      <c r="C79" s="528">
        <v>0.9031</v>
      </c>
      <c r="D79" s="528">
        <v>0.8318</v>
      </c>
      <c r="E79" s="528">
        <v>0.8318</v>
      </c>
      <c r="F79" s="528">
        <v>0.8318</v>
      </c>
      <c r="G79" s="528">
        <v>0.8318</v>
      </c>
      <c r="H79" s="528">
        <v>0.8318</v>
      </c>
      <c r="I79" s="528">
        <v>0.6978</v>
      </c>
      <c r="J79" s="528">
        <v>0.6978</v>
      </c>
      <c r="K79" s="528">
        <v>0.6978</v>
      </c>
      <c r="L79" s="528">
        <v>0.6978</v>
      </c>
      <c r="M79" s="529">
        <v>0.6978</v>
      </c>
    </row>
    <row r="80" spans="1:13">
      <c r="A80" s="527">
        <v>8.7</v>
      </c>
      <c r="B80" s="528">
        <v>0.9018</v>
      </c>
      <c r="C80" s="528">
        <v>0.9018</v>
      </c>
      <c r="D80" s="528">
        <v>0.83</v>
      </c>
      <c r="E80" s="528">
        <v>0.83</v>
      </c>
      <c r="F80" s="528">
        <v>0.83</v>
      </c>
      <c r="G80" s="528">
        <v>0.83</v>
      </c>
      <c r="H80" s="528">
        <v>0.83</v>
      </c>
      <c r="I80" s="528">
        <v>0.6955</v>
      </c>
      <c r="J80" s="528">
        <v>0.6955</v>
      </c>
      <c r="K80" s="528">
        <v>0.6955</v>
      </c>
      <c r="L80" s="528">
        <v>0.6955</v>
      </c>
      <c r="M80" s="529">
        <v>0.6955</v>
      </c>
    </row>
    <row r="81" spans="1:20">
      <c r="A81" s="527">
        <v>8.8</v>
      </c>
      <c r="B81" s="528">
        <v>0.9006</v>
      </c>
      <c r="C81" s="528">
        <v>0.9006</v>
      </c>
      <c r="D81" s="528">
        <v>0.8283</v>
      </c>
      <c r="E81" s="528">
        <v>0.8283</v>
      </c>
      <c r="F81" s="528">
        <v>0.8283</v>
      </c>
      <c r="G81" s="528">
        <v>0.8283</v>
      </c>
      <c r="H81" s="528">
        <v>0.8283</v>
      </c>
      <c r="I81" s="528">
        <v>0.6932</v>
      </c>
      <c r="J81" s="528">
        <v>0.6932</v>
      </c>
      <c r="K81" s="528">
        <v>0.6932</v>
      </c>
      <c r="L81" s="528">
        <v>0.6932</v>
      </c>
      <c r="M81" s="529">
        <v>0.6932</v>
      </c>
    </row>
    <row r="82" spans="1:20">
      <c r="A82" s="527">
        <v>8.9</v>
      </c>
      <c r="B82" s="528">
        <v>0.8994</v>
      </c>
      <c r="C82" s="528">
        <v>0.8994</v>
      </c>
      <c r="D82" s="528">
        <v>0.8266</v>
      </c>
      <c r="E82" s="528">
        <v>0.8266</v>
      </c>
      <c r="F82" s="528">
        <v>0.8266</v>
      </c>
      <c r="G82" s="528">
        <v>0.8266</v>
      </c>
      <c r="H82" s="528">
        <v>0.8266</v>
      </c>
      <c r="I82" s="528">
        <v>0.691</v>
      </c>
      <c r="J82" s="528">
        <v>0.691</v>
      </c>
      <c r="K82" s="528">
        <v>0.691</v>
      </c>
      <c r="L82" s="528">
        <v>0.691</v>
      </c>
      <c r="M82" s="529">
        <v>0.691</v>
      </c>
    </row>
    <row r="83" spans="1:20">
      <c r="A83" s="531">
        <v>9</v>
      </c>
      <c r="B83" s="528">
        <v>0.8982</v>
      </c>
      <c r="C83" s="528">
        <v>0.8982</v>
      </c>
      <c r="D83" s="528">
        <v>0.8249</v>
      </c>
      <c r="E83" s="528">
        <v>0.8249</v>
      </c>
      <c r="F83" s="528">
        <v>0.8249</v>
      </c>
      <c r="G83" s="528">
        <v>0.8249</v>
      </c>
      <c r="H83" s="528">
        <v>0.8249</v>
      </c>
      <c r="I83" s="528">
        <v>0.6888</v>
      </c>
      <c r="J83" s="528">
        <v>0.6888</v>
      </c>
      <c r="K83" s="528">
        <v>0.6888</v>
      </c>
      <c r="L83" s="528">
        <v>0.6888</v>
      </c>
      <c r="M83" s="529">
        <v>0.6888</v>
      </c>
    </row>
    <row r="84" spans="1:20">
      <c r="A84" s="531">
        <v>9.1</v>
      </c>
      <c r="B84" s="528">
        <v>0.897</v>
      </c>
      <c r="C84" s="528">
        <v>0.897</v>
      </c>
      <c r="D84" s="528">
        <v>0.8232</v>
      </c>
      <c r="E84" s="528">
        <v>0.8232</v>
      </c>
      <c r="F84" s="528">
        <v>0.8232</v>
      </c>
      <c r="G84" s="528">
        <v>0.8232</v>
      </c>
      <c r="H84" s="528">
        <v>0.8232</v>
      </c>
      <c r="I84" s="528">
        <v>0.6866</v>
      </c>
      <c r="J84" s="528">
        <v>0.6866</v>
      </c>
      <c r="K84" s="528">
        <v>0.6866</v>
      </c>
      <c r="L84" s="528">
        <v>0.6866</v>
      </c>
      <c r="M84" s="529">
        <v>0.6866</v>
      </c>
    </row>
    <row r="85" spans="1:20">
      <c r="A85" s="531">
        <v>9.2</v>
      </c>
      <c r="B85" s="528">
        <v>0.8958</v>
      </c>
      <c r="C85" s="528">
        <v>0.8958</v>
      </c>
      <c r="D85" s="528">
        <v>0.8215</v>
      </c>
      <c r="E85" s="528">
        <v>0.8215</v>
      </c>
      <c r="F85" s="528">
        <v>0.8215</v>
      </c>
      <c r="G85" s="528">
        <v>0.8215</v>
      </c>
      <c r="H85" s="528">
        <v>0.8215</v>
      </c>
      <c r="I85" s="528">
        <v>0.6845</v>
      </c>
      <c r="J85" s="528">
        <v>0.6845</v>
      </c>
      <c r="K85" s="528">
        <v>0.6845</v>
      </c>
      <c r="L85" s="528">
        <v>0.6845</v>
      </c>
      <c r="M85" s="529">
        <v>0.6845</v>
      </c>
    </row>
    <row r="86" spans="1:20">
      <c r="A86" s="531">
        <v>9.3</v>
      </c>
      <c r="B86" s="528">
        <v>0.8946</v>
      </c>
      <c r="C86" s="528">
        <v>0.8946</v>
      </c>
      <c r="D86" s="528">
        <v>0.8199</v>
      </c>
      <c r="E86" s="528">
        <v>0.8199</v>
      </c>
      <c r="F86" s="528">
        <v>0.8199</v>
      </c>
      <c r="G86" s="528">
        <v>0.8199</v>
      </c>
      <c r="H86" s="528">
        <v>0.8199</v>
      </c>
      <c r="I86" s="528">
        <v>0.6824</v>
      </c>
      <c r="J86" s="528">
        <v>0.6824</v>
      </c>
      <c r="K86" s="528">
        <v>0.6824</v>
      </c>
      <c r="L86" s="528">
        <v>0.6824</v>
      </c>
      <c r="M86" s="529">
        <v>0.6824</v>
      </c>
    </row>
    <row r="87" spans="1:20">
      <c r="A87" s="531">
        <v>9.4</v>
      </c>
      <c r="B87" s="528">
        <v>0.8934</v>
      </c>
      <c r="C87" s="528">
        <v>0.8934</v>
      </c>
      <c r="D87" s="528">
        <v>0.8183</v>
      </c>
      <c r="E87" s="528">
        <v>0.8183</v>
      </c>
      <c r="F87" s="528">
        <v>0.8183</v>
      </c>
      <c r="G87" s="528">
        <v>0.8183</v>
      </c>
      <c r="H87" s="528">
        <v>0.8183</v>
      </c>
      <c r="I87" s="528">
        <v>0.6803</v>
      </c>
      <c r="J87" s="528">
        <v>0.6803</v>
      </c>
      <c r="K87" s="528">
        <v>0.6803</v>
      </c>
      <c r="L87" s="528">
        <v>0.6803</v>
      </c>
      <c r="M87" s="529">
        <v>0.6803</v>
      </c>
    </row>
    <row r="88" spans="1:20">
      <c r="A88" s="531">
        <v>9.5</v>
      </c>
      <c r="B88" s="528">
        <v>0.8923</v>
      </c>
      <c r="C88" s="528">
        <v>0.8923</v>
      </c>
      <c r="D88" s="528">
        <v>0.8167</v>
      </c>
      <c r="E88" s="528">
        <v>0.8167</v>
      </c>
      <c r="F88" s="528">
        <v>0.8167</v>
      </c>
      <c r="G88" s="528">
        <v>0.8167</v>
      </c>
      <c r="H88" s="528">
        <v>0.8167</v>
      </c>
      <c r="I88" s="528">
        <v>0.6783</v>
      </c>
      <c r="J88" s="528">
        <v>0.6783</v>
      </c>
      <c r="K88" s="528">
        <v>0.6783</v>
      </c>
      <c r="L88" s="528">
        <v>0.6783</v>
      </c>
      <c r="M88" s="529">
        <v>0.6783</v>
      </c>
    </row>
    <row r="89" spans="1:20">
      <c r="A89" s="531">
        <v>9.6</v>
      </c>
      <c r="B89" s="528">
        <v>0.8912</v>
      </c>
      <c r="C89" s="528">
        <v>0.8912</v>
      </c>
      <c r="D89" s="528">
        <v>0.8151</v>
      </c>
      <c r="E89" s="528">
        <v>0.8151</v>
      </c>
      <c r="F89" s="528">
        <v>0.8151</v>
      </c>
      <c r="G89" s="528">
        <v>0.8151</v>
      </c>
      <c r="H89" s="528">
        <v>0.8151</v>
      </c>
      <c r="I89" s="528">
        <v>0.6763</v>
      </c>
      <c r="J89" s="528">
        <v>0.6763</v>
      </c>
      <c r="K89" s="528">
        <v>0.6763</v>
      </c>
      <c r="L89" s="528">
        <v>0.6763</v>
      </c>
      <c r="M89" s="529">
        <v>0.6763</v>
      </c>
    </row>
    <row r="90" spans="1:20">
      <c r="A90" s="531">
        <v>9.7</v>
      </c>
      <c r="B90" s="528">
        <v>0.8901</v>
      </c>
      <c r="C90" s="528">
        <v>0.8901</v>
      </c>
      <c r="D90" s="528">
        <v>0.8135</v>
      </c>
      <c r="E90" s="528">
        <v>0.8135</v>
      </c>
      <c r="F90" s="528">
        <v>0.8135</v>
      </c>
      <c r="G90" s="528">
        <v>0.8135</v>
      </c>
      <c r="H90" s="528">
        <v>0.8135</v>
      </c>
      <c r="I90" s="528">
        <v>0.6743</v>
      </c>
      <c r="J90" s="528">
        <v>0.6743</v>
      </c>
      <c r="K90" s="528">
        <v>0.6743</v>
      </c>
      <c r="L90" s="528">
        <v>0.6743</v>
      </c>
      <c r="M90" s="529">
        <v>0.6743</v>
      </c>
    </row>
    <row r="91" spans="1:20">
      <c r="A91" s="531">
        <v>9.8</v>
      </c>
      <c r="B91" s="528">
        <v>0.889</v>
      </c>
      <c r="C91" s="528">
        <v>0.889</v>
      </c>
      <c r="D91" s="528">
        <v>0.812</v>
      </c>
      <c r="E91" s="528">
        <v>0.812</v>
      </c>
      <c r="F91" s="528">
        <v>0.812</v>
      </c>
      <c r="G91" s="528">
        <v>0.812</v>
      </c>
      <c r="H91" s="528">
        <v>0.812</v>
      </c>
      <c r="I91" s="528">
        <v>0.6724</v>
      </c>
      <c r="J91" s="528">
        <v>0.6724</v>
      </c>
      <c r="K91" s="528">
        <v>0.6724</v>
      </c>
      <c r="L91" s="528">
        <v>0.6724</v>
      </c>
      <c r="M91" s="529">
        <v>0.6724</v>
      </c>
    </row>
    <row r="92" ht="14.25" spans="1:20">
      <c r="A92" s="532">
        <v>9.9</v>
      </c>
      <c r="B92" s="533">
        <v>0.8879</v>
      </c>
      <c r="C92" s="533">
        <v>0.8879</v>
      </c>
      <c r="D92" s="533">
        <v>0.8105</v>
      </c>
      <c r="E92" s="533">
        <v>0.8105</v>
      </c>
      <c r="F92" s="533">
        <v>0.8105</v>
      </c>
      <c r="G92" s="533">
        <v>0.8105</v>
      </c>
      <c r="H92" s="533">
        <v>0.8105</v>
      </c>
      <c r="I92" s="533">
        <v>0.6705</v>
      </c>
      <c r="J92" s="533">
        <v>0.6705</v>
      </c>
      <c r="K92" s="533">
        <v>0.6705</v>
      </c>
      <c r="L92" s="533">
        <v>0.6705</v>
      </c>
      <c r="M92" s="534">
        <v>0.6705</v>
      </c>
    </row>
    <row r="93" ht="15" spans="1:20">
      <c r="A93" s="519" t="s">
        <v>2567</v>
      </c>
      <c r="B93" s="519"/>
      <c r="C93" s="519"/>
      <c r="D93" s="519"/>
      <c r="E93" s="519"/>
      <c r="F93" s="519"/>
      <c r="G93" s="519"/>
      <c r="H93" s="519"/>
      <c r="I93" s="519"/>
      <c r="J93" s="519"/>
      <c r="K93" s="519"/>
      <c r="L93" s="519"/>
      <c r="M93" s="519"/>
    </row>
    <row r="94" spans="1:20">
      <c r="A94" s="521" t="s">
        <v>2562</v>
      </c>
      <c r="B94" s="522" t="s">
        <v>235</v>
      </c>
      <c r="C94" s="522" t="s">
        <v>251</v>
      </c>
      <c r="D94" s="522" t="s">
        <v>264</v>
      </c>
      <c r="E94" s="522" t="s">
        <v>275</v>
      </c>
      <c r="F94" s="522" t="s">
        <v>286</v>
      </c>
      <c r="G94" s="522" t="s">
        <v>295</v>
      </c>
      <c r="H94" s="523" t="s">
        <v>303</v>
      </c>
      <c r="I94" s="523" t="s">
        <v>311</v>
      </c>
      <c r="J94" s="524" t="s">
        <v>318</v>
      </c>
      <c r="K94" s="524" t="s">
        <v>324</v>
      </c>
      <c r="L94" s="524" t="s">
        <v>330</v>
      </c>
      <c r="M94" s="525" t="s">
        <v>336</v>
      </c>
      <c r="N94" s="518">
        <f>SUMPRODUCT((A95:A184=ROUNDDOWN(基准地价修正!G3,1))*(B94:M94=基准地价修正!G2)*(B95:M184))</f>
        <v>1.2158</v>
      </c>
      <c r="Q94" s="526" t="s">
        <v>2563</v>
      </c>
      <c r="R94" s="526" t="s">
        <v>2564</v>
      </c>
      <c r="S94" s="526" t="s">
        <v>2565</v>
      </c>
      <c r="T94" s="526" t="s">
        <v>2566</v>
      </c>
    </row>
    <row r="95" spans="1:20">
      <c r="A95" s="527">
        <v>1</v>
      </c>
      <c r="B95" s="528">
        <v>1.2501</v>
      </c>
      <c r="C95" s="528">
        <v>1.2501</v>
      </c>
      <c r="D95" s="528">
        <v>1.2158</v>
      </c>
      <c r="E95" s="528">
        <v>1.2158</v>
      </c>
      <c r="F95" s="528">
        <v>1.2158</v>
      </c>
      <c r="G95" s="528">
        <v>1.2158</v>
      </c>
      <c r="H95" s="528">
        <v>1.2158</v>
      </c>
      <c r="I95" s="528">
        <v>1.2302</v>
      </c>
      <c r="J95" s="528">
        <v>1.2302</v>
      </c>
      <c r="K95" s="528">
        <v>1.2302</v>
      </c>
      <c r="L95" s="528">
        <v>1.2302</v>
      </c>
      <c r="M95" s="529">
        <v>1.2302</v>
      </c>
      <c r="Q95" s="526">
        <v>10</v>
      </c>
      <c r="R95" s="526">
        <f>ROUND(0.993-0.0112*Q95,4)</f>
        <v>0.881</v>
      </c>
      <c r="S95" s="526">
        <f>ROUND(0.9415-0.0142*Q95,4)</f>
        <v>0.7995</v>
      </c>
      <c r="T95" s="526">
        <f>ROUND(0.8438-0.0182*Q95,4)</f>
        <v>0.6618</v>
      </c>
    </row>
    <row r="96" spans="1:20">
      <c r="A96" s="527">
        <v>1.1</v>
      </c>
      <c r="B96" s="528">
        <v>1.231</v>
      </c>
      <c r="C96" s="528">
        <v>1.231</v>
      </c>
      <c r="D96" s="528">
        <v>1.1947</v>
      </c>
      <c r="E96" s="528">
        <v>1.1947</v>
      </c>
      <c r="F96" s="528">
        <v>1.1947</v>
      </c>
      <c r="G96" s="528">
        <v>1.1947</v>
      </c>
      <c r="H96" s="528">
        <v>1.1947</v>
      </c>
      <c r="I96" s="528">
        <v>1.2008</v>
      </c>
      <c r="J96" s="528">
        <v>1.2008</v>
      </c>
      <c r="K96" s="528">
        <v>1.2008</v>
      </c>
      <c r="L96" s="528">
        <v>1.2008</v>
      </c>
      <c r="M96" s="529">
        <v>1.2008</v>
      </c>
    </row>
    <row r="97" spans="1:14">
      <c r="A97" s="527">
        <v>1.2</v>
      </c>
      <c r="B97" s="528">
        <v>1.213</v>
      </c>
      <c r="C97" s="528">
        <v>1.213</v>
      </c>
      <c r="D97" s="528">
        <v>1.1748</v>
      </c>
      <c r="E97" s="528">
        <v>1.1748</v>
      </c>
      <c r="F97" s="528">
        <v>1.1748</v>
      </c>
      <c r="G97" s="528">
        <v>1.1748</v>
      </c>
      <c r="H97" s="528">
        <v>1.1748</v>
      </c>
      <c r="I97" s="528">
        <v>1.173</v>
      </c>
      <c r="J97" s="528">
        <v>1.173</v>
      </c>
      <c r="K97" s="528">
        <v>1.173</v>
      </c>
      <c r="L97" s="528">
        <v>1.173</v>
      </c>
      <c r="M97" s="529">
        <v>1.173</v>
      </c>
    </row>
    <row r="98" spans="1:14">
      <c r="A98" s="527">
        <v>1.3</v>
      </c>
      <c r="B98" s="528">
        <v>1.196</v>
      </c>
      <c r="C98" s="528">
        <v>1.196</v>
      </c>
      <c r="D98" s="528">
        <v>1.156</v>
      </c>
      <c r="E98" s="528">
        <v>1.156</v>
      </c>
      <c r="F98" s="528">
        <v>1.156</v>
      </c>
      <c r="G98" s="528">
        <v>1.156</v>
      </c>
      <c r="H98" s="528">
        <v>1.156</v>
      </c>
      <c r="I98" s="528">
        <v>1.1468</v>
      </c>
      <c r="J98" s="528">
        <v>1.1468</v>
      </c>
      <c r="K98" s="528">
        <v>1.1468</v>
      </c>
      <c r="L98" s="528">
        <v>1.1468</v>
      </c>
      <c r="M98" s="529">
        <v>1.1468</v>
      </c>
    </row>
    <row r="99" spans="1:14">
      <c r="A99" s="527">
        <v>1.4</v>
      </c>
      <c r="B99" s="528">
        <v>1.18</v>
      </c>
      <c r="C99" s="528">
        <v>1.18</v>
      </c>
      <c r="D99" s="528">
        <v>1.1382</v>
      </c>
      <c r="E99" s="528">
        <v>1.1382</v>
      </c>
      <c r="F99" s="528">
        <v>1.1382</v>
      </c>
      <c r="G99" s="528">
        <v>1.1382</v>
      </c>
      <c r="H99" s="528">
        <v>1.1382</v>
      </c>
      <c r="I99" s="528">
        <v>1.122</v>
      </c>
      <c r="J99" s="528">
        <v>1.122</v>
      </c>
      <c r="K99" s="528">
        <v>1.122</v>
      </c>
      <c r="L99" s="528">
        <v>1.122</v>
      </c>
      <c r="M99" s="529">
        <v>1.122</v>
      </c>
    </row>
    <row r="100" spans="1:14">
      <c r="A100" s="527">
        <v>1.5</v>
      </c>
      <c r="B100" s="528">
        <v>1.1649</v>
      </c>
      <c r="C100" s="528">
        <v>1.1649</v>
      </c>
      <c r="D100" s="528">
        <v>1.1215</v>
      </c>
      <c r="E100" s="528">
        <v>1.1215</v>
      </c>
      <c r="F100" s="528">
        <v>1.1215</v>
      </c>
      <c r="G100" s="528">
        <v>1.1215</v>
      </c>
      <c r="H100" s="528">
        <v>1.1215</v>
      </c>
      <c r="I100" s="528">
        <v>1.0985</v>
      </c>
      <c r="J100" s="528">
        <v>1.0985</v>
      </c>
      <c r="K100" s="528">
        <v>1.0985</v>
      </c>
      <c r="L100" s="528">
        <v>1.0985</v>
      </c>
      <c r="M100" s="529">
        <v>1.0985</v>
      </c>
    </row>
    <row r="101" spans="1:14">
      <c r="A101" s="527">
        <v>1.6</v>
      </c>
      <c r="B101" s="528">
        <v>1.1507</v>
      </c>
      <c r="C101" s="528">
        <v>1.1507</v>
      </c>
      <c r="D101" s="528">
        <v>1.1057</v>
      </c>
      <c r="E101" s="528">
        <v>1.1057</v>
      </c>
      <c r="F101" s="528">
        <v>1.1057</v>
      </c>
      <c r="G101" s="528">
        <v>1.1057</v>
      </c>
      <c r="H101" s="528">
        <v>1.1057</v>
      </c>
      <c r="I101" s="528">
        <v>1.0764</v>
      </c>
      <c r="J101" s="528">
        <v>1.0764</v>
      </c>
      <c r="K101" s="528">
        <v>1.0764</v>
      </c>
      <c r="L101" s="528">
        <v>1.0764</v>
      </c>
      <c r="M101" s="529">
        <v>1.0764</v>
      </c>
    </row>
    <row r="102" spans="1:14">
      <c r="A102" s="527">
        <v>1.7</v>
      </c>
      <c r="B102" s="528">
        <v>1.1373</v>
      </c>
      <c r="C102" s="528">
        <v>1.1373</v>
      </c>
      <c r="D102" s="528">
        <v>1.0908</v>
      </c>
      <c r="E102" s="528">
        <v>1.0908</v>
      </c>
      <c r="F102" s="528">
        <v>1.0908</v>
      </c>
      <c r="G102" s="528">
        <v>1.0908</v>
      </c>
      <c r="H102" s="528">
        <v>1.0908</v>
      </c>
      <c r="I102" s="528">
        <v>1.0556</v>
      </c>
      <c r="J102" s="528">
        <v>1.0556</v>
      </c>
      <c r="K102" s="528">
        <v>1.0556</v>
      </c>
      <c r="L102" s="528">
        <v>1.0556</v>
      </c>
      <c r="M102" s="529">
        <v>1.0556</v>
      </c>
    </row>
    <row r="103" ht="14.25" spans="1:14">
      <c r="A103" s="527">
        <v>1.8</v>
      </c>
      <c r="B103" s="528">
        <v>1.1247</v>
      </c>
      <c r="C103" s="528">
        <v>1.1247</v>
      </c>
      <c r="D103" s="528">
        <v>1.0768</v>
      </c>
      <c r="E103" s="528">
        <v>1.0768</v>
      </c>
      <c r="F103" s="528">
        <v>1.0768</v>
      </c>
      <c r="G103" s="528">
        <v>1.0768</v>
      </c>
      <c r="H103" s="528">
        <v>1.0768</v>
      </c>
      <c r="I103" s="528">
        <v>1.0359</v>
      </c>
      <c r="J103" s="528">
        <v>1.0359</v>
      </c>
      <c r="K103" s="528">
        <v>1.0359</v>
      </c>
      <c r="L103" s="528">
        <v>1.0359</v>
      </c>
      <c r="M103" s="529">
        <v>1.0359</v>
      </c>
      <c r="N103" s="520"/>
    </row>
    <row r="104" ht="14.25" spans="1:14">
      <c r="A104" s="527">
        <v>1.9</v>
      </c>
      <c r="B104" s="528">
        <v>1.1128</v>
      </c>
      <c r="C104" s="528">
        <v>1.1128</v>
      </c>
      <c r="D104" s="528">
        <v>1.0637</v>
      </c>
      <c r="E104" s="528">
        <v>1.0637</v>
      </c>
      <c r="F104" s="528">
        <v>1.0637</v>
      </c>
      <c r="G104" s="528">
        <v>1.0637</v>
      </c>
      <c r="H104" s="528">
        <v>1.0637</v>
      </c>
      <c r="I104" s="528">
        <v>1.0174</v>
      </c>
      <c r="J104" s="528">
        <v>1.0174</v>
      </c>
      <c r="K104" s="528">
        <v>1.0174</v>
      </c>
      <c r="L104" s="528">
        <v>1.0174</v>
      </c>
      <c r="M104" s="529">
        <v>1.0174</v>
      </c>
      <c r="N104" s="520"/>
    </row>
    <row r="105" spans="1:14">
      <c r="A105" s="527">
        <v>2</v>
      </c>
      <c r="B105" s="528">
        <v>1.1017</v>
      </c>
      <c r="C105" s="528">
        <v>1.1017</v>
      </c>
      <c r="D105" s="528">
        <v>1.0513</v>
      </c>
      <c r="E105" s="528">
        <v>1.0513</v>
      </c>
      <c r="F105" s="528">
        <v>1.0513</v>
      </c>
      <c r="G105" s="528">
        <v>1.0513</v>
      </c>
      <c r="H105" s="528">
        <v>1.0513</v>
      </c>
      <c r="I105" s="528">
        <v>1</v>
      </c>
      <c r="J105" s="528">
        <v>1</v>
      </c>
      <c r="K105" s="528">
        <v>1</v>
      </c>
      <c r="L105" s="528">
        <v>1</v>
      </c>
      <c r="M105" s="529">
        <v>1</v>
      </c>
    </row>
    <row r="106" spans="1:14">
      <c r="A106" s="531">
        <v>2.1</v>
      </c>
      <c r="B106" s="528">
        <v>1.0913</v>
      </c>
      <c r="C106" s="528">
        <v>1.0913</v>
      </c>
      <c r="D106" s="528">
        <v>1.0397</v>
      </c>
      <c r="E106" s="528">
        <v>1.0397</v>
      </c>
      <c r="F106" s="528">
        <v>1.0397</v>
      </c>
      <c r="G106" s="528">
        <v>1.0397</v>
      </c>
      <c r="H106" s="528">
        <v>1.0397</v>
      </c>
      <c r="I106" s="528">
        <v>0.9836</v>
      </c>
      <c r="J106" s="528">
        <v>0.9836</v>
      </c>
      <c r="K106" s="528">
        <v>0.9836</v>
      </c>
      <c r="L106" s="528">
        <v>0.9836</v>
      </c>
      <c r="M106" s="529">
        <v>0.9836</v>
      </c>
    </row>
    <row r="107" spans="1:14">
      <c r="A107" s="531">
        <v>2.2</v>
      </c>
      <c r="B107" s="528">
        <v>1.0815</v>
      </c>
      <c r="C107" s="528">
        <v>1.0815</v>
      </c>
      <c r="D107" s="528">
        <v>1.0288</v>
      </c>
      <c r="E107" s="528">
        <v>1.0288</v>
      </c>
      <c r="F107" s="528">
        <v>1.0288</v>
      </c>
      <c r="G107" s="528">
        <v>1.0288</v>
      </c>
      <c r="H107" s="528">
        <v>1.0288</v>
      </c>
      <c r="I107" s="528">
        <v>0.9682</v>
      </c>
      <c r="J107" s="528">
        <v>0.9682</v>
      </c>
      <c r="K107" s="528">
        <v>0.9682</v>
      </c>
      <c r="L107" s="528">
        <v>0.9682</v>
      </c>
      <c r="M107" s="529">
        <v>0.9682</v>
      </c>
    </row>
    <row r="108" spans="1:14">
      <c r="A108" s="531">
        <v>2.3</v>
      </c>
      <c r="B108" s="528">
        <v>1.0724</v>
      </c>
      <c r="C108" s="528">
        <v>1.0724</v>
      </c>
      <c r="D108" s="528">
        <v>1.0186</v>
      </c>
      <c r="E108" s="528">
        <v>1.0186</v>
      </c>
      <c r="F108" s="528">
        <v>1.0186</v>
      </c>
      <c r="G108" s="528">
        <v>1.0186</v>
      </c>
      <c r="H108" s="528">
        <v>1.0186</v>
      </c>
      <c r="I108" s="528">
        <v>0.9537</v>
      </c>
      <c r="J108" s="528">
        <v>0.9537</v>
      </c>
      <c r="K108" s="528">
        <v>0.9537</v>
      </c>
      <c r="L108" s="528">
        <v>0.9537</v>
      </c>
      <c r="M108" s="529">
        <v>0.9537</v>
      </c>
    </row>
    <row r="109" spans="1:14">
      <c r="A109" s="531">
        <v>2.4</v>
      </c>
      <c r="B109" s="528">
        <v>1.0638</v>
      </c>
      <c r="C109" s="528">
        <v>1.0638</v>
      </c>
      <c r="D109" s="528">
        <v>1.009</v>
      </c>
      <c r="E109" s="528">
        <v>1.009</v>
      </c>
      <c r="F109" s="528">
        <v>1.009</v>
      </c>
      <c r="G109" s="528">
        <v>1.009</v>
      </c>
      <c r="H109" s="528">
        <v>1.009</v>
      </c>
      <c r="I109" s="528">
        <v>0.9401</v>
      </c>
      <c r="J109" s="528">
        <v>0.9401</v>
      </c>
      <c r="K109" s="528">
        <v>0.9401</v>
      </c>
      <c r="L109" s="528">
        <v>0.9401</v>
      </c>
      <c r="M109" s="529">
        <v>0.9401</v>
      </c>
    </row>
    <row r="110" spans="1:14">
      <c r="A110" s="531">
        <v>2.5</v>
      </c>
      <c r="B110" s="528">
        <v>1.0558</v>
      </c>
      <c r="C110" s="528">
        <v>1.0558</v>
      </c>
      <c r="D110" s="528">
        <v>1</v>
      </c>
      <c r="E110" s="528">
        <v>1</v>
      </c>
      <c r="F110" s="528">
        <v>1</v>
      </c>
      <c r="G110" s="528">
        <v>1</v>
      </c>
      <c r="H110" s="528">
        <v>1</v>
      </c>
      <c r="I110" s="528">
        <v>0.9274</v>
      </c>
      <c r="J110" s="528">
        <v>0.9274</v>
      </c>
      <c r="K110" s="528">
        <v>0.9274</v>
      </c>
      <c r="L110" s="528">
        <v>0.9274</v>
      </c>
      <c r="M110" s="529">
        <v>0.9274</v>
      </c>
    </row>
    <row r="111" spans="1:14">
      <c r="A111" s="531">
        <v>2.6</v>
      </c>
      <c r="B111" s="528">
        <v>1.0483</v>
      </c>
      <c r="C111" s="528">
        <v>1.0483</v>
      </c>
      <c r="D111" s="528">
        <v>0.9916</v>
      </c>
      <c r="E111" s="528">
        <v>0.9916</v>
      </c>
      <c r="F111" s="528">
        <v>0.9916</v>
      </c>
      <c r="G111" s="528">
        <v>0.9916</v>
      </c>
      <c r="H111" s="528">
        <v>0.9916</v>
      </c>
      <c r="I111" s="528">
        <v>0.9154</v>
      </c>
      <c r="J111" s="528">
        <v>0.9154</v>
      </c>
      <c r="K111" s="528">
        <v>0.9154</v>
      </c>
      <c r="L111" s="528">
        <v>0.9154</v>
      </c>
      <c r="M111" s="529">
        <v>0.9154</v>
      </c>
    </row>
    <row r="112" spans="1:14">
      <c r="A112" s="531">
        <v>2.7</v>
      </c>
      <c r="B112" s="528">
        <v>1.0413</v>
      </c>
      <c r="C112" s="528">
        <v>1.0413</v>
      </c>
      <c r="D112" s="528">
        <v>0.9837</v>
      </c>
      <c r="E112" s="528">
        <v>0.9837</v>
      </c>
      <c r="F112" s="528">
        <v>0.9837</v>
      </c>
      <c r="G112" s="528">
        <v>0.9837</v>
      </c>
      <c r="H112" s="528">
        <v>0.9837</v>
      </c>
      <c r="I112" s="528">
        <v>0.9043</v>
      </c>
      <c r="J112" s="528">
        <v>0.9043</v>
      </c>
      <c r="K112" s="528">
        <v>0.9043</v>
      </c>
      <c r="L112" s="528">
        <v>0.9043</v>
      </c>
      <c r="M112" s="529">
        <v>0.9043</v>
      </c>
    </row>
    <row r="113" spans="1:13">
      <c r="A113" s="531">
        <v>2.8</v>
      </c>
      <c r="B113" s="528">
        <v>1.0348</v>
      </c>
      <c r="C113" s="528">
        <v>1.0348</v>
      </c>
      <c r="D113" s="528">
        <v>0.9764</v>
      </c>
      <c r="E113" s="528">
        <v>0.9764</v>
      </c>
      <c r="F113" s="528">
        <v>0.9764</v>
      </c>
      <c r="G113" s="528">
        <v>0.9764</v>
      </c>
      <c r="H113" s="528">
        <v>0.9764</v>
      </c>
      <c r="I113" s="528">
        <v>0.8937</v>
      </c>
      <c r="J113" s="528">
        <v>0.8937</v>
      </c>
      <c r="K113" s="528">
        <v>0.8937</v>
      </c>
      <c r="L113" s="528">
        <v>0.8937</v>
      </c>
      <c r="M113" s="529">
        <v>0.8937</v>
      </c>
    </row>
    <row r="114" spans="1:13">
      <c r="A114" s="531">
        <v>2.9</v>
      </c>
      <c r="B114" s="528">
        <v>1.0287</v>
      </c>
      <c r="C114" s="528">
        <v>1.0287</v>
      </c>
      <c r="D114" s="528">
        <v>0.9695</v>
      </c>
      <c r="E114" s="528">
        <v>0.9695</v>
      </c>
      <c r="F114" s="528">
        <v>0.9695</v>
      </c>
      <c r="G114" s="528">
        <v>0.9695</v>
      </c>
      <c r="H114" s="528">
        <v>0.9695</v>
      </c>
      <c r="I114" s="528">
        <v>0.8839</v>
      </c>
      <c r="J114" s="528">
        <v>0.8839</v>
      </c>
      <c r="K114" s="528">
        <v>0.8839</v>
      </c>
      <c r="L114" s="528">
        <v>0.8839</v>
      </c>
      <c r="M114" s="529">
        <v>0.8839</v>
      </c>
    </row>
    <row r="115" spans="1:13">
      <c r="A115" s="531">
        <v>3</v>
      </c>
      <c r="B115" s="528">
        <v>1.023</v>
      </c>
      <c r="C115" s="528">
        <v>1.023</v>
      </c>
      <c r="D115" s="528">
        <v>0.9631</v>
      </c>
      <c r="E115" s="528">
        <v>0.9631</v>
      </c>
      <c r="F115" s="528">
        <v>0.9631</v>
      </c>
      <c r="G115" s="528">
        <v>0.9631</v>
      </c>
      <c r="H115" s="528">
        <v>0.9631</v>
      </c>
      <c r="I115" s="528">
        <v>0.8746</v>
      </c>
      <c r="J115" s="528">
        <v>0.8746</v>
      </c>
      <c r="K115" s="528">
        <v>0.8746</v>
      </c>
      <c r="L115" s="528">
        <v>0.8746</v>
      </c>
      <c r="M115" s="529">
        <v>0.8746</v>
      </c>
    </row>
    <row r="116" spans="1:13">
      <c r="A116" s="531">
        <v>3.1</v>
      </c>
      <c r="B116" s="528">
        <v>1.0177</v>
      </c>
      <c r="C116" s="528">
        <v>1.0177</v>
      </c>
      <c r="D116" s="528">
        <v>0.9571</v>
      </c>
      <c r="E116" s="528">
        <v>0.9571</v>
      </c>
      <c r="F116" s="528">
        <v>0.9571</v>
      </c>
      <c r="G116" s="528">
        <v>0.9571</v>
      </c>
      <c r="H116" s="528">
        <v>0.9571</v>
      </c>
      <c r="I116" s="528">
        <v>0.8659</v>
      </c>
      <c r="J116" s="528">
        <v>0.8659</v>
      </c>
      <c r="K116" s="528">
        <v>0.8659</v>
      </c>
      <c r="L116" s="528">
        <v>0.8659</v>
      </c>
      <c r="M116" s="529">
        <v>0.8659</v>
      </c>
    </row>
    <row r="117" spans="1:13">
      <c r="A117" s="531">
        <v>3.2</v>
      </c>
      <c r="B117" s="528">
        <v>1.0128</v>
      </c>
      <c r="C117" s="528">
        <v>1.0128</v>
      </c>
      <c r="D117" s="528">
        <v>0.9516</v>
      </c>
      <c r="E117" s="528">
        <v>0.9516</v>
      </c>
      <c r="F117" s="528">
        <v>0.9516</v>
      </c>
      <c r="G117" s="528">
        <v>0.9516</v>
      </c>
      <c r="H117" s="528">
        <v>0.9516</v>
      </c>
      <c r="I117" s="528">
        <v>0.8578</v>
      </c>
      <c r="J117" s="528">
        <v>0.8578</v>
      </c>
      <c r="K117" s="528">
        <v>0.8578</v>
      </c>
      <c r="L117" s="528">
        <v>0.8578</v>
      </c>
      <c r="M117" s="529">
        <v>0.8578</v>
      </c>
    </row>
    <row r="118" spans="1:13">
      <c r="A118" s="531">
        <v>3.3</v>
      </c>
      <c r="B118" s="528">
        <v>1.0082</v>
      </c>
      <c r="C118" s="528">
        <v>1.0082</v>
      </c>
      <c r="D118" s="528">
        <v>0.9464</v>
      </c>
      <c r="E118" s="528">
        <v>0.9464</v>
      </c>
      <c r="F118" s="528">
        <v>0.9464</v>
      </c>
      <c r="G118" s="528">
        <v>0.9464</v>
      </c>
      <c r="H118" s="528">
        <v>0.9464</v>
      </c>
      <c r="I118" s="528">
        <v>0.8503</v>
      </c>
      <c r="J118" s="528">
        <v>0.8503</v>
      </c>
      <c r="K118" s="528">
        <v>0.8503</v>
      </c>
      <c r="L118" s="528">
        <v>0.8503</v>
      </c>
      <c r="M118" s="529">
        <v>0.8503</v>
      </c>
    </row>
    <row r="119" spans="1:13">
      <c r="A119" s="531">
        <v>3.4</v>
      </c>
      <c r="B119" s="528">
        <v>1.004</v>
      </c>
      <c r="C119" s="528">
        <v>1.004</v>
      </c>
      <c r="D119" s="528">
        <v>0.9415</v>
      </c>
      <c r="E119" s="528">
        <v>0.9415</v>
      </c>
      <c r="F119" s="528">
        <v>0.9415</v>
      </c>
      <c r="G119" s="528">
        <v>0.9415</v>
      </c>
      <c r="H119" s="528">
        <v>0.9415</v>
      </c>
      <c r="I119" s="528">
        <v>0.8432</v>
      </c>
      <c r="J119" s="528">
        <v>0.8432</v>
      </c>
      <c r="K119" s="528">
        <v>0.8432</v>
      </c>
      <c r="L119" s="528">
        <v>0.8432</v>
      </c>
      <c r="M119" s="529">
        <v>0.8432</v>
      </c>
    </row>
    <row r="120" spans="1:13">
      <c r="A120" s="531">
        <v>3.5</v>
      </c>
      <c r="B120" s="528">
        <v>1</v>
      </c>
      <c r="C120" s="528">
        <v>1</v>
      </c>
      <c r="D120" s="528">
        <v>0.937</v>
      </c>
      <c r="E120" s="528">
        <v>0.937</v>
      </c>
      <c r="F120" s="528">
        <v>0.937</v>
      </c>
      <c r="G120" s="528">
        <v>0.937</v>
      </c>
      <c r="H120" s="528">
        <v>0.937</v>
      </c>
      <c r="I120" s="528">
        <v>0.8366</v>
      </c>
      <c r="J120" s="528">
        <v>0.8366</v>
      </c>
      <c r="K120" s="528">
        <v>0.8366</v>
      </c>
      <c r="L120" s="528">
        <v>0.8366</v>
      </c>
      <c r="M120" s="529">
        <v>0.8366</v>
      </c>
    </row>
    <row r="121" spans="1:13">
      <c r="A121" s="531">
        <v>3.6</v>
      </c>
      <c r="B121" s="528">
        <v>0.9963</v>
      </c>
      <c r="C121" s="528">
        <v>0.9963</v>
      </c>
      <c r="D121" s="528">
        <v>0.9328</v>
      </c>
      <c r="E121" s="528">
        <v>0.9328</v>
      </c>
      <c r="F121" s="528">
        <v>0.9328</v>
      </c>
      <c r="G121" s="528">
        <v>0.9328</v>
      </c>
      <c r="H121" s="528">
        <v>0.9328</v>
      </c>
      <c r="I121" s="528">
        <v>0.8304</v>
      </c>
      <c r="J121" s="528">
        <v>0.8304</v>
      </c>
      <c r="K121" s="528">
        <v>0.8304</v>
      </c>
      <c r="L121" s="528">
        <v>0.8304</v>
      </c>
      <c r="M121" s="529">
        <v>0.8304</v>
      </c>
    </row>
    <row r="122" spans="1:13">
      <c r="A122" s="531">
        <v>3.7</v>
      </c>
      <c r="B122" s="528">
        <v>0.9929</v>
      </c>
      <c r="C122" s="528">
        <v>0.9929</v>
      </c>
      <c r="D122" s="528">
        <v>0.9288</v>
      </c>
      <c r="E122" s="528">
        <v>0.9288</v>
      </c>
      <c r="F122" s="528">
        <v>0.9288</v>
      </c>
      <c r="G122" s="528">
        <v>0.9288</v>
      </c>
      <c r="H122" s="528">
        <v>0.9288</v>
      </c>
      <c r="I122" s="528">
        <v>0.8246</v>
      </c>
      <c r="J122" s="528">
        <v>0.8246</v>
      </c>
      <c r="K122" s="528">
        <v>0.8246</v>
      </c>
      <c r="L122" s="528">
        <v>0.8246</v>
      </c>
      <c r="M122" s="529">
        <v>0.8246</v>
      </c>
    </row>
    <row r="123" spans="1:13">
      <c r="A123" s="531">
        <v>3.8</v>
      </c>
      <c r="B123" s="528">
        <v>0.9897</v>
      </c>
      <c r="C123" s="528">
        <v>0.9897</v>
      </c>
      <c r="D123" s="528">
        <v>0.9252</v>
      </c>
      <c r="E123" s="528">
        <v>0.9252</v>
      </c>
      <c r="F123" s="528">
        <v>0.9252</v>
      </c>
      <c r="G123" s="528">
        <v>0.9252</v>
      </c>
      <c r="H123" s="528">
        <v>0.9252</v>
      </c>
      <c r="I123" s="528">
        <v>0.8192</v>
      </c>
      <c r="J123" s="528">
        <v>0.8192</v>
      </c>
      <c r="K123" s="528">
        <v>0.8192</v>
      </c>
      <c r="L123" s="528">
        <v>0.8192</v>
      </c>
      <c r="M123" s="529">
        <v>0.8192</v>
      </c>
    </row>
    <row r="124" spans="1:13">
      <c r="A124" s="531">
        <v>3.9</v>
      </c>
      <c r="B124" s="528">
        <v>0.9867</v>
      </c>
      <c r="C124" s="528">
        <v>0.9867</v>
      </c>
      <c r="D124" s="528">
        <v>0.9218</v>
      </c>
      <c r="E124" s="528">
        <v>0.9218</v>
      </c>
      <c r="F124" s="528">
        <v>0.9218</v>
      </c>
      <c r="G124" s="528">
        <v>0.9218</v>
      </c>
      <c r="H124" s="528">
        <v>0.9218</v>
      </c>
      <c r="I124" s="528">
        <v>0.8141</v>
      </c>
      <c r="J124" s="528">
        <v>0.8141</v>
      </c>
      <c r="K124" s="528">
        <v>0.8141</v>
      </c>
      <c r="L124" s="528">
        <v>0.8141</v>
      </c>
      <c r="M124" s="529">
        <v>0.8141</v>
      </c>
    </row>
    <row r="125" spans="1:13">
      <c r="A125" s="531">
        <v>4</v>
      </c>
      <c r="B125" s="528">
        <v>0.9838</v>
      </c>
      <c r="C125" s="528">
        <v>0.9838</v>
      </c>
      <c r="D125" s="528">
        <v>0.9186</v>
      </c>
      <c r="E125" s="528">
        <v>0.9186</v>
      </c>
      <c r="F125" s="528">
        <v>0.9186</v>
      </c>
      <c r="G125" s="528">
        <v>0.9186</v>
      </c>
      <c r="H125" s="528">
        <v>0.9186</v>
      </c>
      <c r="I125" s="528">
        <v>0.8094</v>
      </c>
      <c r="J125" s="528">
        <v>0.8094</v>
      </c>
      <c r="K125" s="528">
        <v>0.8094</v>
      </c>
      <c r="L125" s="528">
        <v>0.8094</v>
      </c>
      <c r="M125" s="529">
        <v>0.8094</v>
      </c>
    </row>
    <row r="126" spans="1:13">
      <c r="A126" s="531">
        <v>4.1</v>
      </c>
      <c r="B126" s="528">
        <v>0.981</v>
      </c>
      <c r="C126" s="528">
        <v>0.981</v>
      </c>
      <c r="D126" s="528">
        <v>0.9156</v>
      </c>
      <c r="E126" s="528">
        <v>0.9156</v>
      </c>
      <c r="F126" s="528">
        <v>0.9156</v>
      </c>
      <c r="G126" s="528">
        <v>0.9156</v>
      </c>
      <c r="H126" s="528">
        <v>0.9156</v>
      </c>
      <c r="I126" s="528">
        <v>0.8049</v>
      </c>
      <c r="J126" s="528">
        <v>0.8049</v>
      </c>
      <c r="K126" s="528">
        <v>0.8049</v>
      </c>
      <c r="L126" s="528">
        <v>0.8049</v>
      </c>
      <c r="M126" s="529">
        <v>0.8049</v>
      </c>
    </row>
    <row r="127" spans="1:13">
      <c r="A127" s="531">
        <v>4.2</v>
      </c>
      <c r="B127" s="528">
        <v>0.9783</v>
      </c>
      <c r="C127" s="528">
        <v>0.9783</v>
      </c>
      <c r="D127" s="528">
        <v>0.9127</v>
      </c>
      <c r="E127" s="528">
        <v>0.9127</v>
      </c>
      <c r="F127" s="528">
        <v>0.9127</v>
      </c>
      <c r="G127" s="528">
        <v>0.9127</v>
      </c>
      <c r="H127" s="528">
        <v>0.9127</v>
      </c>
      <c r="I127" s="528">
        <v>0.8006</v>
      </c>
      <c r="J127" s="528">
        <v>0.8006</v>
      </c>
      <c r="K127" s="528">
        <v>0.8006</v>
      </c>
      <c r="L127" s="528">
        <v>0.8006</v>
      </c>
      <c r="M127" s="529">
        <v>0.8006</v>
      </c>
    </row>
    <row r="128" spans="1:13">
      <c r="A128" s="531">
        <v>4.3</v>
      </c>
      <c r="B128" s="528">
        <v>0.9757</v>
      </c>
      <c r="C128" s="528">
        <v>0.9757</v>
      </c>
      <c r="D128" s="528">
        <v>0.9099</v>
      </c>
      <c r="E128" s="528">
        <v>0.9099</v>
      </c>
      <c r="F128" s="528">
        <v>0.9099</v>
      </c>
      <c r="G128" s="528">
        <v>0.9099</v>
      </c>
      <c r="H128" s="528">
        <v>0.9099</v>
      </c>
      <c r="I128" s="528">
        <v>0.7965</v>
      </c>
      <c r="J128" s="528">
        <v>0.7965</v>
      </c>
      <c r="K128" s="528">
        <v>0.7965</v>
      </c>
      <c r="L128" s="528">
        <v>0.7965</v>
      </c>
      <c r="M128" s="529">
        <v>0.7965</v>
      </c>
    </row>
    <row r="129" spans="1:13">
      <c r="A129" s="531">
        <v>4.4</v>
      </c>
      <c r="B129" s="528">
        <v>0.9732</v>
      </c>
      <c r="C129" s="528">
        <v>0.9732</v>
      </c>
      <c r="D129" s="528">
        <v>0.9072</v>
      </c>
      <c r="E129" s="528">
        <v>0.9072</v>
      </c>
      <c r="F129" s="528">
        <v>0.9072</v>
      </c>
      <c r="G129" s="528">
        <v>0.9072</v>
      </c>
      <c r="H129" s="528">
        <v>0.9072</v>
      </c>
      <c r="I129" s="528">
        <v>0.7926</v>
      </c>
      <c r="J129" s="528">
        <v>0.7926</v>
      </c>
      <c r="K129" s="528">
        <v>0.7926</v>
      </c>
      <c r="L129" s="528">
        <v>0.7926</v>
      </c>
      <c r="M129" s="529">
        <v>0.7926</v>
      </c>
    </row>
    <row r="130" spans="1:13">
      <c r="A130" s="531">
        <v>4.5</v>
      </c>
      <c r="B130" s="528">
        <v>0.9708</v>
      </c>
      <c r="C130" s="528">
        <v>0.9708</v>
      </c>
      <c r="D130" s="528">
        <v>0.9046</v>
      </c>
      <c r="E130" s="528">
        <v>0.9046</v>
      </c>
      <c r="F130" s="528">
        <v>0.9046</v>
      </c>
      <c r="G130" s="528">
        <v>0.9046</v>
      </c>
      <c r="H130" s="528">
        <v>0.9046</v>
      </c>
      <c r="I130" s="528">
        <v>0.7889</v>
      </c>
      <c r="J130" s="528">
        <v>0.7889</v>
      </c>
      <c r="K130" s="528">
        <v>0.7889</v>
      </c>
      <c r="L130" s="528">
        <v>0.7889</v>
      </c>
      <c r="M130" s="529">
        <v>0.7889</v>
      </c>
    </row>
    <row r="131" spans="1:13">
      <c r="A131" s="531">
        <v>4.6</v>
      </c>
      <c r="B131" s="528">
        <v>0.9685</v>
      </c>
      <c r="C131" s="528">
        <v>0.9685</v>
      </c>
      <c r="D131" s="528">
        <v>0.9021</v>
      </c>
      <c r="E131" s="528">
        <v>0.9021</v>
      </c>
      <c r="F131" s="528">
        <v>0.9021</v>
      </c>
      <c r="G131" s="528">
        <v>0.9021</v>
      </c>
      <c r="H131" s="528">
        <v>0.9021</v>
      </c>
      <c r="I131" s="528">
        <v>0.7854</v>
      </c>
      <c r="J131" s="528">
        <v>0.7854</v>
      </c>
      <c r="K131" s="528">
        <v>0.7854</v>
      </c>
      <c r="L131" s="528">
        <v>0.7854</v>
      </c>
      <c r="M131" s="529">
        <v>0.7854</v>
      </c>
    </row>
    <row r="132" spans="1:13">
      <c r="A132" s="531">
        <v>4.7</v>
      </c>
      <c r="B132" s="528">
        <v>0.9663</v>
      </c>
      <c r="C132" s="528">
        <v>0.9663</v>
      </c>
      <c r="D132" s="528">
        <v>0.8996</v>
      </c>
      <c r="E132" s="528">
        <v>0.8996</v>
      </c>
      <c r="F132" s="528">
        <v>0.8996</v>
      </c>
      <c r="G132" s="528">
        <v>0.8996</v>
      </c>
      <c r="H132" s="528">
        <v>0.8996</v>
      </c>
      <c r="I132" s="528">
        <v>0.7821</v>
      </c>
      <c r="J132" s="528">
        <v>0.7821</v>
      </c>
      <c r="K132" s="528">
        <v>0.7821</v>
      </c>
      <c r="L132" s="528">
        <v>0.7821</v>
      </c>
      <c r="M132" s="529">
        <v>0.7821</v>
      </c>
    </row>
    <row r="133" spans="1:13">
      <c r="A133" s="531">
        <v>4.8</v>
      </c>
      <c r="B133" s="528">
        <v>0.9641</v>
      </c>
      <c r="C133" s="528">
        <v>0.9641</v>
      </c>
      <c r="D133" s="528">
        <v>0.8972</v>
      </c>
      <c r="E133" s="528">
        <v>0.8972</v>
      </c>
      <c r="F133" s="528">
        <v>0.8972</v>
      </c>
      <c r="G133" s="528">
        <v>0.8972</v>
      </c>
      <c r="H133" s="528">
        <v>0.8972</v>
      </c>
      <c r="I133" s="528">
        <v>0.7789</v>
      </c>
      <c r="J133" s="528">
        <v>0.7789</v>
      </c>
      <c r="K133" s="528">
        <v>0.7789</v>
      </c>
      <c r="L133" s="528">
        <v>0.7789</v>
      </c>
      <c r="M133" s="529">
        <v>0.7789</v>
      </c>
    </row>
    <row r="134" spans="1:13">
      <c r="A134" s="531">
        <v>4.9</v>
      </c>
      <c r="B134" s="528">
        <v>0.962</v>
      </c>
      <c r="C134" s="528">
        <v>0.962</v>
      </c>
      <c r="D134" s="528">
        <v>0.8948</v>
      </c>
      <c r="E134" s="528">
        <v>0.8948</v>
      </c>
      <c r="F134" s="528">
        <v>0.8948</v>
      </c>
      <c r="G134" s="528">
        <v>0.8948</v>
      </c>
      <c r="H134" s="528">
        <v>0.8948</v>
      </c>
      <c r="I134" s="528">
        <v>0.7758</v>
      </c>
      <c r="J134" s="528">
        <v>0.7758</v>
      </c>
      <c r="K134" s="528">
        <v>0.7758</v>
      </c>
      <c r="L134" s="528">
        <v>0.7758</v>
      </c>
      <c r="M134" s="529">
        <v>0.7758</v>
      </c>
    </row>
    <row r="135" spans="1:13">
      <c r="A135" s="531">
        <v>5</v>
      </c>
      <c r="B135" s="528">
        <v>0.9599</v>
      </c>
      <c r="C135" s="528">
        <v>0.9599</v>
      </c>
      <c r="D135" s="528">
        <v>0.8924</v>
      </c>
      <c r="E135" s="528">
        <v>0.8924</v>
      </c>
      <c r="F135" s="528">
        <v>0.8924</v>
      </c>
      <c r="G135" s="528">
        <v>0.8924</v>
      </c>
      <c r="H135" s="528">
        <v>0.8924</v>
      </c>
      <c r="I135" s="528">
        <v>0.7728</v>
      </c>
      <c r="J135" s="528">
        <v>0.7728</v>
      </c>
      <c r="K135" s="528">
        <v>0.7728</v>
      </c>
      <c r="L135" s="528">
        <v>0.7728</v>
      </c>
      <c r="M135" s="529">
        <v>0.7728</v>
      </c>
    </row>
    <row r="136" spans="1:13">
      <c r="A136" s="527">
        <v>5.1</v>
      </c>
      <c r="B136" s="528">
        <v>0.9578</v>
      </c>
      <c r="C136" s="528">
        <v>0.9578</v>
      </c>
      <c r="D136" s="528">
        <v>0.8901</v>
      </c>
      <c r="E136" s="528">
        <v>0.8901</v>
      </c>
      <c r="F136" s="528">
        <v>0.8901</v>
      </c>
      <c r="G136" s="528">
        <v>0.8901</v>
      </c>
      <c r="H136" s="528">
        <v>0.8901</v>
      </c>
      <c r="I136" s="528">
        <v>0.7699</v>
      </c>
      <c r="J136" s="528">
        <v>0.7699</v>
      </c>
      <c r="K136" s="528">
        <v>0.7699</v>
      </c>
      <c r="L136" s="528">
        <v>0.7699</v>
      </c>
      <c r="M136" s="529">
        <v>0.7699</v>
      </c>
    </row>
    <row r="137" spans="1:13">
      <c r="A137" s="527">
        <v>5.2</v>
      </c>
      <c r="B137" s="528">
        <v>0.9558</v>
      </c>
      <c r="C137" s="528">
        <v>0.9558</v>
      </c>
      <c r="D137" s="528">
        <v>0.8878</v>
      </c>
      <c r="E137" s="528">
        <v>0.8878</v>
      </c>
      <c r="F137" s="528">
        <v>0.8878</v>
      </c>
      <c r="G137" s="528">
        <v>0.8878</v>
      </c>
      <c r="H137" s="528">
        <v>0.8878</v>
      </c>
      <c r="I137" s="528">
        <v>0.767</v>
      </c>
      <c r="J137" s="528">
        <v>0.767</v>
      </c>
      <c r="K137" s="528">
        <v>0.767</v>
      </c>
      <c r="L137" s="528">
        <v>0.767</v>
      </c>
      <c r="M137" s="529">
        <v>0.767</v>
      </c>
    </row>
    <row r="138" spans="1:13">
      <c r="A138" s="527">
        <v>5.3</v>
      </c>
      <c r="B138" s="528">
        <v>0.9538</v>
      </c>
      <c r="C138" s="528">
        <v>0.9538</v>
      </c>
      <c r="D138" s="528">
        <v>0.8855</v>
      </c>
      <c r="E138" s="528">
        <v>0.8855</v>
      </c>
      <c r="F138" s="528">
        <v>0.8855</v>
      </c>
      <c r="G138" s="528">
        <v>0.8855</v>
      </c>
      <c r="H138" s="528">
        <v>0.8855</v>
      </c>
      <c r="I138" s="528">
        <v>0.7642</v>
      </c>
      <c r="J138" s="528">
        <v>0.7642</v>
      </c>
      <c r="K138" s="528">
        <v>0.7642</v>
      </c>
      <c r="L138" s="528">
        <v>0.7642</v>
      </c>
      <c r="M138" s="529">
        <v>0.7642</v>
      </c>
    </row>
    <row r="139" spans="1:13">
      <c r="A139" s="527">
        <v>5.4</v>
      </c>
      <c r="B139" s="528">
        <v>0.9518</v>
      </c>
      <c r="C139" s="528">
        <v>0.9518</v>
      </c>
      <c r="D139" s="528">
        <v>0.8833</v>
      </c>
      <c r="E139" s="528">
        <v>0.8833</v>
      </c>
      <c r="F139" s="528">
        <v>0.8833</v>
      </c>
      <c r="G139" s="528">
        <v>0.8833</v>
      </c>
      <c r="H139" s="528">
        <v>0.8833</v>
      </c>
      <c r="I139" s="528">
        <v>0.7614</v>
      </c>
      <c r="J139" s="528">
        <v>0.7614</v>
      </c>
      <c r="K139" s="528">
        <v>0.7614</v>
      </c>
      <c r="L139" s="528">
        <v>0.7614</v>
      </c>
      <c r="M139" s="529">
        <v>0.7614</v>
      </c>
    </row>
    <row r="140" spans="1:13">
      <c r="A140" s="527">
        <v>5.5</v>
      </c>
      <c r="B140" s="528">
        <v>0.9498</v>
      </c>
      <c r="C140" s="528">
        <v>0.9498</v>
      </c>
      <c r="D140" s="528">
        <v>0.8811</v>
      </c>
      <c r="E140" s="528">
        <v>0.8811</v>
      </c>
      <c r="F140" s="528">
        <v>0.8811</v>
      </c>
      <c r="G140" s="528">
        <v>0.8811</v>
      </c>
      <c r="H140" s="528">
        <v>0.8811</v>
      </c>
      <c r="I140" s="528">
        <v>0.7586</v>
      </c>
      <c r="J140" s="528">
        <v>0.7586</v>
      </c>
      <c r="K140" s="528">
        <v>0.7586</v>
      </c>
      <c r="L140" s="528">
        <v>0.7586</v>
      </c>
      <c r="M140" s="529">
        <v>0.7586</v>
      </c>
    </row>
    <row r="141" spans="1:13">
      <c r="A141" s="527">
        <v>5.6</v>
      </c>
      <c r="B141" s="528">
        <v>0.9479</v>
      </c>
      <c r="C141" s="528">
        <v>0.9479</v>
      </c>
      <c r="D141" s="528">
        <v>0.8789</v>
      </c>
      <c r="E141" s="528">
        <v>0.8789</v>
      </c>
      <c r="F141" s="528">
        <v>0.8789</v>
      </c>
      <c r="G141" s="528">
        <v>0.8789</v>
      </c>
      <c r="H141" s="528">
        <v>0.8789</v>
      </c>
      <c r="I141" s="528">
        <v>0.7559</v>
      </c>
      <c r="J141" s="528">
        <v>0.7559</v>
      </c>
      <c r="K141" s="528">
        <v>0.7559</v>
      </c>
      <c r="L141" s="528">
        <v>0.7559</v>
      </c>
      <c r="M141" s="529">
        <v>0.7559</v>
      </c>
    </row>
    <row r="142" spans="1:13">
      <c r="A142" s="531">
        <v>5.7</v>
      </c>
      <c r="B142" s="528">
        <v>0.946</v>
      </c>
      <c r="C142" s="528">
        <v>0.946</v>
      </c>
      <c r="D142" s="528">
        <v>0.8767</v>
      </c>
      <c r="E142" s="528">
        <v>0.8767</v>
      </c>
      <c r="F142" s="528">
        <v>0.8767</v>
      </c>
      <c r="G142" s="528">
        <v>0.8767</v>
      </c>
      <c r="H142" s="528">
        <v>0.8767</v>
      </c>
      <c r="I142" s="528">
        <v>0.7532</v>
      </c>
      <c r="J142" s="528">
        <v>0.7532</v>
      </c>
      <c r="K142" s="528">
        <v>0.7532</v>
      </c>
      <c r="L142" s="528">
        <v>0.7532</v>
      </c>
      <c r="M142" s="529">
        <v>0.7532</v>
      </c>
    </row>
    <row r="143" spans="1:13">
      <c r="A143" s="527">
        <v>5.8</v>
      </c>
      <c r="B143" s="528">
        <v>0.9441</v>
      </c>
      <c r="C143" s="528">
        <v>0.9441</v>
      </c>
      <c r="D143" s="528">
        <v>0.8746</v>
      </c>
      <c r="E143" s="528">
        <v>0.8746</v>
      </c>
      <c r="F143" s="528">
        <v>0.8746</v>
      </c>
      <c r="G143" s="528">
        <v>0.8746</v>
      </c>
      <c r="H143" s="528">
        <v>0.8746</v>
      </c>
      <c r="I143" s="528">
        <v>0.7505</v>
      </c>
      <c r="J143" s="528">
        <v>0.7505</v>
      </c>
      <c r="K143" s="528">
        <v>0.7505</v>
      </c>
      <c r="L143" s="528">
        <v>0.7505</v>
      </c>
      <c r="M143" s="529">
        <v>0.7505</v>
      </c>
    </row>
    <row r="144" spans="1:13">
      <c r="A144" s="527">
        <v>5.9</v>
      </c>
      <c r="B144" s="528">
        <v>0.9422</v>
      </c>
      <c r="C144" s="528">
        <v>0.9422</v>
      </c>
      <c r="D144" s="528">
        <v>0.8725</v>
      </c>
      <c r="E144" s="528">
        <v>0.8725</v>
      </c>
      <c r="F144" s="528">
        <v>0.8725</v>
      </c>
      <c r="G144" s="528">
        <v>0.8725</v>
      </c>
      <c r="H144" s="528">
        <v>0.8725</v>
      </c>
      <c r="I144" s="528">
        <v>0.7478</v>
      </c>
      <c r="J144" s="528">
        <v>0.7478</v>
      </c>
      <c r="K144" s="528">
        <v>0.7478</v>
      </c>
      <c r="L144" s="528">
        <v>0.7478</v>
      </c>
      <c r="M144" s="529">
        <v>0.7478</v>
      </c>
    </row>
    <row r="145" spans="1:13">
      <c r="A145" s="527">
        <v>6</v>
      </c>
      <c r="B145" s="528">
        <v>0.9404</v>
      </c>
      <c r="C145" s="528">
        <v>0.9404</v>
      </c>
      <c r="D145" s="528">
        <v>0.8704</v>
      </c>
      <c r="E145" s="528">
        <v>0.8704</v>
      </c>
      <c r="F145" s="528">
        <v>0.8704</v>
      </c>
      <c r="G145" s="528">
        <v>0.8704</v>
      </c>
      <c r="H145" s="528">
        <v>0.8704</v>
      </c>
      <c r="I145" s="528">
        <v>0.7452</v>
      </c>
      <c r="J145" s="528">
        <v>0.7452</v>
      </c>
      <c r="K145" s="528">
        <v>0.7452</v>
      </c>
      <c r="L145" s="528">
        <v>0.7452</v>
      </c>
      <c r="M145" s="529">
        <v>0.7452</v>
      </c>
    </row>
    <row r="146" spans="1:13">
      <c r="A146" s="527">
        <v>6.1</v>
      </c>
      <c r="B146" s="528">
        <v>0.9386</v>
      </c>
      <c r="C146" s="528">
        <v>0.9386</v>
      </c>
      <c r="D146" s="528">
        <v>0.8683</v>
      </c>
      <c r="E146" s="528">
        <v>0.8683</v>
      </c>
      <c r="F146" s="528">
        <v>0.8683</v>
      </c>
      <c r="G146" s="528">
        <v>0.8683</v>
      </c>
      <c r="H146" s="528">
        <v>0.8683</v>
      </c>
      <c r="I146" s="528">
        <v>0.7426</v>
      </c>
      <c r="J146" s="528">
        <v>0.7426</v>
      </c>
      <c r="K146" s="528">
        <v>0.7426</v>
      </c>
      <c r="L146" s="528">
        <v>0.7426</v>
      </c>
      <c r="M146" s="529">
        <v>0.7426</v>
      </c>
    </row>
    <row r="147" spans="1:13">
      <c r="A147" s="527">
        <v>6.2</v>
      </c>
      <c r="B147" s="528">
        <v>0.9368</v>
      </c>
      <c r="C147" s="528">
        <v>0.9368</v>
      </c>
      <c r="D147" s="528">
        <v>0.8662</v>
      </c>
      <c r="E147" s="528">
        <v>0.8662</v>
      </c>
      <c r="F147" s="528">
        <v>0.8662</v>
      </c>
      <c r="G147" s="528">
        <v>0.8662</v>
      </c>
      <c r="H147" s="528">
        <v>0.8662</v>
      </c>
      <c r="I147" s="528">
        <v>0.74</v>
      </c>
      <c r="J147" s="528">
        <v>0.74</v>
      </c>
      <c r="K147" s="528">
        <v>0.74</v>
      </c>
      <c r="L147" s="528">
        <v>0.74</v>
      </c>
      <c r="M147" s="529">
        <v>0.74</v>
      </c>
    </row>
    <row r="148" spans="1:13">
      <c r="A148" s="527">
        <v>6.3</v>
      </c>
      <c r="B148" s="528">
        <v>0.935</v>
      </c>
      <c r="C148" s="528">
        <v>0.935</v>
      </c>
      <c r="D148" s="528">
        <v>0.8641</v>
      </c>
      <c r="E148" s="528">
        <v>0.8641</v>
      </c>
      <c r="F148" s="528">
        <v>0.8641</v>
      </c>
      <c r="G148" s="528">
        <v>0.8641</v>
      </c>
      <c r="H148" s="528">
        <v>0.8641</v>
      </c>
      <c r="I148" s="528">
        <v>0.7374</v>
      </c>
      <c r="J148" s="528">
        <v>0.7374</v>
      </c>
      <c r="K148" s="528">
        <v>0.7374</v>
      </c>
      <c r="L148" s="528">
        <v>0.7374</v>
      </c>
      <c r="M148" s="529">
        <v>0.7374</v>
      </c>
    </row>
    <row r="149" spans="1:13">
      <c r="A149" s="527">
        <v>6.4</v>
      </c>
      <c r="B149" s="528">
        <v>0.9332</v>
      </c>
      <c r="C149" s="528">
        <v>0.9332</v>
      </c>
      <c r="D149" s="528">
        <v>0.8621</v>
      </c>
      <c r="E149" s="528">
        <v>0.8621</v>
      </c>
      <c r="F149" s="528">
        <v>0.8621</v>
      </c>
      <c r="G149" s="528">
        <v>0.8621</v>
      </c>
      <c r="H149" s="528">
        <v>0.8621</v>
      </c>
      <c r="I149" s="528">
        <v>0.7348</v>
      </c>
      <c r="J149" s="528">
        <v>0.7348</v>
      </c>
      <c r="K149" s="528">
        <v>0.7348</v>
      </c>
      <c r="L149" s="528">
        <v>0.7348</v>
      </c>
      <c r="M149" s="529">
        <v>0.7348</v>
      </c>
    </row>
    <row r="150" spans="1:13">
      <c r="A150" s="527">
        <v>6.5</v>
      </c>
      <c r="B150" s="528">
        <v>0.9315</v>
      </c>
      <c r="C150" s="528">
        <v>0.9315</v>
      </c>
      <c r="D150" s="528">
        <v>0.8601</v>
      </c>
      <c r="E150" s="528">
        <v>0.8601</v>
      </c>
      <c r="F150" s="528">
        <v>0.8601</v>
      </c>
      <c r="G150" s="528">
        <v>0.8601</v>
      </c>
      <c r="H150" s="528">
        <v>0.8601</v>
      </c>
      <c r="I150" s="528">
        <v>0.7323</v>
      </c>
      <c r="J150" s="528">
        <v>0.7323</v>
      </c>
      <c r="K150" s="528">
        <v>0.7323</v>
      </c>
      <c r="L150" s="528">
        <v>0.7323</v>
      </c>
      <c r="M150" s="529">
        <v>0.7323</v>
      </c>
    </row>
    <row r="151" spans="1:13">
      <c r="A151" s="527">
        <v>6.6</v>
      </c>
      <c r="B151" s="528">
        <v>0.9298</v>
      </c>
      <c r="C151" s="528">
        <v>0.9298</v>
      </c>
      <c r="D151" s="528">
        <v>0.8581</v>
      </c>
      <c r="E151" s="528">
        <v>0.8581</v>
      </c>
      <c r="F151" s="528">
        <v>0.8581</v>
      </c>
      <c r="G151" s="528">
        <v>0.8581</v>
      </c>
      <c r="H151" s="528">
        <v>0.8581</v>
      </c>
      <c r="I151" s="528">
        <v>0.7298</v>
      </c>
      <c r="J151" s="528">
        <v>0.7298</v>
      </c>
      <c r="K151" s="528">
        <v>0.7298</v>
      </c>
      <c r="L151" s="528">
        <v>0.7298</v>
      </c>
      <c r="M151" s="529">
        <v>0.7298</v>
      </c>
    </row>
    <row r="152" spans="1:13">
      <c r="A152" s="527">
        <v>6.7</v>
      </c>
      <c r="B152" s="528">
        <v>0.9281</v>
      </c>
      <c r="C152" s="528">
        <v>0.9281</v>
      </c>
      <c r="D152" s="528">
        <v>0.8561</v>
      </c>
      <c r="E152" s="528">
        <v>0.8561</v>
      </c>
      <c r="F152" s="528">
        <v>0.8561</v>
      </c>
      <c r="G152" s="528">
        <v>0.8561</v>
      </c>
      <c r="H152" s="528">
        <v>0.8561</v>
      </c>
      <c r="I152" s="528">
        <v>0.7273</v>
      </c>
      <c r="J152" s="528">
        <v>0.7273</v>
      </c>
      <c r="K152" s="528">
        <v>0.7273</v>
      </c>
      <c r="L152" s="528">
        <v>0.7273</v>
      </c>
      <c r="M152" s="529">
        <v>0.7273</v>
      </c>
    </row>
    <row r="153" spans="1:13">
      <c r="A153" s="527">
        <v>6.8</v>
      </c>
      <c r="B153" s="528">
        <v>0.9264</v>
      </c>
      <c r="C153" s="528">
        <v>0.9264</v>
      </c>
      <c r="D153" s="528">
        <v>0.8541</v>
      </c>
      <c r="E153" s="528">
        <v>0.8541</v>
      </c>
      <c r="F153" s="528">
        <v>0.8541</v>
      </c>
      <c r="G153" s="528">
        <v>0.8541</v>
      </c>
      <c r="H153" s="528">
        <v>0.8541</v>
      </c>
      <c r="I153" s="528">
        <v>0.7248</v>
      </c>
      <c r="J153" s="528">
        <v>0.7248</v>
      </c>
      <c r="K153" s="528">
        <v>0.7248</v>
      </c>
      <c r="L153" s="528">
        <v>0.7248</v>
      </c>
      <c r="M153" s="529">
        <v>0.7248</v>
      </c>
    </row>
    <row r="154" spans="1:13">
      <c r="A154" s="527">
        <v>6.9</v>
      </c>
      <c r="B154" s="528">
        <v>0.9247</v>
      </c>
      <c r="C154" s="528">
        <v>0.9247</v>
      </c>
      <c r="D154" s="528">
        <v>0.8521</v>
      </c>
      <c r="E154" s="528">
        <v>0.8521</v>
      </c>
      <c r="F154" s="528">
        <v>0.8521</v>
      </c>
      <c r="G154" s="528">
        <v>0.8521</v>
      </c>
      <c r="H154" s="528">
        <v>0.8521</v>
      </c>
      <c r="I154" s="528">
        <v>0.7223</v>
      </c>
      <c r="J154" s="528">
        <v>0.7223</v>
      </c>
      <c r="K154" s="528">
        <v>0.7223</v>
      </c>
      <c r="L154" s="528">
        <v>0.7223</v>
      </c>
      <c r="M154" s="529">
        <v>0.7223</v>
      </c>
    </row>
    <row r="155" spans="1:13">
      <c r="A155" s="527">
        <v>7</v>
      </c>
      <c r="B155" s="528">
        <v>0.923</v>
      </c>
      <c r="C155" s="528">
        <v>0.923</v>
      </c>
      <c r="D155" s="528">
        <v>0.8502</v>
      </c>
      <c r="E155" s="528">
        <v>0.8502</v>
      </c>
      <c r="F155" s="528">
        <v>0.8502</v>
      </c>
      <c r="G155" s="528">
        <v>0.8502</v>
      </c>
      <c r="H155" s="528">
        <v>0.8502</v>
      </c>
      <c r="I155" s="528">
        <v>0.7199</v>
      </c>
      <c r="J155" s="528">
        <v>0.7199</v>
      </c>
      <c r="K155" s="528">
        <v>0.7199</v>
      </c>
      <c r="L155" s="528">
        <v>0.7199</v>
      </c>
      <c r="M155" s="529">
        <v>0.7199</v>
      </c>
    </row>
    <row r="156" spans="1:13">
      <c r="A156" s="527">
        <v>7.1</v>
      </c>
      <c r="B156" s="528">
        <v>0.9214</v>
      </c>
      <c r="C156" s="528">
        <v>0.9214</v>
      </c>
      <c r="D156" s="528">
        <v>0.8483</v>
      </c>
      <c r="E156" s="528">
        <v>0.8483</v>
      </c>
      <c r="F156" s="528">
        <v>0.8483</v>
      </c>
      <c r="G156" s="528">
        <v>0.8483</v>
      </c>
      <c r="H156" s="528">
        <v>0.8483</v>
      </c>
      <c r="I156" s="528">
        <v>0.7175</v>
      </c>
      <c r="J156" s="528">
        <v>0.7175</v>
      </c>
      <c r="K156" s="528">
        <v>0.7175</v>
      </c>
      <c r="L156" s="528">
        <v>0.7175</v>
      </c>
      <c r="M156" s="529">
        <v>0.7175</v>
      </c>
    </row>
    <row r="157" spans="1:13">
      <c r="A157" s="527">
        <v>7.2</v>
      </c>
      <c r="B157" s="528">
        <v>0.9198</v>
      </c>
      <c r="C157" s="528">
        <v>0.9198</v>
      </c>
      <c r="D157" s="528">
        <v>0.8464</v>
      </c>
      <c r="E157" s="528">
        <v>0.8464</v>
      </c>
      <c r="F157" s="528">
        <v>0.8464</v>
      </c>
      <c r="G157" s="528">
        <v>0.8464</v>
      </c>
      <c r="H157" s="528">
        <v>0.8464</v>
      </c>
      <c r="I157" s="528">
        <v>0.7151</v>
      </c>
      <c r="J157" s="528">
        <v>0.7151</v>
      </c>
      <c r="K157" s="528">
        <v>0.7151</v>
      </c>
      <c r="L157" s="528">
        <v>0.7151</v>
      </c>
      <c r="M157" s="529">
        <v>0.7151</v>
      </c>
    </row>
    <row r="158" spans="1:13">
      <c r="A158" s="527">
        <v>7.3</v>
      </c>
      <c r="B158" s="528">
        <v>0.9182</v>
      </c>
      <c r="C158" s="528">
        <v>0.9182</v>
      </c>
      <c r="D158" s="528">
        <v>0.8445</v>
      </c>
      <c r="E158" s="528">
        <v>0.8445</v>
      </c>
      <c r="F158" s="528">
        <v>0.8445</v>
      </c>
      <c r="G158" s="528">
        <v>0.8445</v>
      </c>
      <c r="H158" s="528">
        <v>0.8445</v>
      </c>
      <c r="I158" s="528">
        <v>0.7127</v>
      </c>
      <c r="J158" s="528">
        <v>0.7127</v>
      </c>
      <c r="K158" s="528">
        <v>0.7127</v>
      </c>
      <c r="L158" s="528">
        <v>0.7127</v>
      </c>
      <c r="M158" s="529">
        <v>0.7127</v>
      </c>
    </row>
    <row r="159" spans="1:13">
      <c r="A159" s="527">
        <v>7.4</v>
      </c>
      <c r="B159" s="528">
        <v>0.9166</v>
      </c>
      <c r="C159" s="528">
        <v>0.9166</v>
      </c>
      <c r="D159" s="528">
        <v>0.8426</v>
      </c>
      <c r="E159" s="528">
        <v>0.8426</v>
      </c>
      <c r="F159" s="528">
        <v>0.8426</v>
      </c>
      <c r="G159" s="528">
        <v>0.8426</v>
      </c>
      <c r="H159" s="528">
        <v>0.8426</v>
      </c>
      <c r="I159" s="528">
        <v>0.7103</v>
      </c>
      <c r="J159" s="528">
        <v>0.7103</v>
      </c>
      <c r="K159" s="528">
        <v>0.7103</v>
      </c>
      <c r="L159" s="528">
        <v>0.7103</v>
      </c>
      <c r="M159" s="529">
        <v>0.7103</v>
      </c>
    </row>
    <row r="160" spans="1:13">
      <c r="A160" s="527">
        <v>7.5</v>
      </c>
      <c r="B160" s="528">
        <v>0.915</v>
      </c>
      <c r="C160" s="528">
        <v>0.915</v>
      </c>
      <c r="D160" s="528">
        <v>0.8407</v>
      </c>
      <c r="E160" s="528">
        <v>0.8407</v>
      </c>
      <c r="F160" s="528">
        <v>0.8407</v>
      </c>
      <c r="G160" s="528">
        <v>0.8407</v>
      </c>
      <c r="H160" s="528">
        <v>0.8407</v>
      </c>
      <c r="I160" s="528">
        <v>0.708</v>
      </c>
      <c r="J160" s="528">
        <v>0.708</v>
      </c>
      <c r="K160" s="528">
        <v>0.708</v>
      </c>
      <c r="L160" s="528">
        <v>0.708</v>
      </c>
      <c r="M160" s="529">
        <v>0.708</v>
      </c>
    </row>
    <row r="161" spans="1:13">
      <c r="A161" s="527">
        <v>7.6</v>
      </c>
      <c r="B161" s="528">
        <v>0.9134</v>
      </c>
      <c r="C161" s="528">
        <v>0.9134</v>
      </c>
      <c r="D161" s="528">
        <v>0.8389</v>
      </c>
      <c r="E161" s="528">
        <v>0.8389</v>
      </c>
      <c r="F161" s="528">
        <v>0.8389</v>
      </c>
      <c r="G161" s="528">
        <v>0.8389</v>
      </c>
      <c r="H161" s="528">
        <v>0.8389</v>
      </c>
      <c r="I161" s="528">
        <v>0.7057</v>
      </c>
      <c r="J161" s="528">
        <v>0.7057</v>
      </c>
      <c r="K161" s="528">
        <v>0.7057</v>
      </c>
      <c r="L161" s="528">
        <v>0.7057</v>
      </c>
      <c r="M161" s="529">
        <v>0.7057</v>
      </c>
    </row>
    <row r="162" spans="1:13">
      <c r="A162" s="527">
        <v>7.7</v>
      </c>
      <c r="B162" s="528">
        <v>0.9119</v>
      </c>
      <c r="C162" s="528">
        <v>0.9119</v>
      </c>
      <c r="D162" s="528">
        <v>0.8371</v>
      </c>
      <c r="E162" s="528">
        <v>0.8371</v>
      </c>
      <c r="F162" s="528">
        <v>0.8371</v>
      </c>
      <c r="G162" s="528">
        <v>0.8371</v>
      </c>
      <c r="H162" s="528">
        <v>0.8371</v>
      </c>
      <c r="I162" s="528">
        <v>0.7034</v>
      </c>
      <c r="J162" s="528">
        <v>0.7034</v>
      </c>
      <c r="K162" s="528">
        <v>0.7034</v>
      </c>
      <c r="L162" s="528">
        <v>0.7034</v>
      </c>
      <c r="M162" s="529">
        <v>0.7034</v>
      </c>
    </row>
    <row r="163" spans="1:13">
      <c r="A163" s="527">
        <v>7.8</v>
      </c>
      <c r="B163" s="528">
        <v>0.9104</v>
      </c>
      <c r="C163" s="528">
        <v>0.9104</v>
      </c>
      <c r="D163" s="528">
        <v>0.8353</v>
      </c>
      <c r="E163" s="528">
        <v>0.8353</v>
      </c>
      <c r="F163" s="528">
        <v>0.8353</v>
      </c>
      <c r="G163" s="528">
        <v>0.8353</v>
      </c>
      <c r="H163" s="528">
        <v>0.8353</v>
      </c>
      <c r="I163" s="528">
        <v>0.7011</v>
      </c>
      <c r="J163" s="528">
        <v>0.7011</v>
      </c>
      <c r="K163" s="528">
        <v>0.7011</v>
      </c>
      <c r="L163" s="528">
        <v>0.7011</v>
      </c>
      <c r="M163" s="529">
        <v>0.7011</v>
      </c>
    </row>
    <row r="164" spans="1:13">
      <c r="A164" s="527">
        <v>7.9</v>
      </c>
      <c r="B164" s="528">
        <v>0.9089</v>
      </c>
      <c r="C164" s="528">
        <v>0.9089</v>
      </c>
      <c r="D164" s="528">
        <v>0.8335</v>
      </c>
      <c r="E164" s="528">
        <v>0.8335</v>
      </c>
      <c r="F164" s="528">
        <v>0.8335</v>
      </c>
      <c r="G164" s="528">
        <v>0.8335</v>
      </c>
      <c r="H164" s="528">
        <v>0.8335</v>
      </c>
      <c r="I164" s="528">
        <v>0.6988</v>
      </c>
      <c r="J164" s="528">
        <v>0.6988</v>
      </c>
      <c r="K164" s="528">
        <v>0.6988</v>
      </c>
      <c r="L164" s="528">
        <v>0.6988</v>
      </c>
      <c r="M164" s="529">
        <v>0.6988</v>
      </c>
    </row>
    <row r="165" spans="1:13">
      <c r="A165" s="527">
        <v>8</v>
      </c>
      <c r="B165" s="528">
        <v>0.9074</v>
      </c>
      <c r="C165" s="528">
        <v>0.9074</v>
      </c>
      <c r="D165" s="528">
        <v>0.8317</v>
      </c>
      <c r="E165" s="528">
        <v>0.8317</v>
      </c>
      <c r="F165" s="528">
        <v>0.8317</v>
      </c>
      <c r="G165" s="528">
        <v>0.8317</v>
      </c>
      <c r="H165" s="528">
        <v>0.8317</v>
      </c>
      <c r="I165" s="528">
        <v>0.6966</v>
      </c>
      <c r="J165" s="528">
        <v>0.6966</v>
      </c>
      <c r="K165" s="528">
        <v>0.6966</v>
      </c>
      <c r="L165" s="528">
        <v>0.6966</v>
      </c>
      <c r="M165" s="529">
        <v>0.6966</v>
      </c>
    </row>
    <row r="166" spans="1:13">
      <c r="A166" s="527">
        <v>8.1</v>
      </c>
      <c r="B166" s="528">
        <v>0.9059</v>
      </c>
      <c r="C166" s="528">
        <v>0.9059</v>
      </c>
      <c r="D166" s="528">
        <v>0.8299</v>
      </c>
      <c r="E166" s="528">
        <v>0.8299</v>
      </c>
      <c r="F166" s="528">
        <v>0.8299</v>
      </c>
      <c r="G166" s="528">
        <v>0.8299</v>
      </c>
      <c r="H166" s="528">
        <v>0.8299</v>
      </c>
      <c r="I166" s="528">
        <v>0.6944</v>
      </c>
      <c r="J166" s="528">
        <v>0.6944</v>
      </c>
      <c r="K166" s="528">
        <v>0.6944</v>
      </c>
      <c r="L166" s="528">
        <v>0.6944</v>
      </c>
      <c r="M166" s="529">
        <v>0.6944</v>
      </c>
    </row>
    <row r="167" spans="1:13">
      <c r="A167" s="527">
        <v>8.2</v>
      </c>
      <c r="B167" s="528">
        <v>0.9044</v>
      </c>
      <c r="C167" s="528">
        <v>0.9044</v>
      </c>
      <c r="D167" s="528">
        <v>0.8282</v>
      </c>
      <c r="E167" s="528">
        <v>0.8282</v>
      </c>
      <c r="F167" s="528">
        <v>0.8282</v>
      </c>
      <c r="G167" s="528">
        <v>0.8282</v>
      </c>
      <c r="H167" s="528">
        <v>0.8282</v>
      </c>
      <c r="I167" s="528">
        <v>0.6922</v>
      </c>
      <c r="J167" s="528">
        <v>0.6922</v>
      </c>
      <c r="K167" s="528">
        <v>0.6922</v>
      </c>
      <c r="L167" s="528">
        <v>0.6922</v>
      </c>
      <c r="M167" s="529">
        <v>0.6922</v>
      </c>
    </row>
    <row r="168" spans="1:13">
      <c r="A168" s="527">
        <v>8.3</v>
      </c>
      <c r="B168" s="528">
        <v>0.903</v>
      </c>
      <c r="C168" s="528">
        <v>0.903</v>
      </c>
      <c r="D168" s="528">
        <v>0.8265</v>
      </c>
      <c r="E168" s="528">
        <v>0.8265</v>
      </c>
      <c r="F168" s="528">
        <v>0.8265</v>
      </c>
      <c r="G168" s="528">
        <v>0.8265</v>
      </c>
      <c r="H168" s="528">
        <v>0.8265</v>
      </c>
      <c r="I168" s="528">
        <v>0.69</v>
      </c>
      <c r="J168" s="528">
        <v>0.69</v>
      </c>
      <c r="K168" s="528">
        <v>0.69</v>
      </c>
      <c r="L168" s="528">
        <v>0.69</v>
      </c>
      <c r="M168" s="529">
        <v>0.69</v>
      </c>
    </row>
    <row r="169" spans="1:13">
      <c r="A169" s="527">
        <v>8.4</v>
      </c>
      <c r="B169" s="528">
        <v>0.9016</v>
      </c>
      <c r="C169" s="528">
        <v>0.9016</v>
      </c>
      <c r="D169" s="528">
        <v>0.8248</v>
      </c>
      <c r="E169" s="528">
        <v>0.8248</v>
      </c>
      <c r="F169" s="528">
        <v>0.8248</v>
      </c>
      <c r="G169" s="528">
        <v>0.8248</v>
      </c>
      <c r="H169" s="528">
        <v>0.8248</v>
      </c>
      <c r="I169" s="528">
        <v>0.6878</v>
      </c>
      <c r="J169" s="528">
        <v>0.6878</v>
      </c>
      <c r="K169" s="528">
        <v>0.6878</v>
      </c>
      <c r="L169" s="528">
        <v>0.6878</v>
      </c>
      <c r="M169" s="529">
        <v>0.6878</v>
      </c>
    </row>
    <row r="170" spans="1:13">
      <c r="A170" s="527">
        <v>8.5</v>
      </c>
      <c r="B170" s="528">
        <v>0.9002</v>
      </c>
      <c r="C170" s="528">
        <v>0.9002</v>
      </c>
      <c r="D170" s="528">
        <v>0.8231</v>
      </c>
      <c r="E170" s="528">
        <v>0.8231</v>
      </c>
      <c r="F170" s="528">
        <v>0.8231</v>
      </c>
      <c r="G170" s="528">
        <v>0.8231</v>
      </c>
      <c r="H170" s="528">
        <v>0.8231</v>
      </c>
      <c r="I170" s="528">
        <v>0.6857</v>
      </c>
      <c r="J170" s="528">
        <v>0.6857</v>
      </c>
      <c r="K170" s="528">
        <v>0.6857</v>
      </c>
      <c r="L170" s="528">
        <v>0.6857</v>
      </c>
      <c r="M170" s="529">
        <v>0.6857</v>
      </c>
    </row>
    <row r="171" spans="1:13">
      <c r="A171" s="527">
        <v>8.6</v>
      </c>
      <c r="B171" s="528">
        <v>0.8988</v>
      </c>
      <c r="C171" s="528">
        <v>0.8988</v>
      </c>
      <c r="D171" s="528">
        <v>0.8214</v>
      </c>
      <c r="E171" s="528">
        <v>0.8214</v>
      </c>
      <c r="F171" s="528">
        <v>0.8214</v>
      </c>
      <c r="G171" s="528">
        <v>0.8214</v>
      </c>
      <c r="H171" s="528">
        <v>0.8214</v>
      </c>
      <c r="I171" s="528">
        <v>0.6836</v>
      </c>
      <c r="J171" s="528">
        <v>0.6836</v>
      </c>
      <c r="K171" s="528">
        <v>0.6836</v>
      </c>
      <c r="L171" s="528">
        <v>0.6836</v>
      </c>
      <c r="M171" s="529">
        <v>0.6836</v>
      </c>
    </row>
    <row r="172" spans="1:13">
      <c r="A172" s="527">
        <v>8.7</v>
      </c>
      <c r="B172" s="528">
        <v>0.8974</v>
      </c>
      <c r="C172" s="528">
        <v>0.8974</v>
      </c>
      <c r="D172" s="528">
        <v>0.8197</v>
      </c>
      <c r="E172" s="528">
        <v>0.8197</v>
      </c>
      <c r="F172" s="528">
        <v>0.8197</v>
      </c>
      <c r="G172" s="528">
        <v>0.8197</v>
      </c>
      <c r="H172" s="528">
        <v>0.8197</v>
      </c>
      <c r="I172" s="528">
        <v>0.6815</v>
      </c>
      <c r="J172" s="528">
        <v>0.6815</v>
      </c>
      <c r="K172" s="528">
        <v>0.6815</v>
      </c>
      <c r="L172" s="528">
        <v>0.6815</v>
      </c>
      <c r="M172" s="529">
        <v>0.6815</v>
      </c>
    </row>
    <row r="173" spans="1:13">
      <c r="A173" s="527">
        <v>8.8</v>
      </c>
      <c r="B173" s="528">
        <v>0.896</v>
      </c>
      <c r="C173" s="528">
        <v>0.896</v>
      </c>
      <c r="D173" s="528">
        <v>0.8181</v>
      </c>
      <c r="E173" s="528">
        <v>0.8181</v>
      </c>
      <c r="F173" s="528">
        <v>0.8181</v>
      </c>
      <c r="G173" s="528">
        <v>0.8181</v>
      </c>
      <c r="H173" s="528">
        <v>0.8181</v>
      </c>
      <c r="I173" s="528">
        <v>0.6794</v>
      </c>
      <c r="J173" s="528">
        <v>0.6794</v>
      </c>
      <c r="K173" s="528">
        <v>0.6794</v>
      </c>
      <c r="L173" s="528">
        <v>0.6794</v>
      </c>
      <c r="M173" s="529">
        <v>0.6794</v>
      </c>
    </row>
    <row r="174" spans="1:13">
      <c r="A174" s="527">
        <v>8.9</v>
      </c>
      <c r="B174" s="528">
        <v>0.8947</v>
      </c>
      <c r="C174" s="528">
        <v>0.8947</v>
      </c>
      <c r="D174" s="528">
        <v>0.8165</v>
      </c>
      <c r="E174" s="528">
        <v>0.8165</v>
      </c>
      <c r="F174" s="528">
        <v>0.8165</v>
      </c>
      <c r="G174" s="528">
        <v>0.8165</v>
      </c>
      <c r="H174" s="528">
        <v>0.8165</v>
      </c>
      <c r="I174" s="528">
        <v>0.6774</v>
      </c>
      <c r="J174" s="528">
        <v>0.6774</v>
      </c>
      <c r="K174" s="528">
        <v>0.6774</v>
      </c>
      <c r="L174" s="528">
        <v>0.6774</v>
      </c>
      <c r="M174" s="529">
        <v>0.6774</v>
      </c>
    </row>
    <row r="175" spans="1:13">
      <c r="A175" s="531">
        <v>9</v>
      </c>
      <c r="B175" s="528">
        <v>0.8934</v>
      </c>
      <c r="C175" s="528">
        <v>0.8934</v>
      </c>
      <c r="D175" s="528">
        <v>0.8149</v>
      </c>
      <c r="E175" s="528">
        <v>0.8149</v>
      </c>
      <c r="F175" s="528">
        <v>0.8149</v>
      </c>
      <c r="G175" s="528">
        <v>0.8149</v>
      </c>
      <c r="H175" s="528">
        <v>0.8149</v>
      </c>
      <c r="I175" s="528">
        <v>0.6754</v>
      </c>
      <c r="J175" s="528">
        <v>0.6754</v>
      </c>
      <c r="K175" s="528">
        <v>0.6754</v>
      </c>
      <c r="L175" s="528">
        <v>0.6754</v>
      </c>
      <c r="M175" s="529">
        <v>0.6754</v>
      </c>
    </row>
    <row r="176" spans="1:13">
      <c r="A176" s="531">
        <v>9.1</v>
      </c>
      <c r="B176" s="528">
        <v>0.8921</v>
      </c>
      <c r="C176" s="528">
        <v>0.8921</v>
      </c>
      <c r="D176" s="528">
        <v>0.8133</v>
      </c>
      <c r="E176" s="528">
        <v>0.8133</v>
      </c>
      <c r="F176" s="528">
        <v>0.8133</v>
      </c>
      <c r="G176" s="528">
        <v>0.8133</v>
      </c>
      <c r="H176" s="528">
        <v>0.8133</v>
      </c>
      <c r="I176" s="528">
        <v>0.6734</v>
      </c>
      <c r="J176" s="528">
        <v>0.6734</v>
      </c>
      <c r="K176" s="528">
        <v>0.6734</v>
      </c>
      <c r="L176" s="528">
        <v>0.6734</v>
      </c>
      <c r="M176" s="529">
        <v>0.6734</v>
      </c>
    </row>
    <row r="177" spans="1:20">
      <c r="A177" s="531">
        <v>9.2</v>
      </c>
      <c r="B177" s="528">
        <v>0.8908</v>
      </c>
      <c r="C177" s="528">
        <v>0.8908</v>
      </c>
      <c r="D177" s="528">
        <v>0.8117</v>
      </c>
      <c r="E177" s="528">
        <v>0.8117</v>
      </c>
      <c r="F177" s="528">
        <v>0.8117</v>
      </c>
      <c r="G177" s="528">
        <v>0.8117</v>
      </c>
      <c r="H177" s="528">
        <v>0.8117</v>
      </c>
      <c r="I177" s="528">
        <v>0.6714</v>
      </c>
      <c r="J177" s="528">
        <v>0.6714</v>
      </c>
      <c r="K177" s="528">
        <v>0.6714</v>
      </c>
      <c r="L177" s="528">
        <v>0.6714</v>
      </c>
      <c r="M177" s="529">
        <v>0.6714</v>
      </c>
    </row>
    <row r="178" spans="1:20">
      <c r="A178" s="531">
        <v>9.3</v>
      </c>
      <c r="B178" s="528">
        <v>0.8895</v>
      </c>
      <c r="C178" s="528">
        <v>0.8895</v>
      </c>
      <c r="D178" s="528">
        <v>0.8101</v>
      </c>
      <c r="E178" s="528">
        <v>0.8101</v>
      </c>
      <c r="F178" s="528">
        <v>0.8101</v>
      </c>
      <c r="G178" s="528">
        <v>0.8101</v>
      </c>
      <c r="H178" s="528">
        <v>0.8101</v>
      </c>
      <c r="I178" s="528">
        <v>0.6694</v>
      </c>
      <c r="J178" s="528">
        <v>0.6694</v>
      </c>
      <c r="K178" s="528">
        <v>0.6694</v>
      </c>
      <c r="L178" s="528">
        <v>0.6694</v>
      </c>
      <c r="M178" s="529">
        <v>0.6694</v>
      </c>
    </row>
    <row r="179" spans="1:20">
      <c r="A179" s="531">
        <v>9.4</v>
      </c>
      <c r="B179" s="528">
        <v>0.8882</v>
      </c>
      <c r="C179" s="528">
        <v>0.8882</v>
      </c>
      <c r="D179" s="528">
        <v>0.8085</v>
      </c>
      <c r="E179" s="528">
        <v>0.8085</v>
      </c>
      <c r="F179" s="528">
        <v>0.8085</v>
      </c>
      <c r="G179" s="528">
        <v>0.8085</v>
      </c>
      <c r="H179" s="528">
        <v>0.8085</v>
      </c>
      <c r="I179" s="528">
        <v>0.6674</v>
      </c>
      <c r="J179" s="528">
        <v>0.6674</v>
      </c>
      <c r="K179" s="528">
        <v>0.6674</v>
      </c>
      <c r="L179" s="528">
        <v>0.6674</v>
      </c>
      <c r="M179" s="529">
        <v>0.6674</v>
      </c>
    </row>
    <row r="180" spans="1:20">
      <c r="A180" s="531">
        <v>9.5</v>
      </c>
      <c r="B180" s="528">
        <v>0.887</v>
      </c>
      <c r="C180" s="528">
        <v>0.887</v>
      </c>
      <c r="D180" s="528">
        <v>0.807</v>
      </c>
      <c r="E180" s="528">
        <v>0.807</v>
      </c>
      <c r="F180" s="528">
        <v>0.807</v>
      </c>
      <c r="G180" s="528">
        <v>0.807</v>
      </c>
      <c r="H180" s="528">
        <v>0.807</v>
      </c>
      <c r="I180" s="528">
        <v>0.6655</v>
      </c>
      <c r="J180" s="528">
        <v>0.6655</v>
      </c>
      <c r="K180" s="528">
        <v>0.6655</v>
      </c>
      <c r="L180" s="528">
        <v>0.6655</v>
      </c>
      <c r="M180" s="529">
        <v>0.6655</v>
      </c>
    </row>
    <row r="181" spans="1:20">
      <c r="A181" s="531">
        <v>9.6</v>
      </c>
      <c r="B181" s="528">
        <v>0.8858</v>
      </c>
      <c r="C181" s="528">
        <v>0.8858</v>
      </c>
      <c r="D181" s="528">
        <v>0.8055</v>
      </c>
      <c r="E181" s="528">
        <v>0.8055</v>
      </c>
      <c r="F181" s="528">
        <v>0.8055</v>
      </c>
      <c r="G181" s="528">
        <v>0.8055</v>
      </c>
      <c r="H181" s="528">
        <v>0.8055</v>
      </c>
      <c r="I181" s="528">
        <v>0.6636</v>
      </c>
      <c r="J181" s="528">
        <v>0.6636</v>
      </c>
      <c r="K181" s="528">
        <v>0.6636</v>
      </c>
      <c r="L181" s="528">
        <v>0.6636</v>
      </c>
      <c r="M181" s="529">
        <v>0.6636</v>
      </c>
    </row>
    <row r="182" spans="1:20">
      <c r="A182" s="531">
        <v>9.7</v>
      </c>
      <c r="B182" s="528">
        <v>0.8846</v>
      </c>
      <c r="C182" s="528">
        <v>0.8846</v>
      </c>
      <c r="D182" s="528">
        <v>0.804</v>
      </c>
      <c r="E182" s="528">
        <v>0.804</v>
      </c>
      <c r="F182" s="528">
        <v>0.804</v>
      </c>
      <c r="G182" s="528">
        <v>0.804</v>
      </c>
      <c r="H182" s="528">
        <v>0.804</v>
      </c>
      <c r="I182" s="528">
        <v>0.6617</v>
      </c>
      <c r="J182" s="528">
        <v>0.6617</v>
      </c>
      <c r="K182" s="528">
        <v>0.6617</v>
      </c>
      <c r="L182" s="528">
        <v>0.6617</v>
      </c>
      <c r="M182" s="529">
        <v>0.6617</v>
      </c>
    </row>
    <row r="183" spans="1:20">
      <c r="A183" s="531">
        <v>9.8</v>
      </c>
      <c r="B183" s="528">
        <v>0.8834</v>
      </c>
      <c r="C183" s="528">
        <v>0.8834</v>
      </c>
      <c r="D183" s="528">
        <v>0.8025</v>
      </c>
      <c r="E183" s="528">
        <v>0.8025</v>
      </c>
      <c r="F183" s="528">
        <v>0.8025</v>
      </c>
      <c r="G183" s="528">
        <v>0.8025</v>
      </c>
      <c r="H183" s="528">
        <v>0.8025</v>
      </c>
      <c r="I183" s="528">
        <v>0.6598</v>
      </c>
      <c r="J183" s="528">
        <v>0.6598</v>
      </c>
      <c r="K183" s="528">
        <v>0.6598</v>
      </c>
      <c r="L183" s="528">
        <v>0.6598</v>
      </c>
      <c r="M183" s="529">
        <v>0.6598</v>
      </c>
    </row>
    <row r="184" ht="14.25" spans="1:20">
      <c r="A184" s="532">
        <v>9.9</v>
      </c>
      <c r="B184" s="533">
        <v>0.8822</v>
      </c>
      <c r="C184" s="533">
        <v>0.8822</v>
      </c>
      <c r="D184" s="533">
        <v>0.801</v>
      </c>
      <c r="E184" s="533">
        <v>0.801</v>
      </c>
      <c r="F184" s="533">
        <v>0.801</v>
      </c>
      <c r="G184" s="533">
        <v>0.801</v>
      </c>
      <c r="H184" s="533">
        <v>0.801</v>
      </c>
      <c r="I184" s="533">
        <v>0.6579</v>
      </c>
      <c r="J184" s="533">
        <v>0.6579</v>
      </c>
      <c r="K184" s="533">
        <v>0.6579</v>
      </c>
      <c r="L184" s="533">
        <v>0.6579</v>
      </c>
      <c r="M184" s="534">
        <v>0.6579</v>
      </c>
    </row>
    <row r="185" ht="15" spans="1:20">
      <c r="A185" s="519" t="s">
        <v>2568</v>
      </c>
      <c r="B185" s="519"/>
      <c r="C185" s="519"/>
      <c r="D185" s="519"/>
      <c r="E185" s="519"/>
      <c r="F185" s="519"/>
      <c r="G185" s="519"/>
      <c r="H185" s="519"/>
      <c r="I185" s="519"/>
      <c r="J185" s="519"/>
      <c r="K185" s="519"/>
      <c r="L185" s="519"/>
      <c r="M185" s="519"/>
    </row>
    <row r="186" spans="1:20">
      <c r="A186" s="521" t="s">
        <v>2562</v>
      </c>
      <c r="B186" s="522" t="s">
        <v>235</v>
      </c>
      <c r="C186" s="522" t="s">
        <v>251</v>
      </c>
      <c r="D186" s="522" t="s">
        <v>264</v>
      </c>
      <c r="E186" s="522" t="s">
        <v>275</v>
      </c>
      <c r="F186" s="522" t="s">
        <v>286</v>
      </c>
      <c r="G186" s="522" t="s">
        <v>295</v>
      </c>
      <c r="H186" s="523" t="s">
        <v>303</v>
      </c>
      <c r="I186" s="523" t="s">
        <v>311</v>
      </c>
      <c r="J186" s="524" t="s">
        <v>318</v>
      </c>
      <c r="K186" s="524" t="s">
        <v>324</v>
      </c>
      <c r="L186" s="524" t="s">
        <v>330</v>
      </c>
      <c r="M186" s="525" t="s">
        <v>336</v>
      </c>
      <c r="Q186" s="526" t="s">
        <v>2563</v>
      </c>
      <c r="R186" s="526" t="s">
        <v>2564</v>
      </c>
      <c r="S186" s="526" t="s">
        <v>2565</v>
      </c>
      <c r="T186" s="526" t="s">
        <v>2566</v>
      </c>
    </row>
    <row r="187" spans="1:20">
      <c r="A187" s="527">
        <v>1</v>
      </c>
      <c r="B187" s="528">
        <v>1.1902</v>
      </c>
      <c r="C187" s="528">
        <v>1.1902</v>
      </c>
      <c r="D187" s="528">
        <v>1.222</v>
      </c>
      <c r="E187" s="528">
        <v>1.222</v>
      </c>
      <c r="F187" s="528">
        <v>1.222</v>
      </c>
      <c r="G187" s="528">
        <v>1.222</v>
      </c>
      <c r="H187" s="528">
        <v>1.222</v>
      </c>
      <c r="I187" s="528">
        <v>1.1055</v>
      </c>
      <c r="J187" s="528">
        <v>1.1055</v>
      </c>
      <c r="K187" s="528">
        <v>1.1055</v>
      </c>
      <c r="L187" s="528">
        <v>1.1055</v>
      </c>
      <c r="M187" s="529">
        <v>1.1055</v>
      </c>
      <c r="Q187" s="526">
        <v>10</v>
      </c>
      <c r="R187" s="526">
        <f>ROUND(0.9448-0.0115*Q187,4)</f>
        <v>0.8298</v>
      </c>
      <c r="S187" s="526">
        <f>ROUND(0.937-0.0145*Q187,4)</f>
        <v>0.792</v>
      </c>
      <c r="T187" s="526">
        <f>ROUND(0.7965-0.0185*Q187,4)</f>
        <v>0.6115</v>
      </c>
    </row>
    <row r="188" spans="1:20">
      <c r="A188" s="527">
        <v>1.1</v>
      </c>
      <c r="B188" s="528">
        <v>1.1715</v>
      </c>
      <c r="C188" s="528">
        <v>1.1715</v>
      </c>
      <c r="D188" s="528">
        <v>1.2003</v>
      </c>
      <c r="E188" s="528">
        <v>1.2003</v>
      </c>
      <c r="F188" s="528">
        <v>1.2003</v>
      </c>
      <c r="G188" s="528">
        <v>1.2003</v>
      </c>
      <c r="H188" s="528">
        <v>1.2003</v>
      </c>
      <c r="I188" s="528">
        <v>1.0819</v>
      </c>
      <c r="J188" s="528">
        <v>1.0819</v>
      </c>
      <c r="K188" s="528">
        <v>1.0819</v>
      </c>
      <c r="L188" s="528">
        <v>1.0819</v>
      </c>
      <c r="M188" s="529">
        <v>1.0819</v>
      </c>
    </row>
    <row r="189" spans="1:20">
      <c r="A189" s="527">
        <v>1.2</v>
      </c>
      <c r="B189" s="528">
        <v>1.1539</v>
      </c>
      <c r="C189" s="528">
        <v>1.1539</v>
      </c>
      <c r="D189" s="528">
        <v>1.1798</v>
      </c>
      <c r="E189" s="528">
        <v>1.1798</v>
      </c>
      <c r="F189" s="528">
        <v>1.1798</v>
      </c>
      <c r="G189" s="528">
        <v>1.1798</v>
      </c>
      <c r="H189" s="528">
        <v>1.1798</v>
      </c>
      <c r="I189" s="528">
        <v>1.0597</v>
      </c>
      <c r="J189" s="528">
        <v>1.0597</v>
      </c>
      <c r="K189" s="528">
        <v>1.0597</v>
      </c>
      <c r="L189" s="528">
        <v>1.0597</v>
      </c>
      <c r="M189" s="529">
        <v>1.0597</v>
      </c>
    </row>
    <row r="190" spans="1:20">
      <c r="A190" s="527">
        <v>1.3</v>
      </c>
      <c r="B190" s="528">
        <v>1.1372</v>
      </c>
      <c r="C190" s="528">
        <v>1.1372</v>
      </c>
      <c r="D190" s="528">
        <v>1.1605</v>
      </c>
      <c r="E190" s="528">
        <v>1.1605</v>
      </c>
      <c r="F190" s="528">
        <v>1.1605</v>
      </c>
      <c r="G190" s="528">
        <v>1.1605</v>
      </c>
      <c r="H190" s="528">
        <v>1.1605</v>
      </c>
      <c r="I190" s="528">
        <v>1.0386</v>
      </c>
      <c r="J190" s="528">
        <v>1.0386</v>
      </c>
      <c r="K190" s="528">
        <v>1.0386</v>
      </c>
      <c r="L190" s="528">
        <v>1.0386</v>
      </c>
      <c r="M190" s="529">
        <v>1.0386</v>
      </c>
    </row>
    <row r="191" spans="1:20">
      <c r="A191" s="527">
        <v>1.4</v>
      </c>
      <c r="B191" s="528">
        <v>1.1216</v>
      </c>
      <c r="C191" s="528">
        <v>1.1216</v>
      </c>
      <c r="D191" s="528">
        <v>1.1422</v>
      </c>
      <c r="E191" s="528">
        <v>1.1422</v>
      </c>
      <c r="F191" s="528">
        <v>1.1422</v>
      </c>
      <c r="G191" s="528">
        <v>1.1422</v>
      </c>
      <c r="H191" s="528">
        <v>1.1422</v>
      </c>
      <c r="I191" s="528">
        <v>1.0188</v>
      </c>
      <c r="J191" s="528">
        <v>1.0188</v>
      </c>
      <c r="K191" s="528">
        <v>1.0188</v>
      </c>
      <c r="L191" s="528">
        <v>1.0188</v>
      </c>
      <c r="M191" s="529">
        <v>1.0188</v>
      </c>
    </row>
    <row r="192" spans="1:20">
      <c r="A192" s="527">
        <v>1.5</v>
      </c>
      <c r="B192" s="528">
        <v>1.1069</v>
      </c>
      <c r="C192" s="528">
        <v>1.1069</v>
      </c>
      <c r="D192" s="528">
        <v>1.125</v>
      </c>
      <c r="E192" s="528">
        <v>1.125</v>
      </c>
      <c r="F192" s="528">
        <v>1.125</v>
      </c>
      <c r="G192" s="528">
        <v>1.125</v>
      </c>
      <c r="H192" s="528">
        <v>1.125</v>
      </c>
      <c r="I192" s="528">
        <v>1</v>
      </c>
      <c r="J192" s="528">
        <v>1</v>
      </c>
      <c r="K192" s="528">
        <v>1</v>
      </c>
      <c r="L192" s="528">
        <v>1</v>
      </c>
      <c r="M192" s="529">
        <v>1</v>
      </c>
    </row>
    <row r="193" spans="1:13">
      <c r="A193" s="527">
        <v>1.6</v>
      </c>
      <c r="B193" s="528">
        <v>1.0929</v>
      </c>
      <c r="C193" s="528">
        <v>1.0929</v>
      </c>
      <c r="D193" s="528">
        <v>1.1087</v>
      </c>
      <c r="E193" s="528">
        <v>1.1087</v>
      </c>
      <c r="F193" s="528">
        <v>1.1087</v>
      </c>
      <c r="G193" s="528">
        <v>1.1087</v>
      </c>
      <c r="H193" s="528">
        <v>1.1087</v>
      </c>
      <c r="I193" s="528">
        <v>0.9823</v>
      </c>
      <c r="J193" s="528">
        <v>0.9823</v>
      </c>
      <c r="K193" s="528">
        <v>0.9823</v>
      </c>
      <c r="L193" s="528">
        <v>0.9823</v>
      </c>
      <c r="M193" s="529">
        <v>0.9823</v>
      </c>
    </row>
    <row r="194" spans="1:13">
      <c r="A194" s="527">
        <v>1.7</v>
      </c>
      <c r="B194" s="528">
        <v>1.0798</v>
      </c>
      <c r="C194" s="528">
        <v>1.0798</v>
      </c>
      <c r="D194" s="528">
        <v>1.0934</v>
      </c>
      <c r="E194" s="528">
        <v>1.0934</v>
      </c>
      <c r="F194" s="528">
        <v>1.0934</v>
      </c>
      <c r="G194" s="528">
        <v>1.0934</v>
      </c>
      <c r="H194" s="528">
        <v>1.0934</v>
      </c>
      <c r="I194" s="528">
        <v>0.9656</v>
      </c>
      <c r="J194" s="528">
        <v>0.9656</v>
      </c>
      <c r="K194" s="528">
        <v>0.9656</v>
      </c>
      <c r="L194" s="528">
        <v>0.9656</v>
      </c>
      <c r="M194" s="529">
        <v>0.9656</v>
      </c>
    </row>
    <row r="195" spans="1:13">
      <c r="A195" s="527">
        <v>1.8</v>
      </c>
      <c r="B195" s="528">
        <v>1.0675</v>
      </c>
      <c r="C195" s="528">
        <v>1.0675</v>
      </c>
      <c r="D195" s="528">
        <v>1.0791</v>
      </c>
      <c r="E195" s="528">
        <v>1.0791</v>
      </c>
      <c r="F195" s="528">
        <v>1.0791</v>
      </c>
      <c r="G195" s="528">
        <v>1.0791</v>
      </c>
      <c r="H195" s="528">
        <v>1.0791</v>
      </c>
      <c r="I195" s="528">
        <v>0.9499</v>
      </c>
      <c r="J195" s="528">
        <v>0.9499</v>
      </c>
      <c r="K195" s="528">
        <v>0.9499</v>
      </c>
      <c r="L195" s="528">
        <v>0.9499</v>
      </c>
      <c r="M195" s="529">
        <v>0.9499</v>
      </c>
    </row>
    <row r="196" spans="1:13">
      <c r="A196" s="527">
        <v>1.9</v>
      </c>
      <c r="B196" s="528">
        <v>1.0558</v>
      </c>
      <c r="C196" s="528">
        <v>1.0558</v>
      </c>
      <c r="D196" s="528">
        <v>1.0655</v>
      </c>
      <c r="E196" s="528">
        <v>1.0655</v>
      </c>
      <c r="F196" s="528">
        <v>1.0655</v>
      </c>
      <c r="G196" s="528">
        <v>1.0655</v>
      </c>
      <c r="H196" s="528">
        <v>1.0655</v>
      </c>
      <c r="I196" s="528">
        <v>0.9352</v>
      </c>
      <c r="J196" s="528">
        <v>0.9352</v>
      </c>
      <c r="K196" s="528">
        <v>0.9352</v>
      </c>
      <c r="L196" s="528">
        <v>0.9352</v>
      </c>
      <c r="M196" s="529">
        <v>0.9352</v>
      </c>
    </row>
    <row r="197" spans="1:13">
      <c r="A197" s="527">
        <v>2</v>
      </c>
      <c r="B197" s="528">
        <v>1.045</v>
      </c>
      <c r="C197" s="528">
        <v>1.045</v>
      </c>
      <c r="D197" s="528">
        <v>1.0528</v>
      </c>
      <c r="E197" s="528">
        <v>1.0528</v>
      </c>
      <c r="F197" s="528">
        <v>1.0528</v>
      </c>
      <c r="G197" s="528">
        <v>1.0528</v>
      </c>
      <c r="H197" s="528">
        <v>1.0528</v>
      </c>
      <c r="I197" s="528">
        <v>0.9213</v>
      </c>
      <c r="J197" s="528">
        <v>0.9213</v>
      </c>
      <c r="K197" s="528">
        <v>0.9213</v>
      </c>
      <c r="L197" s="528">
        <v>0.9213</v>
      </c>
      <c r="M197" s="529">
        <v>0.9213</v>
      </c>
    </row>
    <row r="198" spans="1:13">
      <c r="A198" s="531">
        <v>2.1</v>
      </c>
      <c r="B198" s="528">
        <v>1.0348</v>
      </c>
      <c r="C198" s="528">
        <v>1.0348</v>
      </c>
      <c r="D198" s="528">
        <v>1.0408</v>
      </c>
      <c r="E198" s="528">
        <v>1.0408</v>
      </c>
      <c r="F198" s="528">
        <v>1.0408</v>
      </c>
      <c r="G198" s="528">
        <v>1.0408</v>
      </c>
      <c r="H198" s="528">
        <v>1.0408</v>
      </c>
      <c r="I198" s="528">
        <v>0.9082</v>
      </c>
      <c r="J198" s="528">
        <v>0.9082</v>
      </c>
      <c r="K198" s="528">
        <v>0.9082</v>
      </c>
      <c r="L198" s="528">
        <v>0.9082</v>
      </c>
      <c r="M198" s="529">
        <v>0.9082</v>
      </c>
    </row>
    <row r="199" spans="1:13">
      <c r="A199" s="531">
        <v>2.2</v>
      </c>
      <c r="B199" s="528">
        <v>1.0252</v>
      </c>
      <c r="C199" s="528">
        <v>1.0252</v>
      </c>
      <c r="D199" s="528">
        <v>1.0296</v>
      </c>
      <c r="E199" s="528">
        <v>1.0296</v>
      </c>
      <c r="F199" s="528">
        <v>1.0296</v>
      </c>
      <c r="G199" s="528">
        <v>1.0296</v>
      </c>
      <c r="H199" s="528">
        <v>1.0296</v>
      </c>
      <c r="I199" s="528">
        <v>0.8957</v>
      </c>
      <c r="J199" s="528">
        <v>0.8957</v>
      </c>
      <c r="K199" s="528">
        <v>0.8957</v>
      </c>
      <c r="L199" s="528">
        <v>0.8957</v>
      </c>
      <c r="M199" s="529">
        <v>0.8957</v>
      </c>
    </row>
    <row r="200" spans="1:13">
      <c r="A200" s="531">
        <v>2.3</v>
      </c>
      <c r="B200" s="528">
        <v>1.0162</v>
      </c>
      <c r="C200" s="528">
        <v>1.0162</v>
      </c>
      <c r="D200" s="528">
        <v>1.0191</v>
      </c>
      <c r="E200" s="528">
        <v>1.0191</v>
      </c>
      <c r="F200" s="528">
        <v>1.0191</v>
      </c>
      <c r="G200" s="528">
        <v>1.0191</v>
      </c>
      <c r="H200" s="528">
        <v>1.0191</v>
      </c>
      <c r="I200" s="528">
        <v>0.8842</v>
      </c>
      <c r="J200" s="528">
        <v>0.8842</v>
      </c>
      <c r="K200" s="528">
        <v>0.8842</v>
      </c>
      <c r="L200" s="528">
        <v>0.8842</v>
      </c>
      <c r="M200" s="529">
        <v>0.8842</v>
      </c>
    </row>
    <row r="201" spans="1:13">
      <c r="A201" s="531">
        <v>2.4</v>
      </c>
      <c r="B201" s="528">
        <v>1.0078</v>
      </c>
      <c r="C201" s="528">
        <v>1.0078</v>
      </c>
      <c r="D201" s="528">
        <v>1.0092</v>
      </c>
      <c r="E201" s="528">
        <v>1.0092</v>
      </c>
      <c r="F201" s="528">
        <v>1.0092</v>
      </c>
      <c r="G201" s="528">
        <v>1.0092</v>
      </c>
      <c r="H201" s="528">
        <v>1.0092</v>
      </c>
      <c r="I201" s="528">
        <v>0.8733</v>
      </c>
      <c r="J201" s="528">
        <v>0.8733</v>
      </c>
      <c r="K201" s="528">
        <v>0.8733</v>
      </c>
      <c r="L201" s="528">
        <v>0.8733</v>
      </c>
      <c r="M201" s="529">
        <v>0.8733</v>
      </c>
    </row>
    <row r="202" spans="1:13">
      <c r="A202" s="531">
        <v>2.5</v>
      </c>
      <c r="B202" s="528">
        <v>1</v>
      </c>
      <c r="C202" s="528">
        <v>1</v>
      </c>
      <c r="D202" s="528">
        <v>1</v>
      </c>
      <c r="E202" s="528">
        <v>1</v>
      </c>
      <c r="F202" s="528">
        <v>1</v>
      </c>
      <c r="G202" s="528">
        <v>1</v>
      </c>
      <c r="H202" s="528">
        <v>1</v>
      </c>
      <c r="I202" s="528">
        <v>0.863</v>
      </c>
      <c r="J202" s="528">
        <v>0.863</v>
      </c>
      <c r="K202" s="528">
        <v>0.863</v>
      </c>
      <c r="L202" s="528">
        <v>0.863</v>
      </c>
      <c r="M202" s="529">
        <v>0.863</v>
      </c>
    </row>
    <row r="203" spans="1:13">
      <c r="A203" s="531">
        <v>2.6</v>
      </c>
      <c r="B203" s="528">
        <v>0.9927</v>
      </c>
      <c r="C203" s="528">
        <v>0.9927</v>
      </c>
      <c r="D203" s="528">
        <v>0.9914</v>
      </c>
      <c r="E203" s="528">
        <v>0.9914</v>
      </c>
      <c r="F203" s="528">
        <v>0.9914</v>
      </c>
      <c r="G203" s="528">
        <v>0.9914</v>
      </c>
      <c r="H203" s="528">
        <v>0.9914</v>
      </c>
      <c r="I203" s="528">
        <v>0.8534</v>
      </c>
      <c r="J203" s="528">
        <v>0.8534</v>
      </c>
      <c r="K203" s="528">
        <v>0.8534</v>
      </c>
      <c r="L203" s="528">
        <v>0.8534</v>
      </c>
      <c r="M203" s="529">
        <v>0.8534</v>
      </c>
    </row>
    <row r="204" spans="1:13">
      <c r="A204" s="531">
        <v>2.7</v>
      </c>
      <c r="B204" s="528">
        <v>0.9858</v>
      </c>
      <c r="C204" s="528">
        <v>0.9858</v>
      </c>
      <c r="D204" s="528">
        <v>0.9833</v>
      </c>
      <c r="E204" s="528">
        <v>0.9833</v>
      </c>
      <c r="F204" s="528">
        <v>0.9833</v>
      </c>
      <c r="G204" s="528">
        <v>0.9833</v>
      </c>
      <c r="H204" s="528">
        <v>0.9833</v>
      </c>
      <c r="I204" s="528">
        <v>0.8444</v>
      </c>
      <c r="J204" s="528">
        <v>0.8444</v>
      </c>
      <c r="K204" s="528">
        <v>0.8444</v>
      </c>
      <c r="L204" s="528">
        <v>0.8444</v>
      </c>
      <c r="M204" s="529">
        <v>0.8444</v>
      </c>
    </row>
    <row r="205" spans="1:13">
      <c r="A205" s="531">
        <v>2.8</v>
      </c>
      <c r="B205" s="528">
        <v>0.9794</v>
      </c>
      <c r="C205" s="528">
        <v>0.9794</v>
      </c>
      <c r="D205" s="528">
        <v>0.9757</v>
      </c>
      <c r="E205" s="528">
        <v>0.9757</v>
      </c>
      <c r="F205" s="528">
        <v>0.9757</v>
      </c>
      <c r="G205" s="528">
        <v>0.9757</v>
      </c>
      <c r="H205" s="528">
        <v>0.9757</v>
      </c>
      <c r="I205" s="528">
        <v>0.836</v>
      </c>
      <c r="J205" s="528">
        <v>0.836</v>
      </c>
      <c r="K205" s="528">
        <v>0.836</v>
      </c>
      <c r="L205" s="528">
        <v>0.836</v>
      </c>
      <c r="M205" s="529">
        <v>0.836</v>
      </c>
    </row>
    <row r="206" spans="1:13">
      <c r="A206" s="531">
        <v>2.9</v>
      </c>
      <c r="B206" s="528">
        <v>0.9735</v>
      </c>
      <c r="C206" s="528">
        <v>0.9735</v>
      </c>
      <c r="D206" s="528">
        <v>0.9687</v>
      </c>
      <c r="E206" s="528">
        <v>0.9687</v>
      </c>
      <c r="F206" s="528">
        <v>0.9687</v>
      </c>
      <c r="G206" s="528">
        <v>0.9687</v>
      </c>
      <c r="H206" s="528">
        <v>0.9687</v>
      </c>
      <c r="I206" s="528">
        <v>0.8282</v>
      </c>
      <c r="J206" s="528">
        <v>0.8282</v>
      </c>
      <c r="K206" s="528">
        <v>0.8282</v>
      </c>
      <c r="L206" s="528">
        <v>0.8282</v>
      </c>
      <c r="M206" s="529">
        <v>0.8282</v>
      </c>
    </row>
    <row r="207" spans="1:13">
      <c r="A207" s="531">
        <v>3</v>
      </c>
      <c r="B207" s="528">
        <v>0.9679</v>
      </c>
      <c r="C207" s="528">
        <v>0.9679</v>
      </c>
      <c r="D207" s="528">
        <v>0.9621</v>
      </c>
      <c r="E207" s="528">
        <v>0.9621</v>
      </c>
      <c r="F207" s="528">
        <v>0.9621</v>
      </c>
      <c r="G207" s="528">
        <v>0.9621</v>
      </c>
      <c r="H207" s="528">
        <v>0.9621</v>
      </c>
      <c r="I207" s="528">
        <v>0.8208</v>
      </c>
      <c r="J207" s="528">
        <v>0.8208</v>
      </c>
      <c r="K207" s="528">
        <v>0.8208</v>
      </c>
      <c r="L207" s="528">
        <v>0.8208</v>
      </c>
      <c r="M207" s="529">
        <v>0.8208</v>
      </c>
    </row>
    <row r="208" spans="1:13">
      <c r="A208" s="531">
        <v>3.1</v>
      </c>
      <c r="B208" s="528">
        <v>0.9627</v>
      </c>
      <c r="C208" s="528">
        <v>0.9627</v>
      </c>
      <c r="D208" s="528">
        <v>0.9559</v>
      </c>
      <c r="E208" s="528">
        <v>0.9559</v>
      </c>
      <c r="F208" s="528">
        <v>0.9559</v>
      </c>
      <c r="G208" s="528">
        <v>0.9559</v>
      </c>
      <c r="H208" s="528">
        <v>0.9559</v>
      </c>
      <c r="I208" s="528">
        <v>0.8139</v>
      </c>
      <c r="J208" s="528">
        <v>0.8139</v>
      </c>
      <c r="K208" s="528">
        <v>0.8139</v>
      </c>
      <c r="L208" s="528">
        <v>0.8139</v>
      </c>
      <c r="M208" s="529">
        <v>0.8139</v>
      </c>
    </row>
    <row r="209" spans="1:13">
      <c r="A209" s="531">
        <v>3.2</v>
      </c>
      <c r="B209" s="528">
        <v>0.9579</v>
      </c>
      <c r="C209" s="528">
        <v>0.9579</v>
      </c>
      <c r="D209" s="528">
        <v>0.9502</v>
      </c>
      <c r="E209" s="528">
        <v>0.9502</v>
      </c>
      <c r="F209" s="528">
        <v>0.9502</v>
      </c>
      <c r="G209" s="528">
        <v>0.9502</v>
      </c>
      <c r="H209" s="528">
        <v>0.9502</v>
      </c>
      <c r="I209" s="528">
        <v>0.8075</v>
      </c>
      <c r="J209" s="528">
        <v>0.8075</v>
      </c>
      <c r="K209" s="528">
        <v>0.8075</v>
      </c>
      <c r="L209" s="528">
        <v>0.8075</v>
      </c>
      <c r="M209" s="529">
        <v>0.8075</v>
      </c>
    </row>
    <row r="210" spans="1:13">
      <c r="A210" s="531">
        <v>3.3</v>
      </c>
      <c r="B210" s="528">
        <v>0.9534</v>
      </c>
      <c r="C210" s="528">
        <v>0.9534</v>
      </c>
      <c r="D210" s="528">
        <v>0.9448</v>
      </c>
      <c r="E210" s="528">
        <v>0.9448</v>
      </c>
      <c r="F210" s="528">
        <v>0.9448</v>
      </c>
      <c r="G210" s="528">
        <v>0.9448</v>
      </c>
      <c r="H210" s="528">
        <v>0.9448</v>
      </c>
      <c r="I210" s="528">
        <v>0.8015</v>
      </c>
      <c r="J210" s="528">
        <v>0.8015</v>
      </c>
      <c r="K210" s="528">
        <v>0.8015</v>
      </c>
      <c r="L210" s="528">
        <v>0.8015</v>
      </c>
      <c r="M210" s="529">
        <v>0.8015</v>
      </c>
    </row>
    <row r="211" spans="1:13">
      <c r="A211" s="531">
        <v>3.4</v>
      </c>
      <c r="B211" s="528">
        <v>0.9492</v>
      </c>
      <c r="C211" s="528">
        <v>0.9492</v>
      </c>
      <c r="D211" s="528">
        <v>0.9399</v>
      </c>
      <c r="E211" s="528">
        <v>0.9399</v>
      </c>
      <c r="F211" s="528">
        <v>0.9399</v>
      </c>
      <c r="G211" s="528">
        <v>0.9399</v>
      </c>
      <c r="H211" s="528">
        <v>0.9399</v>
      </c>
      <c r="I211" s="528">
        <v>0.7959</v>
      </c>
      <c r="J211" s="528">
        <v>0.7959</v>
      </c>
      <c r="K211" s="528">
        <v>0.7959</v>
      </c>
      <c r="L211" s="528">
        <v>0.7959</v>
      </c>
      <c r="M211" s="529">
        <v>0.7959</v>
      </c>
    </row>
    <row r="212" spans="1:13">
      <c r="A212" s="531">
        <v>3.5</v>
      </c>
      <c r="B212" s="528">
        <v>0.9454</v>
      </c>
      <c r="C212" s="528">
        <v>0.9454</v>
      </c>
      <c r="D212" s="528">
        <v>0.9352</v>
      </c>
      <c r="E212" s="528">
        <v>0.9352</v>
      </c>
      <c r="F212" s="528">
        <v>0.9352</v>
      </c>
      <c r="G212" s="528">
        <v>0.9352</v>
      </c>
      <c r="H212" s="528">
        <v>0.9352</v>
      </c>
      <c r="I212" s="528">
        <v>0.7906</v>
      </c>
      <c r="J212" s="528">
        <v>0.7906</v>
      </c>
      <c r="K212" s="528">
        <v>0.7906</v>
      </c>
      <c r="L212" s="528">
        <v>0.7906</v>
      </c>
      <c r="M212" s="529">
        <v>0.7906</v>
      </c>
    </row>
    <row r="213" spans="1:13">
      <c r="A213" s="531">
        <v>3.6</v>
      </c>
      <c r="B213" s="528">
        <v>0.9418</v>
      </c>
      <c r="C213" s="528">
        <v>0.9418</v>
      </c>
      <c r="D213" s="528">
        <v>0.9309</v>
      </c>
      <c r="E213" s="528">
        <v>0.9309</v>
      </c>
      <c r="F213" s="528">
        <v>0.9309</v>
      </c>
      <c r="G213" s="528">
        <v>0.9309</v>
      </c>
      <c r="H213" s="528">
        <v>0.9309</v>
      </c>
      <c r="I213" s="528">
        <v>0.7857</v>
      </c>
      <c r="J213" s="528">
        <v>0.7857</v>
      </c>
      <c r="K213" s="528">
        <v>0.7857</v>
      </c>
      <c r="L213" s="528">
        <v>0.7857</v>
      </c>
      <c r="M213" s="529">
        <v>0.7857</v>
      </c>
    </row>
    <row r="214" spans="1:13">
      <c r="A214" s="531">
        <v>3.7</v>
      </c>
      <c r="B214" s="528">
        <v>0.9384</v>
      </c>
      <c r="C214" s="528">
        <v>0.9384</v>
      </c>
      <c r="D214" s="528">
        <v>0.9269</v>
      </c>
      <c r="E214" s="528">
        <v>0.9269</v>
      </c>
      <c r="F214" s="528">
        <v>0.9269</v>
      </c>
      <c r="G214" s="528">
        <v>0.9269</v>
      </c>
      <c r="H214" s="528">
        <v>0.9269</v>
      </c>
      <c r="I214" s="528">
        <v>0.7811</v>
      </c>
      <c r="J214" s="528">
        <v>0.7811</v>
      </c>
      <c r="K214" s="528">
        <v>0.7811</v>
      </c>
      <c r="L214" s="528">
        <v>0.7811</v>
      </c>
      <c r="M214" s="529">
        <v>0.7811</v>
      </c>
    </row>
    <row r="215" spans="1:13">
      <c r="A215" s="531">
        <v>3.8</v>
      </c>
      <c r="B215" s="528">
        <v>0.9353</v>
      </c>
      <c r="C215" s="528">
        <v>0.9353</v>
      </c>
      <c r="D215" s="528">
        <v>0.9231</v>
      </c>
      <c r="E215" s="528">
        <v>0.9231</v>
      </c>
      <c r="F215" s="528">
        <v>0.9231</v>
      </c>
      <c r="G215" s="528">
        <v>0.9231</v>
      </c>
      <c r="H215" s="528">
        <v>0.9231</v>
      </c>
      <c r="I215" s="528">
        <v>0.7768</v>
      </c>
      <c r="J215" s="528">
        <v>0.7768</v>
      </c>
      <c r="K215" s="528">
        <v>0.7768</v>
      </c>
      <c r="L215" s="528">
        <v>0.7768</v>
      </c>
      <c r="M215" s="529">
        <v>0.7768</v>
      </c>
    </row>
    <row r="216" spans="1:13">
      <c r="A216" s="531">
        <v>3.9</v>
      </c>
      <c r="B216" s="528">
        <v>0.9324</v>
      </c>
      <c r="C216" s="528">
        <v>0.9324</v>
      </c>
      <c r="D216" s="528">
        <v>0.9196</v>
      </c>
      <c r="E216" s="528">
        <v>0.9196</v>
      </c>
      <c r="F216" s="528">
        <v>0.9196</v>
      </c>
      <c r="G216" s="528">
        <v>0.9196</v>
      </c>
      <c r="H216" s="528">
        <v>0.9196</v>
      </c>
      <c r="I216" s="528">
        <v>0.7727</v>
      </c>
      <c r="J216" s="528">
        <v>0.7727</v>
      </c>
      <c r="K216" s="528">
        <v>0.7727</v>
      </c>
      <c r="L216" s="528">
        <v>0.7727</v>
      </c>
      <c r="M216" s="529">
        <v>0.7727</v>
      </c>
    </row>
    <row r="217" spans="1:13">
      <c r="A217" s="531">
        <v>4</v>
      </c>
      <c r="B217" s="528">
        <v>0.9297</v>
      </c>
      <c r="C217" s="528">
        <v>0.9297</v>
      </c>
      <c r="D217" s="528">
        <v>0.9163</v>
      </c>
      <c r="E217" s="528">
        <v>0.9163</v>
      </c>
      <c r="F217" s="528">
        <v>0.9163</v>
      </c>
      <c r="G217" s="528">
        <v>0.9163</v>
      </c>
      <c r="H217" s="528">
        <v>0.9163</v>
      </c>
      <c r="I217" s="528">
        <v>0.7688</v>
      </c>
      <c r="J217" s="528">
        <v>0.7688</v>
      </c>
      <c r="K217" s="528">
        <v>0.7688</v>
      </c>
      <c r="L217" s="528">
        <v>0.7688</v>
      </c>
      <c r="M217" s="529">
        <v>0.7688</v>
      </c>
    </row>
    <row r="218" spans="1:13">
      <c r="A218" s="531">
        <v>4.1</v>
      </c>
      <c r="B218" s="528">
        <v>0.9272</v>
      </c>
      <c r="C218" s="528">
        <v>0.9272</v>
      </c>
      <c r="D218" s="528">
        <v>0.9132</v>
      </c>
      <c r="E218" s="528">
        <v>0.9132</v>
      </c>
      <c r="F218" s="528">
        <v>0.9132</v>
      </c>
      <c r="G218" s="528">
        <v>0.9132</v>
      </c>
      <c r="H218" s="528">
        <v>0.9132</v>
      </c>
      <c r="I218" s="528">
        <v>0.7651</v>
      </c>
      <c r="J218" s="528">
        <v>0.7651</v>
      </c>
      <c r="K218" s="528">
        <v>0.7651</v>
      </c>
      <c r="L218" s="528">
        <v>0.7651</v>
      </c>
      <c r="M218" s="529">
        <v>0.7651</v>
      </c>
    </row>
    <row r="219" spans="1:13">
      <c r="A219" s="531">
        <v>4.2</v>
      </c>
      <c r="B219" s="528">
        <v>0.9248</v>
      </c>
      <c r="C219" s="528">
        <v>0.9248</v>
      </c>
      <c r="D219" s="528">
        <v>0.9102</v>
      </c>
      <c r="E219" s="528">
        <v>0.9102</v>
      </c>
      <c r="F219" s="528">
        <v>0.9102</v>
      </c>
      <c r="G219" s="528">
        <v>0.9102</v>
      </c>
      <c r="H219" s="528">
        <v>0.9102</v>
      </c>
      <c r="I219" s="528">
        <v>0.7615</v>
      </c>
      <c r="J219" s="528">
        <v>0.7615</v>
      </c>
      <c r="K219" s="528">
        <v>0.7615</v>
      </c>
      <c r="L219" s="528">
        <v>0.7615</v>
      </c>
      <c r="M219" s="529">
        <v>0.7615</v>
      </c>
    </row>
    <row r="220" spans="1:13">
      <c r="A220" s="531">
        <v>4.3</v>
      </c>
      <c r="B220" s="528">
        <v>0.9225</v>
      </c>
      <c r="C220" s="528">
        <v>0.9225</v>
      </c>
      <c r="D220" s="528">
        <v>0.9073</v>
      </c>
      <c r="E220" s="528">
        <v>0.9073</v>
      </c>
      <c r="F220" s="528">
        <v>0.9073</v>
      </c>
      <c r="G220" s="528">
        <v>0.9073</v>
      </c>
      <c r="H220" s="528">
        <v>0.9073</v>
      </c>
      <c r="I220" s="528">
        <v>0.758</v>
      </c>
      <c r="J220" s="528">
        <v>0.758</v>
      </c>
      <c r="K220" s="528">
        <v>0.758</v>
      </c>
      <c r="L220" s="528">
        <v>0.758</v>
      </c>
      <c r="M220" s="529">
        <v>0.758</v>
      </c>
    </row>
    <row r="221" spans="1:13">
      <c r="A221" s="531">
        <v>4.4</v>
      </c>
      <c r="B221" s="528">
        <v>0.9203</v>
      </c>
      <c r="C221" s="528">
        <v>0.9203</v>
      </c>
      <c r="D221" s="528">
        <v>0.9045</v>
      </c>
      <c r="E221" s="528">
        <v>0.9045</v>
      </c>
      <c r="F221" s="528">
        <v>0.9045</v>
      </c>
      <c r="G221" s="528">
        <v>0.9045</v>
      </c>
      <c r="H221" s="528">
        <v>0.9045</v>
      </c>
      <c r="I221" s="528">
        <v>0.7546</v>
      </c>
      <c r="J221" s="528">
        <v>0.7546</v>
      </c>
      <c r="K221" s="528">
        <v>0.7546</v>
      </c>
      <c r="L221" s="528">
        <v>0.7546</v>
      </c>
      <c r="M221" s="529">
        <v>0.7546</v>
      </c>
    </row>
    <row r="222" spans="1:13">
      <c r="A222" s="531">
        <v>4.5</v>
      </c>
      <c r="B222" s="528">
        <v>0.9181</v>
      </c>
      <c r="C222" s="528">
        <v>0.9181</v>
      </c>
      <c r="D222" s="528">
        <v>0.9018</v>
      </c>
      <c r="E222" s="528">
        <v>0.9018</v>
      </c>
      <c r="F222" s="528">
        <v>0.9018</v>
      </c>
      <c r="G222" s="528">
        <v>0.9018</v>
      </c>
      <c r="H222" s="528">
        <v>0.9018</v>
      </c>
      <c r="I222" s="528">
        <v>0.7513</v>
      </c>
      <c r="J222" s="528">
        <v>0.7513</v>
      </c>
      <c r="K222" s="528">
        <v>0.7513</v>
      </c>
      <c r="L222" s="528">
        <v>0.7513</v>
      </c>
      <c r="M222" s="529">
        <v>0.7513</v>
      </c>
    </row>
    <row r="223" spans="1:13">
      <c r="A223" s="531">
        <v>4.6</v>
      </c>
      <c r="B223" s="528">
        <v>0.916</v>
      </c>
      <c r="C223" s="528">
        <v>0.916</v>
      </c>
      <c r="D223" s="528">
        <v>0.8992</v>
      </c>
      <c r="E223" s="528">
        <v>0.8992</v>
      </c>
      <c r="F223" s="528">
        <v>0.8992</v>
      </c>
      <c r="G223" s="528">
        <v>0.8992</v>
      </c>
      <c r="H223" s="528">
        <v>0.8992</v>
      </c>
      <c r="I223" s="528">
        <v>0.748</v>
      </c>
      <c r="J223" s="528">
        <v>0.748</v>
      </c>
      <c r="K223" s="528">
        <v>0.748</v>
      </c>
      <c r="L223" s="528">
        <v>0.748</v>
      </c>
      <c r="M223" s="529">
        <v>0.748</v>
      </c>
    </row>
    <row r="224" spans="1:13">
      <c r="A224" s="531">
        <v>4.7</v>
      </c>
      <c r="B224" s="528">
        <v>0.9139</v>
      </c>
      <c r="C224" s="528">
        <v>0.9139</v>
      </c>
      <c r="D224" s="528">
        <v>0.8966</v>
      </c>
      <c r="E224" s="528">
        <v>0.8966</v>
      </c>
      <c r="F224" s="528">
        <v>0.8966</v>
      </c>
      <c r="G224" s="528">
        <v>0.8966</v>
      </c>
      <c r="H224" s="528">
        <v>0.8966</v>
      </c>
      <c r="I224" s="528">
        <v>0.7448</v>
      </c>
      <c r="J224" s="528">
        <v>0.7448</v>
      </c>
      <c r="K224" s="528">
        <v>0.7448</v>
      </c>
      <c r="L224" s="528">
        <v>0.7448</v>
      </c>
      <c r="M224" s="529">
        <v>0.7448</v>
      </c>
    </row>
    <row r="225" spans="1:13">
      <c r="A225" s="531">
        <v>4.8</v>
      </c>
      <c r="B225" s="528">
        <v>0.9118</v>
      </c>
      <c r="C225" s="528">
        <v>0.9118</v>
      </c>
      <c r="D225" s="528">
        <v>0.8941</v>
      </c>
      <c r="E225" s="528">
        <v>0.8941</v>
      </c>
      <c r="F225" s="528">
        <v>0.8941</v>
      </c>
      <c r="G225" s="528">
        <v>0.8941</v>
      </c>
      <c r="H225" s="528">
        <v>0.8941</v>
      </c>
      <c r="I225" s="528">
        <v>0.7416</v>
      </c>
      <c r="J225" s="528">
        <v>0.7416</v>
      </c>
      <c r="K225" s="528">
        <v>0.7416</v>
      </c>
      <c r="L225" s="528">
        <v>0.7416</v>
      </c>
      <c r="M225" s="529">
        <v>0.7416</v>
      </c>
    </row>
    <row r="226" spans="1:13">
      <c r="A226" s="531">
        <v>4.9</v>
      </c>
      <c r="B226" s="528">
        <v>0.9098</v>
      </c>
      <c r="C226" s="528">
        <v>0.9098</v>
      </c>
      <c r="D226" s="528">
        <v>0.8916</v>
      </c>
      <c r="E226" s="528">
        <v>0.8916</v>
      </c>
      <c r="F226" s="528">
        <v>0.8916</v>
      </c>
      <c r="G226" s="528">
        <v>0.8916</v>
      </c>
      <c r="H226" s="528">
        <v>0.8916</v>
      </c>
      <c r="I226" s="528">
        <v>0.7384</v>
      </c>
      <c r="J226" s="528">
        <v>0.7384</v>
      </c>
      <c r="K226" s="528">
        <v>0.7384</v>
      </c>
      <c r="L226" s="528">
        <v>0.7384</v>
      </c>
      <c r="M226" s="529">
        <v>0.7384</v>
      </c>
    </row>
    <row r="227" spans="1:13">
      <c r="A227" s="531">
        <v>5</v>
      </c>
      <c r="B227" s="528">
        <v>0.9078</v>
      </c>
      <c r="C227" s="528">
        <v>0.9078</v>
      </c>
      <c r="D227" s="528">
        <v>0.8891</v>
      </c>
      <c r="E227" s="528">
        <v>0.8891</v>
      </c>
      <c r="F227" s="528">
        <v>0.8891</v>
      </c>
      <c r="G227" s="528">
        <v>0.8891</v>
      </c>
      <c r="H227" s="528">
        <v>0.8891</v>
      </c>
      <c r="I227" s="528">
        <v>0.7353</v>
      </c>
      <c r="J227" s="528">
        <v>0.7353</v>
      </c>
      <c r="K227" s="528">
        <v>0.7353</v>
      </c>
      <c r="L227" s="528">
        <v>0.7353</v>
      </c>
      <c r="M227" s="529">
        <v>0.7353</v>
      </c>
    </row>
    <row r="228" spans="1:13">
      <c r="A228" s="527">
        <v>5.1</v>
      </c>
      <c r="B228" s="528">
        <v>0.9058</v>
      </c>
      <c r="C228" s="528">
        <v>0.9058</v>
      </c>
      <c r="D228" s="528">
        <v>0.8867</v>
      </c>
      <c r="E228" s="528">
        <v>0.8867</v>
      </c>
      <c r="F228" s="528">
        <v>0.8867</v>
      </c>
      <c r="G228" s="528">
        <v>0.8867</v>
      </c>
      <c r="H228" s="528">
        <v>0.8867</v>
      </c>
      <c r="I228" s="528">
        <v>0.7322</v>
      </c>
      <c r="J228" s="528">
        <v>0.7322</v>
      </c>
      <c r="K228" s="528">
        <v>0.7322</v>
      </c>
      <c r="L228" s="528">
        <v>0.7322</v>
      </c>
      <c r="M228" s="529">
        <v>0.7322</v>
      </c>
    </row>
    <row r="229" spans="1:13">
      <c r="A229" s="527">
        <v>5.2</v>
      </c>
      <c r="B229" s="528">
        <v>0.9038</v>
      </c>
      <c r="C229" s="528">
        <v>0.9038</v>
      </c>
      <c r="D229" s="528">
        <v>0.8843</v>
      </c>
      <c r="E229" s="528">
        <v>0.8843</v>
      </c>
      <c r="F229" s="528">
        <v>0.8843</v>
      </c>
      <c r="G229" s="528">
        <v>0.8843</v>
      </c>
      <c r="H229" s="528">
        <v>0.8843</v>
      </c>
      <c r="I229" s="528">
        <v>0.7291</v>
      </c>
      <c r="J229" s="528">
        <v>0.7291</v>
      </c>
      <c r="K229" s="528">
        <v>0.7291</v>
      </c>
      <c r="L229" s="528">
        <v>0.7291</v>
      </c>
      <c r="M229" s="529">
        <v>0.7291</v>
      </c>
    </row>
    <row r="230" spans="1:13">
      <c r="A230" s="527">
        <v>5.3</v>
      </c>
      <c r="B230" s="528">
        <v>0.9019</v>
      </c>
      <c r="C230" s="528">
        <v>0.9019</v>
      </c>
      <c r="D230" s="528">
        <v>0.8819</v>
      </c>
      <c r="E230" s="528">
        <v>0.8819</v>
      </c>
      <c r="F230" s="528">
        <v>0.8819</v>
      </c>
      <c r="G230" s="528">
        <v>0.8819</v>
      </c>
      <c r="H230" s="528">
        <v>0.8819</v>
      </c>
      <c r="I230" s="528">
        <v>0.7261</v>
      </c>
      <c r="J230" s="528">
        <v>0.7261</v>
      </c>
      <c r="K230" s="528">
        <v>0.7261</v>
      </c>
      <c r="L230" s="528">
        <v>0.7261</v>
      </c>
      <c r="M230" s="529">
        <v>0.7261</v>
      </c>
    </row>
    <row r="231" spans="1:13">
      <c r="A231" s="527">
        <v>5.4</v>
      </c>
      <c r="B231" s="528">
        <v>0.9</v>
      </c>
      <c r="C231" s="528">
        <v>0.9</v>
      </c>
      <c r="D231" s="528">
        <v>0.8795</v>
      </c>
      <c r="E231" s="528">
        <v>0.8795</v>
      </c>
      <c r="F231" s="528">
        <v>0.8795</v>
      </c>
      <c r="G231" s="528">
        <v>0.8795</v>
      </c>
      <c r="H231" s="528">
        <v>0.8795</v>
      </c>
      <c r="I231" s="528">
        <v>0.7231</v>
      </c>
      <c r="J231" s="528">
        <v>0.7231</v>
      </c>
      <c r="K231" s="528">
        <v>0.7231</v>
      </c>
      <c r="L231" s="528">
        <v>0.7231</v>
      </c>
      <c r="M231" s="529">
        <v>0.7231</v>
      </c>
    </row>
    <row r="232" spans="1:13">
      <c r="A232" s="527">
        <v>5.5</v>
      </c>
      <c r="B232" s="528">
        <v>0.8981</v>
      </c>
      <c r="C232" s="528">
        <v>0.8981</v>
      </c>
      <c r="D232" s="528">
        <v>0.8772</v>
      </c>
      <c r="E232" s="528">
        <v>0.8772</v>
      </c>
      <c r="F232" s="528">
        <v>0.8772</v>
      </c>
      <c r="G232" s="528">
        <v>0.8772</v>
      </c>
      <c r="H232" s="528">
        <v>0.8772</v>
      </c>
      <c r="I232" s="528">
        <v>0.7201</v>
      </c>
      <c r="J232" s="528">
        <v>0.7201</v>
      </c>
      <c r="K232" s="528">
        <v>0.7201</v>
      </c>
      <c r="L232" s="528">
        <v>0.7201</v>
      </c>
      <c r="M232" s="529">
        <v>0.7201</v>
      </c>
    </row>
    <row r="233" spans="1:13">
      <c r="A233" s="527">
        <v>5.6</v>
      </c>
      <c r="B233" s="528">
        <v>0.8962</v>
      </c>
      <c r="C233" s="528">
        <v>0.8962</v>
      </c>
      <c r="D233" s="528">
        <v>0.8749</v>
      </c>
      <c r="E233" s="528">
        <v>0.8749</v>
      </c>
      <c r="F233" s="528">
        <v>0.8749</v>
      </c>
      <c r="G233" s="528">
        <v>0.8749</v>
      </c>
      <c r="H233" s="528">
        <v>0.8749</v>
      </c>
      <c r="I233" s="528">
        <v>0.7171</v>
      </c>
      <c r="J233" s="528">
        <v>0.7171</v>
      </c>
      <c r="K233" s="528">
        <v>0.7171</v>
      </c>
      <c r="L233" s="528">
        <v>0.7171</v>
      </c>
      <c r="M233" s="529">
        <v>0.7171</v>
      </c>
    </row>
    <row r="234" spans="1:13">
      <c r="A234" s="531">
        <v>5.7</v>
      </c>
      <c r="B234" s="528">
        <v>0.8943</v>
      </c>
      <c r="C234" s="528">
        <v>0.8943</v>
      </c>
      <c r="D234" s="528">
        <v>0.8726</v>
      </c>
      <c r="E234" s="528">
        <v>0.8726</v>
      </c>
      <c r="F234" s="528">
        <v>0.8726</v>
      </c>
      <c r="G234" s="528">
        <v>0.8726</v>
      </c>
      <c r="H234" s="528">
        <v>0.8726</v>
      </c>
      <c r="I234" s="528">
        <v>0.7142</v>
      </c>
      <c r="J234" s="528">
        <v>0.7142</v>
      </c>
      <c r="K234" s="528">
        <v>0.7142</v>
      </c>
      <c r="L234" s="528">
        <v>0.7142</v>
      </c>
      <c r="M234" s="529">
        <v>0.7142</v>
      </c>
    </row>
    <row r="235" spans="1:13">
      <c r="A235" s="527">
        <v>5.8</v>
      </c>
      <c r="B235" s="528">
        <v>0.8925</v>
      </c>
      <c r="C235" s="528">
        <v>0.8925</v>
      </c>
      <c r="D235" s="528">
        <v>0.8703</v>
      </c>
      <c r="E235" s="528">
        <v>0.8703</v>
      </c>
      <c r="F235" s="528">
        <v>0.8703</v>
      </c>
      <c r="G235" s="528">
        <v>0.8703</v>
      </c>
      <c r="H235" s="528">
        <v>0.8703</v>
      </c>
      <c r="I235" s="528">
        <v>0.7113</v>
      </c>
      <c r="J235" s="528">
        <v>0.7113</v>
      </c>
      <c r="K235" s="528">
        <v>0.7113</v>
      </c>
      <c r="L235" s="528">
        <v>0.7113</v>
      </c>
      <c r="M235" s="529">
        <v>0.7113</v>
      </c>
    </row>
    <row r="236" spans="1:13">
      <c r="A236" s="527">
        <v>5.9</v>
      </c>
      <c r="B236" s="528">
        <v>0.8907</v>
      </c>
      <c r="C236" s="528">
        <v>0.8907</v>
      </c>
      <c r="D236" s="528">
        <v>0.868</v>
      </c>
      <c r="E236" s="528">
        <v>0.868</v>
      </c>
      <c r="F236" s="528">
        <v>0.868</v>
      </c>
      <c r="G236" s="528">
        <v>0.868</v>
      </c>
      <c r="H236" s="528">
        <v>0.868</v>
      </c>
      <c r="I236" s="528">
        <v>0.7084</v>
      </c>
      <c r="J236" s="528">
        <v>0.7084</v>
      </c>
      <c r="K236" s="528">
        <v>0.7084</v>
      </c>
      <c r="L236" s="528">
        <v>0.7084</v>
      </c>
      <c r="M236" s="529">
        <v>0.7084</v>
      </c>
    </row>
    <row r="237" spans="1:13">
      <c r="A237" s="527">
        <v>6</v>
      </c>
      <c r="B237" s="528">
        <v>0.8889</v>
      </c>
      <c r="C237" s="528">
        <v>0.8889</v>
      </c>
      <c r="D237" s="528">
        <v>0.8658</v>
      </c>
      <c r="E237" s="528">
        <v>0.8658</v>
      </c>
      <c r="F237" s="528">
        <v>0.8658</v>
      </c>
      <c r="G237" s="528">
        <v>0.8658</v>
      </c>
      <c r="H237" s="528">
        <v>0.8658</v>
      </c>
      <c r="I237" s="528">
        <v>0.7055</v>
      </c>
      <c r="J237" s="528">
        <v>0.7055</v>
      </c>
      <c r="K237" s="528">
        <v>0.7055</v>
      </c>
      <c r="L237" s="528">
        <v>0.7055</v>
      </c>
      <c r="M237" s="529">
        <v>0.7055</v>
      </c>
    </row>
    <row r="238" spans="1:13">
      <c r="A238" s="527">
        <v>6.1</v>
      </c>
      <c r="B238" s="528">
        <v>0.8871</v>
      </c>
      <c r="C238" s="528">
        <v>0.8871</v>
      </c>
      <c r="D238" s="528">
        <v>0.8636</v>
      </c>
      <c r="E238" s="528">
        <v>0.8636</v>
      </c>
      <c r="F238" s="528">
        <v>0.8636</v>
      </c>
      <c r="G238" s="528">
        <v>0.8636</v>
      </c>
      <c r="H238" s="528">
        <v>0.8636</v>
      </c>
      <c r="I238" s="528">
        <v>0.7027</v>
      </c>
      <c r="J238" s="528">
        <v>0.7027</v>
      </c>
      <c r="K238" s="528">
        <v>0.7027</v>
      </c>
      <c r="L238" s="528">
        <v>0.7027</v>
      </c>
      <c r="M238" s="529">
        <v>0.7027</v>
      </c>
    </row>
    <row r="239" spans="1:13">
      <c r="A239" s="527">
        <v>6.2</v>
      </c>
      <c r="B239" s="528">
        <v>0.8853</v>
      </c>
      <c r="C239" s="528">
        <v>0.8853</v>
      </c>
      <c r="D239" s="528">
        <v>0.8614</v>
      </c>
      <c r="E239" s="528">
        <v>0.8614</v>
      </c>
      <c r="F239" s="528">
        <v>0.8614</v>
      </c>
      <c r="G239" s="528">
        <v>0.8614</v>
      </c>
      <c r="H239" s="528">
        <v>0.8614</v>
      </c>
      <c r="I239" s="528">
        <v>0.6999</v>
      </c>
      <c r="J239" s="528">
        <v>0.6999</v>
      </c>
      <c r="K239" s="528">
        <v>0.6999</v>
      </c>
      <c r="L239" s="528">
        <v>0.6999</v>
      </c>
      <c r="M239" s="529">
        <v>0.6999</v>
      </c>
    </row>
    <row r="240" spans="1:13">
      <c r="A240" s="527">
        <v>6.3</v>
      </c>
      <c r="B240" s="528">
        <v>0.8835</v>
      </c>
      <c r="C240" s="528">
        <v>0.8835</v>
      </c>
      <c r="D240" s="528">
        <v>0.8592</v>
      </c>
      <c r="E240" s="528">
        <v>0.8592</v>
      </c>
      <c r="F240" s="528">
        <v>0.8592</v>
      </c>
      <c r="G240" s="528">
        <v>0.8592</v>
      </c>
      <c r="H240" s="528">
        <v>0.8592</v>
      </c>
      <c r="I240" s="528">
        <v>0.6971</v>
      </c>
      <c r="J240" s="528">
        <v>0.6971</v>
      </c>
      <c r="K240" s="528">
        <v>0.6971</v>
      </c>
      <c r="L240" s="528">
        <v>0.6971</v>
      </c>
      <c r="M240" s="529">
        <v>0.6971</v>
      </c>
    </row>
    <row r="241" spans="1:13">
      <c r="A241" s="527">
        <v>6.4</v>
      </c>
      <c r="B241" s="528">
        <v>0.8818</v>
      </c>
      <c r="C241" s="528">
        <v>0.8818</v>
      </c>
      <c r="D241" s="528">
        <v>0.857</v>
      </c>
      <c r="E241" s="528">
        <v>0.857</v>
      </c>
      <c r="F241" s="528">
        <v>0.857</v>
      </c>
      <c r="G241" s="528">
        <v>0.857</v>
      </c>
      <c r="H241" s="528">
        <v>0.857</v>
      </c>
      <c r="I241" s="528">
        <v>0.6943</v>
      </c>
      <c r="J241" s="528">
        <v>0.6943</v>
      </c>
      <c r="K241" s="528">
        <v>0.6943</v>
      </c>
      <c r="L241" s="528">
        <v>0.6943</v>
      </c>
      <c r="M241" s="529">
        <v>0.6943</v>
      </c>
    </row>
    <row r="242" spans="1:13">
      <c r="A242" s="527">
        <v>6.5</v>
      </c>
      <c r="B242" s="528">
        <v>0.8801</v>
      </c>
      <c r="C242" s="528">
        <v>0.8801</v>
      </c>
      <c r="D242" s="528">
        <v>0.8549</v>
      </c>
      <c r="E242" s="528">
        <v>0.8549</v>
      </c>
      <c r="F242" s="528">
        <v>0.8549</v>
      </c>
      <c r="G242" s="528">
        <v>0.8549</v>
      </c>
      <c r="H242" s="528">
        <v>0.8549</v>
      </c>
      <c r="I242" s="528">
        <v>0.6916</v>
      </c>
      <c r="J242" s="528">
        <v>0.6916</v>
      </c>
      <c r="K242" s="528">
        <v>0.6916</v>
      </c>
      <c r="L242" s="528">
        <v>0.6916</v>
      </c>
      <c r="M242" s="529">
        <v>0.6916</v>
      </c>
    </row>
    <row r="243" spans="1:13">
      <c r="A243" s="527">
        <v>6.6</v>
      </c>
      <c r="B243" s="528">
        <v>0.8784</v>
      </c>
      <c r="C243" s="528">
        <v>0.8784</v>
      </c>
      <c r="D243" s="528">
        <v>0.8528</v>
      </c>
      <c r="E243" s="528">
        <v>0.8528</v>
      </c>
      <c r="F243" s="528">
        <v>0.8528</v>
      </c>
      <c r="G243" s="528">
        <v>0.8528</v>
      </c>
      <c r="H243" s="528">
        <v>0.8528</v>
      </c>
      <c r="I243" s="528">
        <v>0.6889</v>
      </c>
      <c r="J243" s="528">
        <v>0.6889</v>
      </c>
      <c r="K243" s="528">
        <v>0.6889</v>
      </c>
      <c r="L243" s="528">
        <v>0.6889</v>
      </c>
      <c r="M243" s="529">
        <v>0.6889</v>
      </c>
    </row>
    <row r="244" spans="1:13">
      <c r="A244" s="527">
        <v>6.7</v>
      </c>
      <c r="B244" s="528">
        <v>0.8767</v>
      </c>
      <c r="C244" s="528">
        <v>0.8767</v>
      </c>
      <c r="D244" s="528">
        <v>0.8507</v>
      </c>
      <c r="E244" s="528">
        <v>0.8507</v>
      </c>
      <c r="F244" s="528">
        <v>0.8507</v>
      </c>
      <c r="G244" s="528">
        <v>0.8507</v>
      </c>
      <c r="H244" s="528">
        <v>0.8507</v>
      </c>
      <c r="I244" s="528">
        <v>0.6862</v>
      </c>
      <c r="J244" s="528">
        <v>0.6862</v>
      </c>
      <c r="K244" s="528">
        <v>0.6862</v>
      </c>
      <c r="L244" s="528">
        <v>0.6862</v>
      </c>
      <c r="M244" s="529">
        <v>0.6862</v>
      </c>
    </row>
    <row r="245" spans="1:13">
      <c r="A245" s="527">
        <v>6.8</v>
      </c>
      <c r="B245" s="528">
        <v>0.875</v>
      </c>
      <c r="C245" s="528">
        <v>0.875</v>
      </c>
      <c r="D245" s="528">
        <v>0.8486</v>
      </c>
      <c r="E245" s="528">
        <v>0.8486</v>
      </c>
      <c r="F245" s="528">
        <v>0.8486</v>
      </c>
      <c r="G245" s="528">
        <v>0.8486</v>
      </c>
      <c r="H245" s="528">
        <v>0.8486</v>
      </c>
      <c r="I245" s="528">
        <v>0.6835</v>
      </c>
      <c r="J245" s="528">
        <v>0.6835</v>
      </c>
      <c r="K245" s="528">
        <v>0.6835</v>
      </c>
      <c r="L245" s="528">
        <v>0.6835</v>
      </c>
      <c r="M245" s="529">
        <v>0.6835</v>
      </c>
    </row>
    <row r="246" spans="1:13">
      <c r="A246" s="527">
        <v>6.9</v>
      </c>
      <c r="B246" s="528">
        <v>0.8733</v>
      </c>
      <c r="C246" s="528">
        <v>0.8733</v>
      </c>
      <c r="D246" s="528">
        <v>0.8465</v>
      </c>
      <c r="E246" s="528">
        <v>0.8465</v>
      </c>
      <c r="F246" s="528">
        <v>0.8465</v>
      </c>
      <c r="G246" s="528">
        <v>0.8465</v>
      </c>
      <c r="H246" s="528">
        <v>0.8465</v>
      </c>
      <c r="I246" s="528">
        <v>0.6809</v>
      </c>
      <c r="J246" s="528">
        <v>0.6809</v>
      </c>
      <c r="K246" s="528">
        <v>0.6809</v>
      </c>
      <c r="L246" s="528">
        <v>0.6809</v>
      </c>
      <c r="M246" s="529">
        <v>0.6809</v>
      </c>
    </row>
    <row r="247" spans="1:13">
      <c r="A247" s="527">
        <v>7</v>
      </c>
      <c r="B247" s="528">
        <v>0.8717</v>
      </c>
      <c r="C247" s="528">
        <v>0.8717</v>
      </c>
      <c r="D247" s="528">
        <v>0.8445</v>
      </c>
      <c r="E247" s="528">
        <v>0.8445</v>
      </c>
      <c r="F247" s="528">
        <v>0.8445</v>
      </c>
      <c r="G247" s="528">
        <v>0.8445</v>
      </c>
      <c r="H247" s="528">
        <v>0.8445</v>
      </c>
      <c r="I247" s="528">
        <v>0.6783</v>
      </c>
      <c r="J247" s="528">
        <v>0.6783</v>
      </c>
      <c r="K247" s="528">
        <v>0.6783</v>
      </c>
      <c r="L247" s="528">
        <v>0.6783</v>
      </c>
      <c r="M247" s="529">
        <v>0.6783</v>
      </c>
    </row>
    <row r="248" spans="1:13">
      <c r="A248" s="527">
        <v>7.1</v>
      </c>
      <c r="B248" s="528">
        <v>0.8701</v>
      </c>
      <c r="C248" s="528">
        <v>0.8701</v>
      </c>
      <c r="D248" s="528">
        <v>0.8425</v>
      </c>
      <c r="E248" s="528">
        <v>0.8425</v>
      </c>
      <c r="F248" s="528">
        <v>0.8425</v>
      </c>
      <c r="G248" s="528">
        <v>0.8425</v>
      </c>
      <c r="H248" s="528">
        <v>0.8425</v>
      </c>
      <c r="I248" s="528">
        <v>0.6757</v>
      </c>
      <c r="J248" s="528">
        <v>0.6757</v>
      </c>
      <c r="K248" s="528">
        <v>0.6757</v>
      </c>
      <c r="L248" s="528">
        <v>0.6757</v>
      </c>
      <c r="M248" s="529">
        <v>0.6757</v>
      </c>
    </row>
    <row r="249" spans="1:13">
      <c r="A249" s="527">
        <v>7.2</v>
      </c>
      <c r="B249" s="528">
        <v>0.8685</v>
      </c>
      <c r="C249" s="528">
        <v>0.8685</v>
      </c>
      <c r="D249" s="528">
        <v>0.8405</v>
      </c>
      <c r="E249" s="528">
        <v>0.8405</v>
      </c>
      <c r="F249" s="528">
        <v>0.8405</v>
      </c>
      <c r="G249" s="528">
        <v>0.8405</v>
      </c>
      <c r="H249" s="528">
        <v>0.8405</v>
      </c>
      <c r="I249" s="528">
        <v>0.6731</v>
      </c>
      <c r="J249" s="528">
        <v>0.6731</v>
      </c>
      <c r="K249" s="528">
        <v>0.6731</v>
      </c>
      <c r="L249" s="528">
        <v>0.6731</v>
      </c>
      <c r="M249" s="529">
        <v>0.6731</v>
      </c>
    </row>
    <row r="250" spans="1:13">
      <c r="A250" s="527">
        <v>7.3</v>
      </c>
      <c r="B250" s="528">
        <v>0.8669</v>
      </c>
      <c r="C250" s="528">
        <v>0.8669</v>
      </c>
      <c r="D250" s="528">
        <v>0.8385</v>
      </c>
      <c r="E250" s="528">
        <v>0.8385</v>
      </c>
      <c r="F250" s="528">
        <v>0.8385</v>
      </c>
      <c r="G250" s="528">
        <v>0.8385</v>
      </c>
      <c r="H250" s="528">
        <v>0.8385</v>
      </c>
      <c r="I250" s="528">
        <v>0.6706</v>
      </c>
      <c r="J250" s="528">
        <v>0.6706</v>
      </c>
      <c r="K250" s="528">
        <v>0.6706</v>
      </c>
      <c r="L250" s="528">
        <v>0.6706</v>
      </c>
      <c r="M250" s="529">
        <v>0.6706</v>
      </c>
    </row>
    <row r="251" spans="1:13">
      <c r="A251" s="527">
        <v>7.4</v>
      </c>
      <c r="B251" s="528">
        <v>0.8653</v>
      </c>
      <c r="C251" s="528">
        <v>0.8653</v>
      </c>
      <c r="D251" s="528">
        <v>0.8365</v>
      </c>
      <c r="E251" s="528">
        <v>0.8365</v>
      </c>
      <c r="F251" s="528">
        <v>0.8365</v>
      </c>
      <c r="G251" s="528">
        <v>0.8365</v>
      </c>
      <c r="H251" s="528">
        <v>0.8365</v>
      </c>
      <c r="I251" s="528">
        <v>0.6681</v>
      </c>
      <c r="J251" s="528">
        <v>0.6681</v>
      </c>
      <c r="K251" s="528">
        <v>0.6681</v>
      </c>
      <c r="L251" s="528">
        <v>0.6681</v>
      </c>
      <c r="M251" s="529">
        <v>0.6681</v>
      </c>
    </row>
    <row r="252" spans="1:13">
      <c r="A252" s="527">
        <v>7.5</v>
      </c>
      <c r="B252" s="528">
        <v>0.8637</v>
      </c>
      <c r="C252" s="528">
        <v>0.8637</v>
      </c>
      <c r="D252" s="528">
        <v>0.8346</v>
      </c>
      <c r="E252" s="528">
        <v>0.8346</v>
      </c>
      <c r="F252" s="528">
        <v>0.8346</v>
      </c>
      <c r="G252" s="528">
        <v>0.8346</v>
      </c>
      <c r="H252" s="528">
        <v>0.8346</v>
      </c>
      <c r="I252" s="528">
        <v>0.6656</v>
      </c>
      <c r="J252" s="528">
        <v>0.6656</v>
      </c>
      <c r="K252" s="528">
        <v>0.6656</v>
      </c>
      <c r="L252" s="528">
        <v>0.6656</v>
      </c>
      <c r="M252" s="529">
        <v>0.6656</v>
      </c>
    </row>
    <row r="253" spans="1:13">
      <c r="A253" s="527">
        <v>7.6</v>
      </c>
      <c r="B253" s="528">
        <v>0.8622</v>
      </c>
      <c r="C253" s="528">
        <v>0.8622</v>
      </c>
      <c r="D253" s="528">
        <v>0.8327</v>
      </c>
      <c r="E253" s="528">
        <v>0.8327</v>
      </c>
      <c r="F253" s="528">
        <v>0.8327</v>
      </c>
      <c r="G253" s="528">
        <v>0.8327</v>
      </c>
      <c r="H253" s="528">
        <v>0.8327</v>
      </c>
      <c r="I253" s="528">
        <v>0.6631</v>
      </c>
      <c r="J253" s="528">
        <v>0.6631</v>
      </c>
      <c r="K253" s="528">
        <v>0.6631</v>
      </c>
      <c r="L253" s="528">
        <v>0.6631</v>
      </c>
      <c r="M253" s="529">
        <v>0.6631</v>
      </c>
    </row>
    <row r="254" spans="1:13">
      <c r="A254" s="527">
        <v>7.7</v>
      </c>
      <c r="B254" s="528">
        <v>0.8607</v>
      </c>
      <c r="C254" s="528">
        <v>0.8607</v>
      </c>
      <c r="D254" s="528">
        <v>0.8308</v>
      </c>
      <c r="E254" s="528">
        <v>0.8308</v>
      </c>
      <c r="F254" s="528">
        <v>0.8308</v>
      </c>
      <c r="G254" s="528">
        <v>0.8308</v>
      </c>
      <c r="H254" s="528">
        <v>0.8308</v>
      </c>
      <c r="I254" s="528">
        <v>0.6607</v>
      </c>
      <c r="J254" s="528">
        <v>0.6607</v>
      </c>
      <c r="K254" s="528">
        <v>0.6607</v>
      </c>
      <c r="L254" s="528">
        <v>0.6607</v>
      </c>
      <c r="M254" s="529">
        <v>0.6607</v>
      </c>
    </row>
    <row r="255" spans="1:13">
      <c r="A255" s="527">
        <v>7.8</v>
      </c>
      <c r="B255" s="528">
        <v>0.8592</v>
      </c>
      <c r="C255" s="528">
        <v>0.8592</v>
      </c>
      <c r="D255" s="528">
        <v>0.8289</v>
      </c>
      <c r="E255" s="528">
        <v>0.8289</v>
      </c>
      <c r="F255" s="528">
        <v>0.8289</v>
      </c>
      <c r="G255" s="528">
        <v>0.8289</v>
      </c>
      <c r="H255" s="528">
        <v>0.8289</v>
      </c>
      <c r="I255" s="528">
        <v>0.6583</v>
      </c>
      <c r="J255" s="528">
        <v>0.6583</v>
      </c>
      <c r="K255" s="528">
        <v>0.6583</v>
      </c>
      <c r="L255" s="528">
        <v>0.6583</v>
      </c>
      <c r="M255" s="529">
        <v>0.6583</v>
      </c>
    </row>
    <row r="256" spans="1:13">
      <c r="A256" s="527">
        <v>7.9</v>
      </c>
      <c r="B256" s="528">
        <v>0.8577</v>
      </c>
      <c r="C256" s="528">
        <v>0.8577</v>
      </c>
      <c r="D256" s="528">
        <v>0.827</v>
      </c>
      <c r="E256" s="528">
        <v>0.827</v>
      </c>
      <c r="F256" s="528">
        <v>0.827</v>
      </c>
      <c r="G256" s="528">
        <v>0.827</v>
      </c>
      <c r="H256" s="528">
        <v>0.827</v>
      </c>
      <c r="I256" s="528">
        <v>0.6559</v>
      </c>
      <c r="J256" s="528">
        <v>0.6559</v>
      </c>
      <c r="K256" s="528">
        <v>0.6559</v>
      </c>
      <c r="L256" s="528">
        <v>0.6559</v>
      </c>
      <c r="M256" s="529">
        <v>0.6559</v>
      </c>
    </row>
    <row r="257" spans="1:13">
      <c r="A257" s="527">
        <v>8</v>
      </c>
      <c r="B257" s="528">
        <v>0.8562</v>
      </c>
      <c r="C257" s="528">
        <v>0.8562</v>
      </c>
      <c r="D257" s="528">
        <v>0.8251</v>
      </c>
      <c r="E257" s="528">
        <v>0.8251</v>
      </c>
      <c r="F257" s="528">
        <v>0.8251</v>
      </c>
      <c r="G257" s="528">
        <v>0.8251</v>
      </c>
      <c r="H257" s="528">
        <v>0.8251</v>
      </c>
      <c r="I257" s="528">
        <v>0.6535</v>
      </c>
      <c r="J257" s="528">
        <v>0.6535</v>
      </c>
      <c r="K257" s="528">
        <v>0.6535</v>
      </c>
      <c r="L257" s="528">
        <v>0.6535</v>
      </c>
      <c r="M257" s="529">
        <v>0.6535</v>
      </c>
    </row>
    <row r="258" spans="1:13">
      <c r="A258" s="527">
        <v>8.1</v>
      </c>
      <c r="B258" s="528">
        <v>0.8547</v>
      </c>
      <c r="C258" s="528">
        <v>0.8547</v>
      </c>
      <c r="D258" s="528">
        <v>0.8233</v>
      </c>
      <c r="E258" s="528">
        <v>0.8233</v>
      </c>
      <c r="F258" s="528">
        <v>0.8233</v>
      </c>
      <c r="G258" s="528">
        <v>0.8233</v>
      </c>
      <c r="H258" s="528">
        <v>0.8233</v>
      </c>
      <c r="I258" s="528">
        <v>0.6512</v>
      </c>
      <c r="J258" s="528">
        <v>0.6512</v>
      </c>
      <c r="K258" s="528">
        <v>0.6512</v>
      </c>
      <c r="L258" s="528">
        <v>0.6512</v>
      </c>
      <c r="M258" s="529">
        <v>0.6512</v>
      </c>
    </row>
    <row r="259" spans="1:13">
      <c r="A259" s="527">
        <v>8.2</v>
      </c>
      <c r="B259" s="528">
        <v>0.8533</v>
      </c>
      <c r="C259" s="528">
        <v>0.8533</v>
      </c>
      <c r="D259" s="528">
        <v>0.8215</v>
      </c>
      <c r="E259" s="528">
        <v>0.8215</v>
      </c>
      <c r="F259" s="528">
        <v>0.8215</v>
      </c>
      <c r="G259" s="528">
        <v>0.8215</v>
      </c>
      <c r="H259" s="528">
        <v>0.8215</v>
      </c>
      <c r="I259" s="528">
        <v>0.6489</v>
      </c>
      <c r="J259" s="528">
        <v>0.6489</v>
      </c>
      <c r="K259" s="528">
        <v>0.6489</v>
      </c>
      <c r="L259" s="528">
        <v>0.6489</v>
      </c>
      <c r="M259" s="529">
        <v>0.6489</v>
      </c>
    </row>
    <row r="260" spans="1:13">
      <c r="A260" s="527">
        <v>8.3</v>
      </c>
      <c r="B260" s="528">
        <v>0.8519</v>
      </c>
      <c r="C260" s="528">
        <v>0.8519</v>
      </c>
      <c r="D260" s="528">
        <v>0.8197</v>
      </c>
      <c r="E260" s="528">
        <v>0.8197</v>
      </c>
      <c r="F260" s="528">
        <v>0.8197</v>
      </c>
      <c r="G260" s="528">
        <v>0.8197</v>
      </c>
      <c r="H260" s="528">
        <v>0.8197</v>
      </c>
      <c r="I260" s="528">
        <v>0.6466</v>
      </c>
      <c r="J260" s="528">
        <v>0.6466</v>
      </c>
      <c r="K260" s="528">
        <v>0.6466</v>
      </c>
      <c r="L260" s="528">
        <v>0.6466</v>
      </c>
      <c r="M260" s="529">
        <v>0.6466</v>
      </c>
    </row>
    <row r="261" spans="1:13">
      <c r="A261" s="527">
        <v>8.4</v>
      </c>
      <c r="B261" s="528">
        <v>0.8505</v>
      </c>
      <c r="C261" s="528">
        <v>0.8505</v>
      </c>
      <c r="D261" s="528">
        <v>0.8179</v>
      </c>
      <c r="E261" s="528">
        <v>0.8179</v>
      </c>
      <c r="F261" s="528">
        <v>0.8179</v>
      </c>
      <c r="G261" s="528">
        <v>0.8179</v>
      </c>
      <c r="H261" s="528">
        <v>0.8179</v>
      </c>
      <c r="I261" s="528">
        <v>0.6443</v>
      </c>
      <c r="J261" s="528">
        <v>0.6443</v>
      </c>
      <c r="K261" s="528">
        <v>0.6443</v>
      </c>
      <c r="L261" s="528">
        <v>0.6443</v>
      </c>
      <c r="M261" s="529">
        <v>0.6443</v>
      </c>
    </row>
    <row r="262" spans="1:13">
      <c r="A262" s="527">
        <v>8.5</v>
      </c>
      <c r="B262" s="528">
        <v>0.8491</v>
      </c>
      <c r="C262" s="528">
        <v>0.8491</v>
      </c>
      <c r="D262" s="528">
        <v>0.8161</v>
      </c>
      <c r="E262" s="528">
        <v>0.8161</v>
      </c>
      <c r="F262" s="528">
        <v>0.8161</v>
      </c>
      <c r="G262" s="528">
        <v>0.8161</v>
      </c>
      <c r="H262" s="528">
        <v>0.8161</v>
      </c>
      <c r="I262" s="528">
        <v>0.6421</v>
      </c>
      <c r="J262" s="528">
        <v>0.6421</v>
      </c>
      <c r="K262" s="528">
        <v>0.6421</v>
      </c>
      <c r="L262" s="528">
        <v>0.6421</v>
      </c>
      <c r="M262" s="529">
        <v>0.6421</v>
      </c>
    </row>
    <row r="263" spans="1:13">
      <c r="A263" s="527">
        <v>8.6</v>
      </c>
      <c r="B263" s="528">
        <v>0.8477</v>
      </c>
      <c r="C263" s="528">
        <v>0.8477</v>
      </c>
      <c r="D263" s="528">
        <v>0.8144</v>
      </c>
      <c r="E263" s="528">
        <v>0.8144</v>
      </c>
      <c r="F263" s="528">
        <v>0.8144</v>
      </c>
      <c r="G263" s="528">
        <v>0.8144</v>
      </c>
      <c r="H263" s="528">
        <v>0.8144</v>
      </c>
      <c r="I263" s="528">
        <v>0.6399</v>
      </c>
      <c r="J263" s="528">
        <v>0.6399</v>
      </c>
      <c r="K263" s="528">
        <v>0.6399</v>
      </c>
      <c r="L263" s="528">
        <v>0.6399</v>
      </c>
      <c r="M263" s="529">
        <v>0.6399</v>
      </c>
    </row>
    <row r="264" spans="1:13">
      <c r="A264" s="527">
        <v>8.7</v>
      </c>
      <c r="B264" s="528">
        <v>0.8463</v>
      </c>
      <c r="C264" s="528">
        <v>0.8463</v>
      </c>
      <c r="D264" s="528">
        <v>0.8127</v>
      </c>
      <c r="E264" s="528">
        <v>0.8127</v>
      </c>
      <c r="F264" s="528">
        <v>0.8127</v>
      </c>
      <c r="G264" s="528">
        <v>0.8127</v>
      </c>
      <c r="H264" s="528">
        <v>0.8127</v>
      </c>
      <c r="I264" s="528">
        <v>0.6377</v>
      </c>
      <c r="J264" s="528">
        <v>0.6377</v>
      </c>
      <c r="K264" s="528">
        <v>0.6377</v>
      </c>
      <c r="L264" s="528">
        <v>0.6377</v>
      </c>
      <c r="M264" s="529">
        <v>0.6377</v>
      </c>
    </row>
    <row r="265" spans="1:13">
      <c r="A265" s="527">
        <v>8.8</v>
      </c>
      <c r="B265" s="528">
        <v>0.8449</v>
      </c>
      <c r="C265" s="528">
        <v>0.8449</v>
      </c>
      <c r="D265" s="528">
        <v>0.811</v>
      </c>
      <c r="E265" s="528">
        <v>0.811</v>
      </c>
      <c r="F265" s="528">
        <v>0.811</v>
      </c>
      <c r="G265" s="528">
        <v>0.811</v>
      </c>
      <c r="H265" s="528">
        <v>0.811</v>
      </c>
      <c r="I265" s="528">
        <v>0.6355</v>
      </c>
      <c r="J265" s="528">
        <v>0.6355</v>
      </c>
      <c r="K265" s="528">
        <v>0.6355</v>
      </c>
      <c r="L265" s="528">
        <v>0.6355</v>
      </c>
      <c r="M265" s="529">
        <v>0.6355</v>
      </c>
    </row>
    <row r="266" spans="1:13">
      <c r="A266" s="527">
        <v>8.9</v>
      </c>
      <c r="B266" s="528">
        <v>0.8436</v>
      </c>
      <c r="C266" s="528">
        <v>0.8436</v>
      </c>
      <c r="D266" s="528">
        <v>0.8093</v>
      </c>
      <c r="E266" s="528">
        <v>0.8093</v>
      </c>
      <c r="F266" s="528">
        <v>0.8093</v>
      </c>
      <c r="G266" s="528">
        <v>0.8093</v>
      </c>
      <c r="H266" s="528">
        <v>0.8093</v>
      </c>
      <c r="I266" s="528">
        <v>0.6334</v>
      </c>
      <c r="J266" s="528">
        <v>0.6334</v>
      </c>
      <c r="K266" s="528">
        <v>0.6334</v>
      </c>
      <c r="L266" s="528">
        <v>0.6334</v>
      </c>
      <c r="M266" s="529">
        <v>0.6334</v>
      </c>
    </row>
    <row r="267" spans="1:13">
      <c r="A267" s="531">
        <v>9</v>
      </c>
      <c r="B267" s="528">
        <v>0.8423</v>
      </c>
      <c r="C267" s="528">
        <v>0.8423</v>
      </c>
      <c r="D267" s="528">
        <v>0.8076</v>
      </c>
      <c r="E267" s="528">
        <v>0.8076</v>
      </c>
      <c r="F267" s="528">
        <v>0.8076</v>
      </c>
      <c r="G267" s="528">
        <v>0.8076</v>
      </c>
      <c r="H267" s="528">
        <v>0.8076</v>
      </c>
      <c r="I267" s="528">
        <v>0.6313</v>
      </c>
      <c r="J267" s="528">
        <v>0.6313</v>
      </c>
      <c r="K267" s="528">
        <v>0.6313</v>
      </c>
      <c r="L267" s="528">
        <v>0.6313</v>
      </c>
      <c r="M267" s="529">
        <v>0.6313</v>
      </c>
    </row>
    <row r="268" spans="1:13">
      <c r="A268" s="531">
        <v>9.1</v>
      </c>
      <c r="B268" s="528">
        <v>0.841</v>
      </c>
      <c r="C268" s="528">
        <v>0.841</v>
      </c>
      <c r="D268" s="528">
        <v>0.806</v>
      </c>
      <c r="E268" s="528">
        <v>0.806</v>
      </c>
      <c r="F268" s="528">
        <v>0.806</v>
      </c>
      <c r="G268" s="528">
        <v>0.806</v>
      </c>
      <c r="H268" s="528">
        <v>0.806</v>
      </c>
      <c r="I268" s="528">
        <v>0.6292</v>
      </c>
      <c r="J268" s="528">
        <v>0.6292</v>
      </c>
      <c r="K268" s="528">
        <v>0.6292</v>
      </c>
      <c r="L268" s="528">
        <v>0.6292</v>
      </c>
      <c r="M268" s="529">
        <v>0.6292</v>
      </c>
    </row>
    <row r="269" spans="1:13">
      <c r="A269" s="531">
        <v>9.2</v>
      </c>
      <c r="B269" s="528">
        <v>0.8397</v>
      </c>
      <c r="C269" s="528">
        <v>0.8397</v>
      </c>
      <c r="D269" s="528">
        <v>0.8044</v>
      </c>
      <c r="E269" s="528">
        <v>0.8044</v>
      </c>
      <c r="F269" s="528">
        <v>0.8044</v>
      </c>
      <c r="G269" s="528">
        <v>0.8044</v>
      </c>
      <c r="H269" s="528">
        <v>0.8044</v>
      </c>
      <c r="I269" s="528">
        <v>0.6271</v>
      </c>
      <c r="J269" s="528">
        <v>0.6271</v>
      </c>
      <c r="K269" s="528">
        <v>0.6271</v>
      </c>
      <c r="L269" s="528">
        <v>0.6271</v>
      </c>
      <c r="M269" s="529">
        <v>0.6271</v>
      </c>
    </row>
    <row r="270" spans="1:13">
      <c r="A270" s="531">
        <v>9.3</v>
      </c>
      <c r="B270" s="528">
        <v>0.8384</v>
      </c>
      <c r="C270" s="528">
        <v>0.8384</v>
      </c>
      <c r="D270" s="528">
        <v>0.8028</v>
      </c>
      <c r="E270" s="528">
        <v>0.8028</v>
      </c>
      <c r="F270" s="528">
        <v>0.8028</v>
      </c>
      <c r="G270" s="528">
        <v>0.8028</v>
      </c>
      <c r="H270" s="528">
        <v>0.8028</v>
      </c>
      <c r="I270" s="528">
        <v>0.6251</v>
      </c>
      <c r="J270" s="528">
        <v>0.6251</v>
      </c>
      <c r="K270" s="528">
        <v>0.6251</v>
      </c>
      <c r="L270" s="528">
        <v>0.6251</v>
      </c>
      <c r="M270" s="529">
        <v>0.6251</v>
      </c>
    </row>
    <row r="271" spans="1:13">
      <c r="A271" s="531">
        <v>9.4</v>
      </c>
      <c r="B271" s="528">
        <v>0.8371</v>
      </c>
      <c r="C271" s="528">
        <v>0.8371</v>
      </c>
      <c r="D271" s="528">
        <v>0.8012</v>
      </c>
      <c r="E271" s="528">
        <v>0.8012</v>
      </c>
      <c r="F271" s="528">
        <v>0.8012</v>
      </c>
      <c r="G271" s="528">
        <v>0.8012</v>
      </c>
      <c r="H271" s="528">
        <v>0.8012</v>
      </c>
      <c r="I271" s="528">
        <v>0.6231</v>
      </c>
      <c r="J271" s="528">
        <v>0.6231</v>
      </c>
      <c r="K271" s="528">
        <v>0.6231</v>
      </c>
      <c r="L271" s="528">
        <v>0.6231</v>
      </c>
      <c r="M271" s="529">
        <v>0.6231</v>
      </c>
    </row>
    <row r="272" spans="1:13">
      <c r="A272" s="531">
        <v>9.5</v>
      </c>
      <c r="B272" s="528">
        <v>0.8358</v>
      </c>
      <c r="C272" s="528">
        <v>0.8358</v>
      </c>
      <c r="D272" s="528">
        <v>0.7996</v>
      </c>
      <c r="E272" s="528">
        <v>0.7996</v>
      </c>
      <c r="F272" s="528">
        <v>0.7996</v>
      </c>
      <c r="G272" s="528">
        <v>0.7996</v>
      </c>
      <c r="H272" s="528">
        <v>0.7996</v>
      </c>
      <c r="I272" s="528">
        <v>0.6211</v>
      </c>
      <c r="J272" s="528">
        <v>0.6211</v>
      </c>
      <c r="K272" s="528">
        <v>0.6211</v>
      </c>
      <c r="L272" s="528">
        <v>0.6211</v>
      </c>
      <c r="M272" s="529">
        <v>0.6211</v>
      </c>
    </row>
    <row r="273" spans="1:21">
      <c r="A273" s="531">
        <v>9.6</v>
      </c>
      <c r="B273" s="528">
        <v>0.8346</v>
      </c>
      <c r="C273" s="528">
        <v>0.8346</v>
      </c>
      <c r="D273" s="528">
        <v>0.798</v>
      </c>
      <c r="E273" s="528">
        <v>0.798</v>
      </c>
      <c r="F273" s="528">
        <v>0.798</v>
      </c>
      <c r="G273" s="528">
        <v>0.798</v>
      </c>
      <c r="H273" s="528">
        <v>0.798</v>
      </c>
      <c r="I273" s="528">
        <v>0.6191</v>
      </c>
      <c r="J273" s="528">
        <v>0.6191</v>
      </c>
      <c r="K273" s="528">
        <v>0.6191</v>
      </c>
      <c r="L273" s="528">
        <v>0.6191</v>
      </c>
      <c r="M273" s="529">
        <v>0.6191</v>
      </c>
    </row>
    <row r="274" spans="1:21">
      <c r="A274" s="531">
        <v>9.7</v>
      </c>
      <c r="B274" s="528">
        <v>0.8334</v>
      </c>
      <c r="C274" s="528">
        <v>0.8334</v>
      </c>
      <c r="D274" s="528">
        <v>0.7965</v>
      </c>
      <c r="E274" s="528">
        <v>0.7965</v>
      </c>
      <c r="F274" s="528">
        <v>0.7965</v>
      </c>
      <c r="G274" s="528">
        <v>0.7965</v>
      </c>
      <c r="H274" s="528">
        <v>0.7965</v>
      </c>
      <c r="I274" s="528">
        <v>0.6172</v>
      </c>
      <c r="J274" s="528">
        <v>0.6172</v>
      </c>
      <c r="K274" s="528">
        <v>0.6172</v>
      </c>
      <c r="L274" s="528">
        <v>0.6172</v>
      </c>
      <c r="M274" s="529">
        <v>0.6172</v>
      </c>
    </row>
    <row r="275" spans="1:21">
      <c r="A275" s="531">
        <v>9.8</v>
      </c>
      <c r="B275" s="528">
        <v>0.8322</v>
      </c>
      <c r="C275" s="528">
        <v>0.8322</v>
      </c>
      <c r="D275" s="528">
        <v>0.795</v>
      </c>
      <c r="E275" s="528">
        <v>0.795</v>
      </c>
      <c r="F275" s="528">
        <v>0.795</v>
      </c>
      <c r="G275" s="528">
        <v>0.795</v>
      </c>
      <c r="H275" s="528">
        <v>0.795</v>
      </c>
      <c r="I275" s="528">
        <v>0.6153</v>
      </c>
      <c r="J275" s="528">
        <v>0.6153</v>
      </c>
      <c r="K275" s="528">
        <v>0.6153</v>
      </c>
      <c r="L275" s="528">
        <v>0.6153</v>
      </c>
      <c r="M275" s="529">
        <v>0.6153</v>
      </c>
    </row>
    <row r="276" ht="14.25" spans="1:21">
      <c r="A276" s="532">
        <v>9.9</v>
      </c>
      <c r="B276" s="533">
        <v>0.831</v>
      </c>
      <c r="C276" s="533">
        <v>0.831</v>
      </c>
      <c r="D276" s="533">
        <v>0.7935</v>
      </c>
      <c r="E276" s="533">
        <v>0.7935</v>
      </c>
      <c r="F276" s="533">
        <v>0.7935</v>
      </c>
      <c r="G276" s="533">
        <v>0.7935</v>
      </c>
      <c r="H276" s="533">
        <v>0.7935</v>
      </c>
      <c r="I276" s="533">
        <v>0.6134</v>
      </c>
      <c r="J276" s="533">
        <v>0.6134</v>
      </c>
      <c r="K276" s="533">
        <v>0.6134</v>
      </c>
      <c r="L276" s="533">
        <v>0.6134</v>
      </c>
      <c r="M276" s="534">
        <v>0.6134</v>
      </c>
    </row>
    <row r="277" ht="15" spans="1:21">
      <c r="A277" s="519" t="s">
        <v>2569</v>
      </c>
      <c r="B277" s="519"/>
      <c r="C277" s="519"/>
      <c r="D277" s="519"/>
      <c r="E277" s="519"/>
      <c r="F277" s="519"/>
      <c r="G277" s="519"/>
      <c r="H277" s="519"/>
      <c r="I277" s="519"/>
      <c r="J277" s="519"/>
      <c r="K277" s="519"/>
      <c r="L277" s="519"/>
      <c r="M277" s="519"/>
    </row>
    <row r="278" spans="1:21">
      <c r="A278" s="521" t="s">
        <v>2562</v>
      </c>
      <c r="B278" s="522" t="s">
        <v>235</v>
      </c>
      <c r="C278" s="522" t="s">
        <v>251</v>
      </c>
      <c r="D278" s="522" t="s">
        <v>264</v>
      </c>
      <c r="E278" s="522" t="s">
        <v>275</v>
      </c>
      <c r="F278" s="522" t="s">
        <v>286</v>
      </c>
      <c r="G278" s="522" t="s">
        <v>295</v>
      </c>
      <c r="H278" s="523" t="s">
        <v>303</v>
      </c>
      <c r="I278" s="523" t="s">
        <v>311</v>
      </c>
      <c r="J278" s="524" t="s">
        <v>318</v>
      </c>
      <c r="K278" s="524" t="s">
        <v>324</v>
      </c>
      <c r="L278" s="524" t="s">
        <v>330</v>
      </c>
      <c r="M278" s="525" t="s">
        <v>336</v>
      </c>
      <c r="Q278" s="526" t="s">
        <v>2563</v>
      </c>
      <c r="R278" s="526" t="s">
        <v>2564</v>
      </c>
      <c r="S278" s="526" t="s">
        <v>2570</v>
      </c>
      <c r="T278" s="526" t="s">
        <v>2571</v>
      </c>
      <c r="U278" s="526" t="s">
        <v>2566</v>
      </c>
    </row>
    <row r="279" spans="1:21">
      <c r="A279" s="527">
        <v>1</v>
      </c>
      <c r="B279" s="528">
        <v>1.1056</v>
      </c>
      <c r="C279" s="528">
        <v>1.1056</v>
      </c>
      <c r="D279" s="528">
        <v>1.122</v>
      </c>
      <c r="E279" s="528">
        <v>1.122</v>
      </c>
      <c r="F279" s="528">
        <v>1.122</v>
      </c>
      <c r="G279" s="528">
        <v>1.0583</v>
      </c>
      <c r="H279" s="528">
        <v>1.0583</v>
      </c>
      <c r="I279" s="528">
        <v>1</v>
      </c>
      <c r="J279" s="528">
        <v>1</v>
      </c>
      <c r="K279" s="528">
        <v>1</v>
      </c>
      <c r="L279" s="528">
        <v>1</v>
      </c>
      <c r="M279" s="529">
        <v>1</v>
      </c>
      <c r="Q279" s="526">
        <v>10</v>
      </c>
      <c r="R279" s="526">
        <f>ROUND(0.7836-0.012*Q279,4)</f>
        <v>0.6636</v>
      </c>
      <c r="S279" s="526">
        <f>ROUND(0.753-0.015*Q279,4)</f>
        <v>0.603</v>
      </c>
      <c r="T279" s="526">
        <f>ROUND(0.6612-0.018*Q279,4)</f>
        <v>0.4812</v>
      </c>
      <c r="U279" s="526">
        <f>ROUND(0.5905-0.019*R279,4)</f>
        <v>0.5779</v>
      </c>
    </row>
    <row r="280" spans="1:21">
      <c r="A280" s="527">
        <v>1.1</v>
      </c>
      <c r="B280" s="528">
        <v>1.082</v>
      </c>
      <c r="C280" s="528">
        <v>1.082</v>
      </c>
      <c r="D280" s="528">
        <v>1.0948</v>
      </c>
      <c r="E280" s="528">
        <v>1.0948</v>
      </c>
      <c r="F280" s="528">
        <v>1.0948</v>
      </c>
      <c r="G280" s="528">
        <v>1.0284</v>
      </c>
      <c r="H280" s="528">
        <v>1.0284</v>
      </c>
      <c r="I280" s="528">
        <v>0.9686</v>
      </c>
      <c r="J280" s="528">
        <v>0.9686</v>
      </c>
      <c r="K280" s="528">
        <v>0.9686</v>
      </c>
      <c r="L280" s="528">
        <v>0.9686</v>
      </c>
      <c r="M280" s="529">
        <v>0.9686</v>
      </c>
    </row>
    <row r="281" spans="1:21">
      <c r="A281" s="527">
        <v>1.2</v>
      </c>
      <c r="B281" s="528">
        <v>1.0598</v>
      </c>
      <c r="C281" s="528">
        <v>1.0598</v>
      </c>
      <c r="D281" s="528">
        <v>1.0691</v>
      </c>
      <c r="E281" s="528">
        <v>1.0691</v>
      </c>
      <c r="F281" s="528">
        <v>1.0691</v>
      </c>
      <c r="G281" s="528">
        <v>1</v>
      </c>
      <c r="H281" s="528">
        <v>1</v>
      </c>
      <c r="I281" s="528">
        <v>0.9388</v>
      </c>
      <c r="J281" s="528">
        <v>0.9388</v>
      </c>
      <c r="K281" s="528">
        <v>0.9388</v>
      </c>
      <c r="L281" s="528">
        <v>0.9388</v>
      </c>
      <c r="M281" s="529">
        <v>0.9388</v>
      </c>
    </row>
    <row r="282" spans="1:21">
      <c r="A282" s="527">
        <v>1.3</v>
      </c>
      <c r="B282" s="528">
        <v>1.0387</v>
      </c>
      <c r="C282" s="528">
        <v>1.0387</v>
      </c>
      <c r="D282" s="528">
        <v>1.0447</v>
      </c>
      <c r="E282" s="528">
        <v>1.0447</v>
      </c>
      <c r="F282" s="528">
        <v>1.0447</v>
      </c>
      <c r="G282" s="528">
        <v>0.9732</v>
      </c>
      <c r="H282" s="528">
        <v>0.9732</v>
      </c>
      <c r="I282" s="528">
        <v>0.9107</v>
      </c>
      <c r="J282" s="528">
        <v>0.9107</v>
      </c>
      <c r="K282" s="528">
        <v>0.9107</v>
      </c>
      <c r="L282" s="528">
        <v>0.9107</v>
      </c>
      <c r="M282" s="529">
        <v>0.9107</v>
      </c>
    </row>
    <row r="283" spans="1:21">
      <c r="A283" s="527">
        <v>1.4</v>
      </c>
      <c r="B283" s="528">
        <v>1.0188</v>
      </c>
      <c r="C283" s="528">
        <v>1.0188</v>
      </c>
      <c r="D283" s="528">
        <v>1.0217</v>
      </c>
      <c r="E283" s="528">
        <v>1.0217</v>
      </c>
      <c r="F283" s="528">
        <v>1.0217</v>
      </c>
      <c r="G283" s="528">
        <v>0.9478</v>
      </c>
      <c r="H283" s="528">
        <v>0.9478</v>
      </c>
      <c r="I283" s="528">
        <v>0.8841</v>
      </c>
      <c r="J283" s="528">
        <v>0.8841</v>
      </c>
      <c r="K283" s="528">
        <v>0.8841</v>
      </c>
      <c r="L283" s="528">
        <v>0.8841</v>
      </c>
      <c r="M283" s="529">
        <v>0.8841</v>
      </c>
    </row>
    <row r="284" spans="1:21">
      <c r="A284" s="527">
        <v>1.5</v>
      </c>
      <c r="B284" s="528">
        <v>1</v>
      </c>
      <c r="C284" s="528">
        <v>1</v>
      </c>
      <c r="D284" s="528">
        <v>1</v>
      </c>
      <c r="E284" s="528">
        <v>1</v>
      </c>
      <c r="F284" s="528">
        <v>1</v>
      </c>
      <c r="G284" s="528">
        <v>0.9238</v>
      </c>
      <c r="H284" s="528">
        <v>0.9238</v>
      </c>
      <c r="I284" s="528">
        <v>0.8589</v>
      </c>
      <c r="J284" s="528">
        <v>0.8589</v>
      </c>
      <c r="K284" s="528">
        <v>0.8589</v>
      </c>
      <c r="L284" s="528">
        <v>0.8589</v>
      </c>
      <c r="M284" s="529">
        <v>0.8589</v>
      </c>
    </row>
    <row r="285" spans="1:21">
      <c r="A285" s="527">
        <v>1.6</v>
      </c>
      <c r="B285" s="528">
        <v>0.9823</v>
      </c>
      <c r="C285" s="528">
        <v>0.9823</v>
      </c>
      <c r="D285" s="528">
        <v>0.9795</v>
      </c>
      <c r="E285" s="528">
        <v>0.9795</v>
      </c>
      <c r="F285" s="528">
        <v>0.9795</v>
      </c>
      <c r="G285" s="528">
        <v>0.9012</v>
      </c>
      <c r="H285" s="528">
        <v>0.9012</v>
      </c>
      <c r="I285" s="528">
        <v>0.8351</v>
      </c>
      <c r="J285" s="528">
        <v>0.8351</v>
      </c>
      <c r="K285" s="528">
        <v>0.8351</v>
      </c>
      <c r="L285" s="528">
        <v>0.8351</v>
      </c>
      <c r="M285" s="529">
        <v>0.8351</v>
      </c>
    </row>
    <row r="286" spans="1:21">
      <c r="A286" s="527">
        <v>1.7</v>
      </c>
      <c r="B286" s="528">
        <v>0.9655</v>
      </c>
      <c r="C286" s="528">
        <v>0.9655</v>
      </c>
      <c r="D286" s="528">
        <v>0.9601</v>
      </c>
      <c r="E286" s="528">
        <v>0.9601</v>
      </c>
      <c r="F286" s="528">
        <v>0.9601</v>
      </c>
      <c r="G286" s="528">
        <v>0.8798</v>
      </c>
      <c r="H286" s="528">
        <v>0.8798</v>
      </c>
      <c r="I286" s="528">
        <v>0.8127</v>
      </c>
      <c r="J286" s="528">
        <v>0.8127</v>
      </c>
      <c r="K286" s="528">
        <v>0.8127</v>
      </c>
      <c r="L286" s="528">
        <v>0.8127</v>
      </c>
      <c r="M286" s="529">
        <v>0.8127</v>
      </c>
    </row>
    <row r="287" spans="1:21">
      <c r="A287" s="527">
        <v>1.8</v>
      </c>
      <c r="B287" s="528">
        <v>0.9497</v>
      </c>
      <c r="C287" s="528">
        <v>0.9497</v>
      </c>
      <c r="D287" s="528">
        <v>0.9419</v>
      </c>
      <c r="E287" s="528">
        <v>0.9419</v>
      </c>
      <c r="F287" s="528">
        <v>0.9419</v>
      </c>
      <c r="G287" s="528">
        <v>0.8596</v>
      </c>
      <c r="H287" s="528">
        <v>0.8596</v>
      </c>
      <c r="I287" s="528">
        <v>0.7915</v>
      </c>
      <c r="J287" s="528">
        <v>0.7915</v>
      </c>
      <c r="K287" s="528">
        <v>0.7915</v>
      </c>
      <c r="L287" s="528">
        <v>0.7915</v>
      </c>
      <c r="M287" s="529">
        <v>0.7915</v>
      </c>
    </row>
    <row r="288" spans="1:21">
      <c r="A288" s="527">
        <v>1.9</v>
      </c>
      <c r="B288" s="528">
        <v>0.9348</v>
      </c>
      <c r="C288" s="528">
        <v>0.9348</v>
      </c>
      <c r="D288" s="528">
        <v>0.9246</v>
      </c>
      <c r="E288" s="528">
        <v>0.9246</v>
      </c>
      <c r="F288" s="528">
        <v>0.9246</v>
      </c>
      <c r="G288" s="528">
        <v>0.8406</v>
      </c>
      <c r="H288" s="528">
        <v>0.8406</v>
      </c>
      <c r="I288" s="528">
        <v>0.7715</v>
      </c>
      <c r="J288" s="528">
        <v>0.7715</v>
      </c>
      <c r="K288" s="528">
        <v>0.7715</v>
      </c>
      <c r="L288" s="528">
        <v>0.7715</v>
      </c>
      <c r="M288" s="529">
        <v>0.7715</v>
      </c>
    </row>
    <row r="289" spans="1:13">
      <c r="A289" s="527">
        <v>2</v>
      </c>
      <c r="B289" s="528">
        <v>0.9208</v>
      </c>
      <c r="C289" s="528">
        <v>0.9208</v>
      </c>
      <c r="D289" s="528">
        <v>0.9084</v>
      </c>
      <c r="E289" s="528">
        <v>0.9084</v>
      </c>
      <c r="F289" s="528">
        <v>0.9084</v>
      </c>
      <c r="G289" s="528">
        <v>0.8227</v>
      </c>
      <c r="H289" s="528">
        <v>0.8227</v>
      </c>
      <c r="I289" s="528">
        <v>0.7527</v>
      </c>
      <c r="J289" s="528">
        <v>0.7527</v>
      </c>
      <c r="K289" s="528">
        <v>0.7527</v>
      </c>
      <c r="L289" s="528">
        <v>0.7527</v>
      </c>
      <c r="M289" s="529">
        <v>0.7527</v>
      </c>
    </row>
    <row r="290" spans="1:13">
      <c r="A290" s="531">
        <v>2.1</v>
      </c>
      <c r="B290" s="528">
        <v>0.9076</v>
      </c>
      <c r="C290" s="528">
        <v>0.9076</v>
      </c>
      <c r="D290" s="528">
        <v>0.8932</v>
      </c>
      <c r="E290" s="528">
        <v>0.8932</v>
      </c>
      <c r="F290" s="528">
        <v>0.8932</v>
      </c>
      <c r="G290" s="528">
        <v>0.8059</v>
      </c>
      <c r="H290" s="528">
        <v>0.8059</v>
      </c>
      <c r="I290" s="528">
        <v>0.735</v>
      </c>
      <c r="J290" s="528">
        <v>0.735</v>
      </c>
      <c r="K290" s="528">
        <v>0.735</v>
      </c>
      <c r="L290" s="528">
        <v>0.735</v>
      </c>
      <c r="M290" s="529">
        <v>0.735</v>
      </c>
    </row>
    <row r="291" spans="1:13">
      <c r="A291" s="531">
        <v>2.2</v>
      </c>
      <c r="B291" s="528">
        <v>0.8952</v>
      </c>
      <c r="C291" s="528">
        <v>0.8952</v>
      </c>
      <c r="D291" s="528">
        <v>0.8788</v>
      </c>
      <c r="E291" s="528">
        <v>0.8788</v>
      </c>
      <c r="F291" s="528">
        <v>0.8788</v>
      </c>
      <c r="G291" s="528">
        <v>0.79</v>
      </c>
      <c r="H291" s="528">
        <v>0.79</v>
      </c>
      <c r="I291" s="528">
        <v>0.7184</v>
      </c>
      <c r="J291" s="528">
        <v>0.7184</v>
      </c>
      <c r="K291" s="528">
        <v>0.7184</v>
      </c>
      <c r="L291" s="528">
        <v>0.7184</v>
      </c>
      <c r="M291" s="529">
        <v>0.7184</v>
      </c>
    </row>
    <row r="292" spans="1:13">
      <c r="A292" s="531">
        <v>2.3</v>
      </c>
      <c r="B292" s="528">
        <v>0.8836</v>
      </c>
      <c r="C292" s="528">
        <v>0.8836</v>
      </c>
      <c r="D292" s="528">
        <v>0.8653</v>
      </c>
      <c r="E292" s="528">
        <v>0.8653</v>
      </c>
      <c r="F292" s="528">
        <v>0.8653</v>
      </c>
      <c r="G292" s="528">
        <v>0.7751</v>
      </c>
      <c r="H292" s="528">
        <v>0.7751</v>
      </c>
      <c r="I292" s="528">
        <v>0.7027</v>
      </c>
      <c r="J292" s="528">
        <v>0.7027</v>
      </c>
      <c r="K292" s="528">
        <v>0.7027</v>
      </c>
      <c r="L292" s="528">
        <v>0.7027</v>
      </c>
      <c r="M292" s="529">
        <v>0.7027</v>
      </c>
    </row>
    <row r="293" spans="1:13">
      <c r="A293" s="531">
        <v>2.4</v>
      </c>
      <c r="B293" s="528">
        <v>0.8726</v>
      </c>
      <c r="C293" s="528">
        <v>0.8726</v>
      </c>
      <c r="D293" s="528">
        <v>0.8526</v>
      </c>
      <c r="E293" s="528">
        <v>0.8526</v>
      </c>
      <c r="F293" s="528">
        <v>0.8526</v>
      </c>
      <c r="G293" s="528">
        <v>0.761</v>
      </c>
      <c r="H293" s="528">
        <v>0.761</v>
      </c>
      <c r="I293" s="528">
        <v>0.688</v>
      </c>
      <c r="J293" s="528">
        <v>0.688</v>
      </c>
      <c r="K293" s="528">
        <v>0.688</v>
      </c>
      <c r="L293" s="528">
        <v>0.688</v>
      </c>
      <c r="M293" s="529">
        <v>0.688</v>
      </c>
    </row>
    <row r="294" spans="1:13">
      <c r="A294" s="531">
        <v>2.5</v>
      </c>
      <c r="B294" s="528">
        <v>0.8623</v>
      </c>
      <c r="C294" s="528">
        <v>0.8623</v>
      </c>
      <c r="D294" s="528">
        <v>0.8407</v>
      </c>
      <c r="E294" s="528">
        <v>0.8407</v>
      </c>
      <c r="F294" s="528">
        <v>0.8407</v>
      </c>
      <c r="G294" s="528">
        <v>0.7478</v>
      </c>
      <c r="H294" s="528">
        <v>0.7478</v>
      </c>
      <c r="I294" s="528">
        <v>0.6741</v>
      </c>
      <c r="J294" s="528">
        <v>0.6741</v>
      </c>
      <c r="K294" s="528">
        <v>0.6741</v>
      </c>
      <c r="L294" s="528">
        <v>0.6741</v>
      </c>
      <c r="M294" s="529">
        <v>0.6741</v>
      </c>
    </row>
    <row r="295" spans="1:13">
      <c r="A295" s="531">
        <v>2.6</v>
      </c>
      <c r="B295" s="528">
        <v>0.8527</v>
      </c>
      <c r="C295" s="528">
        <v>0.8527</v>
      </c>
      <c r="D295" s="528">
        <v>0.8295</v>
      </c>
      <c r="E295" s="528">
        <v>0.8295</v>
      </c>
      <c r="F295" s="528">
        <v>0.8295</v>
      </c>
      <c r="G295" s="528">
        <v>0.7354</v>
      </c>
      <c r="H295" s="528">
        <v>0.7354</v>
      </c>
      <c r="I295" s="528">
        <v>0.6611</v>
      </c>
      <c r="J295" s="528">
        <v>0.6611</v>
      </c>
      <c r="K295" s="528">
        <v>0.6611</v>
      </c>
      <c r="L295" s="528">
        <v>0.6611</v>
      </c>
      <c r="M295" s="529">
        <v>0.6611</v>
      </c>
    </row>
    <row r="296" spans="1:13">
      <c r="A296" s="531">
        <v>2.7</v>
      </c>
      <c r="B296" s="528">
        <v>0.8436</v>
      </c>
      <c r="C296" s="528">
        <v>0.8436</v>
      </c>
      <c r="D296" s="528">
        <v>0.819</v>
      </c>
      <c r="E296" s="528">
        <v>0.819</v>
      </c>
      <c r="F296" s="528">
        <v>0.819</v>
      </c>
      <c r="G296" s="528">
        <v>0.7238</v>
      </c>
      <c r="H296" s="528">
        <v>0.7238</v>
      </c>
      <c r="I296" s="528">
        <v>0.6488</v>
      </c>
      <c r="J296" s="528">
        <v>0.6488</v>
      </c>
      <c r="K296" s="528">
        <v>0.6488</v>
      </c>
      <c r="L296" s="528">
        <v>0.6488</v>
      </c>
      <c r="M296" s="529">
        <v>0.6488</v>
      </c>
    </row>
    <row r="297" spans="1:13">
      <c r="A297" s="531">
        <v>2.8</v>
      </c>
      <c r="B297" s="528">
        <v>0.8351</v>
      </c>
      <c r="C297" s="528">
        <v>0.8351</v>
      </c>
      <c r="D297" s="528">
        <v>0.8091</v>
      </c>
      <c r="E297" s="528">
        <v>0.8091</v>
      </c>
      <c r="F297" s="528">
        <v>0.8091</v>
      </c>
      <c r="G297" s="528">
        <v>0.7129</v>
      </c>
      <c r="H297" s="528">
        <v>0.7129</v>
      </c>
      <c r="I297" s="528">
        <v>0.6374</v>
      </c>
      <c r="J297" s="528">
        <v>0.6374</v>
      </c>
      <c r="K297" s="528">
        <v>0.6374</v>
      </c>
      <c r="L297" s="528">
        <v>0.6374</v>
      </c>
      <c r="M297" s="529">
        <v>0.6374</v>
      </c>
    </row>
    <row r="298" spans="1:13">
      <c r="A298" s="531">
        <v>2.9</v>
      </c>
      <c r="B298" s="528">
        <v>0.8272</v>
      </c>
      <c r="C298" s="528">
        <v>0.8272</v>
      </c>
      <c r="D298" s="528">
        <v>0.7999</v>
      </c>
      <c r="E298" s="528">
        <v>0.7999</v>
      </c>
      <c r="F298" s="528">
        <v>0.7999</v>
      </c>
      <c r="G298" s="528">
        <v>0.7026</v>
      </c>
      <c r="H298" s="528">
        <v>0.7026</v>
      </c>
      <c r="I298" s="528">
        <v>0.6266</v>
      </c>
      <c r="J298" s="528">
        <v>0.6266</v>
      </c>
      <c r="K298" s="528">
        <v>0.6266</v>
      </c>
      <c r="L298" s="528">
        <v>0.6266</v>
      </c>
      <c r="M298" s="529">
        <v>0.6266</v>
      </c>
    </row>
    <row r="299" spans="1:13">
      <c r="A299" s="531">
        <v>3</v>
      </c>
      <c r="B299" s="528">
        <v>0.8197</v>
      </c>
      <c r="C299" s="528">
        <v>0.8197</v>
      </c>
      <c r="D299" s="528">
        <v>0.7912</v>
      </c>
      <c r="E299" s="528">
        <v>0.7912</v>
      </c>
      <c r="F299" s="528">
        <v>0.7912</v>
      </c>
      <c r="G299" s="528">
        <v>0.693</v>
      </c>
      <c r="H299" s="528">
        <v>0.693</v>
      </c>
      <c r="I299" s="528">
        <v>0.6165</v>
      </c>
      <c r="J299" s="528">
        <v>0.6165</v>
      </c>
      <c r="K299" s="528">
        <v>0.6165</v>
      </c>
      <c r="L299" s="528">
        <v>0.6165</v>
      </c>
      <c r="M299" s="529">
        <v>0.6165</v>
      </c>
    </row>
    <row r="300" spans="1:13">
      <c r="A300" s="531">
        <v>3.1</v>
      </c>
      <c r="B300" s="528">
        <v>0.8128</v>
      </c>
      <c r="C300" s="528">
        <v>0.8128</v>
      </c>
      <c r="D300" s="528">
        <v>0.7831</v>
      </c>
      <c r="E300" s="528">
        <v>0.7831</v>
      </c>
      <c r="F300" s="528">
        <v>0.7831</v>
      </c>
      <c r="G300" s="528">
        <v>0.684</v>
      </c>
      <c r="H300" s="528">
        <v>0.684</v>
      </c>
      <c r="I300" s="528">
        <v>0.6071</v>
      </c>
      <c r="J300" s="528">
        <v>0.6071</v>
      </c>
      <c r="K300" s="528">
        <v>0.6071</v>
      </c>
      <c r="L300" s="528">
        <v>0.6071</v>
      </c>
      <c r="M300" s="529">
        <v>0.6071</v>
      </c>
    </row>
    <row r="301" spans="1:13">
      <c r="A301" s="531">
        <v>3.2</v>
      </c>
      <c r="B301" s="528">
        <v>0.8062</v>
      </c>
      <c r="C301" s="528">
        <v>0.8062</v>
      </c>
      <c r="D301" s="528">
        <v>0.7755</v>
      </c>
      <c r="E301" s="528">
        <v>0.7755</v>
      </c>
      <c r="F301" s="528">
        <v>0.7755</v>
      </c>
      <c r="G301" s="528">
        <v>0.6756</v>
      </c>
      <c r="H301" s="528">
        <v>0.6756</v>
      </c>
      <c r="I301" s="528">
        <v>0.5981</v>
      </c>
      <c r="J301" s="528">
        <v>0.5981</v>
      </c>
      <c r="K301" s="528">
        <v>0.5981</v>
      </c>
      <c r="L301" s="528">
        <v>0.5981</v>
      </c>
      <c r="M301" s="529">
        <v>0.5981</v>
      </c>
    </row>
    <row r="302" spans="1:13">
      <c r="A302" s="531">
        <v>3.3</v>
      </c>
      <c r="B302" s="528">
        <v>0.8001</v>
      </c>
      <c r="C302" s="528">
        <v>0.8001</v>
      </c>
      <c r="D302" s="528">
        <v>0.7684</v>
      </c>
      <c r="E302" s="528">
        <v>0.7684</v>
      </c>
      <c r="F302" s="528">
        <v>0.7684</v>
      </c>
      <c r="G302" s="528">
        <v>0.6677</v>
      </c>
      <c r="H302" s="528">
        <v>0.6677</v>
      </c>
      <c r="I302" s="528">
        <v>0.5898</v>
      </c>
      <c r="J302" s="528">
        <v>0.5898</v>
      </c>
      <c r="K302" s="528">
        <v>0.5898</v>
      </c>
      <c r="L302" s="528">
        <v>0.5898</v>
      </c>
      <c r="M302" s="529">
        <v>0.5898</v>
      </c>
    </row>
    <row r="303" spans="1:13">
      <c r="A303" s="531">
        <v>3.4</v>
      </c>
      <c r="B303" s="528">
        <v>0.7944</v>
      </c>
      <c r="C303" s="528">
        <v>0.7944</v>
      </c>
      <c r="D303" s="528">
        <v>0.7617</v>
      </c>
      <c r="E303" s="528">
        <v>0.7617</v>
      </c>
      <c r="F303" s="528">
        <v>0.7617</v>
      </c>
      <c r="G303" s="528">
        <v>0.6602</v>
      </c>
      <c r="H303" s="528">
        <v>0.6602</v>
      </c>
      <c r="I303" s="528">
        <v>0.5821</v>
      </c>
      <c r="J303" s="528">
        <v>0.5821</v>
      </c>
      <c r="K303" s="528">
        <v>0.5821</v>
      </c>
      <c r="L303" s="528">
        <v>0.5821</v>
      </c>
      <c r="M303" s="529">
        <v>0.5821</v>
      </c>
    </row>
    <row r="304" spans="1:13">
      <c r="A304" s="531">
        <v>3.5</v>
      </c>
      <c r="B304" s="528">
        <v>0.7891</v>
      </c>
      <c r="C304" s="528">
        <v>0.7891</v>
      </c>
      <c r="D304" s="528">
        <v>0.7555</v>
      </c>
      <c r="E304" s="528">
        <v>0.7555</v>
      </c>
      <c r="F304" s="528">
        <v>0.7555</v>
      </c>
      <c r="G304" s="528">
        <v>0.6533</v>
      </c>
      <c r="H304" s="528">
        <v>0.6533</v>
      </c>
      <c r="I304" s="528">
        <v>0.5748</v>
      </c>
      <c r="J304" s="528">
        <v>0.5748</v>
      </c>
      <c r="K304" s="528">
        <v>0.5748</v>
      </c>
      <c r="L304" s="528">
        <v>0.5748</v>
      </c>
      <c r="M304" s="529">
        <v>0.5748</v>
      </c>
    </row>
    <row r="305" spans="1:13">
      <c r="A305" s="531">
        <v>3.6</v>
      </c>
      <c r="B305" s="528">
        <v>0.7841</v>
      </c>
      <c r="C305" s="528">
        <v>0.7841</v>
      </c>
      <c r="D305" s="528">
        <v>0.7496</v>
      </c>
      <c r="E305" s="528">
        <v>0.7496</v>
      </c>
      <c r="F305" s="528">
        <v>0.7496</v>
      </c>
      <c r="G305" s="528">
        <v>0.6468</v>
      </c>
      <c r="H305" s="528">
        <v>0.6468</v>
      </c>
      <c r="I305" s="528">
        <v>0.5679</v>
      </c>
      <c r="J305" s="528">
        <v>0.5679</v>
      </c>
      <c r="K305" s="528">
        <v>0.5679</v>
      </c>
      <c r="L305" s="528">
        <v>0.5679</v>
      </c>
      <c r="M305" s="529">
        <v>0.5679</v>
      </c>
    </row>
    <row r="306" spans="1:13">
      <c r="A306" s="531">
        <v>3.7</v>
      </c>
      <c r="B306" s="528">
        <v>0.7794</v>
      </c>
      <c r="C306" s="528">
        <v>0.7794</v>
      </c>
      <c r="D306" s="528">
        <v>0.7441</v>
      </c>
      <c r="E306" s="528">
        <v>0.7441</v>
      </c>
      <c r="F306" s="528">
        <v>0.7441</v>
      </c>
      <c r="G306" s="528">
        <v>0.6407</v>
      </c>
      <c r="H306" s="528">
        <v>0.6407</v>
      </c>
      <c r="I306" s="528">
        <v>0.5615</v>
      </c>
      <c r="J306" s="528">
        <v>0.5615</v>
      </c>
      <c r="K306" s="528">
        <v>0.5615</v>
      </c>
      <c r="L306" s="528">
        <v>0.5615</v>
      </c>
      <c r="M306" s="529">
        <v>0.5615</v>
      </c>
    </row>
    <row r="307" spans="1:13">
      <c r="A307" s="531">
        <v>3.8</v>
      </c>
      <c r="B307" s="528">
        <v>0.775</v>
      </c>
      <c r="C307" s="528">
        <v>0.775</v>
      </c>
      <c r="D307" s="528">
        <v>0.739</v>
      </c>
      <c r="E307" s="528">
        <v>0.739</v>
      </c>
      <c r="F307" s="528">
        <v>0.739</v>
      </c>
      <c r="G307" s="528">
        <v>0.6349</v>
      </c>
      <c r="H307" s="528">
        <v>0.6349</v>
      </c>
      <c r="I307" s="528">
        <v>0.5555</v>
      </c>
      <c r="J307" s="528">
        <v>0.5555</v>
      </c>
      <c r="K307" s="528">
        <v>0.5555</v>
      </c>
      <c r="L307" s="528">
        <v>0.5555</v>
      </c>
      <c r="M307" s="529">
        <v>0.5555</v>
      </c>
    </row>
    <row r="308" spans="1:13">
      <c r="A308" s="531">
        <v>3.9</v>
      </c>
      <c r="B308" s="528">
        <v>0.7709</v>
      </c>
      <c r="C308" s="528">
        <v>0.7709</v>
      </c>
      <c r="D308" s="528">
        <v>0.7342</v>
      </c>
      <c r="E308" s="528">
        <v>0.7342</v>
      </c>
      <c r="F308" s="528">
        <v>0.7342</v>
      </c>
      <c r="G308" s="528">
        <v>0.6295</v>
      </c>
      <c r="H308" s="528">
        <v>0.6295</v>
      </c>
      <c r="I308" s="528">
        <v>0.5499</v>
      </c>
      <c r="J308" s="528">
        <v>0.5499</v>
      </c>
      <c r="K308" s="528">
        <v>0.5499</v>
      </c>
      <c r="L308" s="528">
        <v>0.5499</v>
      </c>
      <c r="M308" s="529">
        <v>0.5499</v>
      </c>
    </row>
    <row r="309" spans="1:13">
      <c r="A309" s="531">
        <v>4</v>
      </c>
      <c r="B309" s="528">
        <v>0.7671</v>
      </c>
      <c r="C309" s="528">
        <v>0.7671</v>
      </c>
      <c r="D309" s="528">
        <v>0.7297</v>
      </c>
      <c r="E309" s="528">
        <v>0.7297</v>
      </c>
      <c r="F309" s="528">
        <v>0.7297</v>
      </c>
      <c r="G309" s="528">
        <v>0.6245</v>
      </c>
      <c r="H309" s="528">
        <v>0.6245</v>
      </c>
      <c r="I309" s="528">
        <v>0.5445</v>
      </c>
      <c r="J309" s="528">
        <v>0.5445</v>
      </c>
      <c r="K309" s="528">
        <v>0.5445</v>
      </c>
      <c r="L309" s="528">
        <v>0.5445</v>
      </c>
      <c r="M309" s="529">
        <v>0.5445</v>
      </c>
    </row>
    <row r="310" spans="1:13">
      <c r="A310" s="531">
        <v>4.1</v>
      </c>
      <c r="B310" s="528">
        <v>0.7635</v>
      </c>
      <c r="C310" s="528">
        <v>0.7635</v>
      </c>
      <c r="D310" s="528">
        <v>0.7254</v>
      </c>
      <c r="E310" s="528">
        <v>0.7254</v>
      </c>
      <c r="F310" s="528">
        <v>0.7254</v>
      </c>
      <c r="G310" s="528">
        <v>0.6197</v>
      </c>
      <c r="H310" s="528">
        <v>0.6197</v>
      </c>
      <c r="I310" s="528">
        <v>0.5396</v>
      </c>
      <c r="J310" s="528">
        <v>0.5396</v>
      </c>
      <c r="K310" s="528">
        <v>0.5396</v>
      </c>
      <c r="L310" s="528">
        <v>0.5396</v>
      </c>
      <c r="M310" s="529">
        <v>0.5396</v>
      </c>
    </row>
    <row r="311" spans="1:13">
      <c r="A311" s="531">
        <v>4.2</v>
      </c>
      <c r="B311" s="528">
        <v>0.7601</v>
      </c>
      <c r="C311" s="528">
        <v>0.7601</v>
      </c>
      <c r="D311" s="528">
        <v>0.7214</v>
      </c>
      <c r="E311" s="528">
        <v>0.7214</v>
      </c>
      <c r="F311" s="528">
        <v>0.7214</v>
      </c>
      <c r="G311" s="528">
        <v>0.6153</v>
      </c>
      <c r="H311" s="528">
        <v>0.6153</v>
      </c>
      <c r="I311" s="528">
        <v>0.5349</v>
      </c>
      <c r="J311" s="528">
        <v>0.5349</v>
      </c>
      <c r="K311" s="528">
        <v>0.5349</v>
      </c>
      <c r="L311" s="528">
        <v>0.5349</v>
      </c>
      <c r="M311" s="529">
        <v>0.5349</v>
      </c>
    </row>
    <row r="312" spans="1:13">
      <c r="A312" s="531">
        <v>4.3</v>
      </c>
      <c r="B312" s="528">
        <v>0.757</v>
      </c>
      <c r="C312" s="528">
        <v>0.757</v>
      </c>
      <c r="D312" s="528">
        <v>0.7177</v>
      </c>
      <c r="E312" s="528">
        <v>0.7177</v>
      </c>
      <c r="F312" s="528">
        <v>0.7177</v>
      </c>
      <c r="G312" s="528">
        <v>0.6111</v>
      </c>
      <c r="H312" s="528">
        <v>0.6111</v>
      </c>
      <c r="I312" s="528">
        <v>0.5305</v>
      </c>
      <c r="J312" s="528">
        <v>0.5305</v>
      </c>
      <c r="K312" s="528">
        <v>0.5305</v>
      </c>
      <c r="L312" s="528">
        <v>0.5305</v>
      </c>
      <c r="M312" s="529">
        <v>0.5305</v>
      </c>
    </row>
    <row r="313" spans="1:13">
      <c r="A313" s="531">
        <v>4.4</v>
      </c>
      <c r="B313" s="528">
        <v>0.754</v>
      </c>
      <c r="C313" s="528">
        <v>0.754</v>
      </c>
      <c r="D313" s="528">
        <v>0.7141</v>
      </c>
      <c r="E313" s="528">
        <v>0.7141</v>
      </c>
      <c r="F313" s="528">
        <v>0.7141</v>
      </c>
      <c r="G313" s="528">
        <v>0.6071</v>
      </c>
      <c r="H313" s="528">
        <v>0.6071</v>
      </c>
      <c r="I313" s="528">
        <v>0.5264</v>
      </c>
      <c r="J313" s="528">
        <v>0.5264</v>
      </c>
      <c r="K313" s="528">
        <v>0.5264</v>
      </c>
      <c r="L313" s="528">
        <v>0.5264</v>
      </c>
      <c r="M313" s="529">
        <v>0.5264</v>
      </c>
    </row>
    <row r="314" spans="1:13">
      <c r="A314" s="531">
        <v>4.5</v>
      </c>
      <c r="B314" s="528">
        <v>0.7512</v>
      </c>
      <c r="C314" s="528">
        <v>0.7512</v>
      </c>
      <c r="D314" s="528">
        <v>0.7108</v>
      </c>
      <c r="E314" s="528">
        <v>0.7108</v>
      </c>
      <c r="F314" s="528">
        <v>0.7108</v>
      </c>
      <c r="G314" s="528">
        <v>0.6033</v>
      </c>
      <c r="H314" s="528">
        <v>0.6033</v>
      </c>
      <c r="I314" s="528">
        <v>0.5225</v>
      </c>
      <c r="J314" s="528">
        <v>0.5225</v>
      </c>
      <c r="K314" s="528">
        <v>0.5225</v>
      </c>
      <c r="L314" s="528">
        <v>0.5225</v>
      </c>
      <c r="M314" s="529">
        <v>0.5225</v>
      </c>
    </row>
    <row r="315" spans="1:13">
      <c r="A315" s="531">
        <v>4.6</v>
      </c>
      <c r="B315" s="528">
        <v>0.7486</v>
      </c>
      <c r="C315" s="528">
        <v>0.7486</v>
      </c>
      <c r="D315" s="528">
        <v>0.7076</v>
      </c>
      <c r="E315" s="528">
        <v>0.7076</v>
      </c>
      <c r="F315" s="528">
        <v>0.7076</v>
      </c>
      <c r="G315" s="528">
        <v>0.5997</v>
      </c>
      <c r="H315" s="528">
        <v>0.5997</v>
      </c>
      <c r="I315" s="528">
        <v>0.5189</v>
      </c>
      <c r="J315" s="528">
        <v>0.5189</v>
      </c>
      <c r="K315" s="528">
        <v>0.5189</v>
      </c>
      <c r="L315" s="528">
        <v>0.5189</v>
      </c>
      <c r="M315" s="529">
        <v>0.5189</v>
      </c>
    </row>
    <row r="316" spans="1:13">
      <c r="A316" s="531">
        <v>4.7</v>
      </c>
      <c r="B316" s="528">
        <v>0.7461</v>
      </c>
      <c r="C316" s="528">
        <v>0.7461</v>
      </c>
      <c r="D316" s="528">
        <v>0.7046</v>
      </c>
      <c r="E316" s="528">
        <v>0.7046</v>
      </c>
      <c r="F316" s="528">
        <v>0.7046</v>
      </c>
      <c r="G316" s="528">
        <v>0.5963</v>
      </c>
      <c r="H316" s="528">
        <v>0.5963</v>
      </c>
      <c r="I316" s="528">
        <v>0.5153</v>
      </c>
      <c r="J316" s="528">
        <v>0.5153</v>
      </c>
      <c r="K316" s="528">
        <v>0.5153</v>
      </c>
      <c r="L316" s="528">
        <v>0.5153</v>
      </c>
      <c r="M316" s="529">
        <v>0.5153</v>
      </c>
    </row>
    <row r="317" spans="1:13">
      <c r="A317" s="531">
        <v>4.8</v>
      </c>
      <c r="B317" s="528">
        <v>0.7438</v>
      </c>
      <c r="C317" s="528">
        <v>0.7438</v>
      </c>
      <c r="D317" s="528">
        <v>0.7017</v>
      </c>
      <c r="E317" s="528">
        <v>0.7017</v>
      </c>
      <c r="F317" s="528">
        <v>0.7017</v>
      </c>
      <c r="G317" s="528">
        <v>0.5931</v>
      </c>
      <c r="H317" s="528">
        <v>0.5931</v>
      </c>
      <c r="I317" s="528">
        <v>0.5121</v>
      </c>
      <c r="J317" s="528">
        <v>0.5121</v>
      </c>
      <c r="K317" s="528">
        <v>0.5121</v>
      </c>
      <c r="L317" s="528">
        <v>0.5121</v>
      </c>
      <c r="M317" s="529">
        <v>0.5121</v>
      </c>
    </row>
    <row r="318" spans="1:13">
      <c r="A318" s="531">
        <v>4.9</v>
      </c>
      <c r="B318" s="528">
        <v>0.7416</v>
      </c>
      <c r="C318" s="528">
        <v>0.7416</v>
      </c>
      <c r="D318" s="528">
        <v>0.6989</v>
      </c>
      <c r="E318" s="528">
        <v>0.6989</v>
      </c>
      <c r="F318" s="528">
        <v>0.6989</v>
      </c>
      <c r="G318" s="528">
        <v>0.5901</v>
      </c>
      <c r="H318" s="528">
        <v>0.5901</v>
      </c>
      <c r="I318" s="528">
        <v>0.509</v>
      </c>
      <c r="J318" s="528">
        <v>0.509</v>
      </c>
      <c r="K318" s="528">
        <v>0.509</v>
      </c>
      <c r="L318" s="528">
        <v>0.509</v>
      </c>
      <c r="M318" s="529">
        <v>0.509</v>
      </c>
    </row>
    <row r="319" spans="1:13">
      <c r="A319" s="531">
        <v>5</v>
      </c>
      <c r="B319" s="528">
        <v>0.7395</v>
      </c>
      <c r="C319" s="528">
        <v>0.7395</v>
      </c>
      <c r="D319" s="528">
        <v>0.6962</v>
      </c>
      <c r="E319" s="528">
        <v>0.6962</v>
      </c>
      <c r="F319" s="528">
        <v>0.6962</v>
      </c>
      <c r="G319" s="528">
        <v>0.5872</v>
      </c>
      <c r="H319" s="528">
        <v>0.5872</v>
      </c>
      <c r="I319" s="528">
        <v>0.5061</v>
      </c>
      <c r="J319" s="528">
        <v>0.5061</v>
      </c>
      <c r="K319" s="528">
        <v>0.5061</v>
      </c>
      <c r="L319" s="528">
        <v>0.5061</v>
      </c>
      <c r="M319" s="529">
        <v>0.5061</v>
      </c>
    </row>
    <row r="320" spans="1:13">
      <c r="A320" s="527">
        <v>5.1</v>
      </c>
      <c r="B320" s="528">
        <v>0.7375</v>
      </c>
      <c r="C320" s="528">
        <v>0.7375</v>
      </c>
      <c r="D320" s="528">
        <v>0.6936</v>
      </c>
      <c r="E320" s="528">
        <v>0.6936</v>
      </c>
      <c r="F320" s="528">
        <v>0.6936</v>
      </c>
      <c r="G320" s="528">
        <v>0.5844</v>
      </c>
      <c r="H320" s="528">
        <v>0.5844</v>
      </c>
      <c r="I320" s="528">
        <v>0.5033</v>
      </c>
      <c r="J320" s="528">
        <v>0.5033</v>
      </c>
      <c r="K320" s="528">
        <v>0.5033</v>
      </c>
      <c r="L320" s="528">
        <v>0.5033</v>
      </c>
      <c r="M320" s="529">
        <v>0.5033</v>
      </c>
    </row>
    <row r="321" spans="1:13">
      <c r="A321" s="527">
        <v>5.2</v>
      </c>
      <c r="B321" s="528">
        <v>0.7356</v>
      </c>
      <c r="C321" s="528">
        <v>0.7356</v>
      </c>
      <c r="D321" s="528">
        <v>0.6911</v>
      </c>
      <c r="E321" s="528">
        <v>0.6911</v>
      </c>
      <c r="F321" s="528">
        <v>0.6911</v>
      </c>
      <c r="G321" s="528">
        <v>0.5817</v>
      </c>
      <c r="H321" s="528">
        <v>0.5817</v>
      </c>
      <c r="I321" s="528">
        <v>0.5006</v>
      </c>
      <c r="J321" s="528">
        <v>0.5006</v>
      </c>
      <c r="K321" s="528">
        <v>0.5006</v>
      </c>
      <c r="L321" s="528">
        <v>0.5006</v>
      </c>
      <c r="M321" s="529">
        <v>0.5006</v>
      </c>
    </row>
    <row r="322" spans="1:13">
      <c r="A322" s="527">
        <v>5.3</v>
      </c>
      <c r="B322" s="528">
        <v>0.7338</v>
      </c>
      <c r="C322" s="528">
        <v>0.7338</v>
      </c>
      <c r="D322" s="528">
        <v>0.6887</v>
      </c>
      <c r="E322" s="528">
        <v>0.6887</v>
      </c>
      <c r="F322" s="528">
        <v>0.6887</v>
      </c>
      <c r="G322" s="528">
        <v>0.5791</v>
      </c>
      <c r="H322" s="528">
        <v>0.5791</v>
      </c>
      <c r="I322" s="528">
        <v>0.4981</v>
      </c>
      <c r="J322" s="528">
        <v>0.4981</v>
      </c>
      <c r="K322" s="528">
        <v>0.4981</v>
      </c>
      <c r="L322" s="528">
        <v>0.4981</v>
      </c>
      <c r="M322" s="529">
        <v>0.4981</v>
      </c>
    </row>
    <row r="323" spans="1:13">
      <c r="A323" s="527">
        <v>5.4</v>
      </c>
      <c r="B323" s="528">
        <v>0.732</v>
      </c>
      <c r="C323" s="528">
        <v>0.732</v>
      </c>
      <c r="D323" s="528">
        <v>0.6864</v>
      </c>
      <c r="E323" s="528">
        <v>0.6864</v>
      </c>
      <c r="F323" s="528">
        <v>0.6864</v>
      </c>
      <c r="G323" s="528">
        <v>0.5765</v>
      </c>
      <c r="H323" s="528">
        <v>0.5765</v>
      </c>
      <c r="I323" s="528">
        <v>0.4956</v>
      </c>
      <c r="J323" s="528">
        <v>0.4956</v>
      </c>
      <c r="K323" s="528">
        <v>0.4956</v>
      </c>
      <c r="L323" s="528">
        <v>0.4956</v>
      </c>
      <c r="M323" s="529">
        <v>0.4956</v>
      </c>
    </row>
    <row r="324" spans="1:13">
      <c r="A324" s="527">
        <v>5.5</v>
      </c>
      <c r="B324" s="528">
        <v>0.7301</v>
      </c>
      <c r="C324" s="528">
        <v>0.7301</v>
      </c>
      <c r="D324" s="528">
        <v>0.6842</v>
      </c>
      <c r="E324" s="528">
        <v>0.6842</v>
      </c>
      <c r="F324" s="528">
        <v>0.6842</v>
      </c>
      <c r="G324" s="528">
        <v>0.574</v>
      </c>
      <c r="H324" s="528">
        <v>0.574</v>
      </c>
      <c r="I324" s="528">
        <v>0.4932</v>
      </c>
      <c r="J324" s="528">
        <v>0.4932</v>
      </c>
      <c r="K324" s="528">
        <v>0.4932</v>
      </c>
      <c r="L324" s="528">
        <v>0.4932</v>
      </c>
      <c r="M324" s="529">
        <v>0.4932</v>
      </c>
    </row>
    <row r="325" spans="1:13">
      <c r="A325" s="527">
        <v>5.6</v>
      </c>
      <c r="B325" s="528">
        <v>0.7282</v>
      </c>
      <c r="C325" s="528">
        <v>0.7282</v>
      </c>
      <c r="D325" s="528">
        <v>0.682</v>
      </c>
      <c r="E325" s="528">
        <v>0.682</v>
      </c>
      <c r="F325" s="528">
        <v>0.682</v>
      </c>
      <c r="G325" s="528">
        <v>0.5715</v>
      </c>
      <c r="H325" s="528">
        <v>0.5715</v>
      </c>
      <c r="I325" s="528">
        <v>0.4908</v>
      </c>
      <c r="J325" s="528">
        <v>0.4908</v>
      </c>
      <c r="K325" s="528">
        <v>0.4908</v>
      </c>
      <c r="L325" s="528">
        <v>0.4908</v>
      </c>
      <c r="M325" s="529">
        <v>0.4908</v>
      </c>
    </row>
    <row r="326" spans="1:13">
      <c r="A326" s="531">
        <v>5.7</v>
      </c>
      <c r="B326" s="528">
        <v>0.7264</v>
      </c>
      <c r="C326" s="528">
        <v>0.7264</v>
      </c>
      <c r="D326" s="528">
        <v>0.6799</v>
      </c>
      <c r="E326" s="528">
        <v>0.6799</v>
      </c>
      <c r="F326" s="528">
        <v>0.6799</v>
      </c>
      <c r="G326" s="528">
        <v>0.569</v>
      </c>
      <c r="H326" s="528">
        <v>0.569</v>
      </c>
      <c r="I326" s="528">
        <v>0.4884</v>
      </c>
      <c r="J326" s="528">
        <v>0.4884</v>
      </c>
      <c r="K326" s="528">
        <v>0.4884</v>
      </c>
      <c r="L326" s="528">
        <v>0.4884</v>
      </c>
      <c r="M326" s="529">
        <v>0.4884</v>
      </c>
    </row>
    <row r="327" spans="1:13">
      <c r="A327" s="527">
        <v>5.8</v>
      </c>
      <c r="B327" s="528">
        <v>0.7246</v>
      </c>
      <c r="C327" s="528">
        <v>0.7246</v>
      </c>
      <c r="D327" s="528">
        <v>0.6778</v>
      </c>
      <c r="E327" s="528">
        <v>0.6778</v>
      </c>
      <c r="F327" s="528">
        <v>0.6778</v>
      </c>
      <c r="G327" s="528">
        <v>0.5666</v>
      </c>
      <c r="H327" s="528">
        <v>0.5666</v>
      </c>
      <c r="I327" s="528">
        <v>0.4861</v>
      </c>
      <c r="J327" s="528">
        <v>0.4861</v>
      </c>
      <c r="K327" s="528">
        <v>0.4861</v>
      </c>
      <c r="L327" s="528">
        <v>0.4861</v>
      </c>
      <c r="M327" s="529">
        <v>0.4861</v>
      </c>
    </row>
    <row r="328" spans="1:13">
      <c r="A328" s="527">
        <v>5.9</v>
      </c>
      <c r="B328" s="528">
        <v>0.7228</v>
      </c>
      <c r="C328" s="528">
        <v>0.7228</v>
      </c>
      <c r="D328" s="528">
        <v>0.6757</v>
      </c>
      <c r="E328" s="528">
        <v>0.6757</v>
      </c>
      <c r="F328" s="528">
        <v>0.6757</v>
      </c>
      <c r="G328" s="528">
        <v>0.5642</v>
      </c>
      <c r="H328" s="528">
        <v>0.5642</v>
      </c>
      <c r="I328" s="528">
        <v>0.4838</v>
      </c>
      <c r="J328" s="528">
        <v>0.4838</v>
      </c>
      <c r="K328" s="528">
        <v>0.4838</v>
      </c>
      <c r="L328" s="528">
        <v>0.4838</v>
      </c>
      <c r="M328" s="529">
        <v>0.4838</v>
      </c>
    </row>
    <row r="329" spans="1:13">
      <c r="A329" s="527">
        <v>6</v>
      </c>
      <c r="B329" s="528">
        <v>0.721</v>
      </c>
      <c r="C329" s="528">
        <v>0.721</v>
      </c>
      <c r="D329" s="528">
        <v>0.6736</v>
      </c>
      <c r="E329" s="528">
        <v>0.6736</v>
      </c>
      <c r="F329" s="528">
        <v>0.6736</v>
      </c>
      <c r="G329" s="528">
        <v>0.5618</v>
      </c>
      <c r="H329" s="528">
        <v>0.5618</v>
      </c>
      <c r="I329" s="528">
        <v>0.4816</v>
      </c>
      <c r="J329" s="528">
        <v>0.4816</v>
      </c>
      <c r="K329" s="528">
        <v>0.4816</v>
      </c>
      <c r="L329" s="528">
        <v>0.4816</v>
      </c>
      <c r="M329" s="529">
        <v>0.4816</v>
      </c>
    </row>
    <row r="330" spans="1:13">
      <c r="A330" s="527">
        <v>6.1</v>
      </c>
      <c r="B330" s="528">
        <v>0.7193</v>
      </c>
      <c r="C330" s="528">
        <v>0.7193</v>
      </c>
      <c r="D330" s="528">
        <v>0.6716</v>
      </c>
      <c r="E330" s="528">
        <v>0.6716</v>
      </c>
      <c r="F330" s="528">
        <v>0.6716</v>
      </c>
      <c r="G330" s="528">
        <v>0.5594</v>
      </c>
      <c r="H330" s="528">
        <v>0.5594</v>
      </c>
      <c r="I330" s="528">
        <v>0.4793</v>
      </c>
      <c r="J330" s="528">
        <v>0.4793</v>
      </c>
      <c r="K330" s="528">
        <v>0.4793</v>
      </c>
      <c r="L330" s="528">
        <v>0.4793</v>
      </c>
      <c r="M330" s="529">
        <v>0.4793</v>
      </c>
    </row>
    <row r="331" spans="1:13">
      <c r="A331" s="527">
        <v>6.2</v>
      </c>
      <c r="B331" s="528">
        <v>0.7176</v>
      </c>
      <c r="C331" s="528">
        <v>0.7176</v>
      </c>
      <c r="D331" s="528">
        <v>0.6696</v>
      </c>
      <c r="E331" s="528">
        <v>0.6696</v>
      </c>
      <c r="F331" s="528">
        <v>0.6696</v>
      </c>
      <c r="G331" s="528">
        <v>0.5571</v>
      </c>
      <c r="H331" s="528">
        <v>0.5571</v>
      </c>
      <c r="I331" s="528">
        <v>0.4771</v>
      </c>
      <c r="J331" s="528">
        <v>0.4771</v>
      </c>
      <c r="K331" s="528">
        <v>0.4771</v>
      </c>
      <c r="L331" s="528">
        <v>0.4771</v>
      </c>
      <c r="M331" s="529">
        <v>0.4771</v>
      </c>
    </row>
    <row r="332" spans="1:13">
      <c r="A332" s="527">
        <v>6.3</v>
      </c>
      <c r="B332" s="528">
        <v>0.7159</v>
      </c>
      <c r="C332" s="528">
        <v>0.7159</v>
      </c>
      <c r="D332" s="528">
        <v>0.6676</v>
      </c>
      <c r="E332" s="528">
        <v>0.6676</v>
      </c>
      <c r="F332" s="528">
        <v>0.6676</v>
      </c>
      <c r="G332" s="528">
        <v>0.5548</v>
      </c>
      <c r="H332" s="528">
        <v>0.5548</v>
      </c>
      <c r="I332" s="528">
        <v>0.4749</v>
      </c>
      <c r="J332" s="528">
        <v>0.4749</v>
      </c>
      <c r="K332" s="528">
        <v>0.4749</v>
      </c>
      <c r="L332" s="528">
        <v>0.4749</v>
      </c>
      <c r="M332" s="529">
        <v>0.4749</v>
      </c>
    </row>
    <row r="333" spans="1:13">
      <c r="A333" s="527">
        <v>6.4</v>
      </c>
      <c r="B333" s="528">
        <v>0.7142</v>
      </c>
      <c r="C333" s="528">
        <v>0.7142</v>
      </c>
      <c r="D333" s="528">
        <v>0.6656</v>
      </c>
      <c r="E333" s="528">
        <v>0.6656</v>
      </c>
      <c r="F333" s="528">
        <v>0.6656</v>
      </c>
      <c r="G333" s="528">
        <v>0.5525</v>
      </c>
      <c r="H333" s="528">
        <v>0.5525</v>
      </c>
      <c r="I333" s="528">
        <v>0.4727</v>
      </c>
      <c r="J333" s="528">
        <v>0.4727</v>
      </c>
      <c r="K333" s="528">
        <v>0.4727</v>
      </c>
      <c r="L333" s="528">
        <v>0.4727</v>
      </c>
      <c r="M333" s="529">
        <v>0.4727</v>
      </c>
    </row>
    <row r="334" spans="1:13">
      <c r="A334" s="527">
        <v>6.5</v>
      </c>
      <c r="B334" s="528">
        <v>0.7125</v>
      </c>
      <c r="C334" s="528">
        <v>0.7125</v>
      </c>
      <c r="D334" s="528">
        <v>0.6636</v>
      </c>
      <c r="E334" s="528">
        <v>0.6636</v>
      </c>
      <c r="F334" s="528">
        <v>0.6636</v>
      </c>
      <c r="G334" s="528">
        <v>0.5502</v>
      </c>
      <c r="H334" s="528">
        <v>0.5502</v>
      </c>
      <c r="I334" s="528">
        <v>0.4706</v>
      </c>
      <c r="J334" s="528">
        <v>0.4706</v>
      </c>
      <c r="K334" s="528">
        <v>0.4706</v>
      </c>
      <c r="L334" s="528">
        <v>0.4706</v>
      </c>
      <c r="M334" s="529">
        <v>0.4706</v>
      </c>
    </row>
    <row r="335" spans="1:13">
      <c r="A335" s="527">
        <v>6.6</v>
      </c>
      <c r="B335" s="528">
        <v>0.7109</v>
      </c>
      <c r="C335" s="528">
        <v>0.7109</v>
      </c>
      <c r="D335" s="528">
        <v>0.6616</v>
      </c>
      <c r="E335" s="528">
        <v>0.6616</v>
      </c>
      <c r="F335" s="528">
        <v>0.6616</v>
      </c>
      <c r="G335" s="528">
        <v>0.548</v>
      </c>
      <c r="H335" s="528">
        <v>0.548</v>
      </c>
      <c r="I335" s="528">
        <v>0.4684</v>
      </c>
      <c r="J335" s="528">
        <v>0.4684</v>
      </c>
      <c r="K335" s="528">
        <v>0.4684</v>
      </c>
      <c r="L335" s="528">
        <v>0.4684</v>
      </c>
      <c r="M335" s="529">
        <v>0.4684</v>
      </c>
    </row>
    <row r="336" spans="1:13">
      <c r="A336" s="527">
        <v>6.7</v>
      </c>
      <c r="B336" s="528">
        <v>0.7093</v>
      </c>
      <c r="C336" s="528">
        <v>0.7093</v>
      </c>
      <c r="D336" s="528">
        <v>0.6597</v>
      </c>
      <c r="E336" s="528">
        <v>0.6597</v>
      </c>
      <c r="F336" s="528">
        <v>0.6597</v>
      </c>
      <c r="G336" s="528">
        <v>0.5458</v>
      </c>
      <c r="H336" s="528">
        <v>0.5458</v>
      </c>
      <c r="I336" s="528">
        <v>0.4663</v>
      </c>
      <c r="J336" s="528">
        <v>0.4663</v>
      </c>
      <c r="K336" s="528">
        <v>0.4663</v>
      </c>
      <c r="L336" s="528">
        <v>0.4663</v>
      </c>
      <c r="M336" s="529">
        <v>0.4663</v>
      </c>
    </row>
    <row r="337" spans="1:13">
      <c r="A337" s="527">
        <v>6.8</v>
      </c>
      <c r="B337" s="528">
        <v>0.7077</v>
      </c>
      <c r="C337" s="528">
        <v>0.7077</v>
      </c>
      <c r="D337" s="528">
        <v>0.6578</v>
      </c>
      <c r="E337" s="528">
        <v>0.6578</v>
      </c>
      <c r="F337" s="528">
        <v>0.6578</v>
      </c>
      <c r="G337" s="528">
        <v>0.5436</v>
      </c>
      <c r="H337" s="528">
        <v>0.5436</v>
      </c>
      <c r="I337" s="528">
        <v>0.4641</v>
      </c>
      <c r="J337" s="528">
        <v>0.4641</v>
      </c>
      <c r="K337" s="528">
        <v>0.4641</v>
      </c>
      <c r="L337" s="528">
        <v>0.4641</v>
      </c>
      <c r="M337" s="529">
        <v>0.4641</v>
      </c>
    </row>
    <row r="338" spans="1:13">
      <c r="A338" s="527">
        <v>6.9</v>
      </c>
      <c r="B338" s="528">
        <v>0.7061</v>
      </c>
      <c r="C338" s="528">
        <v>0.7061</v>
      </c>
      <c r="D338" s="528">
        <v>0.6559</v>
      </c>
      <c r="E338" s="528">
        <v>0.6559</v>
      </c>
      <c r="F338" s="528">
        <v>0.6559</v>
      </c>
      <c r="G338" s="528">
        <v>0.5414</v>
      </c>
      <c r="H338" s="528">
        <v>0.5414</v>
      </c>
      <c r="I338" s="528">
        <v>0.462</v>
      </c>
      <c r="J338" s="528">
        <v>0.462</v>
      </c>
      <c r="K338" s="528">
        <v>0.462</v>
      </c>
      <c r="L338" s="528">
        <v>0.462</v>
      </c>
      <c r="M338" s="529">
        <v>0.462</v>
      </c>
    </row>
    <row r="339" spans="1:13">
      <c r="A339" s="527">
        <v>7</v>
      </c>
      <c r="B339" s="528">
        <v>0.7045</v>
      </c>
      <c r="C339" s="528">
        <v>0.7045</v>
      </c>
      <c r="D339" s="528">
        <v>0.654</v>
      </c>
      <c r="E339" s="528">
        <v>0.654</v>
      </c>
      <c r="F339" s="528">
        <v>0.654</v>
      </c>
      <c r="G339" s="528">
        <v>0.5392</v>
      </c>
      <c r="H339" s="528">
        <v>0.5392</v>
      </c>
      <c r="I339" s="528">
        <v>0.4598</v>
      </c>
      <c r="J339" s="528">
        <v>0.4598</v>
      </c>
      <c r="K339" s="528">
        <v>0.4598</v>
      </c>
      <c r="L339" s="528">
        <v>0.4598</v>
      </c>
      <c r="M339" s="529">
        <v>0.4598</v>
      </c>
    </row>
    <row r="340" spans="1:13">
      <c r="A340" s="527">
        <v>7.1</v>
      </c>
      <c r="B340" s="528">
        <v>0.7029</v>
      </c>
      <c r="C340" s="528">
        <v>0.7029</v>
      </c>
      <c r="D340" s="528">
        <v>0.6521</v>
      </c>
      <c r="E340" s="528">
        <v>0.6521</v>
      </c>
      <c r="F340" s="528">
        <v>0.6521</v>
      </c>
      <c r="G340" s="528">
        <v>0.5371</v>
      </c>
      <c r="H340" s="528">
        <v>0.5371</v>
      </c>
      <c r="I340" s="528">
        <v>0.4578</v>
      </c>
      <c r="J340" s="528">
        <v>0.4578</v>
      </c>
      <c r="K340" s="528">
        <v>0.4578</v>
      </c>
      <c r="L340" s="528">
        <v>0.4578</v>
      </c>
      <c r="M340" s="529">
        <v>0.4578</v>
      </c>
    </row>
    <row r="341" spans="1:13">
      <c r="A341" s="527">
        <v>7.2</v>
      </c>
      <c r="B341" s="528">
        <v>0.7014</v>
      </c>
      <c r="C341" s="528">
        <v>0.7014</v>
      </c>
      <c r="D341" s="528">
        <v>0.6502</v>
      </c>
      <c r="E341" s="528">
        <v>0.6502</v>
      </c>
      <c r="F341" s="528">
        <v>0.6502</v>
      </c>
      <c r="G341" s="528">
        <v>0.535</v>
      </c>
      <c r="H341" s="528">
        <v>0.535</v>
      </c>
      <c r="I341" s="528">
        <v>0.4557</v>
      </c>
      <c r="J341" s="528">
        <v>0.4557</v>
      </c>
      <c r="K341" s="528">
        <v>0.4557</v>
      </c>
      <c r="L341" s="528">
        <v>0.4557</v>
      </c>
      <c r="M341" s="529">
        <v>0.4557</v>
      </c>
    </row>
    <row r="342" spans="1:13">
      <c r="A342" s="527">
        <v>7.3</v>
      </c>
      <c r="B342" s="528">
        <v>0.6999</v>
      </c>
      <c r="C342" s="528">
        <v>0.6999</v>
      </c>
      <c r="D342" s="528">
        <v>0.6483</v>
      </c>
      <c r="E342" s="528">
        <v>0.6483</v>
      </c>
      <c r="F342" s="528">
        <v>0.6483</v>
      </c>
      <c r="G342" s="528">
        <v>0.5329</v>
      </c>
      <c r="H342" s="528">
        <v>0.5329</v>
      </c>
      <c r="I342" s="528">
        <v>0.4537</v>
      </c>
      <c r="J342" s="528">
        <v>0.4537</v>
      </c>
      <c r="K342" s="528">
        <v>0.4537</v>
      </c>
      <c r="L342" s="528">
        <v>0.4537</v>
      </c>
      <c r="M342" s="529">
        <v>0.4537</v>
      </c>
    </row>
    <row r="343" spans="1:13">
      <c r="A343" s="527">
        <v>7.4</v>
      </c>
      <c r="B343" s="528">
        <v>0.6984</v>
      </c>
      <c r="C343" s="528">
        <v>0.6984</v>
      </c>
      <c r="D343" s="528">
        <v>0.6465</v>
      </c>
      <c r="E343" s="528">
        <v>0.6465</v>
      </c>
      <c r="F343" s="528">
        <v>0.6465</v>
      </c>
      <c r="G343" s="528">
        <v>0.5308</v>
      </c>
      <c r="H343" s="528">
        <v>0.5308</v>
      </c>
      <c r="I343" s="528">
        <v>0.4516</v>
      </c>
      <c r="J343" s="528">
        <v>0.4516</v>
      </c>
      <c r="K343" s="528">
        <v>0.4516</v>
      </c>
      <c r="L343" s="528">
        <v>0.4516</v>
      </c>
      <c r="M343" s="529">
        <v>0.4516</v>
      </c>
    </row>
    <row r="344" spans="1:13">
      <c r="A344" s="527">
        <v>7.5</v>
      </c>
      <c r="B344" s="528">
        <v>0.6969</v>
      </c>
      <c r="C344" s="528">
        <v>0.6969</v>
      </c>
      <c r="D344" s="528">
        <v>0.6447</v>
      </c>
      <c r="E344" s="528">
        <v>0.6447</v>
      </c>
      <c r="F344" s="528">
        <v>0.6447</v>
      </c>
      <c r="G344" s="528">
        <v>0.5287</v>
      </c>
      <c r="H344" s="528">
        <v>0.5287</v>
      </c>
      <c r="I344" s="528">
        <v>0.4495</v>
      </c>
      <c r="J344" s="528">
        <v>0.4495</v>
      </c>
      <c r="K344" s="528">
        <v>0.4495</v>
      </c>
      <c r="L344" s="528">
        <v>0.4495</v>
      </c>
      <c r="M344" s="529">
        <v>0.4495</v>
      </c>
    </row>
    <row r="345" spans="1:13">
      <c r="A345" s="527">
        <v>7.6</v>
      </c>
      <c r="B345" s="528">
        <v>0.6954</v>
      </c>
      <c r="C345" s="528">
        <v>0.6954</v>
      </c>
      <c r="D345" s="528">
        <v>0.6429</v>
      </c>
      <c r="E345" s="528">
        <v>0.6429</v>
      </c>
      <c r="F345" s="528">
        <v>0.6429</v>
      </c>
      <c r="G345" s="528">
        <v>0.5266</v>
      </c>
      <c r="H345" s="528">
        <v>0.5266</v>
      </c>
      <c r="I345" s="528">
        <v>0.4475</v>
      </c>
      <c r="J345" s="528">
        <v>0.4475</v>
      </c>
      <c r="K345" s="528">
        <v>0.4475</v>
      </c>
      <c r="L345" s="528">
        <v>0.4475</v>
      </c>
      <c r="M345" s="529">
        <v>0.4475</v>
      </c>
    </row>
    <row r="346" spans="1:13">
      <c r="A346" s="527">
        <v>7.7</v>
      </c>
      <c r="B346" s="528">
        <v>0.6939</v>
      </c>
      <c r="C346" s="528">
        <v>0.6939</v>
      </c>
      <c r="D346" s="528">
        <v>0.6411</v>
      </c>
      <c r="E346" s="528">
        <v>0.6411</v>
      </c>
      <c r="F346" s="528">
        <v>0.6411</v>
      </c>
      <c r="G346" s="528">
        <v>0.5246</v>
      </c>
      <c r="H346" s="528">
        <v>0.5246</v>
      </c>
      <c r="I346" s="528">
        <v>0.4454</v>
      </c>
      <c r="J346" s="528">
        <v>0.4454</v>
      </c>
      <c r="K346" s="528">
        <v>0.4454</v>
      </c>
      <c r="L346" s="528">
        <v>0.4454</v>
      </c>
      <c r="M346" s="529">
        <v>0.4454</v>
      </c>
    </row>
    <row r="347" spans="1:13">
      <c r="A347" s="527">
        <v>7.8</v>
      </c>
      <c r="B347" s="528">
        <v>0.6924</v>
      </c>
      <c r="C347" s="528">
        <v>0.6924</v>
      </c>
      <c r="D347" s="528">
        <v>0.6393</v>
      </c>
      <c r="E347" s="528">
        <v>0.6393</v>
      </c>
      <c r="F347" s="528">
        <v>0.6393</v>
      </c>
      <c r="G347" s="528">
        <v>0.5226</v>
      </c>
      <c r="H347" s="528">
        <v>0.5226</v>
      </c>
      <c r="I347" s="528">
        <v>0.4434</v>
      </c>
      <c r="J347" s="528">
        <v>0.4434</v>
      </c>
      <c r="K347" s="528">
        <v>0.4434</v>
      </c>
      <c r="L347" s="528">
        <v>0.4434</v>
      </c>
      <c r="M347" s="529">
        <v>0.4434</v>
      </c>
    </row>
    <row r="348" spans="1:13">
      <c r="A348" s="527">
        <v>7.9</v>
      </c>
      <c r="B348" s="528">
        <v>0.691</v>
      </c>
      <c r="C348" s="528">
        <v>0.691</v>
      </c>
      <c r="D348" s="528">
        <v>0.6375</v>
      </c>
      <c r="E348" s="528">
        <v>0.6375</v>
      </c>
      <c r="F348" s="528">
        <v>0.6375</v>
      </c>
      <c r="G348" s="528">
        <v>0.5206</v>
      </c>
      <c r="H348" s="528">
        <v>0.5206</v>
      </c>
      <c r="I348" s="528">
        <v>0.4413</v>
      </c>
      <c r="J348" s="528">
        <v>0.4413</v>
      </c>
      <c r="K348" s="528">
        <v>0.4413</v>
      </c>
      <c r="L348" s="528">
        <v>0.4413</v>
      </c>
      <c r="M348" s="529">
        <v>0.4413</v>
      </c>
    </row>
    <row r="349" spans="1:13">
      <c r="A349" s="527">
        <v>8</v>
      </c>
      <c r="B349" s="528">
        <v>0.6896</v>
      </c>
      <c r="C349" s="528">
        <v>0.6896</v>
      </c>
      <c r="D349" s="528">
        <v>0.6357</v>
      </c>
      <c r="E349" s="528">
        <v>0.6357</v>
      </c>
      <c r="F349" s="528">
        <v>0.6357</v>
      </c>
      <c r="G349" s="528">
        <v>0.5186</v>
      </c>
      <c r="H349" s="528">
        <v>0.5186</v>
      </c>
      <c r="I349" s="528">
        <v>0.4392</v>
      </c>
      <c r="J349" s="528">
        <v>0.4392</v>
      </c>
      <c r="K349" s="528">
        <v>0.4392</v>
      </c>
      <c r="L349" s="528">
        <v>0.4392</v>
      </c>
      <c r="M349" s="529">
        <v>0.4392</v>
      </c>
    </row>
    <row r="350" spans="1:13">
      <c r="A350" s="527">
        <v>8.1</v>
      </c>
      <c r="B350" s="528">
        <v>0.6882</v>
      </c>
      <c r="C350" s="528">
        <v>0.6882</v>
      </c>
      <c r="D350" s="528">
        <v>0.6339</v>
      </c>
      <c r="E350" s="528">
        <v>0.6339</v>
      </c>
      <c r="F350" s="528">
        <v>0.6339</v>
      </c>
      <c r="G350" s="528">
        <v>0.5166</v>
      </c>
      <c r="H350" s="528">
        <v>0.5166</v>
      </c>
      <c r="I350" s="528">
        <v>0.4373</v>
      </c>
      <c r="J350" s="528">
        <v>0.4373</v>
      </c>
      <c r="K350" s="528">
        <v>0.4373</v>
      </c>
      <c r="L350" s="528">
        <v>0.4373</v>
      </c>
      <c r="M350" s="529">
        <v>0.4373</v>
      </c>
    </row>
    <row r="351" spans="1:13">
      <c r="A351" s="527">
        <v>8.2</v>
      </c>
      <c r="B351" s="528">
        <v>0.6868</v>
      </c>
      <c r="C351" s="528">
        <v>0.6868</v>
      </c>
      <c r="D351" s="528">
        <v>0.6322</v>
      </c>
      <c r="E351" s="528">
        <v>0.6322</v>
      </c>
      <c r="F351" s="528">
        <v>0.6322</v>
      </c>
      <c r="G351" s="528">
        <v>0.5146</v>
      </c>
      <c r="H351" s="528">
        <v>0.5146</v>
      </c>
      <c r="I351" s="528">
        <v>0.4353</v>
      </c>
      <c r="J351" s="528">
        <v>0.4353</v>
      </c>
      <c r="K351" s="528">
        <v>0.4353</v>
      </c>
      <c r="L351" s="528">
        <v>0.4353</v>
      </c>
      <c r="M351" s="529">
        <v>0.4353</v>
      </c>
    </row>
    <row r="352" spans="1:13">
      <c r="A352" s="527">
        <v>8.3</v>
      </c>
      <c r="B352" s="528">
        <v>0.6854</v>
      </c>
      <c r="C352" s="528">
        <v>0.6854</v>
      </c>
      <c r="D352" s="528">
        <v>0.6305</v>
      </c>
      <c r="E352" s="528">
        <v>0.6305</v>
      </c>
      <c r="F352" s="528">
        <v>0.6305</v>
      </c>
      <c r="G352" s="528">
        <v>0.5126</v>
      </c>
      <c r="H352" s="528">
        <v>0.5126</v>
      </c>
      <c r="I352" s="528">
        <v>0.4333</v>
      </c>
      <c r="J352" s="528">
        <v>0.4333</v>
      </c>
      <c r="K352" s="528">
        <v>0.4333</v>
      </c>
      <c r="L352" s="528">
        <v>0.4333</v>
      </c>
      <c r="M352" s="529">
        <v>0.4333</v>
      </c>
    </row>
    <row r="353" spans="1:13">
      <c r="A353" s="527">
        <v>8.4</v>
      </c>
      <c r="B353" s="528">
        <v>0.684</v>
      </c>
      <c r="C353" s="528">
        <v>0.684</v>
      </c>
      <c r="D353" s="528">
        <v>0.6288</v>
      </c>
      <c r="E353" s="528">
        <v>0.6288</v>
      </c>
      <c r="F353" s="528">
        <v>0.6288</v>
      </c>
      <c r="G353" s="528">
        <v>0.5107</v>
      </c>
      <c r="H353" s="528">
        <v>0.5107</v>
      </c>
      <c r="I353" s="528">
        <v>0.4313</v>
      </c>
      <c r="J353" s="528">
        <v>0.4313</v>
      </c>
      <c r="K353" s="528">
        <v>0.4313</v>
      </c>
      <c r="L353" s="528">
        <v>0.4313</v>
      </c>
      <c r="M353" s="529">
        <v>0.4313</v>
      </c>
    </row>
    <row r="354" spans="1:13">
      <c r="A354" s="527">
        <v>8.5</v>
      </c>
      <c r="B354" s="528">
        <v>0.6826</v>
      </c>
      <c r="C354" s="528">
        <v>0.6826</v>
      </c>
      <c r="D354" s="528">
        <v>0.6271</v>
      </c>
      <c r="E354" s="528">
        <v>0.6271</v>
      </c>
      <c r="F354" s="528">
        <v>0.6271</v>
      </c>
      <c r="G354" s="528">
        <v>0.5088</v>
      </c>
      <c r="H354" s="528">
        <v>0.5088</v>
      </c>
      <c r="I354" s="528">
        <v>0.4294</v>
      </c>
      <c r="J354" s="528">
        <v>0.4294</v>
      </c>
      <c r="K354" s="528">
        <v>0.4294</v>
      </c>
      <c r="L354" s="528">
        <v>0.4294</v>
      </c>
      <c r="M354" s="529">
        <v>0.4294</v>
      </c>
    </row>
    <row r="355" spans="1:13">
      <c r="A355" s="527">
        <v>8.6</v>
      </c>
      <c r="B355" s="528">
        <v>0.6812</v>
      </c>
      <c r="C355" s="528">
        <v>0.6812</v>
      </c>
      <c r="D355" s="528">
        <v>0.6254</v>
      </c>
      <c r="E355" s="528">
        <v>0.6254</v>
      </c>
      <c r="F355" s="528">
        <v>0.6254</v>
      </c>
      <c r="G355" s="528">
        <v>0.5069</v>
      </c>
      <c r="H355" s="528">
        <v>0.5069</v>
      </c>
      <c r="I355" s="528">
        <v>0.4274</v>
      </c>
      <c r="J355" s="528">
        <v>0.4274</v>
      </c>
      <c r="K355" s="528">
        <v>0.4274</v>
      </c>
      <c r="L355" s="528">
        <v>0.4274</v>
      </c>
      <c r="M355" s="529">
        <v>0.4274</v>
      </c>
    </row>
    <row r="356" spans="1:13">
      <c r="A356" s="527">
        <v>8.7</v>
      </c>
      <c r="B356" s="528">
        <v>0.6799</v>
      </c>
      <c r="C356" s="528">
        <v>0.6799</v>
      </c>
      <c r="D356" s="528">
        <v>0.6237</v>
      </c>
      <c r="E356" s="528">
        <v>0.6237</v>
      </c>
      <c r="F356" s="528">
        <v>0.6237</v>
      </c>
      <c r="G356" s="528">
        <v>0.505</v>
      </c>
      <c r="H356" s="528">
        <v>0.505</v>
      </c>
      <c r="I356" s="528">
        <v>0.4254</v>
      </c>
      <c r="J356" s="528">
        <v>0.4254</v>
      </c>
      <c r="K356" s="528">
        <v>0.4254</v>
      </c>
      <c r="L356" s="528">
        <v>0.4254</v>
      </c>
      <c r="M356" s="529">
        <v>0.4254</v>
      </c>
    </row>
    <row r="357" spans="1:13">
      <c r="A357" s="527">
        <v>8.8</v>
      </c>
      <c r="B357" s="528">
        <v>0.6786</v>
      </c>
      <c r="C357" s="528">
        <v>0.6786</v>
      </c>
      <c r="D357" s="528">
        <v>0.622</v>
      </c>
      <c r="E357" s="528">
        <v>0.622</v>
      </c>
      <c r="F357" s="528">
        <v>0.622</v>
      </c>
      <c r="G357" s="528">
        <v>0.5031</v>
      </c>
      <c r="H357" s="528">
        <v>0.5031</v>
      </c>
      <c r="I357" s="528">
        <v>0.4234</v>
      </c>
      <c r="J357" s="528">
        <v>0.4234</v>
      </c>
      <c r="K357" s="528">
        <v>0.4234</v>
      </c>
      <c r="L357" s="528">
        <v>0.4234</v>
      </c>
      <c r="M357" s="529">
        <v>0.4234</v>
      </c>
    </row>
    <row r="358" spans="1:13">
      <c r="A358" s="527">
        <v>8.9</v>
      </c>
      <c r="B358" s="528">
        <v>0.6773</v>
      </c>
      <c r="C358" s="528">
        <v>0.6773</v>
      </c>
      <c r="D358" s="528">
        <v>0.6203</v>
      </c>
      <c r="E358" s="528">
        <v>0.6203</v>
      </c>
      <c r="F358" s="528">
        <v>0.6203</v>
      </c>
      <c r="G358" s="528">
        <v>0.5012</v>
      </c>
      <c r="H358" s="528">
        <v>0.5012</v>
      </c>
      <c r="I358" s="528">
        <v>0.4215</v>
      </c>
      <c r="J358" s="528">
        <v>0.4215</v>
      </c>
      <c r="K358" s="528">
        <v>0.4215</v>
      </c>
      <c r="L358" s="528">
        <v>0.4215</v>
      </c>
      <c r="M358" s="529">
        <v>0.4215</v>
      </c>
    </row>
    <row r="359" spans="1:13">
      <c r="A359" s="531">
        <v>9</v>
      </c>
      <c r="B359" s="528">
        <v>0.676</v>
      </c>
      <c r="C359" s="528">
        <v>0.676</v>
      </c>
      <c r="D359" s="528">
        <v>0.6187</v>
      </c>
      <c r="E359" s="528">
        <v>0.6187</v>
      </c>
      <c r="F359" s="528">
        <v>0.6187</v>
      </c>
      <c r="G359" s="528">
        <v>0.4993</v>
      </c>
      <c r="H359" s="528">
        <v>0.4993</v>
      </c>
      <c r="I359" s="528">
        <v>0.4195</v>
      </c>
      <c r="J359" s="528">
        <v>0.4195</v>
      </c>
      <c r="K359" s="528">
        <v>0.4195</v>
      </c>
      <c r="L359" s="528">
        <v>0.4195</v>
      </c>
      <c r="M359" s="529">
        <v>0.4195</v>
      </c>
    </row>
    <row r="360" spans="1:13">
      <c r="A360" s="531">
        <v>9.1</v>
      </c>
      <c r="B360" s="528">
        <v>0.6747</v>
      </c>
      <c r="C360" s="528">
        <v>0.6747</v>
      </c>
      <c r="D360" s="528">
        <v>0.6171</v>
      </c>
      <c r="E360" s="528">
        <v>0.6171</v>
      </c>
      <c r="F360" s="528">
        <v>0.6171</v>
      </c>
      <c r="G360" s="528">
        <v>0.4974</v>
      </c>
      <c r="H360" s="528">
        <v>0.4974</v>
      </c>
      <c r="I360" s="528">
        <v>0.4176</v>
      </c>
      <c r="J360" s="528">
        <v>0.4176</v>
      </c>
      <c r="K360" s="528">
        <v>0.4176</v>
      </c>
      <c r="L360" s="528">
        <v>0.4176</v>
      </c>
      <c r="M360" s="529">
        <v>0.4176</v>
      </c>
    </row>
    <row r="361" spans="1:13">
      <c r="A361" s="531">
        <v>9.2</v>
      </c>
      <c r="B361" s="528">
        <v>0.6734</v>
      </c>
      <c r="C361" s="528">
        <v>0.6734</v>
      </c>
      <c r="D361" s="528">
        <v>0.6155</v>
      </c>
      <c r="E361" s="528">
        <v>0.6155</v>
      </c>
      <c r="F361" s="528">
        <v>0.6155</v>
      </c>
      <c r="G361" s="528">
        <v>0.4956</v>
      </c>
      <c r="H361" s="528">
        <v>0.4956</v>
      </c>
      <c r="I361" s="528">
        <v>0.4157</v>
      </c>
      <c r="J361" s="528">
        <v>0.4157</v>
      </c>
      <c r="K361" s="528">
        <v>0.4157</v>
      </c>
      <c r="L361" s="528">
        <v>0.4157</v>
      </c>
      <c r="M361" s="529">
        <v>0.4157</v>
      </c>
    </row>
    <row r="362" spans="1:13">
      <c r="A362" s="531">
        <v>9.3</v>
      </c>
      <c r="B362" s="528">
        <v>0.6721</v>
      </c>
      <c r="C362" s="528">
        <v>0.6721</v>
      </c>
      <c r="D362" s="528">
        <v>0.6139</v>
      </c>
      <c r="E362" s="528">
        <v>0.6139</v>
      </c>
      <c r="F362" s="528">
        <v>0.6139</v>
      </c>
      <c r="G362" s="528">
        <v>0.4938</v>
      </c>
      <c r="H362" s="528">
        <v>0.4938</v>
      </c>
      <c r="I362" s="528">
        <v>0.4138</v>
      </c>
      <c r="J362" s="528">
        <v>0.4138</v>
      </c>
      <c r="K362" s="528">
        <v>0.4138</v>
      </c>
      <c r="L362" s="528">
        <v>0.4138</v>
      </c>
      <c r="M362" s="529">
        <v>0.4138</v>
      </c>
    </row>
    <row r="363" spans="1:13">
      <c r="A363" s="531">
        <v>9.4</v>
      </c>
      <c r="B363" s="528">
        <v>0.6708</v>
      </c>
      <c r="C363" s="528">
        <v>0.6708</v>
      </c>
      <c r="D363" s="528">
        <v>0.6123</v>
      </c>
      <c r="E363" s="528">
        <v>0.6123</v>
      </c>
      <c r="F363" s="528">
        <v>0.6123</v>
      </c>
      <c r="G363" s="528">
        <v>0.492</v>
      </c>
      <c r="H363" s="528">
        <v>0.492</v>
      </c>
      <c r="I363" s="528">
        <v>0.4119</v>
      </c>
      <c r="J363" s="528">
        <v>0.4119</v>
      </c>
      <c r="K363" s="528">
        <v>0.4119</v>
      </c>
      <c r="L363" s="528">
        <v>0.4119</v>
      </c>
      <c r="M363" s="529">
        <v>0.4119</v>
      </c>
    </row>
    <row r="364" spans="1:13">
      <c r="A364" s="531">
        <v>9.5</v>
      </c>
      <c r="B364" s="528">
        <v>0.6696</v>
      </c>
      <c r="C364" s="528">
        <v>0.6696</v>
      </c>
      <c r="D364" s="528">
        <v>0.6107</v>
      </c>
      <c r="E364" s="528">
        <v>0.6107</v>
      </c>
      <c r="F364" s="528">
        <v>0.6107</v>
      </c>
      <c r="G364" s="528">
        <v>0.4902</v>
      </c>
      <c r="H364" s="528">
        <v>0.4902</v>
      </c>
      <c r="I364" s="528">
        <v>0.41</v>
      </c>
      <c r="J364" s="528">
        <v>0.41</v>
      </c>
      <c r="K364" s="528">
        <v>0.41</v>
      </c>
      <c r="L364" s="528">
        <v>0.41</v>
      </c>
      <c r="M364" s="529">
        <v>0.41</v>
      </c>
    </row>
    <row r="365" spans="1:13">
      <c r="A365" s="531">
        <v>9.6</v>
      </c>
      <c r="B365" s="528">
        <v>0.6684</v>
      </c>
      <c r="C365" s="528">
        <v>0.6684</v>
      </c>
      <c r="D365" s="528">
        <v>0.6091</v>
      </c>
      <c r="E365" s="528">
        <v>0.6091</v>
      </c>
      <c r="F365" s="528">
        <v>0.6091</v>
      </c>
      <c r="G365" s="528">
        <v>0.4884</v>
      </c>
      <c r="H365" s="528">
        <v>0.4884</v>
      </c>
      <c r="I365" s="528">
        <v>0.4081</v>
      </c>
      <c r="J365" s="528">
        <v>0.4081</v>
      </c>
      <c r="K365" s="528">
        <v>0.4081</v>
      </c>
      <c r="L365" s="528">
        <v>0.4081</v>
      </c>
      <c r="M365" s="529">
        <v>0.4081</v>
      </c>
    </row>
    <row r="366" spans="1:13">
      <c r="A366" s="531">
        <v>9.7</v>
      </c>
      <c r="B366" s="528">
        <v>0.6672</v>
      </c>
      <c r="C366" s="528">
        <v>0.6672</v>
      </c>
      <c r="D366" s="528">
        <v>0.6075</v>
      </c>
      <c r="E366" s="528">
        <v>0.6075</v>
      </c>
      <c r="F366" s="528">
        <v>0.6075</v>
      </c>
      <c r="G366" s="528">
        <v>0.4866</v>
      </c>
      <c r="H366" s="528">
        <v>0.4866</v>
      </c>
      <c r="I366" s="528">
        <v>0.4062</v>
      </c>
      <c r="J366" s="528">
        <v>0.4062</v>
      </c>
      <c r="K366" s="528">
        <v>0.4062</v>
      </c>
      <c r="L366" s="528">
        <v>0.4062</v>
      </c>
      <c r="M366" s="529">
        <v>0.4062</v>
      </c>
    </row>
    <row r="367" spans="1:13">
      <c r="A367" s="531">
        <v>9.8</v>
      </c>
      <c r="B367" s="528">
        <v>0.666</v>
      </c>
      <c r="C367" s="528">
        <v>0.666</v>
      </c>
      <c r="D367" s="528">
        <v>0.606</v>
      </c>
      <c r="E367" s="528">
        <v>0.606</v>
      </c>
      <c r="F367" s="528">
        <v>0.606</v>
      </c>
      <c r="G367" s="528">
        <v>0.4848</v>
      </c>
      <c r="H367" s="528">
        <v>0.4848</v>
      </c>
      <c r="I367" s="528">
        <v>0.4043</v>
      </c>
      <c r="J367" s="528">
        <v>0.4043</v>
      </c>
      <c r="K367" s="528">
        <v>0.4043</v>
      </c>
      <c r="L367" s="528">
        <v>0.4043</v>
      </c>
      <c r="M367" s="529">
        <v>0.4043</v>
      </c>
    </row>
    <row r="368" ht="14.25" spans="1:13">
      <c r="A368" s="532">
        <v>9.9</v>
      </c>
      <c r="B368" s="533">
        <v>0.6648</v>
      </c>
      <c r="C368" s="533">
        <v>0.6648</v>
      </c>
      <c r="D368" s="533">
        <v>0.6045</v>
      </c>
      <c r="E368" s="533">
        <v>0.6045</v>
      </c>
      <c r="F368" s="533">
        <v>0.6045</v>
      </c>
      <c r="G368" s="533">
        <v>0.483</v>
      </c>
      <c r="H368" s="533">
        <v>0.483</v>
      </c>
      <c r="I368" s="533">
        <v>0.4024</v>
      </c>
      <c r="J368" s="533">
        <v>0.4024</v>
      </c>
      <c r="K368" s="533">
        <v>0.4024</v>
      </c>
      <c r="L368" s="533">
        <v>0.4024</v>
      </c>
      <c r="M368" s="534">
        <v>0.4024</v>
      </c>
    </row>
    <row r="369" ht="15" spans="1:20">
      <c r="A369" s="519" t="s">
        <v>2572</v>
      </c>
      <c r="B369" s="535"/>
      <c r="C369" s="535"/>
      <c r="D369" s="535"/>
      <c r="E369" s="535"/>
      <c r="F369" s="535"/>
      <c r="G369" s="535"/>
      <c r="H369" s="535"/>
      <c r="I369" s="535"/>
      <c r="J369" s="535"/>
      <c r="K369" s="535"/>
      <c r="L369" s="535"/>
      <c r="M369" s="535"/>
    </row>
    <row r="370" spans="1:20">
      <c r="A370" s="521" t="s">
        <v>2562</v>
      </c>
      <c r="B370" s="522" t="s">
        <v>235</v>
      </c>
      <c r="C370" s="522" t="s">
        <v>251</v>
      </c>
      <c r="D370" s="522" t="s">
        <v>264</v>
      </c>
      <c r="E370" s="522" t="s">
        <v>275</v>
      </c>
      <c r="F370" s="522" t="s">
        <v>286</v>
      </c>
      <c r="G370" s="522" t="s">
        <v>295</v>
      </c>
      <c r="H370" s="523" t="s">
        <v>303</v>
      </c>
      <c r="I370" s="523" t="s">
        <v>311</v>
      </c>
      <c r="J370" s="524" t="s">
        <v>318</v>
      </c>
      <c r="K370" s="524" t="s">
        <v>324</v>
      </c>
      <c r="L370" s="524" t="s">
        <v>330</v>
      </c>
      <c r="M370" s="525" t="s">
        <v>336</v>
      </c>
      <c r="N370" s="518">
        <f>SUMPRODUCT((A371:A460=ROUNDDOWN(基准地价修正!G3,1))*(B370:M370=基准地价修正!G2)*(B371:M460))</f>
        <v>1.1565</v>
      </c>
      <c r="Q370" s="526" t="s">
        <v>2563</v>
      </c>
      <c r="R370" s="526" t="s">
        <v>2564</v>
      </c>
      <c r="S370" s="526" t="s">
        <v>2565</v>
      </c>
      <c r="T370" s="526" t="s">
        <v>2566</v>
      </c>
    </row>
    <row r="371" spans="1:20">
      <c r="A371" s="527">
        <v>1</v>
      </c>
      <c r="B371" s="528">
        <v>1.184</v>
      </c>
      <c r="C371" s="528">
        <v>1.184</v>
      </c>
      <c r="D371" s="528">
        <v>1.1565</v>
      </c>
      <c r="E371" s="528">
        <v>1.1565</v>
      </c>
      <c r="F371" s="528">
        <v>1.1565</v>
      </c>
      <c r="G371" s="528">
        <v>1.1565</v>
      </c>
      <c r="H371" s="528">
        <v>1.1565</v>
      </c>
      <c r="I371" s="528">
        <v>1.1199</v>
      </c>
      <c r="J371" s="528">
        <v>1.1199</v>
      </c>
      <c r="K371" s="528">
        <v>1.1199</v>
      </c>
      <c r="L371" s="528">
        <v>1.1199</v>
      </c>
      <c r="M371" s="529">
        <v>1.1199</v>
      </c>
      <c r="Q371" s="526">
        <v>10</v>
      </c>
      <c r="R371" s="526">
        <f>ROUND(0.9404-0.0106*Q371,4)</f>
        <v>0.8344</v>
      </c>
      <c r="S371" s="526">
        <f>ROUND(0.8955-0.0135*Q371,4)</f>
        <v>0.7605</v>
      </c>
      <c r="T371" s="526">
        <f>ROUND(0.7632-0.0166*Q371,4)</f>
        <v>0.5972</v>
      </c>
    </row>
    <row r="372" spans="1:20">
      <c r="A372" s="527">
        <v>1.1</v>
      </c>
      <c r="B372" s="528">
        <v>1.1659</v>
      </c>
      <c r="C372" s="528">
        <v>1.1659</v>
      </c>
      <c r="D372" s="528">
        <v>1.1364</v>
      </c>
      <c r="E372" s="528">
        <v>1.1364</v>
      </c>
      <c r="F372" s="528">
        <v>1.1364</v>
      </c>
      <c r="G372" s="528">
        <v>1.1364</v>
      </c>
      <c r="H372" s="528">
        <v>1.1364</v>
      </c>
      <c r="I372" s="528">
        <v>1.0931</v>
      </c>
      <c r="J372" s="528">
        <v>1.0931</v>
      </c>
      <c r="K372" s="528">
        <v>1.0931</v>
      </c>
      <c r="L372" s="528">
        <v>1.0931</v>
      </c>
      <c r="M372" s="529">
        <v>1.0931</v>
      </c>
    </row>
    <row r="373" spans="1:20">
      <c r="A373" s="527">
        <v>1.2</v>
      </c>
      <c r="B373" s="528">
        <v>1.1489</v>
      </c>
      <c r="C373" s="528">
        <v>1.1489</v>
      </c>
      <c r="D373" s="528">
        <v>1.1175</v>
      </c>
      <c r="E373" s="528">
        <v>1.1175</v>
      </c>
      <c r="F373" s="528">
        <v>1.1175</v>
      </c>
      <c r="G373" s="528">
        <v>1.1175</v>
      </c>
      <c r="H373" s="528">
        <v>1.1175</v>
      </c>
      <c r="I373" s="528">
        <v>1.0678</v>
      </c>
      <c r="J373" s="528">
        <v>1.0678</v>
      </c>
      <c r="K373" s="528">
        <v>1.0678</v>
      </c>
      <c r="L373" s="528">
        <v>1.0678</v>
      </c>
      <c r="M373" s="529">
        <v>1.0678</v>
      </c>
    </row>
    <row r="374" spans="1:20">
      <c r="A374" s="527">
        <v>1.3</v>
      </c>
      <c r="B374" s="528">
        <v>1.1328</v>
      </c>
      <c r="C374" s="528">
        <v>1.1328</v>
      </c>
      <c r="D374" s="528">
        <v>1.0996</v>
      </c>
      <c r="E374" s="528">
        <v>1.0996</v>
      </c>
      <c r="F374" s="528">
        <v>1.0996</v>
      </c>
      <c r="G374" s="528">
        <v>1.0996</v>
      </c>
      <c r="H374" s="528">
        <v>1.0996</v>
      </c>
      <c r="I374" s="528">
        <v>1.044</v>
      </c>
      <c r="J374" s="528">
        <v>1.044</v>
      </c>
      <c r="K374" s="528">
        <v>1.044</v>
      </c>
      <c r="L374" s="528">
        <v>1.044</v>
      </c>
      <c r="M374" s="529">
        <v>1.044</v>
      </c>
    </row>
    <row r="375" spans="1:20">
      <c r="A375" s="527">
        <v>1.4</v>
      </c>
      <c r="B375" s="528">
        <v>1.1176</v>
      </c>
      <c r="C375" s="528">
        <v>1.1176</v>
      </c>
      <c r="D375" s="528">
        <v>1.0827</v>
      </c>
      <c r="E375" s="528">
        <v>1.0827</v>
      </c>
      <c r="F375" s="528">
        <v>1.0827</v>
      </c>
      <c r="G375" s="528">
        <v>1.0827</v>
      </c>
      <c r="H375" s="528">
        <v>1.0827</v>
      </c>
      <c r="I375" s="528">
        <v>1.0214</v>
      </c>
      <c r="J375" s="528">
        <v>1.0214</v>
      </c>
      <c r="K375" s="528">
        <v>1.0214</v>
      </c>
      <c r="L375" s="528">
        <v>1.0214</v>
      </c>
      <c r="M375" s="529">
        <v>1.0214</v>
      </c>
    </row>
    <row r="376" spans="1:20">
      <c r="A376" s="527">
        <v>1.5</v>
      </c>
      <c r="B376" s="528">
        <v>1.1033</v>
      </c>
      <c r="C376" s="528">
        <v>1.1033</v>
      </c>
      <c r="D376" s="528">
        <v>1.0668</v>
      </c>
      <c r="E376" s="528">
        <v>1.0668</v>
      </c>
      <c r="F376" s="528">
        <v>1.0668</v>
      </c>
      <c r="G376" s="528">
        <v>1.0668</v>
      </c>
      <c r="H376" s="528">
        <v>1.0668</v>
      </c>
      <c r="I376" s="528">
        <v>1</v>
      </c>
      <c r="J376" s="528">
        <v>1</v>
      </c>
      <c r="K376" s="528">
        <v>1</v>
      </c>
      <c r="L376" s="528">
        <v>1</v>
      </c>
      <c r="M376" s="529">
        <v>1</v>
      </c>
    </row>
    <row r="377" spans="1:20">
      <c r="A377" s="527">
        <v>1.6</v>
      </c>
      <c r="B377" s="528">
        <v>1.0899</v>
      </c>
      <c r="C377" s="528">
        <v>1.0899</v>
      </c>
      <c r="D377" s="528">
        <v>1.0517</v>
      </c>
      <c r="E377" s="528">
        <v>1.0517</v>
      </c>
      <c r="F377" s="528">
        <v>1.0517</v>
      </c>
      <c r="G377" s="528">
        <v>1.0517</v>
      </c>
      <c r="H377" s="528">
        <v>1.0517</v>
      </c>
      <c r="I377" s="528">
        <v>0.9799</v>
      </c>
      <c r="J377" s="528">
        <v>0.9799</v>
      </c>
      <c r="K377" s="528">
        <v>0.9799</v>
      </c>
      <c r="L377" s="528">
        <v>0.9799</v>
      </c>
      <c r="M377" s="529">
        <v>0.9799</v>
      </c>
    </row>
    <row r="378" spans="1:20">
      <c r="A378" s="527">
        <v>1.7</v>
      </c>
      <c r="B378" s="528">
        <v>1.0772</v>
      </c>
      <c r="C378" s="528">
        <v>1.0772</v>
      </c>
      <c r="D378" s="528">
        <v>1.0376</v>
      </c>
      <c r="E378" s="528">
        <v>1.0376</v>
      </c>
      <c r="F378" s="528">
        <v>1.0376</v>
      </c>
      <c r="G378" s="528">
        <v>1.0376</v>
      </c>
      <c r="H378" s="528">
        <v>1.0376</v>
      </c>
      <c r="I378" s="528">
        <v>0.9609</v>
      </c>
      <c r="J378" s="528">
        <v>0.9609</v>
      </c>
      <c r="K378" s="528">
        <v>0.9609</v>
      </c>
      <c r="L378" s="528">
        <v>0.9609</v>
      </c>
      <c r="M378" s="529">
        <v>0.9609</v>
      </c>
    </row>
    <row r="379" spans="1:20">
      <c r="A379" s="527">
        <v>1.8</v>
      </c>
      <c r="B379" s="528">
        <v>1.0653</v>
      </c>
      <c r="C379" s="528">
        <v>1.0653</v>
      </c>
      <c r="D379" s="528">
        <v>1.0243</v>
      </c>
      <c r="E379" s="528">
        <v>1.0243</v>
      </c>
      <c r="F379" s="528">
        <v>1.0243</v>
      </c>
      <c r="G379" s="528">
        <v>1.0243</v>
      </c>
      <c r="H379" s="528">
        <v>1.0243</v>
      </c>
      <c r="I379" s="528">
        <v>0.943</v>
      </c>
      <c r="J379" s="528">
        <v>0.943</v>
      </c>
      <c r="K379" s="528">
        <v>0.943</v>
      </c>
      <c r="L379" s="528">
        <v>0.943</v>
      </c>
      <c r="M379" s="529">
        <v>0.943</v>
      </c>
    </row>
    <row r="380" spans="1:20">
      <c r="A380" s="527">
        <v>1.9</v>
      </c>
      <c r="B380" s="528">
        <v>1.054</v>
      </c>
      <c r="C380" s="528">
        <v>1.054</v>
      </c>
      <c r="D380" s="528">
        <v>1.0118</v>
      </c>
      <c r="E380" s="528">
        <v>1.0118</v>
      </c>
      <c r="F380" s="528">
        <v>1.0118</v>
      </c>
      <c r="G380" s="528">
        <v>1.0118</v>
      </c>
      <c r="H380" s="528">
        <v>1.0118</v>
      </c>
      <c r="I380" s="528">
        <v>0.9262</v>
      </c>
      <c r="J380" s="528">
        <v>0.9262</v>
      </c>
      <c r="K380" s="528">
        <v>0.9262</v>
      </c>
      <c r="L380" s="528">
        <v>0.9262</v>
      </c>
      <c r="M380" s="529">
        <v>0.9262</v>
      </c>
    </row>
    <row r="381" spans="1:20">
      <c r="A381" s="527">
        <v>2</v>
      </c>
      <c r="B381" s="528">
        <v>1.0435</v>
      </c>
      <c r="C381" s="528">
        <v>1.0435</v>
      </c>
      <c r="D381" s="528">
        <v>1</v>
      </c>
      <c r="E381" s="528">
        <v>1</v>
      </c>
      <c r="F381" s="528">
        <v>1</v>
      </c>
      <c r="G381" s="528">
        <v>1</v>
      </c>
      <c r="H381" s="528">
        <v>1</v>
      </c>
      <c r="I381" s="528">
        <v>0.9103</v>
      </c>
      <c r="J381" s="528">
        <v>0.9103</v>
      </c>
      <c r="K381" s="528">
        <v>0.9103</v>
      </c>
      <c r="L381" s="528">
        <v>0.9103</v>
      </c>
      <c r="M381" s="529">
        <v>0.9103</v>
      </c>
    </row>
    <row r="382" spans="1:20">
      <c r="A382" s="531">
        <v>2.1</v>
      </c>
      <c r="B382" s="528">
        <v>1.0336</v>
      </c>
      <c r="C382" s="528">
        <v>1.0336</v>
      </c>
      <c r="D382" s="528">
        <v>0.989</v>
      </c>
      <c r="E382" s="528">
        <v>0.989</v>
      </c>
      <c r="F382" s="528">
        <v>0.989</v>
      </c>
      <c r="G382" s="528">
        <v>0.989</v>
      </c>
      <c r="H382" s="528">
        <v>0.989</v>
      </c>
      <c r="I382" s="528">
        <v>0.8954</v>
      </c>
      <c r="J382" s="528">
        <v>0.8954</v>
      </c>
      <c r="K382" s="528">
        <v>0.8954</v>
      </c>
      <c r="L382" s="528">
        <v>0.8954</v>
      </c>
      <c r="M382" s="529">
        <v>0.8954</v>
      </c>
    </row>
    <row r="383" spans="1:20">
      <c r="A383" s="531">
        <v>2.2</v>
      </c>
      <c r="B383" s="528">
        <v>1.0243</v>
      </c>
      <c r="C383" s="528">
        <v>1.0243</v>
      </c>
      <c r="D383" s="528">
        <v>0.9786</v>
      </c>
      <c r="E383" s="528">
        <v>0.9786</v>
      </c>
      <c r="F383" s="528">
        <v>0.9786</v>
      </c>
      <c r="G383" s="528">
        <v>0.9786</v>
      </c>
      <c r="H383" s="528">
        <v>0.9786</v>
      </c>
      <c r="I383" s="528">
        <v>0.8814</v>
      </c>
      <c r="J383" s="528">
        <v>0.8814</v>
      </c>
      <c r="K383" s="528">
        <v>0.8814</v>
      </c>
      <c r="L383" s="528">
        <v>0.8814</v>
      </c>
      <c r="M383" s="529">
        <v>0.8814</v>
      </c>
    </row>
    <row r="384" spans="1:20">
      <c r="A384" s="531">
        <v>2.3</v>
      </c>
      <c r="B384" s="528">
        <v>1.0157</v>
      </c>
      <c r="C384" s="528">
        <v>1.0157</v>
      </c>
      <c r="D384" s="528">
        <v>0.9689</v>
      </c>
      <c r="E384" s="528">
        <v>0.9689</v>
      </c>
      <c r="F384" s="528">
        <v>0.9689</v>
      </c>
      <c r="G384" s="528">
        <v>0.9689</v>
      </c>
      <c r="H384" s="528">
        <v>0.9689</v>
      </c>
      <c r="I384" s="528">
        <v>0.8682</v>
      </c>
      <c r="J384" s="528">
        <v>0.8682</v>
      </c>
      <c r="K384" s="528">
        <v>0.8682</v>
      </c>
      <c r="L384" s="528">
        <v>0.8682</v>
      </c>
      <c r="M384" s="529">
        <v>0.8682</v>
      </c>
    </row>
    <row r="385" spans="1:13">
      <c r="A385" s="531">
        <v>2.4</v>
      </c>
      <c r="B385" s="528">
        <v>1.0076</v>
      </c>
      <c r="C385" s="528">
        <v>1.0076</v>
      </c>
      <c r="D385" s="528">
        <v>0.9598</v>
      </c>
      <c r="E385" s="528">
        <v>0.9598</v>
      </c>
      <c r="F385" s="528">
        <v>0.9598</v>
      </c>
      <c r="G385" s="528">
        <v>0.9598</v>
      </c>
      <c r="H385" s="528">
        <v>0.9598</v>
      </c>
      <c r="I385" s="528">
        <v>0.8558</v>
      </c>
      <c r="J385" s="528">
        <v>0.8558</v>
      </c>
      <c r="K385" s="528">
        <v>0.8558</v>
      </c>
      <c r="L385" s="528">
        <v>0.8558</v>
      </c>
      <c r="M385" s="529">
        <v>0.8558</v>
      </c>
    </row>
    <row r="386" spans="1:13">
      <c r="A386" s="531">
        <v>2.5</v>
      </c>
      <c r="B386" s="528">
        <v>1</v>
      </c>
      <c r="C386" s="528">
        <v>1</v>
      </c>
      <c r="D386" s="528">
        <v>0.9512</v>
      </c>
      <c r="E386" s="528">
        <v>0.9512</v>
      </c>
      <c r="F386" s="528">
        <v>0.9512</v>
      </c>
      <c r="G386" s="528">
        <v>0.9512</v>
      </c>
      <c r="H386" s="528">
        <v>0.9512</v>
      </c>
      <c r="I386" s="528">
        <v>0.8442</v>
      </c>
      <c r="J386" s="528">
        <v>0.8442</v>
      </c>
      <c r="K386" s="528">
        <v>0.8442</v>
      </c>
      <c r="L386" s="528">
        <v>0.8442</v>
      </c>
      <c r="M386" s="529">
        <v>0.8442</v>
      </c>
    </row>
    <row r="387" spans="1:13">
      <c r="A387" s="531">
        <v>2.6</v>
      </c>
      <c r="B387" s="528">
        <v>0.9929</v>
      </c>
      <c r="C387" s="528">
        <v>0.9929</v>
      </c>
      <c r="D387" s="528">
        <v>0.9432</v>
      </c>
      <c r="E387" s="528">
        <v>0.9432</v>
      </c>
      <c r="F387" s="528">
        <v>0.9432</v>
      </c>
      <c r="G387" s="528">
        <v>0.9432</v>
      </c>
      <c r="H387" s="528">
        <v>0.9432</v>
      </c>
      <c r="I387" s="528">
        <v>0.8333</v>
      </c>
      <c r="J387" s="528">
        <v>0.8333</v>
      </c>
      <c r="K387" s="528">
        <v>0.8333</v>
      </c>
      <c r="L387" s="528">
        <v>0.8333</v>
      </c>
      <c r="M387" s="529">
        <v>0.8333</v>
      </c>
    </row>
    <row r="388" spans="1:13">
      <c r="A388" s="531">
        <v>2.7</v>
      </c>
      <c r="B388" s="528">
        <v>0.9863</v>
      </c>
      <c r="C388" s="528">
        <v>0.9863</v>
      </c>
      <c r="D388" s="528">
        <v>0.9357</v>
      </c>
      <c r="E388" s="528">
        <v>0.9357</v>
      </c>
      <c r="F388" s="528">
        <v>0.9357</v>
      </c>
      <c r="G388" s="528">
        <v>0.9357</v>
      </c>
      <c r="H388" s="528">
        <v>0.9357</v>
      </c>
      <c r="I388" s="528">
        <v>0.8232</v>
      </c>
      <c r="J388" s="528">
        <v>0.8232</v>
      </c>
      <c r="K388" s="528">
        <v>0.8232</v>
      </c>
      <c r="L388" s="528">
        <v>0.8232</v>
      </c>
      <c r="M388" s="529">
        <v>0.8232</v>
      </c>
    </row>
    <row r="389" spans="1:13">
      <c r="A389" s="531">
        <v>2.8</v>
      </c>
      <c r="B389" s="528">
        <v>0.9801</v>
      </c>
      <c r="C389" s="528">
        <v>0.9801</v>
      </c>
      <c r="D389" s="528">
        <v>0.9288</v>
      </c>
      <c r="E389" s="528">
        <v>0.9288</v>
      </c>
      <c r="F389" s="528">
        <v>0.9288</v>
      </c>
      <c r="G389" s="528">
        <v>0.9288</v>
      </c>
      <c r="H389" s="528">
        <v>0.9288</v>
      </c>
      <c r="I389" s="528">
        <v>0.8136</v>
      </c>
      <c r="J389" s="528">
        <v>0.8136</v>
      </c>
      <c r="K389" s="528">
        <v>0.8136</v>
      </c>
      <c r="L389" s="528">
        <v>0.8136</v>
      </c>
      <c r="M389" s="529">
        <v>0.8136</v>
      </c>
    </row>
    <row r="390" spans="1:13">
      <c r="A390" s="531">
        <v>2.9</v>
      </c>
      <c r="B390" s="528">
        <v>0.9743</v>
      </c>
      <c r="C390" s="528">
        <v>0.9743</v>
      </c>
      <c r="D390" s="528">
        <v>0.9222</v>
      </c>
      <c r="E390" s="528">
        <v>0.9222</v>
      </c>
      <c r="F390" s="528">
        <v>0.9222</v>
      </c>
      <c r="G390" s="528">
        <v>0.9222</v>
      </c>
      <c r="H390" s="528">
        <v>0.9222</v>
      </c>
      <c r="I390" s="528">
        <v>0.8046</v>
      </c>
      <c r="J390" s="528">
        <v>0.8046</v>
      </c>
      <c r="K390" s="528">
        <v>0.8046</v>
      </c>
      <c r="L390" s="528">
        <v>0.8046</v>
      </c>
      <c r="M390" s="529">
        <v>0.8046</v>
      </c>
    </row>
    <row r="391" spans="1:13">
      <c r="A391" s="531">
        <v>3</v>
      </c>
      <c r="B391" s="528">
        <v>0.9689</v>
      </c>
      <c r="C391" s="528">
        <v>0.9689</v>
      </c>
      <c r="D391" s="528">
        <v>0.9161</v>
      </c>
      <c r="E391" s="528">
        <v>0.9161</v>
      </c>
      <c r="F391" s="528">
        <v>0.9161</v>
      </c>
      <c r="G391" s="528">
        <v>0.9161</v>
      </c>
      <c r="H391" s="528">
        <v>0.9161</v>
      </c>
      <c r="I391" s="528">
        <v>0.7962</v>
      </c>
      <c r="J391" s="528">
        <v>0.7962</v>
      </c>
      <c r="K391" s="528">
        <v>0.7962</v>
      </c>
      <c r="L391" s="528">
        <v>0.7962</v>
      </c>
      <c r="M391" s="529">
        <v>0.7962</v>
      </c>
    </row>
    <row r="392" spans="1:13">
      <c r="A392" s="531">
        <v>3.1</v>
      </c>
      <c r="B392" s="528">
        <v>0.9639</v>
      </c>
      <c r="C392" s="528">
        <v>0.9639</v>
      </c>
      <c r="D392" s="528">
        <v>0.9104</v>
      </c>
      <c r="E392" s="528">
        <v>0.9104</v>
      </c>
      <c r="F392" s="528">
        <v>0.9104</v>
      </c>
      <c r="G392" s="528">
        <v>0.9104</v>
      </c>
      <c r="H392" s="528">
        <v>0.9104</v>
      </c>
      <c r="I392" s="528">
        <v>0.7883</v>
      </c>
      <c r="J392" s="528">
        <v>0.7883</v>
      </c>
      <c r="K392" s="528">
        <v>0.7883</v>
      </c>
      <c r="L392" s="528">
        <v>0.7883</v>
      </c>
      <c r="M392" s="529">
        <v>0.7883</v>
      </c>
    </row>
    <row r="393" spans="1:13">
      <c r="A393" s="531">
        <v>3.2</v>
      </c>
      <c r="B393" s="528">
        <v>0.9593</v>
      </c>
      <c r="C393" s="528">
        <v>0.9593</v>
      </c>
      <c r="D393" s="528">
        <v>0.9052</v>
      </c>
      <c r="E393" s="528">
        <v>0.9052</v>
      </c>
      <c r="F393" s="528">
        <v>0.9052</v>
      </c>
      <c r="G393" s="528">
        <v>0.9052</v>
      </c>
      <c r="H393" s="528">
        <v>0.9052</v>
      </c>
      <c r="I393" s="528">
        <v>0.7809</v>
      </c>
      <c r="J393" s="528">
        <v>0.7809</v>
      </c>
      <c r="K393" s="528">
        <v>0.7809</v>
      </c>
      <c r="L393" s="528">
        <v>0.7809</v>
      </c>
      <c r="M393" s="529">
        <v>0.7809</v>
      </c>
    </row>
    <row r="394" spans="1:13">
      <c r="A394" s="531">
        <v>3.3</v>
      </c>
      <c r="B394" s="528">
        <v>0.9549</v>
      </c>
      <c r="C394" s="528">
        <v>0.9549</v>
      </c>
      <c r="D394" s="528">
        <v>0.9002</v>
      </c>
      <c r="E394" s="528">
        <v>0.9002</v>
      </c>
      <c r="F394" s="528">
        <v>0.9002</v>
      </c>
      <c r="G394" s="528">
        <v>0.9002</v>
      </c>
      <c r="H394" s="528">
        <v>0.9002</v>
      </c>
      <c r="I394" s="528">
        <v>0.7741</v>
      </c>
      <c r="J394" s="528">
        <v>0.7741</v>
      </c>
      <c r="K394" s="528">
        <v>0.7741</v>
      </c>
      <c r="L394" s="528">
        <v>0.7741</v>
      </c>
      <c r="M394" s="529">
        <v>0.7741</v>
      </c>
    </row>
    <row r="395" spans="1:13">
      <c r="A395" s="531">
        <v>3.4</v>
      </c>
      <c r="B395" s="528">
        <v>0.9509</v>
      </c>
      <c r="C395" s="528">
        <v>0.9509</v>
      </c>
      <c r="D395" s="528">
        <v>0.8956</v>
      </c>
      <c r="E395" s="528">
        <v>0.8956</v>
      </c>
      <c r="F395" s="528">
        <v>0.8956</v>
      </c>
      <c r="G395" s="528">
        <v>0.8956</v>
      </c>
      <c r="H395" s="528">
        <v>0.8956</v>
      </c>
      <c r="I395" s="528">
        <v>0.7676</v>
      </c>
      <c r="J395" s="528">
        <v>0.7676</v>
      </c>
      <c r="K395" s="528">
        <v>0.7676</v>
      </c>
      <c r="L395" s="528">
        <v>0.7676</v>
      </c>
      <c r="M395" s="529">
        <v>0.7676</v>
      </c>
    </row>
    <row r="396" spans="1:13">
      <c r="A396" s="531">
        <v>3.5</v>
      </c>
      <c r="B396" s="528">
        <v>0.9471</v>
      </c>
      <c r="C396" s="528">
        <v>0.9471</v>
      </c>
      <c r="D396" s="528">
        <v>0.8913</v>
      </c>
      <c r="E396" s="528">
        <v>0.8913</v>
      </c>
      <c r="F396" s="528">
        <v>0.8913</v>
      </c>
      <c r="G396" s="528">
        <v>0.8913</v>
      </c>
      <c r="H396" s="528">
        <v>0.8913</v>
      </c>
      <c r="I396" s="528">
        <v>0.7616</v>
      </c>
      <c r="J396" s="528">
        <v>0.7616</v>
      </c>
      <c r="K396" s="528">
        <v>0.7616</v>
      </c>
      <c r="L396" s="528">
        <v>0.7616</v>
      </c>
      <c r="M396" s="529">
        <v>0.7616</v>
      </c>
    </row>
    <row r="397" spans="1:13">
      <c r="A397" s="531">
        <v>3.6</v>
      </c>
      <c r="B397" s="528">
        <v>0.9436</v>
      </c>
      <c r="C397" s="528">
        <v>0.9436</v>
      </c>
      <c r="D397" s="528">
        <v>0.8873</v>
      </c>
      <c r="E397" s="528">
        <v>0.8873</v>
      </c>
      <c r="F397" s="528">
        <v>0.8873</v>
      </c>
      <c r="G397" s="528">
        <v>0.8873</v>
      </c>
      <c r="H397" s="528">
        <v>0.8873</v>
      </c>
      <c r="I397" s="528">
        <v>0.7559</v>
      </c>
      <c r="J397" s="528">
        <v>0.7559</v>
      </c>
      <c r="K397" s="528">
        <v>0.7559</v>
      </c>
      <c r="L397" s="528">
        <v>0.7559</v>
      </c>
      <c r="M397" s="529">
        <v>0.7559</v>
      </c>
    </row>
    <row r="398" spans="1:13">
      <c r="A398" s="531">
        <v>3.7</v>
      </c>
      <c r="B398" s="528">
        <v>0.9404</v>
      </c>
      <c r="C398" s="528">
        <v>0.9404</v>
      </c>
      <c r="D398" s="528">
        <v>0.8835</v>
      </c>
      <c r="E398" s="528">
        <v>0.8835</v>
      </c>
      <c r="F398" s="528">
        <v>0.8835</v>
      </c>
      <c r="G398" s="528">
        <v>0.8835</v>
      </c>
      <c r="H398" s="528">
        <v>0.8835</v>
      </c>
      <c r="I398" s="528">
        <v>0.7507</v>
      </c>
      <c r="J398" s="528">
        <v>0.7507</v>
      </c>
      <c r="K398" s="528">
        <v>0.7507</v>
      </c>
      <c r="L398" s="528">
        <v>0.7507</v>
      </c>
      <c r="M398" s="529">
        <v>0.7507</v>
      </c>
    </row>
    <row r="399" spans="1:13">
      <c r="A399" s="531">
        <v>3.8</v>
      </c>
      <c r="B399" s="528">
        <v>0.9374</v>
      </c>
      <c r="C399" s="528">
        <v>0.9374</v>
      </c>
      <c r="D399" s="528">
        <v>0.8801</v>
      </c>
      <c r="E399" s="528">
        <v>0.8801</v>
      </c>
      <c r="F399" s="528">
        <v>0.8801</v>
      </c>
      <c r="G399" s="528">
        <v>0.8801</v>
      </c>
      <c r="H399" s="528">
        <v>0.8801</v>
      </c>
      <c r="I399" s="528">
        <v>0.7457</v>
      </c>
      <c r="J399" s="528">
        <v>0.7457</v>
      </c>
      <c r="K399" s="528">
        <v>0.7457</v>
      </c>
      <c r="L399" s="528">
        <v>0.7457</v>
      </c>
      <c r="M399" s="529">
        <v>0.7457</v>
      </c>
    </row>
    <row r="400" spans="1:13">
      <c r="A400" s="531">
        <v>3.9</v>
      </c>
      <c r="B400" s="528">
        <v>0.9346</v>
      </c>
      <c r="C400" s="528">
        <v>0.9346</v>
      </c>
      <c r="D400" s="528">
        <v>0.8768</v>
      </c>
      <c r="E400" s="528">
        <v>0.8768</v>
      </c>
      <c r="F400" s="528">
        <v>0.8768</v>
      </c>
      <c r="G400" s="528">
        <v>0.8768</v>
      </c>
      <c r="H400" s="528">
        <v>0.8768</v>
      </c>
      <c r="I400" s="528">
        <v>0.7411</v>
      </c>
      <c r="J400" s="528">
        <v>0.7411</v>
      </c>
      <c r="K400" s="528">
        <v>0.7411</v>
      </c>
      <c r="L400" s="528">
        <v>0.7411</v>
      </c>
      <c r="M400" s="529">
        <v>0.7411</v>
      </c>
    </row>
    <row r="401" spans="1:13">
      <c r="A401" s="531">
        <v>4</v>
      </c>
      <c r="B401" s="528">
        <v>0.9318</v>
      </c>
      <c r="C401" s="528">
        <v>0.9318</v>
      </c>
      <c r="D401" s="528">
        <v>0.8738</v>
      </c>
      <c r="E401" s="528">
        <v>0.8738</v>
      </c>
      <c r="F401" s="528">
        <v>0.8738</v>
      </c>
      <c r="G401" s="528">
        <v>0.8738</v>
      </c>
      <c r="H401" s="528">
        <v>0.8738</v>
      </c>
      <c r="I401" s="528">
        <v>0.7368</v>
      </c>
      <c r="J401" s="528">
        <v>0.7368</v>
      </c>
      <c r="K401" s="528">
        <v>0.7368</v>
      </c>
      <c r="L401" s="528">
        <v>0.7368</v>
      </c>
      <c r="M401" s="529">
        <v>0.7368</v>
      </c>
    </row>
    <row r="402" spans="1:13">
      <c r="A402" s="531">
        <v>4.1</v>
      </c>
      <c r="B402" s="528">
        <v>0.9292</v>
      </c>
      <c r="C402" s="528">
        <v>0.9292</v>
      </c>
      <c r="D402" s="528">
        <v>0.8709</v>
      </c>
      <c r="E402" s="528">
        <v>0.8709</v>
      </c>
      <c r="F402" s="528">
        <v>0.8709</v>
      </c>
      <c r="G402" s="528">
        <v>0.8709</v>
      </c>
      <c r="H402" s="528">
        <v>0.8709</v>
      </c>
      <c r="I402" s="528">
        <v>0.7327</v>
      </c>
      <c r="J402" s="528">
        <v>0.7327</v>
      </c>
      <c r="K402" s="528">
        <v>0.7327</v>
      </c>
      <c r="L402" s="528">
        <v>0.7327</v>
      </c>
      <c r="M402" s="529">
        <v>0.7327</v>
      </c>
    </row>
    <row r="403" spans="1:13">
      <c r="A403" s="531">
        <v>4.2</v>
      </c>
      <c r="B403" s="528">
        <v>0.9266</v>
      </c>
      <c r="C403" s="528">
        <v>0.9266</v>
      </c>
      <c r="D403" s="528">
        <v>0.8682</v>
      </c>
      <c r="E403" s="528">
        <v>0.8682</v>
      </c>
      <c r="F403" s="528">
        <v>0.8682</v>
      </c>
      <c r="G403" s="528">
        <v>0.8682</v>
      </c>
      <c r="H403" s="528">
        <v>0.8682</v>
      </c>
      <c r="I403" s="528">
        <v>0.7288</v>
      </c>
      <c r="J403" s="528">
        <v>0.7288</v>
      </c>
      <c r="K403" s="528">
        <v>0.7288</v>
      </c>
      <c r="L403" s="528">
        <v>0.7288</v>
      </c>
      <c r="M403" s="529">
        <v>0.7288</v>
      </c>
    </row>
    <row r="404" spans="1:13">
      <c r="A404" s="531">
        <v>4.3</v>
      </c>
      <c r="B404" s="528">
        <v>0.9241</v>
      </c>
      <c r="C404" s="528">
        <v>0.9241</v>
      </c>
      <c r="D404" s="528">
        <v>0.8655</v>
      </c>
      <c r="E404" s="528">
        <v>0.8655</v>
      </c>
      <c r="F404" s="528">
        <v>0.8655</v>
      </c>
      <c r="G404" s="528">
        <v>0.8655</v>
      </c>
      <c r="H404" s="528">
        <v>0.8655</v>
      </c>
      <c r="I404" s="528">
        <v>0.7251</v>
      </c>
      <c r="J404" s="528">
        <v>0.7251</v>
      </c>
      <c r="K404" s="528">
        <v>0.7251</v>
      </c>
      <c r="L404" s="528">
        <v>0.7251</v>
      </c>
      <c r="M404" s="529">
        <v>0.7251</v>
      </c>
    </row>
    <row r="405" spans="1:13">
      <c r="A405" s="531">
        <v>4.4</v>
      </c>
      <c r="B405" s="528">
        <v>0.9218</v>
      </c>
      <c r="C405" s="528">
        <v>0.9218</v>
      </c>
      <c r="D405" s="528">
        <v>0.8629</v>
      </c>
      <c r="E405" s="528">
        <v>0.8629</v>
      </c>
      <c r="F405" s="528">
        <v>0.8629</v>
      </c>
      <c r="G405" s="528">
        <v>0.8629</v>
      </c>
      <c r="H405" s="528">
        <v>0.8629</v>
      </c>
      <c r="I405" s="528">
        <v>0.7215</v>
      </c>
      <c r="J405" s="528">
        <v>0.7215</v>
      </c>
      <c r="K405" s="528">
        <v>0.7215</v>
      </c>
      <c r="L405" s="528">
        <v>0.7215</v>
      </c>
      <c r="M405" s="529">
        <v>0.7215</v>
      </c>
    </row>
    <row r="406" spans="1:13">
      <c r="A406" s="531">
        <v>4.5</v>
      </c>
      <c r="B406" s="528">
        <v>0.9195</v>
      </c>
      <c r="C406" s="528">
        <v>0.9195</v>
      </c>
      <c r="D406" s="528">
        <v>0.8605</v>
      </c>
      <c r="E406" s="528">
        <v>0.8605</v>
      </c>
      <c r="F406" s="528">
        <v>0.8605</v>
      </c>
      <c r="G406" s="528">
        <v>0.8605</v>
      </c>
      <c r="H406" s="528">
        <v>0.8605</v>
      </c>
      <c r="I406" s="528">
        <v>0.7182</v>
      </c>
      <c r="J406" s="528">
        <v>0.7182</v>
      </c>
      <c r="K406" s="528">
        <v>0.7182</v>
      </c>
      <c r="L406" s="528">
        <v>0.7182</v>
      </c>
      <c r="M406" s="529">
        <v>0.7182</v>
      </c>
    </row>
    <row r="407" spans="1:13">
      <c r="A407" s="531">
        <v>4.6</v>
      </c>
      <c r="B407" s="528">
        <v>0.9173</v>
      </c>
      <c r="C407" s="528">
        <v>0.9173</v>
      </c>
      <c r="D407" s="528">
        <v>0.8581</v>
      </c>
      <c r="E407" s="528">
        <v>0.8581</v>
      </c>
      <c r="F407" s="528">
        <v>0.8581</v>
      </c>
      <c r="G407" s="528">
        <v>0.8581</v>
      </c>
      <c r="H407" s="528">
        <v>0.8581</v>
      </c>
      <c r="I407" s="528">
        <v>0.715</v>
      </c>
      <c r="J407" s="528">
        <v>0.715</v>
      </c>
      <c r="K407" s="528">
        <v>0.715</v>
      </c>
      <c r="L407" s="528">
        <v>0.715</v>
      </c>
      <c r="M407" s="529">
        <v>0.715</v>
      </c>
    </row>
    <row r="408" spans="1:13">
      <c r="A408" s="531">
        <v>4.7</v>
      </c>
      <c r="B408" s="528">
        <v>0.9152</v>
      </c>
      <c r="C408" s="528">
        <v>0.9152</v>
      </c>
      <c r="D408" s="528">
        <v>0.8557</v>
      </c>
      <c r="E408" s="528">
        <v>0.8557</v>
      </c>
      <c r="F408" s="528">
        <v>0.8557</v>
      </c>
      <c r="G408" s="528">
        <v>0.8557</v>
      </c>
      <c r="H408" s="528">
        <v>0.8557</v>
      </c>
      <c r="I408" s="528">
        <v>0.712</v>
      </c>
      <c r="J408" s="528">
        <v>0.712</v>
      </c>
      <c r="K408" s="528">
        <v>0.712</v>
      </c>
      <c r="L408" s="528">
        <v>0.712</v>
      </c>
      <c r="M408" s="529">
        <v>0.712</v>
      </c>
    </row>
    <row r="409" spans="1:13">
      <c r="A409" s="531">
        <v>4.8</v>
      </c>
      <c r="B409" s="528">
        <v>0.9131</v>
      </c>
      <c r="C409" s="528">
        <v>0.9131</v>
      </c>
      <c r="D409" s="528">
        <v>0.8534</v>
      </c>
      <c r="E409" s="528">
        <v>0.8534</v>
      </c>
      <c r="F409" s="528">
        <v>0.8534</v>
      </c>
      <c r="G409" s="528">
        <v>0.8534</v>
      </c>
      <c r="H409" s="528">
        <v>0.8534</v>
      </c>
      <c r="I409" s="528">
        <v>0.7091</v>
      </c>
      <c r="J409" s="528">
        <v>0.7091</v>
      </c>
      <c r="K409" s="528">
        <v>0.7091</v>
      </c>
      <c r="L409" s="528">
        <v>0.7091</v>
      </c>
      <c r="M409" s="529">
        <v>0.7091</v>
      </c>
    </row>
    <row r="410" spans="1:13">
      <c r="A410" s="531">
        <v>4.9</v>
      </c>
      <c r="B410" s="528">
        <v>0.9112</v>
      </c>
      <c r="C410" s="528">
        <v>0.9112</v>
      </c>
      <c r="D410" s="528">
        <v>0.8511</v>
      </c>
      <c r="E410" s="528">
        <v>0.8511</v>
      </c>
      <c r="F410" s="528">
        <v>0.8511</v>
      </c>
      <c r="G410" s="528">
        <v>0.8511</v>
      </c>
      <c r="H410" s="528">
        <v>0.8511</v>
      </c>
      <c r="I410" s="528">
        <v>0.7062</v>
      </c>
      <c r="J410" s="528">
        <v>0.7062</v>
      </c>
      <c r="K410" s="528">
        <v>0.7062</v>
      </c>
      <c r="L410" s="528">
        <v>0.7062</v>
      </c>
      <c r="M410" s="529">
        <v>0.7062</v>
      </c>
    </row>
    <row r="411" spans="1:13">
      <c r="A411" s="531">
        <v>5</v>
      </c>
      <c r="B411" s="528">
        <v>0.9092</v>
      </c>
      <c r="C411" s="528">
        <v>0.9092</v>
      </c>
      <c r="D411" s="528">
        <v>0.8489</v>
      </c>
      <c r="E411" s="528">
        <v>0.8489</v>
      </c>
      <c r="F411" s="528">
        <v>0.8489</v>
      </c>
      <c r="G411" s="528">
        <v>0.8489</v>
      </c>
      <c r="H411" s="528">
        <v>0.8489</v>
      </c>
      <c r="I411" s="528">
        <v>0.7035</v>
      </c>
      <c r="J411" s="528">
        <v>0.7035</v>
      </c>
      <c r="K411" s="528">
        <v>0.7035</v>
      </c>
      <c r="L411" s="528">
        <v>0.7035</v>
      </c>
      <c r="M411" s="529">
        <v>0.7035</v>
      </c>
    </row>
    <row r="412" spans="1:13">
      <c r="A412" s="527">
        <v>5.1</v>
      </c>
      <c r="B412" s="528">
        <v>0.9072</v>
      </c>
      <c r="C412" s="528">
        <v>0.9072</v>
      </c>
      <c r="D412" s="528">
        <v>0.8467</v>
      </c>
      <c r="E412" s="528">
        <v>0.8467</v>
      </c>
      <c r="F412" s="528">
        <v>0.8467</v>
      </c>
      <c r="G412" s="528">
        <v>0.8467</v>
      </c>
      <c r="H412" s="528">
        <v>0.8467</v>
      </c>
      <c r="I412" s="528">
        <v>0.7009</v>
      </c>
      <c r="J412" s="528">
        <v>0.7009</v>
      </c>
      <c r="K412" s="528">
        <v>0.7009</v>
      </c>
      <c r="L412" s="528">
        <v>0.7009</v>
      </c>
      <c r="M412" s="529">
        <v>0.7009</v>
      </c>
    </row>
    <row r="413" spans="1:13">
      <c r="A413" s="527">
        <v>5.2</v>
      </c>
      <c r="B413" s="528">
        <v>0.9053</v>
      </c>
      <c r="C413" s="528">
        <v>0.9053</v>
      </c>
      <c r="D413" s="528">
        <v>0.8445</v>
      </c>
      <c r="E413" s="528">
        <v>0.8445</v>
      </c>
      <c r="F413" s="528">
        <v>0.8445</v>
      </c>
      <c r="G413" s="528">
        <v>0.8445</v>
      </c>
      <c r="H413" s="528">
        <v>0.8445</v>
      </c>
      <c r="I413" s="528">
        <v>0.6982</v>
      </c>
      <c r="J413" s="528">
        <v>0.6982</v>
      </c>
      <c r="K413" s="528">
        <v>0.6982</v>
      </c>
      <c r="L413" s="528">
        <v>0.6982</v>
      </c>
      <c r="M413" s="529">
        <v>0.6982</v>
      </c>
    </row>
    <row r="414" spans="1:13">
      <c r="A414" s="527">
        <v>5.3</v>
      </c>
      <c r="B414" s="528">
        <v>0.9034</v>
      </c>
      <c r="C414" s="528">
        <v>0.9034</v>
      </c>
      <c r="D414" s="528">
        <v>0.8423</v>
      </c>
      <c r="E414" s="528">
        <v>0.8423</v>
      </c>
      <c r="F414" s="528">
        <v>0.8423</v>
      </c>
      <c r="G414" s="528">
        <v>0.8423</v>
      </c>
      <c r="H414" s="528">
        <v>0.8423</v>
      </c>
      <c r="I414" s="528">
        <v>0.6957</v>
      </c>
      <c r="J414" s="528">
        <v>0.6957</v>
      </c>
      <c r="K414" s="528">
        <v>0.6957</v>
      </c>
      <c r="L414" s="528">
        <v>0.6957</v>
      </c>
      <c r="M414" s="529">
        <v>0.6957</v>
      </c>
    </row>
    <row r="415" spans="1:13">
      <c r="A415" s="527">
        <v>5.4</v>
      </c>
      <c r="B415" s="528">
        <v>0.9015</v>
      </c>
      <c r="C415" s="528">
        <v>0.9015</v>
      </c>
      <c r="D415" s="528">
        <v>0.8402</v>
      </c>
      <c r="E415" s="528">
        <v>0.8402</v>
      </c>
      <c r="F415" s="528">
        <v>0.8402</v>
      </c>
      <c r="G415" s="528">
        <v>0.8402</v>
      </c>
      <c r="H415" s="528">
        <v>0.8402</v>
      </c>
      <c r="I415" s="528">
        <v>0.6931</v>
      </c>
      <c r="J415" s="528">
        <v>0.6931</v>
      </c>
      <c r="K415" s="528">
        <v>0.6931</v>
      </c>
      <c r="L415" s="528">
        <v>0.6931</v>
      </c>
      <c r="M415" s="529">
        <v>0.6931</v>
      </c>
    </row>
    <row r="416" spans="1:13">
      <c r="A416" s="527">
        <v>5.5</v>
      </c>
      <c r="B416" s="528">
        <v>0.8996</v>
      </c>
      <c r="C416" s="528">
        <v>0.8996</v>
      </c>
      <c r="D416" s="528">
        <v>0.8381</v>
      </c>
      <c r="E416" s="528">
        <v>0.8381</v>
      </c>
      <c r="F416" s="528">
        <v>0.8381</v>
      </c>
      <c r="G416" s="528">
        <v>0.8381</v>
      </c>
      <c r="H416" s="528">
        <v>0.8381</v>
      </c>
      <c r="I416" s="528">
        <v>0.6906</v>
      </c>
      <c r="J416" s="528">
        <v>0.6906</v>
      </c>
      <c r="K416" s="528">
        <v>0.6906</v>
      </c>
      <c r="L416" s="528">
        <v>0.6906</v>
      </c>
      <c r="M416" s="529">
        <v>0.6906</v>
      </c>
    </row>
    <row r="417" spans="1:13">
      <c r="A417" s="527">
        <v>5.6</v>
      </c>
      <c r="B417" s="528">
        <v>0.8978</v>
      </c>
      <c r="C417" s="528">
        <v>0.8978</v>
      </c>
      <c r="D417" s="528">
        <v>0.836</v>
      </c>
      <c r="E417" s="528">
        <v>0.836</v>
      </c>
      <c r="F417" s="528">
        <v>0.836</v>
      </c>
      <c r="G417" s="528">
        <v>0.836</v>
      </c>
      <c r="H417" s="528">
        <v>0.836</v>
      </c>
      <c r="I417" s="528">
        <v>0.6881</v>
      </c>
      <c r="J417" s="528">
        <v>0.6881</v>
      </c>
      <c r="K417" s="528">
        <v>0.6881</v>
      </c>
      <c r="L417" s="528">
        <v>0.6881</v>
      </c>
      <c r="M417" s="529">
        <v>0.6881</v>
      </c>
    </row>
    <row r="418" spans="1:13">
      <c r="A418" s="531">
        <v>5.7</v>
      </c>
      <c r="B418" s="528">
        <v>0.896</v>
      </c>
      <c r="C418" s="528">
        <v>0.896</v>
      </c>
      <c r="D418" s="528">
        <v>0.8339</v>
      </c>
      <c r="E418" s="528">
        <v>0.8339</v>
      </c>
      <c r="F418" s="528">
        <v>0.8339</v>
      </c>
      <c r="G418" s="528">
        <v>0.8339</v>
      </c>
      <c r="H418" s="528">
        <v>0.8339</v>
      </c>
      <c r="I418" s="528">
        <v>0.6857</v>
      </c>
      <c r="J418" s="528">
        <v>0.6857</v>
      </c>
      <c r="K418" s="528">
        <v>0.6857</v>
      </c>
      <c r="L418" s="528">
        <v>0.6857</v>
      </c>
      <c r="M418" s="529">
        <v>0.6857</v>
      </c>
    </row>
    <row r="419" spans="1:13">
      <c r="A419" s="527">
        <v>5.8</v>
      </c>
      <c r="B419" s="528">
        <v>0.8942</v>
      </c>
      <c r="C419" s="528">
        <v>0.8942</v>
      </c>
      <c r="D419" s="528">
        <v>0.8319</v>
      </c>
      <c r="E419" s="528">
        <v>0.8319</v>
      </c>
      <c r="F419" s="528">
        <v>0.8319</v>
      </c>
      <c r="G419" s="528">
        <v>0.8319</v>
      </c>
      <c r="H419" s="528">
        <v>0.8319</v>
      </c>
      <c r="I419" s="528">
        <v>0.6832</v>
      </c>
      <c r="J419" s="528">
        <v>0.6832</v>
      </c>
      <c r="K419" s="528">
        <v>0.6832</v>
      </c>
      <c r="L419" s="528">
        <v>0.6832</v>
      </c>
      <c r="M419" s="529">
        <v>0.6832</v>
      </c>
    </row>
    <row r="420" spans="1:13">
      <c r="A420" s="527">
        <v>5.9</v>
      </c>
      <c r="B420" s="528">
        <v>0.8924</v>
      </c>
      <c r="C420" s="528">
        <v>0.8924</v>
      </c>
      <c r="D420" s="528">
        <v>0.8299</v>
      </c>
      <c r="E420" s="528">
        <v>0.8299</v>
      </c>
      <c r="F420" s="528">
        <v>0.8299</v>
      </c>
      <c r="G420" s="528">
        <v>0.8299</v>
      </c>
      <c r="H420" s="528">
        <v>0.8299</v>
      </c>
      <c r="I420" s="528">
        <v>0.6807</v>
      </c>
      <c r="J420" s="528">
        <v>0.6807</v>
      </c>
      <c r="K420" s="528">
        <v>0.6807</v>
      </c>
      <c r="L420" s="528">
        <v>0.6807</v>
      </c>
      <c r="M420" s="529">
        <v>0.6807</v>
      </c>
    </row>
    <row r="421" spans="1:13">
      <c r="A421" s="527">
        <v>6</v>
      </c>
      <c r="B421" s="528">
        <v>0.8907</v>
      </c>
      <c r="C421" s="528">
        <v>0.8907</v>
      </c>
      <c r="D421" s="528">
        <v>0.8279</v>
      </c>
      <c r="E421" s="528">
        <v>0.8279</v>
      </c>
      <c r="F421" s="528">
        <v>0.8279</v>
      </c>
      <c r="G421" s="528">
        <v>0.8279</v>
      </c>
      <c r="H421" s="528">
        <v>0.8279</v>
      </c>
      <c r="I421" s="528">
        <v>0.6784</v>
      </c>
      <c r="J421" s="528">
        <v>0.6784</v>
      </c>
      <c r="K421" s="528">
        <v>0.6784</v>
      </c>
      <c r="L421" s="528">
        <v>0.6784</v>
      </c>
      <c r="M421" s="529">
        <v>0.6784</v>
      </c>
    </row>
    <row r="422" spans="1:13">
      <c r="A422" s="527">
        <v>6.1</v>
      </c>
      <c r="B422" s="528">
        <v>0.889</v>
      </c>
      <c r="C422" s="528">
        <v>0.889</v>
      </c>
      <c r="D422" s="528">
        <v>0.8259</v>
      </c>
      <c r="E422" s="528">
        <v>0.8259</v>
      </c>
      <c r="F422" s="528">
        <v>0.8259</v>
      </c>
      <c r="G422" s="528">
        <v>0.8259</v>
      </c>
      <c r="H422" s="528">
        <v>0.8259</v>
      </c>
      <c r="I422" s="528">
        <v>0.676</v>
      </c>
      <c r="J422" s="528">
        <v>0.676</v>
      </c>
      <c r="K422" s="528">
        <v>0.676</v>
      </c>
      <c r="L422" s="528">
        <v>0.676</v>
      </c>
      <c r="M422" s="529">
        <v>0.676</v>
      </c>
    </row>
    <row r="423" spans="1:13">
      <c r="A423" s="527">
        <v>6.2</v>
      </c>
      <c r="B423" s="528">
        <v>0.8873</v>
      </c>
      <c r="C423" s="528">
        <v>0.8873</v>
      </c>
      <c r="D423" s="528">
        <v>0.8239</v>
      </c>
      <c r="E423" s="528">
        <v>0.8239</v>
      </c>
      <c r="F423" s="528">
        <v>0.8239</v>
      </c>
      <c r="G423" s="528">
        <v>0.8239</v>
      </c>
      <c r="H423" s="528">
        <v>0.8239</v>
      </c>
      <c r="I423" s="528">
        <v>0.6736</v>
      </c>
      <c r="J423" s="528">
        <v>0.6736</v>
      </c>
      <c r="K423" s="528">
        <v>0.6736</v>
      </c>
      <c r="L423" s="528">
        <v>0.6736</v>
      </c>
      <c r="M423" s="529">
        <v>0.6736</v>
      </c>
    </row>
    <row r="424" spans="1:13">
      <c r="A424" s="527">
        <v>6.3</v>
      </c>
      <c r="B424" s="528">
        <v>0.8856</v>
      </c>
      <c r="C424" s="528">
        <v>0.8856</v>
      </c>
      <c r="D424" s="528">
        <v>0.8219</v>
      </c>
      <c r="E424" s="528">
        <v>0.8219</v>
      </c>
      <c r="F424" s="528">
        <v>0.8219</v>
      </c>
      <c r="G424" s="528">
        <v>0.8219</v>
      </c>
      <c r="H424" s="528">
        <v>0.8219</v>
      </c>
      <c r="I424" s="528">
        <v>0.6713</v>
      </c>
      <c r="J424" s="528">
        <v>0.6713</v>
      </c>
      <c r="K424" s="528">
        <v>0.6713</v>
      </c>
      <c r="L424" s="528">
        <v>0.6713</v>
      </c>
      <c r="M424" s="529">
        <v>0.6713</v>
      </c>
    </row>
    <row r="425" spans="1:13">
      <c r="A425" s="527">
        <v>6.4</v>
      </c>
      <c r="B425" s="528">
        <v>0.8839</v>
      </c>
      <c r="C425" s="528">
        <v>0.8839</v>
      </c>
      <c r="D425" s="528">
        <v>0.82</v>
      </c>
      <c r="E425" s="528">
        <v>0.82</v>
      </c>
      <c r="F425" s="528">
        <v>0.82</v>
      </c>
      <c r="G425" s="528">
        <v>0.82</v>
      </c>
      <c r="H425" s="528">
        <v>0.82</v>
      </c>
      <c r="I425" s="528">
        <v>0.6689</v>
      </c>
      <c r="J425" s="528">
        <v>0.6689</v>
      </c>
      <c r="K425" s="528">
        <v>0.6689</v>
      </c>
      <c r="L425" s="528">
        <v>0.6689</v>
      </c>
      <c r="M425" s="529">
        <v>0.6689</v>
      </c>
    </row>
    <row r="426" spans="1:13">
      <c r="A426" s="527">
        <v>6.5</v>
      </c>
      <c r="B426" s="528">
        <v>0.8823</v>
      </c>
      <c r="C426" s="528">
        <v>0.8823</v>
      </c>
      <c r="D426" s="528">
        <v>0.8181</v>
      </c>
      <c r="E426" s="528">
        <v>0.8181</v>
      </c>
      <c r="F426" s="528">
        <v>0.8181</v>
      </c>
      <c r="G426" s="528">
        <v>0.8181</v>
      </c>
      <c r="H426" s="528">
        <v>0.8181</v>
      </c>
      <c r="I426" s="528">
        <v>0.6666</v>
      </c>
      <c r="J426" s="528">
        <v>0.6666</v>
      </c>
      <c r="K426" s="528">
        <v>0.6666</v>
      </c>
      <c r="L426" s="528">
        <v>0.6666</v>
      </c>
      <c r="M426" s="529">
        <v>0.6666</v>
      </c>
    </row>
    <row r="427" spans="1:13">
      <c r="A427" s="527">
        <v>6.6</v>
      </c>
      <c r="B427" s="528">
        <v>0.8807</v>
      </c>
      <c r="C427" s="528">
        <v>0.8807</v>
      </c>
      <c r="D427" s="528">
        <v>0.8162</v>
      </c>
      <c r="E427" s="528">
        <v>0.8162</v>
      </c>
      <c r="F427" s="528">
        <v>0.8162</v>
      </c>
      <c r="G427" s="528">
        <v>0.8162</v>
      </c>
      <c r="H427" s="528">
        <v>0.8162</v>
      </c>
      <c r="I427" s="528">
        <v>0.6644</v>
      </c>
      <c r="J427" s="528">
        <v>0.6644</v>
      </c>
      <c r="K427" s="528">
        <v>0.6644</v>
      </c>
      <c r="L427" s="528">
        <v>0.6644</v>
      </c>
      <c r="M427" s="529">
        <v>0.6644</v>
      </c>
    </row>
    <row r="428" spans="1:13">
      <c r="A428" s="527">
        <v>6.7</v>
      </c>
      <c r="B428" s="528">
        <v>0.879</v>
      </c>
      <c r="C428" s="528">
        <v>0.879</v>
      </c>
      <c r="D428" s="528">
        <v>0.8143</v>
      </c>
      <c r="E428" s="528">
        <v>0.8143</v>
      </c>
      <c r="F428" s="528">
        <v>0.8143</v>
      </c>
      <c r="G428" s="528">
        <v>0.8143</v>
      </c>
      <c r="H428" s="528">
        <v>0.8143</v>
      </c>
      <c r="I428" s="528">
        <v>0.6621</v>
      </c>
      <c r="J428" s="528">
        <v>0.6621</v>
      </c>
      <c r="K428" s="528">
        <v>0.6621</v>
      </c>
      <c r="L428" s="528">
        <v>0.6621</v>
      </c>
      <c r="M428" s="529">
        <v>0.6621</v>
      </c>
    </row>
    <row r="429" spans="1:13">
      <c r="A429" s="527">
        <v>6.8</v>
      </c>
      <c r="B429" s="528">
        <v>0.8774</v>
      </c>
      <c r="C429" s="528">
        <v>0.8774</v>
      </c>
      <c r="D429" s="528">
        <v>0.8124</v>
      </c>
      <c r="E429" s="528">
        <v>0.8124</v>
      </c>
      <c r="F429" s="528">
        <v>0.8124</v>
      </c>
      <c r="G429" s="528">
        <v>0.8124</v>
      </c>
      <c r="H429" s="528">
        <v>0.8124</v>
      </c>
      <c r="I429" s="528">
        <v>0.6598</v>
      </c>
      <c r="J429" s="528">
        <v>0.6598</v>
      </c>
      <c r="K429" s="528">
        <v>0.6598</v>
      </c>
      <c r="L429" s="528">
        <v>0.6598</v>
      </c>
      <c r="M429" s="529">
        <v>0.6598</v>
      </c>
    </row>
    <row r="430" spans="1:13">
      <c r="A430" s="527">
        <v>6.9</v>
      </c>
      <c r="B430" s="528">
        <v>0.8758</v>
      </c>
      <c r="C430" s="528">
        <v>0.8758</v>
      </c>
      <c r="D430" s="528">
        <v>0.8105</v>
      </c>
      <c r="E430" s="528">
        <v>0.8105</v>
      </c>
      <c r="F430" s="528">
        <v>0.8105</v>
      </c>
      <c r="G430" s="528">
        <v>0.8105</v>
      </c>
      <c r="H430" s="528">
        <v>0.8105</v>
      </c>
      <c r="I430" s="528">
        <v>0.6575</v>
      </c>
      <c r="J430" s="528">
        <v>0.6575</v>
      </c>
      <c r="K430" s="528">
        <v>0.6575</v>
      </c>
      <c r="L430" s="528">
        <v>0.6575</v>
      </c>
      <c r="M430" s="529">
        <v>0.6575</v>
      </c>
    </row>
    <row r="431" spans="1:13">
      <c r="A431" s="527">
        <v>7</v>
      </c>
      <c r="B431" s="528">
        <v>0.8742</v>
      </c>
      <c r="C431" s="528">
        <v>0.8742</v>
      </c>
      <c r="D431" s="528">
        <v>0.8087</v>
      </c>
      <c r="E431" s="528">
        <v>0.8087</v>
      </c>
      <c r="F431" s="528">
        <v>0.8087</v>
      </c>
      <c r="G431" s="528">
        <v>0.8087</v>
      </c>
      <c r="H431" s="528">
        <v>0.8087</v>
      </c>
      <c r="I431" s="528">
        <v>0.6553</v>
      </c>
      <c r="J431" s="528">
        <v>0.6553</v>
      </c>
      <c r="K431" s="528">
        <v>0.6553</v>
      </c>
      <c r="L431" s="528">
        <v>0.6553</v>
      </c>
      <c r="M431" s="529">
        <v>0.6553</v>
      </c>
    </row>
    <row r="432" spans="1:13">
      <c r="A432" s="527">
        <v>7.1</v>
      </c>
      <c r="B432" s="528">
        <v>0.8727</v>
      </c>
      <c r="C432" s="528">
        <v>0.8727</v>
      </c>
      <c r="D432" s="528">
        <v>0.8069</v>
      </c>
      <c r="E432" s="528">
        <v>0.8069</v>
      </c>
      <c r="F432" s="528">
        <v>0.8069</v>
      </c>
      <c r="G432" s="528">
        <v>0.8069</v>
      </c>
      <c r="H432" s="528">
        <v>0.8069</v>
      </c>
      <c r="I432" s="528">
        <v>0.6532</v>
      </c>
      <c r="J432" s="528">
        <v>0.6532</v>
      </c>
      <c r="K432" s="528">
        <v>0.6532</v>
      </c>
      <c r="L432" s="528">
        <v>0.6532</v>
      </c>
      <c r="M432" s="529">
        <v>0.6532</v>
      </c>
    </row>
    <row r="433" spans="1:13">
      <c r="A433" s="527">
        <v>7.2</v>
      </c>
      <c r="B433" s="528">
        <v>0.8712</v>
      </c>
      <c r="C433" s="528">
        <v>0.8712</v>
      </c>
      <c r="D433" s="528">
        <v>0.8051</v>
      </c>
      <c r="E433" s="528">
        <v>0.8051</v>
      </c>
      <c r="F433" s="528">
        <v>0.8051</v>
      </c>
      <c r="G433" s="528">
        <v>0.8051</v>
      </c>
      <c r="H433" s="528">
        <v>0.8051</v>
      </c>
      <c r="I433" s="528">
        <v>0.651</v>
      </c>
      <c r="J433" s="528">
        <v>0.651</v>
      </c>
      <c r="K433" s="528">
        <v>0.651</v>
      </c>
      <c r="L433" s="528">
        <v>0.651</v>
      </c>
      <c r="M433" s="529">
        <v>0.651</v>
      </c>
    </row>
    <row r="434" spans="1:13">
      <c r="A434" s="527">
        <v>7.3</v>
      </c>
      <c r="B434" s="528">
        <v>0.8697</v>
      </c>
      <c r="C434" s="528">
        <v>0.8697</v>
      </c>
      <c r="D434" s="528">
        <v>0.8033</v>
      </c>
      <c r="E434" s="528">
        <v>0.8033</v>
      </c>
      <c r="F434" s="528">
        <v>0.8033</v>
      </c>
      <c r="G434" s="528">
        <v>0.8033</v>
      </c>
      <c r="H434" s="528">
        <v>0.8033</v>
      </c>
      <c r="I434" s="528">
        <v>0.6488</v>
      </c>
      <c r="J434" s="528">
        <v>0.6488</v>
      </c>
      <c r="K434" s="528">
        <v>0.6488</v>
      </c>
      <c r="L434" s="528">
        <v>0.6488</v>
      </c>
      <c r="M434" s="529">
        <v>0.6488</v>
      </c>
    </row>
    <row r="435" spans="1:13">
      <c r="A435" s="527">
        <v>7.4</v>
      </c>
      <c r="B435" s="528">
        <v>0.8682</v>
      </c>
      <c r="C435" s="528">
        <v>0.8682</v>
      </c>
      <c r="D435" s="528">
        <v>0.8015</v>
      </c>
      <c r="E435" s="528">
        <v>0.8015</v>
      </c>
      <c r="F435" s="528">
        <v>0.8015</v>
      </c>
      <c r="G435" s="528">
        <v>0.8015</v>
      </c>
      <c r="H435" s="528">
        <v>0.8015</v>
      </c>
      <c r="I435" s="528">
        <v>0.6466</v>
      </c>
      <c r="J435" s="528">
        <v>0.6466</v>
      </c>
      <c r="K435" s="528">
        <v>0.6466</v>
      </c>
      <c r="L435" s="528">
        <v>0.6466</v>
      </c>
      <c r="M435" s="529">
        <v>0.6466</v>
      </c>
    </row>
    <row r="436" spans="1:13">
      <c r="A436" s="527">
        <v>7.5</v>
      </c>
      <c r="B436" s="528">
        <v>0.8666</v>
      </c>
      <c r="C436" s="528">
        <v>0.8666</v>
      </c>
      <c r="D436" s="528">
        <v>0.7997</v>
      </c>
      <c r="E436" s="528">
        <v>0.7997</v>
      </c>
      <c r="F436" s="528">
        <v>0.7997</v>
      </c>
      <c r="G436" s="528">
        <v>0.7997</v>
      </c>
      <c r="H436" s="528">
        <v>0.7997</v>
      </c>
      <c r="I436" s="528">
        <v>0.6445</v>
      </c>
      <c r="J436" s="528">
        <v>0.6445</v>
      </c>
      <c r="K436" s="528">
        <v>0.6445</v>
      </c>
      <c r="L436" s="528">
        <v>0.6445</v>
      </c>
      <c r="M436" s="529">
        <v>0.6445</v>
      </c>
    </row>
    <row r="437" spans="1:13">
      <c r="A437" s="527">
        <v>7.6</v>
      </c>
      <c r="B437" s="528">
        <v>0.8651</v>
      </c>
      <c r="C437" s="528">
        <v>0.8651</v>
      </c>
      <c r="D437" s="528">
        <v>0.798</v>
      </c>
      <c r="E437" s="528">
        <v>0.798</v>
      </c>
      <c r="F437" s="528">
        <v>0.798</v>
      </c>
      <c r="G437" s="528">
        <v>0.798</v>
      </c>
      <c r="H437" s="528">
        <v>0.798</v>
      </c>
      <c r="I437" s="528">
        <v>0.6424</v>
      </c>
      <c r="J437" s="528">
        <v>0.6424</v>
      </c>
      <c r="K437" s="528">
        <v>0.6424</v>
      </c>
      <c r="L437" s="528">
        <v>0.6424</v>
      </c>
      <c r="M437" s="529">
        <v>0.6424</v>
      </c>
    </row>
    <row r="438" spans="1:13">
      <c r="A438" s="527">
        <v>7.7</v>
      </c>
      <c r="B438" s="528">
        <v>0.8637</v>
      </c>
      <c r="C438" s="528">
        <v>0.8637</v>
      </c>
      <c r="D438" s="528">
        <v>0.7963</v>
      </c>
      <c r="E438" s="528">
        <v>0.7963</v>
      </c>
      <c r="F438" s="528">
        <v>0.7963</v>
      </c>
      <c r="G438" s="528">
        <v>0.7963</v>
      </c>
      <c r="H438" s="528">
        <v>0.7963</v>
      </c>
      <c r="I438" s="528">
        <v>0.6403</v>
      </c>
      <c r="J438" s="528">
        <v>0.6403</v>
      </c>
      <c r="K438" s="528">
        <v>0.6403</v>
      </c>
      <c r="L438" s="528">
        <v>0.6403</v>
      </c>
      <c r="M438" s="529">
        <v>0.6403</v>
      </c>
    </row>
    <row r="439" spans="1:13">
      <c r="A439" s="527">
        <v>7.8</v>
      </c>
      <c r="B439" s="528">
        <v>0.8623</v>
      </c>
      <c r="C439" s="528">
        <v>0.8623</v>
      </c>
      <c r="D439" s="528">
        <v>0.7945</v>
      </c>
      <c r="E439" s="528">
        <v>0.7945</v>
      </c>
      <c r="F439" s="528">
        <v>0.7945</v>
      </c>
      <c r="G439" s="528">
        <v>0.7945</v>
      </c>
      <c r="H439" s="528">
        <v>0.7945</v>
      </c>
      <c r="I439" s="528">
        <v>0.6382</v>
      </c>
      <c r="J439" s="528">
        <v>0.6382</v>
      </c>
      <c r="K439" s="528">
        <v>0.6382</v>
      </c>
      <c r="L439" s="528">
        <v>0.6382</v>
      </c>
      <c r="M439" s="529">
        <v>0.6382</v>
      </c>
    </row>
    <row r="440" spans="1:13">
      <c r="A440" s="527">
        <v>7.9</v>
      </c>
      <c r="B440" s="528">
        <v>0.8609</v>
      </c>
      <c r="C440" s="528">
        <v>0.8609</v>
      </c>
      <c r="D440" s="528">
        <v>0.7928</v>
      </c>
      <c r="E440" s="528">
        <v>0.7928</v>
      </c>
      <c r="F440" s="528">
        <v>0.7928</v>
      </c>
      <c r="G440" s="528">
        <v>0.7928</v>
      </c>
      <c r="H440" s="528">
        <v>0.7928</v>
      </c>
      <c r="I440" s="528">
        <v>0.6361</v>
      </c>
      <c r="J440" s="528">
        <v>0.6361</v>
      </c>
      <c r="K440" s="528">
        <v>0.6361</v>
      </c>
      <c r="L440" s="528">
        <v>0.6361</v>
      </c>
      <c r="M440" s="529">
        <v>0.6361</v>
      </c>
    </row>
    <row r="441" spans="1:13">
      <c r="A441" s="527">
        <v>8</v>
      </c>
      <c r="B441" s="528">
        <v>0.8594</v>
      </c>
      <c r="C441" s="528">
        <v>0.8594</v>
      </c>
      <c r="D441" s="528">
        <v>0.7911</v>
      </c>
      <c r="E441" s="528">
        <v>0.7911</v>
      </c>
      <c r="F441" s="528">
        <v>0.7911</v>
      </c>
      <c r="G441" s="528">
        <v>0.7911</v>
      </c>
      <c r="H441" s="528">
        <v>0.7911</v>
      </c>
      <c r="I441" s="528">
        <v>0.6341</v>
      </c>
      <c r="J441" s="528">
        <v>0.6341</v>
      </c>
      <c r="K441" s="528">
        <v>0.6341</v>
      </c>
      <c r="L441" s="528">
        <v>0.6341</v>
      </c>
      <c r="M441" s="529">
        <v>0.6341</v>
      </c>
    </row>
    <row r="442" spans="1:13">
      <c r="A442" s="527">
        <v>8.1</v>
      </c>
      <c r="B442" s="528">
        <v>0.858</v>
      </c>
      <c r="C442" s="528">
        <v>0.858</v>
      </c>
      <c r="D442" s="528">
        <v>0.7894</v>
      </c>
      <c r="E442" s="528">
        <v>0.7894</v>
      </c>
      <c r="F442" s="528">
        <v>0.7894</v>
      </c>
      <c r="G442" s="528">
        <v>0.7894</v>
      </c>
      <c r="H442" s="528">
        <v>0.7894</v>
      </c>
      <c r="I442" s="528">
        <v>0.6321</v>
      </c>
      <c r="J442" s="528">
        <v>0.6321</v>
      </c>
      <c r="K442" s="528">
        <v>0.6321</v>
      </c>
      <c r="L442" s="528">
        <v>0.6321</v>
      </c>
      <c r="M442" s="529">
        <v>0.6321</v>
      </c>
    </row>
    <row r="443" spans="1:13">
      <c r="A443" s="527">
        <v>8.2</v>
      </c>
      <c r="B443" s="528">
        <v>0.8566</v>
      </c>
      <c r="C443" s="528">
        <v>0.8566</v>
      </c>
      <c r="D443" s="528">
        <v>0.7878</v>
      </c>
      <c r="E443" s="528">
        <v>0.7878</v>
      </c>
      <c r="F443" s="528">
        <v>0.7878</v>
      </c>
      <c r="G443" s="528">
        <v>0.7878</v>
      </c>
      <c r="H443" s="528">
        <v>0.7878</v>
      </c>
      <c r="I443" s="528">
        <v>0.6301</v>
      </c>
      <c r="J443" s="528">
        <v>0.6301</v>
      </c>
      <c r="K443" s="528">
        <v>0.6301</v>
      </c>
      <c r="L443" s="528">
        <v>0.6301</v>
      </c>
      <c r="M443" s="529">
        <v>0.6301</v>
      </c>
    </row>
    <row r="444" spans="1:13">
      <c r="A444" s="527">
        <v>8.3</v>
      </c>
      <c r="B444" s="528">
        <v>0.8553</v>
      </c>
      <c r="C444" s="528">
        <v>0.8553</v>
      </c>
      <c r="D444" s="528">
        <v>0.7862</v>
      </c>
      <c r="E444" s="528">
        <v>0.7862</v>
      </c>
      <c r="F444" s="528">
        <v>0.7862</v>
      </c>
      <c r="G444" s="528">
        <v>0.7862</v>
      </c>
      <c r="H444" s="528">
        <v>0.7862</v>
      </c>
      <c r="I444" s="528">
        <v>0.6281</v>
      </c>
      <c r="J444" s="528">
        <v>0.6281</v>
      </c>
      <c r="K444" s="528">
        <v>0.6281</v>
      </c>
      <c r="L444" s="528">
        <v>0.6281</v>
      </c>
      <c r="M444" s="529">
        <v>0.6281</v>
      </c>
    </row>
    <row r="445" spans="1:13">
      <c r="A445" s="527">
        <v>8.4</v>
      </c>
      <c r="B445" s="528">
        <v>0.8539</v>
      </c>
      <c r="C445" s="528">
        <v>0.8539</v>
      </c>
      <c r="D445" s="528">
        <v>0.7846</v>
      </c>
      <c r="E445" s="528">
        <v>0.7846</v>
      </c>
      <c r="F445" s="528">
        <v>0.7846</v>
      </c>
      <c r="G445" s="528">
        <v>0.7846</v>
      </c>
      <c r="H445" s="528">
        <v>0.7846</v>
      </c>
      <c r="I445" s="528">
        <v>0.6261</v>
      </c>
      <c r="J445" s="528">
        <v>0.6261</v>
      </c>
      <c r="K445" s="528">
        <v>0.6261</v>
      </c>
      <c r="L445" s="528">
        <v>0.6261</v>
      </c>
      <c r="M445" s="529">
        <v>0.6261</v>
      </c>
    </row>
    <row r="446" spans="1:13">
      <c r="A446" s="527">
        <v>8.5</v>
      </c>
      <c r="B446" s="528">
        <v>0.8526</v>
      </c>
      <c r="C446" s="528">
        <v>0.8526</v>
      </c>
      <c r="D446" s="528">
        <v>0.7829</v>
      </c>
      <c r="E446" s="528">
        <v>0.7829</v>
      </c>
      <c r="F446" s="528">
        <v>0.7829</v>
      </c>
      <c r="G446" s="528">
        <v>0.7829</v>
      </c>
      <c r="H446" s="528">
        <v>0.7829</v>
      </c>
      <c r="I446" s="528">
        <v>0.6242</v>
      </c>
      <c r="J446" s="528">
        <v>0.6242</v>
      </c>
      <c r="K446" s="528">
        <v>0.6242</v>
      </c>
      <c r="L446" s="528">
        <v>0.6242</v>
      </c>
      <c r="M446" s="529">
        <v>0.6242</v>
      </c>
    </row>
    <row r="447" spans="1:13">
      <c r="A447" s="527">
        <v>8.6</v>
      </c>
      <c r="B447" s="528">
        <v>0.8513</v>
      </c>
      <c r="C447" s="528">
        <v>0.8513</v>
      </c>
      <c r="D447" s="528">
        <v>0.7813</v>
      </c>
      <c r="E447" s="528">
        <v>0.7813</v>
      </c>
      <c r="F447" s="528">
        <v>0.7813</v>
      </c>
      <c r="G447" s="528">
        <v>0.7813</v>
      </c>
      <c r="H447" s="528">
        <v>0.7813</v>
      </c>
      <c r="I447" s="528">
        <v>0.6223</v>
      </c>
      <c r="J447" s="528">
        <v>0.6223</v>
      </c>
      <c r="K447" s="528">
        <v>0.6223</v>
      </c>
      <c r="L447" s="528">
        <v>0.6223</v>
      </c>
      <c r="M447" s="529">
        <v>0.6223</v>
      </c>
    </row>
    <row r="448" spans="1:13">
      <c r="A448" s="527">
        <v>8.7</v>
      </c>
      <c r="B448" s="528">
        <v>0.85</v>
      </c>
      <c r="C448" s="528">
        <v>0.85</v>
      </c>
      <c r="D448" s="528">
        <v>0.7797</v>
      </c>
      <c r="E448" s="528">
        <v>0.7797</v>
      </c>
      <c r="F448" s="528">
        <v>0.7797</v>
      </c>
      <c r="G448" s="528">
        <v>0.7797</v>
      </c>
      <c r="H448" s="528">
        <v>0.7797</v>
      </c>
      <c r="I448" s="528">
        <v>0.6204</v>
      </c>
      <c r="J448" s="528">
        <v>0.6204</v>
      </c>
      <c r="K448" s="528">
        <v>0.6204</v>
      </c>
      <c r="L448" s="528">
        <v>0.6204</v>
      </c>
      <c r="M448" s="529">
        <v>0.6204</v>
      </c>
    </row>
    <row r="449" spans="1:13">
      <c r="A449" s="527">
        <v>8.8</v>
      </c>
      <c r="B449" s="528">
        <v>0.8486</v>
      </c>
      <c r="C449" s="528">
        <v>0.8486</v>
      </c>
      <c r="D449" s="528">
        <v>0.7782</v>
      </c>
      <c r="E449" s="528">
        <v>0.7782</v>
      </c>
      <c r="F449" s="528">
        <v>0.7782</v>
      </c>
      <c r="G449" s="528">
        <v>0.7782</v>
      </c>
      <c r="H449" s="528">
        <v>0.7782</v>
      </c>
      <c r="I449" s="528">
        <v>0.6185</v>
      </c>
      <c r="J449" s="528">
        <v>0.6185</v>
      </c>
      <c r="K449" s="528">
        <v>0.6185</v>
      </c>
      <c r="L449" s="528">
        <v>0.6185</v>
      </c>
      <c r="M449" s="529">
        <v>0.6185</v>
      </c>
    </row>
    <row r="450" spans="1:13">
      <c r="A450" s="527">
        <v>8.9</v>
      </c>
      <c r="B450" s="528">
        <v>0.8474</v>
      </c>
      <c r="C450" s="528">
        <v>0.8474</v>
      </c>
      <c r="D450" s="528">
        <v>0.7767</v>
      </c>
      <c r="E450" s="528">
        <v>0.7767</v>
      </c>
      <c r="F450" s="528">
        <v>0.7767</v>
      </c>
      <c r="G450" s="528">
        <v>0.7767</v>
      </c>
      <c r="H450" s="528">
        <v>0.7767</v>
      </c>
      <c r="I450" s="528">
        <v>0.6167</v>
      </c>
      <c r="J450" s="528">
        <v>0.6167</v>
      </c>
      <c r="K450" s="528">
        <v>0.6167</v>
      </c>
      <c r="L450" s="528">
        <v>0.6167</v>
      </c>
      <c r="M450" s="529">
        <v>0.6167</v>
      </c>
    </row>
    <row r="451" spans="1:13">
      <c r="A451" s="531">
        <v>9</v>
      </c>
      <c r="B451" s="528">
        <v>0.8462</v>
      </c>
      <c r="C451" s="528">
        <v>0.8462</v>
      </c>
      <c r="D451" s="528">
        <v>0.7751</v>
      </c>
      <c r="E451" s="528">
        <v>0.7751</v>
      </c>
      <c r="F451" s="528">
        <v>0.7751</v>
      </c>
      <c r="G451" s="528">
        <v>0.7751</v>
      </c>
      <c r="H451" s="528">
        <v>0.7751</v>
      </c>
      <c r="I451" s="528">
        <v>0.6148</v>
      </c>
      <c r="J451" s="528">
        <v>0.6148</v>
      </c>
      <c r="K451" s="528">
        <v>0.6148</v>
      </c>
      <c r="L451" s="528">
        <v>0.6148</v>
      </c>
      <c r="M451" s="529">
        <v>0.6148</v>
      </c>
    </row>
    <row r="452" spans="1:13">
      <c r="A452" s="531">
        <v>9.1</v>
      </c>
      <c r="B452" s="528">
        <v>0.845</v>
      </c>
      <c r="C452" s="528">
        <v>0.845</v>
      </c>
      <c r="D452" s="528">
        <v>0.7736</v>
      </c>
      <c r="E452" s="528">
        <v>0.7736</v>
      </c>
      <c r="F452" s="528">
        <v>0.7736</v>
      </c>
      <c r="G452" s="528">
        <v>0.7736</v>
      </c>
      <c r="H452" s="528">
        <v>0.7736</v>
      </c>
      <c r="I452" s="528">
        <v>0.613</v>
      </c>
      <c r="J452" s="528">
        <v>0.613</v>
      </c>
      <c r="K452" s="528">
        <v>0.613</v>
      </c>
      <c r="L452" s="528">
        <v>0.613</v>
      </c>
      <c r="M452" s="529">
        <v>0.613</v>
      </c>
    </row>
    <row r="453" spans="1:13">
      <c r="A453" s="531">
        <v>9.2</v>
      </c>
      <c r="B453" s="528">
        <v>0.8437</v>
      </c>
      <c r="C453" s="528">
        <v>0.8437</v>
      </c>
      <c r="D453" s="528">
        <v>0.7721</v>
      </c>
      <c r="E453" s="528">
        <v>0.7721</v>
      </c>
      <c r="F453" s="528">
        <v>0.7721</v>
      </c>
      <c r="G453" s="528">
        <v>0.7721</v>
      </c>
      <c r="H453" s="528">
        <v>0.7721</v>
      </c>
      <c r="I453" s="528">
        <v>0.6112</v>
      </c>
      <c r="J453" s="528">
        <v>0.6112</v>
      </c>
      <c r="K453" s="528">
        <v>0.6112</v>
      </c>
      <c r="L453" s="528">
        <v>0.6112</v>
      </c>
      <c r="M453" s="529">
        <v>0.6112</v>
      </c>
    </row>
    <row r="454" spans="1:13">
      <c r="A454" s="531">
        <v>9.3</v>
      </c>
      <c r="B454" s="528">
        <v>0.8425</v>
      </c>
      <c r="C454" s="528">
        <v>0.8425</v>
      </c>
      <c r="D454" s="528">
        <v>0.7706</v>
      </c>
      <c r="E454" s="528">
        <v>0.7706</v>
      </c>
      <c r="F454" s="528">
        <v>0.7706</v>
      </c>
      <c r="G454" s="528">
        <v>0.7706</v>
      </c>
      <c r="H454" s="528">
        <v>0.7706</v>
      </c>
      <c r="I454" s="528">
        <v>0.6094</v>
      </c>
      <c r="J454" s="528">
        <v>0.6094</v>
      </c>
      <c r="K454" s="528">
        <v>0.6094</v>
      </c>
      <c r="L454" s="528">
        <v>0.6094</v>
      </c>
      <c r="M454" s="529">
        <v>0.6094</v>
      </c>
    </row>
    <row r="455" spans="1:13">
      <c r="A455" s="531">
        <v>9.4</v>
      </c>
      <c r="B455" s="528">
        <v>0.8413</v>
      </c>
      <c r="C455" s="528">
        <v>0.8413</v>
      </c>
      <c r="D455" s="528">
        <v>0.769</v>
      </c>
      <c r="E455" s="528">
        <v>0.769</v>
      </c>
      <c r="F455" s="528">
        <v>0.769</v>
      </c>
      <c r="G455" s="528">
        <v>0.769</v>
      </c>
      <c r="H455" s="528">
        <v>0.769</v>
      </c>
      <c r="I455" s="528">
        <v>0.6076</v>
      </c>
      <c r="J455" s="528">
        <v>0.6076</v>
      </c>
      <c r="K455" s="528">
        <v>0.6076</v>
      </c>
      <c r="L455" s="528">
        <v>0.6076</v>
      </c>
      <c r="M455" s="529">
        <v>0.6076</v>
      </c>
    </row>
    <row r="456" spans="1:13">
      <c r="A456" s="531">
        <v>9.5</v>
      </c>
      <c r="B456" s="528">
        <v>0.8401</v>
      </c>
      <c r="C456" s="528">
        <v>0.8401</v>
      </c>
      <c r="D456" s="528">
        <v>0.7676</v>
      </c>
      <c r="E456" s="528">
        <v>0.7676</v>
      </c>
      <c r="F456" s="528">
        <v>0.7676</v>
      </c>
      <c r="G456" s="528">
        <v>0.7676</v>
      </c>
      <c r="H456" s="528">
        <v>0.7676</v>
      </c>
      <c r="I456" s="528">
        <v>0.6058</v>
      </c>
      <c r="J456" s="528">
        <v>0.6058</v>
      </c>
      <c r="K456" s="528">
        <v>0.6058</v>
      </c>
      <c r="L456" s="528">
        <v>0.6058</v>
      </c>
      <c r="M456" s="529">
        <v>0.6058</v>
      </c>
    </row>
    <row r="457" spans="1:13">
      <c r="A457" s="531">
        <v>9.6</v>
      </c>
      <c r="B457" s="528">
        <v>0.839</v>
      </c>
      <c r="C457" s="528">
        <v>0.839</v>
      </c>
      <c r="D457" s="528">
        <v>0.7662</v>
      </c>
      <c r="E457" s="528">
        <v>0.7662</v>
      </c>
      <c r="F457" s="528">
        <v>0.7662</v>
      </c>
      <c r="G457" s="528">
        <v>0.7662</v>
      </c>
      <c r="H457" s="528">
        <v>0.7662</v>
      </c>
      <c r="I457" s="528">
        <v>0.6041</v>
      </c>
      <c r="J457" s="528">
        <v>0.6041</v>
      </c>
      <c r="K457" s="528">
        <v>0.6041</v>
      </c>
      <c r="L457" s="528">
        <v>0.6041</v>
      </c>
      <c r="M457" s="529">
        <v>0.6041</v>
      </c>
    </row>
    <row r="458" spans="1:13">
      <c r="A458" s="531">
        <v>9.7</v>
      </c>
      <c r="B458" s="528">
        <v>0.8378</v>
      </c>
      <c r="C458" s="528">
        <v>0.8378</v>
      </c>
      <c r="D458" s="528">
        <v>0.7648</v>
      </c>
      <c r="E458" s="528">
        <v>0.7648</v>
      </c>
      <c r="F458" s="528">
        <v>0.7648</v>
      </c>
      <c r="G458" s="528">
        <v>0.7648</v>
      </c>
      <c r="H458" s="528">
        <v>0.7648</v>
      </c>
      <c r="I458" s="528">
        <v>0.6024</v>
      </c>
      <c r="J458" s="528">
        <v>0.6024</v>
      </c>
      <c r="K458" s="528">
        <v>0.6024</v>
      </c>
      <c r="L458" s="528">
        <v>0.6024</v>
      </c>
      <c r="M458" s="529">
        <v>0.6024</v>
      </c>
    </row>
    <row r="459" spans="1:13">
      <c r="A459" s="531">
        <v>9.8</v>
      </c>
      <c r="B459" s="528">
        <v>0.8367</v>
      </c>
      <c r="C459" s="528">
        <v>0.8367</v>
      </c>
      <c r="D459" s="528">
        <v>0.7633</v>
      </c>
      <c r="E459" s="528">
        <v>0.7633</v>
      </c>
      <c r="F459" s="528">
        <v>0.7633</v>
      </c>
      <c r="G459" s="528">
        <v>0.7633</v>
      </c>
      <c r="H459" s="528">
        <v>0.7633</v>
      </c>
      <c r="I459" s="528">
        <v>0.6006</v>
      </c>
      <c r="J459" s="528">
        <v>0.6006</v>
      </c>
      <c r="K459" s="528">
        <v>0.6006</v>
      </c>
      <c r="L459" s="528">
        <v>0.6006</v>
      </c>
      <c r="M459" s="529">
        <v>0.6006</v>
      </c>
    </row>
    <row r="460" ht="14.25" spans="1:13">
      <c r="A460" s="532">
        <v>9.9</v>
      </c>
      <c r="B460" s="533">
        <v>0.8356</v>
      </c>
      <c r="C460" s="533">
        <v>0.8356</v>
      </c>
      <c r="D460" s="533">
        <v>0.7619</v>
      </c>
      <c r="E460" s="533">
        <v>0.7619</v>
      </c>
      <c r="F460" s="533">
        <v>0.7619</v>
      </c>
      <c r="G460" s="533">
        <v>0.7619</v>
      </c>
      <c r="H460" s="533">
        <v>0.7619</v>
      </c>
      <c r="I460" s="533">
        <v>0.5989</v>
      </c>
      <c r="J460" s="533">
        <v>0.5989</v>
      </c>
      <c r="K460" s="533">
        <v>0.5989</v>
      </c>
      <c r="L460" s="533">
        <v>0.5989</v>
      </c>
      <c r="M460" s="53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254" width="9" style="430" customWidth="1"/>
    <col min="255" max="16384" width="8.375" style="430"/>
  </cols>
  <sheetData>
    <row r="1" s="424" customFormat="1" ht="20.25" spans="1:7">
      <c r="A1" s="432" t="s">
        <v>2573</v>
      </c>
      <c r="B1" s="433"/>
      <c r="C1" s="434"/>
      <c r="D1" s="434"/>
      <c r="E1" s="434"/>
      <c r="F1" s="434"/>
      <c r="G1" s="435"/>
    </row>
    <row r="2" s="424" customFormat="1" ht="18" customHeight="1" spans="1:7">
      <c r="A2" s="436" t="s">
        <v>2574</v>
      </c>
      <c r="B2" s="437">
        <f ca="1">C52</f>
        <v>32544</v>
      </c>
      <c r="C2" s="438" t="s">
        <v>1711</v>
      </c>
      <c r="D2" s="435"/>
      <c r="E2" s="435"/>
      <c r="F2" s="435"/>
      <c r="G2" s="435"/>
    </row>
    <row r="3" s="424" customFormat="1" ht="18" customHeight="1" spans="1:7">
      <c r="A3" s="439" t="s">
        <v>2575</v>
      </c>
      <c r="B3" s="440">
        <f ca="1">ROUND(B2*10000/'数据-汇总表'!E3,0)</f>
        <v>15569</v>
      </c>
      <c r="C3" s="438" t="s">
        <v>1961</v>
      </c>
      <c r="D3" s="435"/>
      <c r="E3" s="435"/>
      <c r="F3" s="435"/>
      <c r="G3" s="435"/>
    </row>
    <row r="4" s="425" customFormat="1" ht="15.75" spans="1:7">
      <c r="A4" s="441" t="s">
        <v>2576</v>
      </c>
      <c r="B4" s="442"/>
      <c r="C4" s="442"/>
      <c r="D4" s="442"/>
      <c r="E4" s="442"/>
      <c r="F4" s="442"/>
      <c r="G4" s="443"/>
    </row>
    <row r="5" s="426" customFormat="1" ht="13.5" customHeight="1" spans="1:7">
      <c r="A5" s="444" t="s">
        <v>1576</v>
      </c>
      <c r="B5" s="445" t="s">
        <v>2577</v>
      </c>
      <c r="C5" s="446">
        <f>C6+C7+C8</f>
        <v>20610</v>
      </c>
      <c r="D5" s="446" t="s">
        <v>2578</v>
      </c>
      <c r="E5" s="447" t="s">
        <v>2579</v>
      </c>
      <c r="F5" s="447" t="s">
        <v>2580</v>
      </c>
      <c r="G5" s="448"/>
    </row>
    <row r="6" s="426" customFormat="1" ht="13.5" customHeight="1" spans="1:7">
      <c r="A6" s="449" t="s">
        <v>1490</v>
      </c>
      <c r="B6" s="450" t="s">
        <v>2581</v>
      </c>
      <c r="C6" s="451">
        <v>20000</v>
      </c>
      <c r="D6" s="452"/>
      <c r="E6" s="453"/>
      <c r="F6" s="453"/>
      <c r="G6" s="454"/>
    </row>
    <row r="7" s="426" customFormat="1" ht="13.5" customHeight="1" spans="1:7">
      <c r="A7" s="449" t="s">
        <v>1492</v>
      </c>
      <c r="B7" s="450" t="s">
        <v>2582</v>
      </c>
      <c r="C7" s="455">
        <f>ROUND(C6*F7,0)</f>
        <v>610</v>
      </c>
      <c r="D7" s="455"/>
      <c r="E7" s="453"/>
      <c r="F7" s="456">
        <f>'数据-取费表'!B49+'数据-取费表'!B50</f>
        <v>0.0305</v>
      </c>
      <c r="G7" s="454"/>
    </row>
    <row r="8" s="427" customFormat="1" spans="1:7">
      <c r="A8" s="449" t="s">
        <v>1500</v>
      </c>
      <c r="B8" s="450" t="s">
        <v>2583</v>
      </c>
      <c r="C8" s="455" t="str">
        <f>IF(G8="已包含在土地购买价格中","0",'数据-取费表'!B29)</f>
        <v>0</v>
      </c>
      <c r="D8" s="457"/>
      <c r="E8" s="455"/>
      <c r="F8" s="456"/>
      <c r="G8" s="458" t="s">
        <v>2584</v>
      </c>
    </row>
    <row r="9" s="426" customFormat="1" ht="13.5" customHeight="1" spans="1:7">
      <c r="A9" s="459" t="s">
        <v>1388</v>
      </c>
      <c r="B9" s="460" t="s">
        <v>2585</v>
      </c>
      <c r="C9" s="461">
        <f>ROUND(D9*E9/10000,0)</f>
        <v>0</v>
      </c>
      <c r="D9" s="462">
        <f>'数据-汇总表'!E5</f>
        <v>0</v>
      </c>
      <c r="E9" s="461">
        <f>'数据-取费表'!B27</f>
        <v>0</v>
      </c>
      <c r="F9" s="456"/>
      <c r="G9" s="463"/>
    </row>
    <row r="10" s="426" customFormat="1" ht="13.5" customHeight="1" spans="1:7">
      <c r="A10" s="459" t="s">
        <v>1396</v>
      </c>
      <c r="B10" s="460" t="s">
        <v>2586</v>
      </c>
      <c r="C10" s="461">
        <f>ROUND(D10*E10/10000,0)</f>
        <v>418</v>
      </c>
      <c r="D10" s="462">
        <f>'数据-汇总表'!E6</f>
        <v>20903.38</v>
      </c>
      <c r="E10" s="461">
        <f>'数据-取费表'!B28</f>
        <v>200</v>
      </c>
      <c r="F10" s="456"/>
      <c r="G10" s="463"/>
    </row>
    <row r="11" s="426" customFormat="1" ht="13.5" hidden="1" customHeight="1" spans="1:7">
      <c r="A11" s="464" t="s">
        <v>1581</v>
      </c>
      <c r="B11" s="450" t="s">
        <v>2587</v>
      </c>
      <c r="C11" s="446"/>
      <c r="D11" s="453"/>
      <c r="E11" s="453"/>
      <c r="F11" s="453"/>
      <c r="G11" s="454"/>
    </row>
    <row r="12" s="426" customFormat="1" ht="13.5" hidden="1" customHeight="1" spans="1:7">
      <c r="A12" s="464" t="s">
        <v>1583</v>
      </c>
      <c r="B12" s="450" t="s">
        <v>2588</v>
      </c>
      <c r="C12" s="446">
        <v>0</v>
      </c>
      <c r="D12" s="453"/>
      <c r="E12" s="465"/>
      <c r="F12" s="456">
        <v>0.0305</v>
      </c>
      <c r="G12" s="454"/>
    </row>
    <row r="13" s="426" customFormat="1" ht="13.5" hidden="1" customHeight="1" spans="1:7">
      <c r="A13" s="464" t="s">
        <v>1584</v>
      </c>
      <c r="B13" s="450" t="s">
        <v>2589</v>
      </c>
      <c r="C13" s="446"/>
      <c r="D13" s="453"/>
      <c r="E13" s="453"/>
      <c r="F13" s="453"/>
      <c r="G13" s="454"/>
    </row>
    <row r="14" s="426" customFormat="1" ht="13.5" hidden="1" customHeight="1" spans="1:7">
      <c r="A14" s="464" t="s">
        <v>1586</v>
      </c>
      <c r="B14" s="450" t="s">
        <v>2583</v>
      </c>
      <c r="C14" s="446"/>
      <c r="D14" s="453"/>
      <c r="E14" s="453"/>
      <c r="F14" s="453"/>
      <c r="G14" s="454" t="s">
        <v>2590</v>
      </c>
    </row>
    <row r="15" s="426" customFormat="1" ht="13.5" hidden="1" customHeight="1" spans="1:7">
      <c r="A15" s="464" t="s">
        <v>1588</v>
      </c>
      <c r="B15" s="450" t="s">
        <v>2591</v>
      </c>
      <c r="C15" s="455"/>
      <c r="D15" s="453"/>
      <c r="E15" s="453"/>
      <c r="F15" s="453"/>
      <c r="G15" s="454" t="s">
        <v>2592</v>
      </c>
    </row>
    <row r="16" s="426" customFormat="1" ht="13.5" hidden="1" customHeight="1" spans="1:7">
      <c r="A16" s="464" t="s">
        <v>1591</v>
      </c>
      <c r="B16" s="450" t="s">
        <v>2583</v>
      </c>
      <c r="C16" s="455"/>
      <c r="D16" s="453"/>
      <c r="E16" s="453"/>
      <c r="F16" s="453"/>
      <c r="G16" s="454"/>
    </row>
    <row r="17" s="426" customFormat="1" ht="13.5" hidden="1" customHeight="1" spans="1:7">
      <c r="A17" s="464" t="s">
        <v>1592</v>
      </c>
      <c r="B17" s="450" t="s">
        <v>2593</v>
      </c>
      <c r="C17" s="466"/>
      <c r="D17" s="466"/>
      <c r="E17" s="466"/>
      <c r="F17" s="466"/>
      <c r="G17" s="454" t="s">
        <v>2592</v>
      </c>
    </row>
    <row r="18" s="426" customFormat="1" ht="13.5" hidden="1" customHeight="1" spans="1:7">
      <c r="A18" s="464" t="s">
        <v>1594</v>
      </c>
      <c r="B18" s="450" t="s">
        <v>2594</v>
      </c>
      <c r="C18" s="455">
        <v>0</v>
      </c>
      <c r="D18" s="453"/>
      <c r="E18" s="453"/>
      <c r="F18" s="456">
        <v>0.0305</v>
      </c>
      <c r="G18" s="454" t="s">
        <v>2595</v>
      </c>
    </row>
    <row r="19" s="427" customFormat="1" ht="13.5" customHeight="1" spans="1:7">
      <c r="A19" s="467" t="s">
        <v>1494</v>
      </c>
      <c r="B19" s="445" t="s">
        <v>2596</v>
      </c>
      <c r="C19" s="446">
        <f>IF(G19="已包含在土地取得成本中","0",ROUND(D19*E19/10000,0))</f>
        <v>585</v>
      </c>
      <c r="D19" s="447">
        <f>'数据-汇总表'!E3</f>
        <v>20903.38</v>
      </c>
      <c r="E19" s="446">
        <f>'数据-取费表'!B31</f>
        <v>280</v>
      </c>
      <c r="F19" s="468"/>
      <c r="G19" s="458" t="s">
        <v>2597</v>
      </c>
    </row>
    <row r="20" s="426" customFormat="1" ht="13.5" customHeight="1" spans="1:7">
      <c r="A20" s="467" t="s">
        <v>2163</v>
      </c>
      <c r="B20" s="445" t="s">
        <v>2598</v>
      </c>
      <c r="C20" s="469">
        <f>ROUND((C5+C19)*F20,0)</f>
        <v>424</v>
      </c>
      <c r="D20" s="469"/>
      <c r="E20" s="469"/>
      <c r="F20" s="470">
        <f>'数据-取费表'!B38</f>
        <v>0.02</v>
      </c>
      <c r="G20" s="471" t="s">
        <v>2599</v>
      </c>
    </row>
    <row r="21" s="426" customFormat="1" ht="13.5" customHeight="1" spans="1:7">
      <c r="A21" s="467" t="s">
        <v>2094</v>
      </c>
      <c r="B21" s="445" t="s">
        <v>2600</v>
      </c>
      <c r="C21" s="472">
        <f>F21</f>
        <v>0.02</v>
      </c>
      <c r="D21" s="473" t="s">
        <v>2601</v>
      </c>
      <c r="E21" s="469"/>
      <c r="F21" s="470">
        <f>'数据-取费表'!B39</f>
        <v>0.02</v>
      </c>
      <c r="G21" s="474" t="s">
        <v>2602</v>
      </c>
    </row>
    <row r="22" s="426" customFormat="1" ht="13.5" customHeight="1" spans="1:7">
      <c r="A22" s="467" t="s">
        <v>2057</v>
      </c>
      <c r="B22" s="445" t="s">
        <v>2603</v>
      </c>
      <c r="C22" s="475">
        <f ca="1">ROUND(SUM(C23:C25),0)</f>
        <v>1360</v>
      </c>
      <c r="D22" s="472">
        <f ca="1">C26</f>
        <v>0.0006</v>
      </c>
      <c r="E22" s="473" t="s">
        <v>2601</v>
      </c>
      <c r="F22" s="476">
        <f ca="1">'数据-取费表'!B41</f>
        <v>0.0313</v>
      </c>
      <c r="G22" s="471" t="str">
        <f>IF('数据-取费表'!B22&lt;=1,"单利计息","复利计息")</f>
        <v>复利计息</v>
      </c>
    </row>
    <row r="23" s="426" customFormat="1" ht="13.5" customHeight="1" spans="1:7">
      <c r="A23" s="477" t="s">
        <v>1490</v>
      </c>
      <c r="B23" s="450" t="s">
        <v>2604</v>
      </c>
      <c r="C23" s="478">
        <f ca="1">ROUND(IF('数据-取费表'!B22&lt;=1,C5*F22*'数据-取费表'!B23,C5*(POWER((1+F22),'数据-取费表'!B23)-1)),0)</f>
        <v>1310</v>
      </c>
      <c r="D23" s="479"/>
      <c r="E23" s="479"/>
      <c r="F23" s="480"/>
      <c r="G23" s="481" t="s">
        <v>2605</v>
      </c>
    </row>
    <row r="24" s="426" customFormat="1" ht="13.5" customHeight="1" spans="1:7">
      <c r="A24" s="477" t="s">
        <v>1492</v>
      </c>
      <c r="B24" s="450" t="s">
        <v>2606</v>
      </c>
      <c r="C24" s="478">
        <f ca="1">ROUND(IF('数据-取费表'!B22&lt;=1,C19*F22*('数据-取费表'!B19/2+'数据-取费表'!B21),C19*(POWER((1+F22),('数据-取费表'!B19/2+'数据-取费表'!B21))-1)),0)</f>
        <v>37</v>
      </c>
      <c r="D24" s="479"/>
      <c r="E24" s="479"/>
      <c r="F24" s="480"/>
      <c r="G24" s="481" t="s">
        <v>2607</v>
      </c>
    </row>
    <row r="25" s="426" customFormat="1" ht="24" spans="1:7">
      <c r="A25" s="477" t="s">
        <v>1500</v>
      </c>
      <c r="B25" s="450" t="s">
        <v>2608</v>
      </c>
      <c r="C25" s="478">
        <f ca="1">ROUND(IF('数据-取费表'!B22&lt;=1,C20*F22*'数据-取费表'!B23/2,C20*(POWER((1+F22),'数据-取费表'!B23/2)-1)),0)</f>
        <v>13</v>
      </c>
      <c r="D25" s="479"/>
      <c r="E25" s="482"/>
      <c r="F25" s="480"/>
      <c r="G25" s="483" t="s">
        <v>2609</v>
      </c>
    </row>
    <row r="26" s="426" customFormat="1" spans="1:7">
      <c r="A26" s="477" t="s">
        <v>1530</v>
      </c>
      <c r="B26" s="450" t="s">
        <v>2610</v>
      </c>
      <c r="C26" s="479">
        <f ca="1">ROUND(IF('数据-取费表'!B22&lt;=1,F21*F22*'数据-取费表'!B23/2,F21*(POWER((1+F22),'数据-取费表'!B23/2)-1)),4)</f>
        <v>0.0006</v>
      </c>
      <c r="D26" s="479"/>
      <c r="E26" s="482"/>
      <c r="F26" s="480"/>
      <c r="G26" s="484"/>
    </row>
    <row r="27" s="426" customFormat="1" ht="24.75" spans="1:7">
      <c r="A27" s="467" t="s">
        <v>2058</v>
      </c>
      <c r="B27" s="485" t="s">
        <v>2611</v>
      </c>
      <c r="C27" s="486">
        <f>C28</f>
        <v>2162</v>
      </c>
      <c r="D27" s="472">
        <f>C29</f>
        <v>0.002</v>
      </c>
      <c r="E27" s="473" t="s">
        <v>2601</v>
      </c>
      <c r="F27" s="487">
        <f>'数据-取费表'!Q16</f>
        <v>0.1</v>
      </c>
      <c r="G27" s="488" t="s">
        <v>2612</v>
      </c>
    </row>
    <row r="28" s="426" customFormat="1" ht="13.5" customHeight="1" spans="1:7">
      <c r="A28" s="477" t="s">
        <v>1490</v>
      </c>
      <c r="B28" s="489" t="s">
        <v>2613</v>
      </c>
      <c r="C28" s="490">
        <f>ROUND((C5+C19+C20)*F27*'数据-取费表'!B21/'数据-取费表'!B20,0)</f>
        <v>2162</v>
      </c>
      <c r="D28" s="472"/>
      <c r="E28" s="473"/>
      <c r="F28" s="487"/>
      <c r="G28" s="488"/>
    </row>
    <row r="29" s="426" customFormat="1" ht="13.5" customHeight="1" spans="1:7">
      <c r="A29" s="477" t="s">
        <v>1492</v>
      </c>
      <c r="B29" s="489" t="s">
        <v>2614</v>
      </c>
      <c r="C29" s="479">
        <f>ROUND(C21*F27*'数据-取费表'!B21/'数据-取费表'!B20,4)</f>
        <v>0.002</v>
      </c>
      <c r="D29" s="472"/>
      <c r="E29" s="473"/>
      <c r="F29" s="487"/>
      <c r="G29" s="488"/>
    </row>
    <row r="30" s="426" customFormat="1" ht="13.5" customHeight="1" spans="1:7">
      <c r="A30" s="467" t="s">
        <v>1560</v>
      </c>
      <c r="B30" s="445" t="s">
        <v>2615</v>
      </c>
      <c r="C30" s="472">
        <f>F30</f>
        <v>0</v>
      </c>
      <c r="D30" s="473" t="s">
        <v>2616</v>
      </c>
      <c r="E30" s="482"/>
      <c r="F30" s="476">
        <f>'数据-取费表'!B42</f>
        <v>0</v>
      </c>
      <c r="G30" s="474" t="s">
        <v>2617</v>
      </c>
    </row>
    <row r="31" ht="16.5" customHeight="1" spans="1:7">
      <c r="A31" s="491">
        <v>1</v>
      </c>
      <c r="B31" s="445" t="s">
        <v>2618</v>
      </c>
      <c r="C31" s="446">
        <f ca="1">ROUND((C5+C19+C20+C22+C27)/(1-C21-D22-D27-C30/(1+'数据-取费表'!B43)),0)</f>
        <v>25722</v>
      </c>
      <c r="D31" s="492"/>
      <c r="E31" s="446"/>
      <c r="F31" s="493"/>
      <c r="G31" s="474" t="s">
        <v>2619</v>
      </c>
    </row>
    <row r="32" s="425" customFormat="1" ht="15.75" spans="1:7">
      <c r="A32" s="494" t="s">
        <v>2620</v>
      </c>
      <c r="B32" s="495"/>
      <c r="C32" s="495"/>
      <c r="D32" s="495"/>
      <c r="E32" s="495"/>
      <c r="F32" s="495"/>
      <c r="G32" s="496"/>
    </row>
    <row r="33" s="426" customFormat="1" ht="13.5" customHeight="1" spans="1:7">
      <c r="A33" s="444" t="s">
        <v>1576</v>
      </c>
      <c r="B33" s="445" t="s">
        <v>2621</v>
      </c>
      <c r="C33" s="497">
        <f>SUM(C34:C38)</f>
        <v>7809</v>
      </c>
      <c r="D33" s="469"/>
      <c r="E33" s="447"/>
      <c r="F33" s="482"/>
      <c r="G33" s="474"/>
    </row>
    <row r="34" s="428" customFormat="1" ht="13.5" customHeight="1" spans="1:7">
      <c r="A34" s="477" t="s">
        <v>1490</v>
      </c>
      <c r="B34" s="450" t="s">
        <v>2622</v>
      </c>
      <c r="C34" s="455">
        <f>IF(F34=100%,'数据-取费表'!M16-SUMIF('数据-取费表'!C:C,"公共配套",'数据-取费表'!M:M),'数据-取费表'!O16-SUMIF('数据-取费表'!C:C,"公共配套",'数据-取费表'!O:O))</f>
        <v>6689</v>
      </c>
      <c r="D34" s="452"/>
      <c r="E34" s="455"/>
      <c r="F34" s="498">
        <f>IF('数据-取费表'!B24=0,1,'数据-取费表'!N16)</f>
        <v>1</v>
      </c>
      <c r="G34" s="454" t="s">
        <v>2623</v>
      </c>
    </row>
    <row r="35" ht="13.5" customHeight="1" spans="1:7">
      <c r="A35" s="477" t="s">
        <v>1492</v>
      </c>
      <c r="B35" s="450" t="s">
        <v>2624</v>
      </c>
      <c r="C35" s="455">
        <f>ROUND(C34*F35,0)</f>
        <v>468</v>
      </c>
      <c r="D35" s="455"/>
      <c r="E35" s="455"/>
      <c r="F35" s="499">
        <f>'数据-取费表'!B33</f>
        <v>0.07</v>
      </c>
      <c r="G35" s="454" t="s">
        <v>2625</v>
      </c>
    </row>
    <row r="36" ht="24" spans="1:7">
      <c r="A36" s="477" t="s">
        <v>1500</v>
      </c>
      <c r="B36" s="450" t="s">
        <v>2626</v>
      </c>
      <c r="C36" s="455">
        <f>ROUND(IF(SUMIF('数据-取费表'!C:C,"住宅",IF(F34=100%,'数据-取费表'!M:M,'数据-取费表'!O:O))=0,0,IF(F36=0,SUMIF('数据-取费表'!C:C,"公共配套",IF(F34=100%,'数据-取费表'!M:M,'数据-取费表'!O:O)),SUMIF('数据-取费表'!C:C,"住宅",IF(F34=100%,'数据-取费表'!M:M,'数据-取费表'!O:O))*F36)),0)</f>
        <v>0</v>
      </c>
      <c r="D36" s="455"/>
      <c r="E36" s="455"/>
      <c r="F36" s="499">
        <f>'数据-取费表'!B34</f>
        <v>0</v>
      </c>
      <c r="G36" s="500" t="s">
        <v>2627</v>
      </c>
    </row>
    <row r="37" s="428" customFormat="1" ht="13.5" customHeight="1" spans="1:7">
      <c r="A37" s="477" t="s">
        <v>1530</v>
      </c>
      <c r="B37" s="450" t="s">
        <v>2628</v>
      </c>
      <c r="C37" s="490">
        <f>ROUND(E37*D37*F34/10000,0)</f>
        <v>585</v>
      </c>
      <c r="D37" s="452">
        <f>'数据-汇总表'!E3</f>
        <v>20903.38</v>
      </c>
      <c r="E37" s="490">
        <f>'数据-取费表'!B35</f>
        <v>280</v>
      </c>
      <c r="F37" s="499"/>
      <c r="G37" s="501" t="s">
        <v>2629</v>
      </c>
    </row>
    <row r="38" ht="13.5" customHeight="1" spans="1:7">
      <c r="A38" s="477" t="s">
        <v>1514</v>
      </c>
      <c r="B38" s="450" t="s">
        <v>2588</v>
      </c>
      <c r="C38" s="455">
        <f>ROUND(C34*F38,0)</f>
        <v>67</v>
      </c>
      <c r="D38" s="455"/>
      <c r="E38" s="455"/>
      <c r="F38" s="499">
        <f>'数据-取费表'!B36</f>
        <v>0.01</v>
      </c>
      <c r="G38" s="454" t="s">
        <v>2625</v>
      </c>
    </row>
    <row r="39" s="426" customFormat="1" ht="13.5" customHeight="1" spans="1:7">
      <c r="A39" s="467" t="s">
        <v>1494</v>
      </c>
      <c r="B39" s="445" t="s">
        <v>2598</v>
      </c>
      <c r="C39" s="469">
        <f>ROUND(C33*F20,0)</f>
        <v>156</v>
      </c>
      <c r="D39" s="469"/>
      <c r="E39" s="469"/>
      <c r="F39" s="470"/>
      <c r="G39" s="471" t="s">
        <v>2317</v>
      </c>
    </row>
    <row r="40" s="426" customFormat="1" ht="13.5" customHeight="1" spans="1:7">
      <c r="A40" s="467" t="s">
        <v>2163</v>
      </c>
      <c r="B40" s="445" t="s">
        <v>2600</v>
      </c>
      <c r="C40" s="502">
        <f>F21</f>
        <v>0.02</v>
      </c>
      <c r="D40" s="473" t="s">
        <v>2630</v>
      </c>
      <c r="E40" s="469"/>
      <c r="F40" s="470"/>
      <c r="G40" s="474" t="s">
        <v>2631</v>
      </c>
    </row>
    <row r="41" s="426" customFormat="1" ht="13.5" customHeight="1" spans="1:7">
      <c r="A41" s="467" t="s">
        <v>2094</v>
      </c>
      <c r="B41" s="445" t="s">
        <v>2603</v>
      </c>
      <c r="C41" s="469">
        <f ca="1">ROUND(SUM(C42:C43),0)</f>
        <v>249</v>
      </c>
      <c r="D41" s="472">
        <f ca="1">C44</f>
        <v>0.0006</v>
      </c>
      <c r="E41" s="473" t="s">
        <v>2630</v>
      </c>
      <c r="F41" s="476"/>
      <c r="G41" s="471" t="str">
        <f>IF('数据-取费表'!B22&lt;=1,"单利计息","复利计息")</f>
        <v>复利计息</v>
      </c>
    </row>
    <row r="42" ht="13.5" customHeight="1" spans="1:7">
      <c r="A42" s="477" t="s">
        <v>1490</v>
      </c>
      <c r="B42" s="450" t="s">
        <v>2604</v>
      </c>
      <c r="C42" s="479">
        <f ca="1">ROUND(IF('数据-取费表'!B22&lt;=1,C33*F22*'数据-取费表'!B21/2,C33*(POWER((1+F22),'数据-取费表'!B21/2)-1)),0)</f>
        <v>244</v>
      </c>
      <c r="D42" s="479"/>
      <c r="E42" s="479"/>
      <c r="F42" s="480"/>
      <c r="G42" s="503" t="s">
        <v>2632</v>
      </c>
    </row>
    <row r="43" ht="13.5" customHeight="1" spans="1:7">
      <c r="A43" s="477" t="s">
        <v>1492</v>
      </c>
      <c r="B43" s="450" t="s">
        <v>2606</v>
      </c>
      <c r="C43" s="479">
        <f ca="1">ROUND(IF('数据-取费表'!B22&lt;=1,C39*F22*'数据-取费表'!B21/2,C39*(POWER((1+F22),'数据-取费表'!B21/2)-1)),0)</f>
        <v>5</v>
      </c>
      <c r="D43" s="479"/>
      <c r="E43" s="479"/>
      <c r="F43" s="480"/>
      <c r="G43" s="504"/>
    </row>
    <row r="44" ht="13.5" customHeight="1" spans="1:7">
      <c r="A44" s="477" t="s">
        <v>1500</v>
      </c>
      <c r="B44" s="450" t="s">
        <v>2608</v>
      </c>
      <c r="C44" s="479">
        <f ca="1">ROUND(IF('数据-取费表'!B22&lt;=1,C40*F22*'数据-取费表'!B21/2,C40*(POWER((1+F22),'数据-取费表'!B21/2)-1)),4)</f>
        <v>0.0006</v>
      </c>
      <c r="D44" s="479"/>
      <c r="E44" s="479"/>
      <c r="F44" s="480"/>
      <c r="G44" s="505"/>
    </row>
    <row r="45" s="426" customFormat="1" ht="13.5" customHeight="1" spans="1:7">
      <c r="A45" s="467" t="s">
        <v>2057</v>
      </c>
      <c r="B45" s="485" t="s">
        <v>2611</v>
      </c>
      <c r="C45" s="486">
        <f>C46</f>
        <v>797</v>
      </c>
      <c r="D45" s="472">
        <f>C47</f>
        <v>0.002</v>
      </c>
      <c r="E45" s="473" t="s">
        <v>2630</v>
      </c>
      <c r="F45" s="487"/>
      <c r="G45" s="488" t="s">
        <v>2633</v>
      </c>
    </row>
    <row r="46" s="426" customFormat="1" ht="13.5" customHeight="1" spans="1:7">
      <c r="A46" s="477" t="s">
        <v>1490</v>
      </c>
      <c r="B46" s="489" t="s">
        <v>2634</v>
      </c>
      <c r="C46" s="490">
        <f>ROUND((C33+C39)*F27,0)</f>
        <v>797</v>
      </c>
      <c r="D46" s="506"/>
      <c r="E46" s="473"/>
      <c r="F46" s="487"/>
      <c r="G46" s="488"/>
    </row>
    <row r="47" s="426" customFormat="1" ht="13.5" customHeight="1" spans="1:7">
      <c r="A47" s="477" t="s">
        <v>1492</v>
      </c>
      <c r="B47" s="489" t="s">
        <v>2635</v>
      </c>
      <c r="C47" s="479">
        <f>ROUND(C40*F27,4)</f>
        <v>0.002</v>
      </c>
      <c r="D47" s="506"/>
      <c r="E47" s="473"/>
      <c r="F47" s="487"/>
      <c r="G47" s="488"/>
    </row>
    <row r="48" s="426" customFormat="1" ht="13.5" customHeight="1" spans="1:7">
      <c r="A48" s="467" t="s">
        <v>2058</v>
      </c>
      <c r="B48" s="445" t="s">
        <v>2615</v>
      </c>
      <c r="C48" s="502">
        <f>F30</f>
        <v>0</v>
      </c>
      <c r="D48" s="473" t="s">
        <v>2636</v>
      </c>
      <c r="E48" s="469"/>
      <c r="F48" s="476"/>
      <c r="G48" s="474" t="s">
        <v>2637</v>
      </c>
    </row>
    <row r="49" ht="16.5" customHeight="1" spans="1:7">
      <c r="A49" s="467" t="s">
        <v>1560</v>
      </c>
      <c r="B49" s="445" t="s">
        <v>2638</v>
      </c>
      <c r="C49" s="469">
        <f ca="1">ROUND((C33+C39+C41+C45)/(1-C40-D41-D45-C48/(1+'数据-取费表'!B43)),0)</f>
        <v>9219</v>
      </c>
      <c r="D49" s="469"/>
      <c r="E49" s="469"/>
      <c r="F49" s="507"/>
      <c r="G49" s="474" t="s">
        <v>2639</v>
      </c>
    </row>
    <row r="50" s="428" customFormat="1" ht="24" spans="1:7">
      <c r="A50" s="467" t="s">
        <v>1374</v>
      </c>
      <c r="B50" s="445" t="s">
        <v>2640</v>
      </c>
      <c r="C50" s="469"/>
      <c r="D50" s="469"/>
      <c r="E50" s="469"/>
      <c r="F50" s="507">
        <f>IF('数据-取费表'!B24=0,'数据-取费表'!N16,1)</f>
        <v>0.74</v>
      </c>
      <c r="G50" s="488" t="s">
        <v>2641</v>
      </c>
    </row>
    <row r="51" ht="16.5" customHeight="1" spans="1:7">
      <c r="A51" s="467" t="s">
        <v>1651</v>
      </c>
      <c r="B51" s="445" t="s">
        <v>2642</v>
      </c>
      <c r="C51" s="469">
        <f ca="1">ROUND(C49*F50,0)</f>
        <v>6822</v>
      </c>
      <c r="D51" s="469"/>
      <c r="E51" s="469"/>
      <c r="F51" s="507"/>
      <c r="G51" s="474" t="s">
        <v>2643</v>
      </c>
    </row>
    <row r="52" s="425" customFormat="1" ht="16.5" spans="1:7">
      <c r="A52" s="508" t="s">
        <v>2644</v>
      </c>
      <c r="B52" s="509"/>
      <c r="C52" s="510">
        <f ca="1">C31+C51</f>
        <v>32544</v>
      </c>
      <c r="D52" s="509"/>
      <c r="E52" s="509"/>
      <c r="F52" s="509"/>
      <c r="G52" s="511"/>
    </row>
    <row r="55" ht="15" spans="1:7">
      <c r="B55" s="512" t="s">
        <v>2645</v>
      </c>
      <c r="C55" s="513"/>
    </row>
    <row r="56" spans="1:7">
      <c r="B56" s="514" t="s">
        <v>2646</v>
      </c>
      <c r="C56" s="515">
        <f ca="1">ROUND(C51/C52,3)</f>
        <v>0.21</v>
      </c>
    </row>
    <row r="57" spans="1:7">
      <c r="B57" s="514" t="s">
        <v>2647</v>
      </c>
      <c r="C57" s="516">
        <f ca="1">1-C56</f>
        <v>0.79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88" customWidth="1"/>
    <col min="2" max="2" width="20" style="388" customWidth="1"/>
    <col min="3" max="7" width="8.875" style="389"/>
    <col min="8" max="16384" width="8.875" style="378"/>
  </cols>
  <sheetData>
    <row r="1" spans="1:7">
      <c r="A1" s="390" t="s">
        <v>2648</v>
      </c>
      <c r="B1" s="390"/>
    </row>
    <row r="2" ht="14.25" spans="1:7">
      <c r="A2" s="390"/>
      <c r="B2" s="390"/>
    </row>
    <row r="3" ht="14.25" spans="1:7">
      <c r="A3" s="390"/>
      <c r="B3" s="390"/>
      <c r="C3" s="391" t="s">
        <v>229</v>
      </c>
      <c r="D3" s="391" t="s">
        <v>230</v>
      </c>
      <c r="E3" s="391" t="s">
        <v>232</v>
      </c>
      <c r="F3" s="391" t="s">
        <v>233</v>
      </c>
      <c r="G3" s="391" t="s">
        <v>231</v>
      </c>
    </row>
    <row r="4" ht="14.25" spans="1:7">
      <c r="A4" s="392" t="s">
        <v>2649</v>
      </c>
      <c r="B4" s="393" t="s">
        <v>2650</v>
      </c>
      <c r="C4" s="391"/>
      <c r="D4" s="391"/>
      <c r="E4" s="391"/>
      <c r="F4" s="391"/>
      <c r="G4" s="391"/>
    </row>
    <row r="5" spans="1:7">
      <c r="A5" s="394" t="s">
        <v>235</v>
      </c>
      <c r="B5" s="395" t="s">
        <v>2651</v>
      </c>
      <c r="C5" s="396">
        <v>0.098</v>
      </c>
      <c r="D5" s="396">
        <v>0.087</v>
      </c>
      <c r="E5" s="396">
        <v>0.087</v>
      </c>
      <c r="F5" s="396">
        <v>0.098</v>
      </c>
      <c r="G5" s="397">
        <v>0.095</v>
      </c>
    </row>
    <row r="6" spans="1:7">
      <c r="A6" s="398" t="s">
        <v>235</v>
      </c>
      <c r="B6" s="399" t="s">
        <v>2652</v>
      </c>
      <c r="C6" s="400">
        <v>0.098</v>
      </c>
      <c r="D6" s="400">
        <v>0.098</v>
      </c>
      <c r="E6" s="400">
        <v>0.098</v>
      </c>
      <c r="F6" s="400">
        <v>0.1</v>
      </c>
      <c r="G6" s="401">
        <v>0.099</v>
      </c>
    </row>
    <row r="7" spans="1:7">
      <c r="A7" s="398" t="s">
        <v>235</v>
      </c>
      <c r="B7" s="399" t="s">
        <v>2653</v>
      </c>
      <c r="C7" s="400">
        <v>0.097</v>
      </c>
      <c r="D7" s="400">
        <v>0.097</v>
      </c>
      <c r="E7" s="400">
        <v>0.096</v>
      </c>
      <c r="F7" s="400">
        <v>0.1</v>
      </c>
      <c r="G7" s="401">
        <v>0.098</v>
      </c>
    </row>
    <row r="8" spans="1:7">
      <c r="A8" s="398" t="s">
        <v>235</v>
      </c>
      <c r="B8" s="399" t="s">
        <v>2654</v>
      </c>
      <c r="C8" s="400">
        <v>0.081</v>
      </c>
      <c r="D8" s="400">
        <v>0.082</v>
      </c>
      <c r="E8" s="400">
        <v>0.07</v>
      </c>
      <c r="F8" s="400">
        <v>0.096</v>
      </c>
      <c r="G8" s="401">
        <v>0.089</v>
      </c>
    </row>
    <row r="9" ht="14.25" spans="1:7">
      <c r="A9" s="402" t="s">
        <v>235</v>
      </c>
      <c r="B9" s="403" t="s">
        <v>2655</v>
      </c>
      <c r="C9" s="404">
        <v>0.1</v>
      </c>
      <c r="D9" s="404">
        <v>0.1</v>
      </c>
      <c r="E9" s="404">
        <v>0.1</v>
      </c>
      <c r="F9" s="405"/>
      <c r="G9" s="406">
        <v>0.1</v>
      </c>
    </row>
    <row r="10" spans="1:7">
      <c r="A10" s="394" t="s">
        <v>251</v>
      </c>
      <c r="B10" s="395" t="s">
        <v>2656</v>
      </c>
      <c r="C10" s="396">
        <v>0.067</v>
      </c>
      <c r="D10" s="396">
        <v>0.079</v>
      </c>
      <c r="E10" s="396">
        <v>0.079</v>
      </c>
      <c r="F10" s="396">
        <v>0.1</v>
      </c>
      <c r="G10" s="397">
        <v>0.091</v>
      </c>
    </row>
    <row r="11" spans="1:7">
      <c r="A11" s="398" t="s">
        <v>251</v>
      </c>
      <c r="B11" s="399" t="s">
        <v>2657</v>
      </c>
      <c r="C11" s="400">
        <v>0.05</v>
      </c>
      <c r="D11" s="400">
        <v>0.053</v>
      </c>
      <c r="E11" s="400">
        <v>0.063</v>
      </c>
      <c r="F11" s="400">
        <v>0.1</v>
      </c>
      <c r="G11" s="401">
        <v>0.072</v>
      </c>
    </row>
    <row r="12" spans="1:7">
      <c r="A12" s="398" t="s">
        <v>251</v>
      </c>
      <c r="B12" s="399" t="s">
        <v>2658</v>
      </c>
      <c r="C12" s="400">
        <v>0.053</v>
      </c>
      <c r="D12" s="400">
        <v>0.09</v>
      </c>
      <c r="E12" s="400">
        <v>0.072</v>
      </c>
      <c r="F12" s="400">
        <v>0.1</v>
      </c>
      <c r="G12" s="401">
        <v>0.097</v>
      </c>
    </row>
    <row r="13" spans="1:7">
      <c r="A13" s="398" t="s">
        <v>251</v>
      </c>
      <c r="B13" s="399" t="s">
        <v>2659</v>
      </c>
      <c r="C13" s="400">
        <v>0.097</v>
      </c>
      <c r="D13" s="400">
        <v>0.092</v>
      </c>
      <c r="E13" s="400">
        <v>0.095</v>
      </c>
      <c r="F13" s="400">
        <v>0.1</v>
      </c>
      <c r="G13" s="401">
        <v>0.097</v>
      </c>
    </row>
    <row r="14" spans="1:7">
      <c r="A14" s="398" t="s">
        <v>251</v>
      </c>
      <c r="B14" s="399" t="s">
        <v>2660</v>
      </c>
      <c r="C14" s="400">
        <v>0.097</v>
      </c>
      <c r="D14" s="400">
        <v>0.097</v>
      </c>
      <c r="E14" s="400">
        <v>0.097</v>
      </c>
      <c r="F14" s="400">
        <v>0.1</v>
      </c>
      <c r="G14" s="401">
        <v>0.098</v>
      </c>
    </row>
    <row r="15" spans="1:7">
      <c r="A15" s="398" t="s">
        <v>251</v>
      </c>
      <c r="B15" s="399" t="s">
        <v>2661</v>
      </c>
      <c r="C15" s="400">
        <v>0.098</v>
      </c>
      <c r="D15" s="400">
        <v>0.091</v>
      </c>
      <c r="E15" s="400">
        <v>0.06</v>
      </c>
      <c r="F15" s="400">
        <v>0.1</v>
      </c>
      <c r="G15" s="401">
        <v>0.097</v>
      </c>
    </row>
    <row r="16" spans="1:7">
      <c r="A16" s="398" t="s">
        <v>251</v>
      </c>
      <c r="B16" s="399" t="s">
        <v>2662</v>
      </c>
      <c r="C16" s="400">
        <v>0.098</v>
      </c>
      <c r="D16" s="400">
        <v>0.097</v>
      </c>
      <c r="E16" s="400">
        <v>0.095</v>
      </c>
      <c r="F16" s="400">
        <v>0.1</v>
      </c>
      <c r="G16" s="401">
        <v>0.099</v>
      </c>
    </row>
    <row r="17" spans="1:7">
      <c r="A17" s="398" t="s">
        <v>251</v>
      </c>
      <c r="B17" s="399" t="s">
        <v>2663</v>
      </c>
      <c r="C17" s="400">
        <v>0.089</v>
      </c>
      <c r="D17" s="400">
        <v>0.092</v>
      </c>
      <c r="E17" s="400">
        <v>0.061</v>
      </c>
      <c r="F17" s="400">
        <v>0.1</v>
      </c>
      <c r="G17" s="401">
        <v>0.097</v>
      </c>
    </row>
    <row r="18" spans="1:7">
      <c r="A18" s="398" t="s">
        <v>251</v>
      </c>
      <c r="B18" s="399" t="s">
        <v>2664</v>
      </c>
      <c r="C18" s="400">
        <v>0.098</v>
      </c>
      <c r="D18" s="400">
        <v>0.098</v>
      </c>
      <c r="E18" s="400">
        <v>0.098</v>
      </c>
      <c r="F18" s="407"/>
      <c r="G18" s="401">
        <v>0.099</v>
      </c>
    </row>
    <row r="19" spans="1:7">
      <c r="A19" s="398" t="s">
        <v>251</v>
      </c>
      <c r="B19" s="399" t="s">
        <v>2665</v>
      </c>
      <c r="C19" s="400">
        <v>0.099</v>
      </c>
      <c r="D19" s="400">
        <v>0.074</v>
      </c>
      <c r="E19" s="400">
        <v>0.081</v>
      </c>
      <c r="F19" s="407"/>
      <c r="G19" s="401">
        <v>0.093</v>
      </c>
    </row>
    <row r="20" spans="1:7">
      <c r="A20" s="398" t="s">
        <v>251</v>
      </c>
      <c r="B20" s="399" t="s">
        <v>2666</v>
      </c>
      <c r="C20" s="400">
        <v>0.1</v>
      </c>
      <c r="D20" s="400">
        <v>0.089</v>
      </c>
      <c r="E20" s="400">
        <v>0.089</v>
      </c>
      <c r="F20" s="407"/>
      <c r="G20" s="401">
        <v>0.095</v>
      </c>
    </row>
    <row r="21" spans="1:7">
      <c r="A21" s="398" t="s">
        <v>251</v>
      </c>
      <c r="B21" s="399" t="s">
        <v>2667</v>
      </c>
      <c r="C21" s="400">
        <v>0.1</v>
      </c>
      <c r="D21" s="400">
        <v>0.091</v>
      </c>
      <c r="E21" s="400">
        <v>0.082</v>
      </c>
      <c r="F21" s="407"/>
      <c r="G21" s="401">
        <v>0.097</v>
      </c>
    </row>
    <row r="22" spans="1:7">
      <c r="A22" s="398" t="s">
        <v>251</v>
      </c>
      <c r="B22" s="399" t="s">
        <v>2668</v>
      </c>
      <c r="C22" s="400">
        <v>0.095</v>
      </c>
      <c r="D22" s="400">
        <v>0.099</v>
      </c>
      <c r="E22" s="400">
        <v>0.098</v>
      </c>
      <c r="F22" s="407"/>
      <c r="G22" s="401">
        <v>0.1</v>
      </c>
    </row>
    <row r="23" spans="1:7">
      <c r="A23" s="398" t="s">
        <v>251</v>
      </c>
      <c r="B23" s="399" t="s">
        <v>2669</v>
      </c>
      <c r="C23" s="400">
        <v>0.099</v>
      </c>
      <c r="D23" s="400">
        <v>0.1</v>
      </c>
      <c r="E23" s="400">
        <v>0.1</v>
      </c>
      <c r="F23" s="407"/>
      <c r="G23" s="401">
        <v>0.1</v>
      </c>
    </row>
    <row r="24" spans="1:7">
      <c r="A24" s="398" t="s">
        <v>251</v>
      </c>
      <c r="B24" s="399" t="s">
        <v>2670</v>
      </c>
      <c r="C24" s="400">
        <v>0.095</v>
      </c>
      <c r="D24" s="400">
        <v>0.1</v>
      </c>
      <c r="E24" s="400">
        <v>0.098</v>
      </c>
      <c r="F24" s="407"/>
      <c r="G24" s="401">
        <v>0.1</v>
      </c>
    </row>
    <row r="25" spans="1:7">
      <c r="A25" s="398" t="s">
        <v>251</v>
      </c>
      <c r="B25" s="399" t="s">
        <v>2671</v>
      </c>
      <c r="C25" s="400">
        <v>0.05</v>
      </c>
      <c r="D25" s="400">
        <v>0.096</v>
      </c>
      <c r="E25" s="400">
        <v>0.096</v>
      </c>
      <c r="F25" s="407"/>
      <c r="G25" s="401">
        <v>0.096</v>
      </c>
    </row>
    <row r="26" spans="1:7">
      <c r="A26" s="398" t="s">
        <v>251</v>
      </c>
      <c r="B26" s="399" t="s">
        <v>2672</v>
      </c>
      <c r="C26" s="400">
        <v>0.063</v>
      </c>
      <c r="D26" s="400">
        <v>0.099</v>
      </c>
      <c r="E26" s="400">
        <v>0.098</v>
      </c>
      <c r="F26" s="407"/>
      <c r="G26" s="401">
        <v>0.1</v>
      </c>
    </row>
    <row r="27" spans="1:7">
      <c r="A27" s="398" t="s">
        <v>251</v>
      </c>
      <c r="B27" s="399" t="s">
        <v>2673</v>
      </c>
      <c r="C27" s="400">
        <v>0.052</v>
      </c>
      <c r="D27" s="400">
        <v>0.095</v>
      </c>
      <c r="E27" s="400">
        <v>0.064</v>
      </c>
      <c r="F27" s="407"/>
      <c r="G27" s="401">
        <v>0.097</v>
      </c>
    </row>
    <row r="28" spans="1:7">
      <c r="A28" s="398" t="s">
        <v>251</v>
      </c>
      <c r="B28" s="399" t="s">
        <v>2674</v>
      </c>
      <c r="C28" s="407"/>
      <c r="D28" s="400">
        <v>0.063</v>
      </c>
      <c r="E28" s="400">
        <v>0.052</v>
      </c>
      <c r="F28" s="407"/>
      <c r="G28" s="401">
        <v>0.063</v>
      </c>
    </row>
    <row r="29" ht="14.25" spans="1:7">
      <c r="A29" s="402" t="s">
        <v>251</v>
      </c>
      <c r="B29" s="403" t="s">
        <v>2675</v>
      </c>
      <c r="C29" s="408"/>
      <c r="D29" s="404">
        <v>0.052</v>
      </c>
      <c r="E29" s="404">
        <v>0.07</v>
      </c>
      <c r="F29" s="408"/>
      <c r="G29" s="406">
        <v>0.071</v>
      </c>
    </row>
    <row r="30" spans="1:7">
      <c r="A30" s="409" t="s">
        <v>264</v>
      </c>
      <c r="B30" s="395" t="s">
        <v>2676</v>
      </c>
      <c r="C30" s="396">
        <v>0.066</v>
      </c>
      <c r="D30" s="396">
        <v>0.066</v>
      </c>
      <c r="E30" s="396">
        <v>0.057</v>
      </c>
      <c r="F30" s="396">
        <v>0.1</v>
      </c>
      <c r="G30" s="397">
        <v>0.068</v>
      </c>
    </row>
    <row r="31" spans="1:7">
      <c r="A31" s="410" t="s">
        <v>264</v>
      </c>
      <c r="B31" s="399" t="s">
        <v>2677</v>
      </c>
      <c r="C31" s="400">
        <v>0.055</v>
      </c>
      <c r="D31" s="400">
        <v>0.082</v>
      </c>
      <c r="E31" s="400">
        <v>0.064</v>
      </c>
      <c r="F31" s="400">
        <v>0.1</v>
      </c>
      <c r="G31" s="401">
        <v>0.095</v>
      </c>
    </row>
    <row r="32" spans="1:7">
      <c r="A32" s="410" t="s">
        <v>264</v>
      </c>
      <c r="B32" s="399" t="s">
        <v>2678</v>
      </c>
      <c r="C32" s="400">
        <v>0.082</v>
      </c>
      <c r="D32" s="400">
        <v>0.087</v>
      </c>
      <c r="E32" s="400">
        <v>0.095</v>
      </c>
      <c r="F32" s="400">
        <v>0.1</v>
      </c>
      <c r="G32" s="401">
        <v>0.096</v>
      </c>
    </row>
    <row r="33" spans="1:7">
      <c r="A33" s="410" t="s">
        <v>264</v>
      </c>
      <c r="B33" s="399" t="s">
        <v>2679</v>
      </c>
      <c r="C33" s="400">
        <v>0.099</v>
      </c>
      <c r="D33" s="400">
        <v>0.092</v>
      </c>
      <c r="E33" s="400">
        <v>0.087</v>
      </c>
      <c r="F33" s="400">
        <v>0.1</v>
      </c>
      <c r="G33" s="401">
        <v>0.097</v>
      </c>
    </row>
    <row r="34" spans="1:7">
      <c r="A34" s="410" t="s">
        <v>264</v>
      </c>
      <c r="B34" s="399" t="s">
        <v>2680</v>
      </c>
      <c r="C34" s="400">
        <v>0.084</v>
      </c>
      <c r="D34" s="400">
        <v>0.097</v>
      </c>
      <c r="E34" s="400">
        <v>0.071</v>
      </c>
      <c r="F34" s="400">
        <v>0.1</v>
      </c>
      <c r="G34" s="401">
        <v>0.098</v>
      </c>
    </row>
    <row r="35" spans="1:7">
      <c r="A35" s="410" t="s">
        <v>264</v>
      </c>
      <c r="B35" s="399" t="s">
        <v>2681</v>
      </c>
      <c r="C35" s="400">
        <v>0.083</v>
      </c>
      <c r="D35" s="400">
        <v>0.097</v>
      </c>
      <c r="E35" s="400">
        <v>0.061</v>
      </c>
      <c r="F35" s="400">
        <v>0.1</v>
      </c>
      <c r="G35" s="401">
        <v>0.099</v>
      </c>
    </row>
    <row r="36" spans="1:7">
      <c r="A36" s="410" t="s">
        <v>264</v>
      </c>
      <c r="B36" s="399" t="s">
        <v>2682</v>
      </c>
      <c r="C36" s="400">
        <v>0.097</v>
      </c>
      <c r="D36" s="400">
        <v>0.097</v>
      </c>
      <c r="E36" s="400">
        <v>0.078</v>
      </c>
      <c r="F36" s="400">
        <v>0.1</v>
      </c>
      <c r="G36" s="401">
        <v>0.099</v>
      </c>
    </row>
    <row r="37" spans="1:7">
      <c r="A37" s="410" t="s">
        <v>264</v>
      </c>
      <c r="B37" s="399" t="s">
        <v>2683</v>
      </c>
      <c r="C37" s="400">
        <v>0.097</v>
      </c>
      <c r="D37" s="400">
        <v>0.095</v>
      </c>
      <c r="E37" s="400">
        <v>0.078</v>
      </c>
      <c r="F37" s="400">
        <v>0.1</v>
      </c>
      <c r="G37" s="401">
        <v>0.097</v>
      </c>
    </row>
    <row r="38" spans="1:7">
      <c r="A38" s="410" t="s">
        <v>264</v>
      </c>
      <c r="B38" s="399" t="s">
        <v>2684</v>
      </c>
      <c r="C38" s="400">
        <v>0.097</v>
      </c>
      <c r="D38" s="400">
        <v>0.077</v>
      </c>
      <c r="E38" s="400">
        <v>0.07</v>
      </c>
      <c r="F38" s="400">
        <v>0.1</v>
      </c>
      <c r="G38" s="401">
        <v>0.077</v>
      </c>
    </row>
    <row r="39" spans="1:7">
      <c r="A39" s="410" t="s">
        <v>264</v>
      </c>
      <c r="B39" s="399" t="s">
        <v>2685</v>
      </c>
      <c r="C39" s="400">
        <v>0.095</v>
      </c>
      <c r="D39" s="400">
        <v>0.077</v>
      </c>
      <c r="E39" s="400">
        <v>0.066</v>
      </c>
      <c r="F39" s="400">
        <v>0.1</v>
      </c>
      <c r="G39" s="401">
        <v>0.086</v>
      </c>
    </row>
    <row r="40" spans="1:7">
      <c r="A40" s="410" t="s">
        <v>264</v>
      </c>
      <c r="B40" s="399" t="s">
        <v>2686</v>
      </c>
      <c r="C40" s="400">
        <v>0.077</v>
      </c>
      <c r="D40" s="400">
        <v>0.078</v>
      </c>
      <c r="E40" s="400">
        <v>0.082</v>
      </c>
      <c r="F40" s="411"/>
      <c r="G40" s="401">
        <v>0.078</v>
      </c>
    </row>
    <row r="41" spans="1:7">
      <c r="A41" s="410" t="s">
        <v>264</v>
      </c>
      <c r="B41" s="399" t="s">
        <v>2687</v>
      </c>
      <c r="C41" s="400">
        <v>0.078</v>
      </c>
      <c r="D41" s="400">
        <v>0.078</v>
      </c>
      <c r="E41" s="400">
        <v>0.082</v>
      </c>
      <c r="F41" s="411"/>
      <c r="G41" s="401">
        <v>0.086</v>
      </c>
    </row>
    <row r="42" spans="1:7">
      <c r="A42" s="410" t="s">
        <v>264</v>
      </c>
      <c r="B42" s="399" t="s">
        <v>2688</v>
      </c>
      <c r="C42" s="400">
        <v>0.078</v>
      </c>
      <c r="D42" s="400">
        <v>0.096</v>
      </c>
      <c r="E42" s="400">
        <v>0.072</v>
      </c>
      <c r="F42" s="411"/>
      <c r="G42" s="401">
        <v>0.098</v>
      </c>
    </row>
    <row r="43" spans="1:7">
      <c r="A43" s="410" t="s">
        <v>264</v>
      </c>
      <c r="B43" s="399" t="s">
        <v>2689</v>
      </c>
      <c r="C43" s="400">
        <v>0.078</v>
      </c>
      <c r="D43" s="400">
        <v>0.099</v>
      </c>
      <c r="E43" s="400">
        <v>0.096</v>
      </c>
      <c r="F43" s="411"/>
      <c r="G43" s="401">
        <v>0.1</v>
      </c>
    </row>
    <row r="44" spans="1:7">
      <c r="A44" s="410" t="s">
        <v>264</v>
      </c>
      <c r="B44" s="399" t="s">
        <v>2690</v>
      </c>
      <c r="C44" s="400">
        <v>0.096</v>
      </c>
      <c r="D44" s="400">
        <v>0.1</v>
      </c>
      <c r="E44" s="400">
        <v>0.098</v>
      </c>
      <c r="F44" s="411"/>
      <c r="G44" s="401">
        <v>0.1</v>
      </c>
    </row>
    <row r="45" spans="1:7">
      <c r="A45" s="410" t="s">
        <v>264</v>
      </c>
      <c r="B45" s="399" t="s">
        <v>2691</v>
      </c>
      <c r="C45" s="400">
        <v>0.099</v>
      </c>
      <c r="D45" s="400">
        <v>0.098</v>
      </c>
      <c r="E45" s="400">
        <v>0.095</v>
      </c>
      <c r="F45" s="411"/>
      <c r="G45" s="401">
        <v>0.098</v>
      </c>
    </row>
    <row r="46" spans="1:7">
      <c r="A46" s="410" t="s">
        <v>264</v>
      </c>
      <c r="B46" s="399" t="s">
        <v>2692</v>
      </c>
      <c r="C46" s="400">
        <v>0.1</v>
      </c>
      <c r="D46" s="400">
        <v>0.099</v>
      </c>
      <c r="E46" s="400">
        <v>0.096</v>
      </c>
      <c r="F46" s="411"/>
      <c r="G46" s="401">
        <v>0.1</v>
      </c>
    </row>
    <row r="47" spans="1:7">
      <c r="A47" s="410" t="s">
        <v>264</v>
      </c>
      <c r="B47" s="399" t="s">
        <v>2693</v>
      </c>
      <c r="C47" s="400">
        <v>0.098</v>
      </c>
      <c r="D47" s="400">
        <v>0.087</v>
      </c>
      <c r="E47" s="400">
        <v>0.059</v>
      </c>
      <c r="F47" s="411"/>
      <c r="G47" s="401">
        <v>0.096</v>
      </c>
    </row>
    <row r="48" spans="1:7">
      <c r="A48" s="410" t="s">
        <v>264</v>
      </c>
      <c r="B48" s="399" t="s">
        <v>2694</v>
      </c>
      <c r="C48" s="400">
        <v>0.099</v>
      </c>
      <c r="D48" s="400">
        <v>0.098</v>
      </c>
      <c r="E48" s="400">
        <v>0.095</v>
      </c>
      <c r="F48" s="411"/>
      <c r="G48" s="401">
        <v>0.098</v>
      </c>
    </row>
    <row r="49" spans="1:7">
      <c r="A49" s="410" t="s">
        <v>264</v>
      </c>
      <c r="B49" s="399" t="s">
        <v>2695</v>
      </c>
      <c r="C49" s="400">
        <v>0.088</v>
      </c>
      <c r="D49" s="400">
        <v>0.099</v>
      </c>
      <c r="E49" s="400">
        <v>0.07</v>
      </c>
      <c r="F49" s="411"/>
      <c r="G49" s="401">
        <v>0.1</v>
      </c>
    </row>
    <row r="50" spans="1:7">
      <c r="A50" s="410" t="s">
        <v>264</v>
      </c>
      <c r="B50" s="399" t="s">
        <v>2696</v>
      </c>
      <c r="C50" s="400">
        <v>0.098</v>
      </c>
      <c r="D50" s="400">
        <v>0.073</v>
      </c>
      <c r="E50" s="400">
        <v>0.071</v>
      </c>
      <c r="F50" s="411"/>
      <c r="G50" s="401">
        <v>0.073</v>
      </c>
    </row>
    <row r="51" spans="1:7">
      <c r="A51" s="410" t="s">
        <v>264</v>
      </c>
      <c r="B51" s="399" t="s">
        <v>2697</v>
      </c>
      <c r="C51" s="400">
        <v>0.099</v>
      </c>
      <c r="D51" s="400">
        <v>0.085</v>
      </c>
      <c r="E51" s="400">
        <v>0.063</v>
      </c>
      <c r="F51" s="411"/>
      <c r="G51" s="401">
        <v>0.096</v>
      </c>
    </row>
    <row r="52" spans="1:7">
      <c r="A52" s="410" t="s">
        <v>264</v>
      </c>
      <c r="B52" s="399" t="s">
        <v>2698</v>
      </c>
      <c r="C52" s="400">
        <v>0.074</v>
      </c>
      <c r="D52" s="400">
        <v>0.096</v>
      </c>
      <c r="E52" s="400">
        <v>0.05</v>
      </c>
      <c r="F52" s="411"/>
      <c r="G52" s="401">
        <v>0.098</v>
      </c>
    </row>
    <row r="53" spans="1:7">
      <c r="A53" s="410" t="s">
        <v>264</v>
      </c>
      <c r="B53" s="399" t="s">
        <v>2699</v>
      </c>
      <c r="C53" s="400">
        <v>0.086</v>
      </c>
      <c r="D53" s="411"/>
      <c r="E53" s="400">
        <v>0.092</v>
      </c>
      <c r="F53" s="411"/>
      <c r="G53" s="412"/>
    </row>
    <row r="54" ht="14.25" spans="1:7">
      <c r="A54" s="413" t="s">
        <v>264</v>
      </c>
      <c r="B54" s="403" t="s">
        <v>2700</v>
      </c>
      <c r="C54" s="404">
        <v>0.096</v>
      </c>
      <c r="D54" s="405"/>
      <c r="E54" s="414"/>
      <c r="F54" s="405"/>
      <c r="G54" s="415"/>
    </row>
    <row r="55" spans="1:7">
      <c r="A55" s="409" t="s">
        <v>275</v>
      </c>
      <c r="B55" s="395" t="s">
        <v>2701</v>
      </c>
      <c r="C55" s="396">
        <v>0.096</v>
      </c>
      <c r="D55" s="396">
        <v>0.084</v>
      </c>
      <c r="E55" s="396">
        <v>0.092</v>
      </c>
      <c r="F55" s="396">
        <v>0.1</v>
      </c>
      <c r="G55" s="397">
        <v>0.095</v>
      </c>
    </row>
    <row r="56" spans="1:7">
      <c r="A56" s="410" t="s">
        <v>275</v>
      </c>
      <c r="B56" s="399" t="s">
        <v>2702</v>
      </c>
      <c r="C56" s="400">
        <v>0.084</v>
      </c>
      <c r="D56" s="400">
        <v>0.092</v>
      </c>
      <c r="E56" s="400">
        <v>0.095</v>
      </c>
      <c r="F56" s="400">
        <v>0.092</v>
      </c>
      <c r="G56" s="401">
        <v>0.096</v>
      </c>
    </row>
    <row r="57" spans="1:7">
      <c r="A57" s="410" t="s">
        <v>275</v>
      </c>
      <c r="B57" s="399" t="s">
        <v>2703</v>
      </c>
      <c r="C57" s="400">
        <v>0.099</v>
      </c>
      <c r="D57" s="400">
        <v>0.096</v>
      </c>
      <c r="E57" s="400">
        <v>0.092</v>
      </c>
      <c r="F57" s="400">
        <v>0.1</v>
      </c>
      <c r="G57" s="401">
        <v>0.098</v>
      </c>
    </row>
    <row r="58" spans="1:7">
      <c r="A58" s="410" t="s">
        <v>275</v>
      </c>
      <c r="B58" s="399" t="s">
        <v>2704</v>
      </c>
      <c r="C58" s="400">
        <v>0.098</v>
      </c>
      <c r="D58" s="400">
        <v>0.095</v>
      </c>
      <c r="E58" s="400">
        <v>0.057</v>
      </c>
      <c r="F58" s="400">
        <v>0.1</v>
      </c>
      <c r="G58" s="401">
        <v>0.096</v>
      </c>
    </row>
    <row r="59" spans="1:7">
      <c r="A59" s="410" t="s">
        <v>275</v>
      </c>
      <c r="B59" s="399" t="s">
        <v>2705</v>
      </c>
      <c r="C59" s="400">
        <v>0.095</v>
      </c>
      <c r="D59" s="400">
        <v>0.1</v>
      </c>
      <c r="E59" s="400">
        <v>0.075</v>
      </c>
      <c r="F59" s="400">
        <v>0.1</v>
      </c>
      <c r="G59" s="401">
        <v>0.1</v>
      </c>
    </row>
    <row r="60" spans="1:7">
      <c r="A60" s="410" t="s">
        <v>275</v>
      </c>
      <c r="B60" s="399" t="s">
        <v>2706</v>
      </c>
      <c r="C60" s="400">
        <v>0.1</v>
      </c>
      <c r="D60" s="400">
        <v>0.097</v>
      </c>
      <c r="E60" s="400">
        <v>0.1</v>
      </c>
      <c r="F60" s="400">
        <v>0.1</v>
      </c>
      <c r="G60" s="401">
        <v>0.097</v>
      </c>
    </row>
    <row r="61" spans="1:7">
      <c r="A61" s="410" t="s">
        <v>275</v>
      </c>
      <c r="B61" s="399" t="s">
        <v>2707</v>
      </c>
      <c r="C61" s="400">
        <v>0.097</v>
      </c>
      <c r="D61" s="400">
        <v>0.1</v>
      </c>
      <c r="E61" s="400">
        <v>0.093</v>
      </c>
      <c r="F61" s="400">
        <v>0.1</v>
      </c>
      <c r="G61" s="401">
        <v>0.1</v>
      </c>
    </row>
    <row r="62" spans="1:7">
      <c r="A62" s="410" t="s">
        <v>275</v>
      </c>
      <c r="B62" s="399" t="s">
        <v>2708</v>
      </c>
      <c r="C62" s="400">
        <v>0.1</v>
      </c>
      <c r="D62" s="400">
        <v>0.097</v>
      </c>
      <c r="E62" s="400">
        <v>0.089</v>
      </c>
      <c r="F62" s="400">
        <v>0.1</v>
      </c>
      <c r="G62" s="401">
        <v>0.098</v>
      </c>
    </row>
    <row r="63" spans="1:7">
      <c r="A63" s="410" t="s">
        <v>275</v>
      </c>
      <c r="B63" s="399" t="s">
        <v>2709</v>
      </c>
      <c r="C63" s="400">
        <v>0.097</v>
      </c>
      <c r="D63" s="400">
        <v>0.097</v>
      </c>
      <c r="E63" s="400">
        <v>0.099</v>
      </c>
      <c r="F63" s="400">
        <v>0.1</v>
      </c>
      <c r="G63" s="401">
        <v>0.097</v>
      </c>
    </row>
    <row r="64" spans="1:7">
      <c r="A64" s="410" t="s">
        <v>275</v>
      </c>
      <c r="B64" s="399" t="s">
        <v>2710</v>
      </c>
      <c r="C64" s="400">
        <v>0.097</v>
      </c>
      <c r="D64" s="400">
        <v>0.074</v>
      </c>
      <c r="E64" s="400">
        <v>0.078</v>
      </c>
      <c r="F64" s="400">
        <v>0.1</v>
      </c>
      <c r="G64" s="401">
        <v>0.089</v>
      </c>
    </row>
    <row r="65" spans="1:7">
      <c r="A65" s="410" t="s">
        <v>275</v>
      </c>
      <c r="B65" s="399" t="s">
        <v>2711</v>
      </c>
      <c r="C65" s="400">
        <v>0.073</v>
      </c>
      <c r="D65" s="400">
        <v>0.098</v>
      </c>
      <c r="E65" s="400">
        <v>0.095</v>
      </c>
      <c r="F65" s="400">
        <v>0.1</v>
      </c>
      <c r="G65" s="401">
        <v>0.099</v>
      </c>
    </row>
    <row r="66" spans="1:7">
      <c r="A66" s="410" t="s">
        <v>275</v>
      </c>
      <c r="B66" s="399" t="s">
        <v>2712</v>
      </c>
      <c r="C66" s="400">
        <v>0.098</v>
      </c>
      <c r="D66" s="400">
        <v>0.095</v>
      </c>
      <c r="E66" s="400">
        <v>0.05</v>
      </c>
      <c r="F66" s="400">
        <v>0.1</v>
      </c>
      <c r="G66" s="401">
        <v>0.097</v>
      </c>
    </row>
    <row r="67" spans="1:7">
      <c r="A67" s="410" t="s">
        <v>275</v>
      </c>
      <c r="B67" s="399" t="s">
        <v>2713</v>
      </c>
      <c r="C67" s="400">
        <v>0.095</v>
      </c>
      <c r="D67" s="400">
        <v>0.097</v>
      </c>
      <c r="E67" s="400">
        <v>0.097</v>
      </c>
      <c r="F67" s="400">
        <v>0.1</v>
      </c>
      <c r="G67" s="401">
        <v>0.099</v>
      </c>
    </row>
    <row r="68" spans="1:7">
      <c r="A68" s="410" t="s">
        <v>275</v>
      </c>
      <c r="B68" s="399" t="s">
        <v>2714</v>
      </c>
      <c r="C68" s="400">
        <v>0.097</v>
      </c>
      <c r="D68" s="400">
        <v>0.068</v>
      </c>
      <c r="E68" s="400">
        <v>0.066</v>
      </c>
      <c r="F68" s="400">
        <v>0.1</v>
      </c>
      <c r="G68" s="401">
        <v>0.084</v>
      </c>
    </row>
    <row r="69" spans="1:7">
      <c r="A69" s="410" t="s">
        <v>275</v>
      </c>
      <c r="B69" s="399" t="s">
        <v>2715</v>
      </c>
      <c r="C69" s="400">
        <v>0.068</v>
      </c>
      <c r="D69" s="400">
        <v>0.098</v>
      </c>
      <c r="E69" s="400">
        <v>0.095</v>
      </c>
      <c r="F69" s="400">
        <v>0.1</v>
      </c>
      <c r="G69" s="401">
        <v>0.1</v>
      </c>
    </row>
    <row r="70" spans="1:7">
      <c r="A70" s="410" t="s">
        <v>275</v>
      </c>
      <c r="B70" s="399" t="s">
        <v>2716</v>
      </c>
      <c r="C70" s="400">
        <v>0.098</v>
      </c>
      <c r="D70" s="400">
        <v>0.089</v>
      </c>
      <c r="E70" s="400">
        <v>0.059</v>
      </c>
      <c r="F70" s="400">
        <v>0.1</v>
      </c>
      <c r="G70" s="401">
        <v>0.096</v>
      </c>
    </row>
    <row r="71" spans="1:7">
      <c r="A71" s="410" t="s">
        <v>275</v>
      </c>
      <c r="B71" s="399" t="s">
        <v>2717</v>
      </c>
      <c r="C71" s="400">
        <v>0.089</v>
      </c>
      <c r="D71" s="400">
        <v>0.099</v>
      </c>
      <c r="E71" s="400">
        <v>0.096</v>
      </c>
      <c r="F71" s="400">
        <v>0.1</v>
      </c>
      <c r="G71" s="401">
        <v>0.1</v>
      </c>
    </row>
    <row r="72" spans="1:7">
      <c r="A72" s="410" t="s">
        <v>275</v>
      </c>
      <c r="B72" s="399" t="s">
        <v>2718</v>
      </c>
      <c r="C72" s="400">
        <v>0.099</v>
      </c>
      <c r="D72" s="400">
        <v>0.1</v>
      </c>
      <c r="E72" s="400">
        <v>0.07</v>
      </c>
      <c r="F72" s="411"/>
      <c r="G72" s="401">
        <v>0.1</v>
      </c>
    </row>
    <row r="73" spans="1:7">
      <c r="A73" s="410" t="s">
        <v>275</v>
      </c>
      <c r="B73" s="399" t="s">
        <v>2719</v>
      </c>
      <c r="C73" s="400">
        <v>0.1</v>
      </c>
      <c r="D73" s="400">
        <v>0.1</v>
      </c>
      <c r="E73" s="400">
        <v>0.096</v>
      </c>
      <c r="F73" s="411"/>
      <c r="G73" s="401">
        <v>0.1</v>
      </c>
    </row>
    <row r="74" spans="1:7">
      <c r="A74" s="410" t="s">
        <v>275</v>
      </c>
      <c r="B74" s="399" t="s">
        <v>2720</v>
      </c>
      <c r="C74" s="400">
        <v>0.1</v>
      </c>
      <c r="D74" s="400">
        <v>0.1</v>
      </c>
      <c r="E74" s="400">
        <v>0.098</v>
      </c>
      <c r="F74" s="411"/>
      <c r="G74" s="401">
        <v>0.1</v>
      </c>
    </row>
    <row r="75" spans="1:7">
      <c r="A75" s="410" t="s">
        <v>275</v>
      </c>
      <c r="B75" s="399" t="s">
        <v>2721</v>
      </c>
      <c r="C75" s="400">
        <v>0.1</v>
      </c>
      <c r="D75" s="400">
        <v>0.099</v>
      </c>
      <c r="E75" s="400">
        <v>0.098</v>
      </c>
      <c r="F75" s="411"/>
      <c r="G75" s="401">
        <v>0.1</v>
      </c>
    </row>
    <row r="76" spans="1:7">
      <c r="A76" s="410" t="s">
        <v>275</v>
      </c>
      <c r="B76" s="399" t="s">
        <v>2722</v>
      </c>
      <c r="C76" s="400">
        <v>0.099</v>
      </c>
      <c r="D76" s="400">
        <v>0.1</v>
      </c>
      <c r="E76" s="400">
        <v>0.097</v>
      </c>
      <c r="F76" s="411"/>
      <c r="G76" s="401">
        <v>0.1</v>
      </c>
    </row>
    <row r="77" spans="1:7">
      <c r="A77" s="410" t="s">
        <v>275</v>
      </c>
      <c r="B77" s="399" t="s">
        <v>2723</v>
      </c>
      <c r="C77" s="400">
        <v>0.1</v>
      </c>
      <c r="D77" s="400">
        <v>0.1</v>
      </c>
      <c r="E77" s="400">
        <v>0.096</v>
      </c>
      <c r="F77" s="411"/>
      <c r="G77" s="401">
        <v>0.1</v>
      </c>
    </row>
    <row r="78" spans="1:7">
      <c r="A78" s="410" t="s">
        <v>275</v>
      </c>
      <c r="B78" s="399" t="s">
        <v>2724</v>
      </c>
      <c r="C78" s="400">
        <v>0.1</v>
      </c>
      <c r="D78" s="400">
        <v>0.085</v>
      </c>
      <c r="E78" s="400">
        <v>0.096</v>
      </c>
      <c r="F78" s="411"/>
      <c r="G78" s="401">
        <v>0.096</v>
      </c>
    </row>
    <row r="79" spans="1:7">
      <c r="A79" s="410" t="s">
        <v>275</v>
      </c>
      <c r="B79" s="399" t="s">
        <v>2725</v>
      </c>
      <c r="C79" s="400">
        <v>0.05</v>
      </c>
      <c r="D79" s="400">
        <v>0.096</v>
      </c>
      <c r="E79" s="400">
        <v>0.095</v>
      </c>
      <c r="F79" s="411"/>
      <c r="G79" s="401">
        <v>0.098</v>
      </c>
    </row>
    <row r="80" spans="1:7">
      <c r="A80" s="410" t="s">
        <v>275</v>
      </c>
      <c r="B80" s="399" t="s">
        <v>2726</v>
      </c>
      <c r="C80" s="400">
        <v>0.086</v>
      </c>
      <c r="D80" s="416"/>
      <c r="E80" s="400">
        <v>0.1</v>
      </c>
      <c r="F80" s="411"/>
      <c r="G80" s="412"/>
    </row>
    <row r="81" spans="1:7">
      <c r="A81" s="410" t="s">
        <v>275</v>
      </c>
      <c r="B81" s="399" t="s">
        <v>2727</v>
      </c>
      <c r="C81" s="400">
        <v>0.096</v>
      </c>
      <c r="D81" s="411"/>
      <c r="E81" s="400">
        <v>0.098</v>
      </c>
      <c r="F81" s="411"/>
      <c r="G81" s="412"/>
    </row>
    <row r="82" spans="1:7">
      <c r="A82" s="410" t="s">
        <v>275</v>
      </c>
      <c r="B82" s="399" t="s">
        <v>2728</v>
      </c>
      <c r="C82" s="416"/>
      <c r="D82" s="411"/>
      <c r="E82" s="400">
        <v>0.077</v>
      </c>
      <c r="F82" s="411"/>
      <c r="G82" s="412"/>
    </row>
    <row r="83" spans="1:7">
      <c r="A83" s="410" t="s">
        <v>275</v>
      </c>
      <c r="B83" s="399" t="s">
        <v>2729</v>
      </c>
      <c r="C83" s="411"/>
      <c r="D83" s="411"/>
      <c r="E83" s="411"/>
      <c r="F83" s="400">
        <v>0.1</v>
      </c>
      <c r="G83" s="417"/>
    </row>
    <row r="84" spans="1:7">
      <c r="A84" s="410" t="s">
        <v>275</v>
      </c>
      <c r="B84" s="399" t="s">
        <v>2730</v>
      </c>
      <c r="C84" s="411"/>
      <c r="D84" s="411"/>
      <c r="E84" s="411"/>
      <c r="F84" s="400">
        <v>0.1</v>
      </c>
      <c r="G84" s="417"/>
    </row>
    <row r="85" spans="1:7">
      <c r="A85" s="410" t="s">
        <v>275</v>
      </c>
      <c r="B85" s="399" t="s">
        <v>2731</v>
      </c>
      <c r="C85" s="411"/>
      <c r="D85" s="411"/>
      <c r="E85" s="411"/>
      <c r="F85" s="400">
        <v>0.1</v>
      </c>
      <c r="G85" s="417"/>
    </row>
    <row r="86" ht="14.25" spans="1:7">
      <c r="A86" s="413" t="s">
        <v>275</v>
      </c>
      <c r="B86" s="403" t="s">
        <v>2732</v>
      </c>
      <c r="C86" s="404">
        <v>0.098</v>
      </c>
      <c r="D86" s="404">
        <v>0.098</v>
      </c>
      <c r="E86" s="404">
        <v>0.096</v>
      </c>
      <c r="F86" s="414"/>
      <c r="G86" s="406">
        <v>0.1</v>
      </c>
    </row>
    <row r="87" spans="1:7">
      <c r="A87" s="409" t="s">
        <v>286</v>
      </c>
      <c r="B87" s="395" t="s">
        <v>2733</v>
      </c>
      <c r="C87" s="396">
        <v>0.1</v>
      </c>
      <c r="D87" s="396">
        <v>0.1</v>
      </c>
      <c r="E87" s="396">
        <v>0.098</v>
      </c>
      <c r="F87" s="396">
        <v>0.1</v>
      </c>
      <c r="G87" s="397">
        <v>0.1</v>
      </c>
    </row>
    <row r="88" spans="1:7">
      <c r="A88" s="410" t="s">
        <v>286</v>
      </c>
      <c r="B88" s="399" t="s">
        <v>2734</v>
      </c>
      <c r="C88" s="400">
        <v>0.091</v>
      </c>
      <c r="D88" s="400">
        <v>0.092</v>
      </c>
      <c r="E88" s="400">
        <v>0.1</v>
      </c>
      <c r="F88" s="400">
        <v>0.1</v>
      </c>
      <c r="G88" s="401">
        <v>0.096</v>
      </c>
    </row>
    <row r="89" spans="1:7">
      <c r="A89" s="410" t="s">
        <v>286</v>
      </c>
      <c r="B89" s="399" t="s">
        <v>2735</v>
      </c>
      <c r="C89" s="400">
        <v>0.1</v>
      </c>
      <c r="D89" s="400">
        <v>0.1</v>
      </c>
      <c r="E89" s="400">
        <v>0.067</v>
      </c>
      <c r="F89" s="400">
        <v>0.093</v>
      </c>
      <c r="G89" s="401">
        <v>0.1</v>
      </c>
    </row>
    <row r="90" spans="1:7">
      <c r="A90" s="410" t="s">
        <v>286</v>
      </c>
      <c r="B90" s="399" t="s">
        <v>2736</v>
      </c>
      <c r="C90" s="400">
        <v>0.096</v>
      </c>
      <c r="D90" s="400">
        <v>0.096</v>
      </c>
      <c r="E90" s="400">
        <v>0.1</v>
      </c>
      <c r="F90" s="400">
        <v>0.1</v>
      </c>
      <c r="G90" s="401">
        <v>0.098</v>
      </c>
    </row>
    <row r="91" spans="1:7">
      <c r="A91" s="410" t="s">
        <v>286</v>
      </c>
      <c r="B91" s="399" t="s">
        <v>2737</v>
      </c>
      <c r="C91" s="400">
        <v>0.077</v>
      </c>
      <c r="D91" s="400">
        <v>0.077</v>
      </c>
      <c r="E91" s="400">
        <v>0.096</v>
      </c>
      <c r="F91" s="400">
        <v>0.1</v>
      </c>
      <c r="G91" s="401">
        <v>0.077</v>
      </c>
    </row>
    <row r="92" spans="1:7">
      <c r="A92" s="410" t="s">
        <v>286</v>
      </c>
      <c r="B92" s="399" t="s">
        <v>2738</v>
      </c>
      <c r="C92" s="400">
        <v>0.1</v>
      </c>
      <c r="D92" s="400">
        <v>0.1</v>
      </c>
      <c r="E92" s="400">
        <v>0.092</v>
      </c>
      <c r="F92" s="400">
        <v>0.1</v>
      </c>
      <c r="G92" s="401">
        <v>0.1</v>
      </c>
    </row>
    <row r="93" spans="1:7">
      <c r="A93" s="410" t="s">
        <v>286</v>
      </c>
      <c r="B93" s="399" t="s">
        <v>2739</v>
      </c>
      <c r="C93" s="400">
        <v>0.098</v>
      </c>
      <c r="D93" s="400">
        <v>0.098</v>
      </c>
      <c r="E93" s="400">
        <v>0.096</v>
      </c>
      <c r="F93" s="400">
        <v>0.1</v>
      </c>
      <c r="G93" s="401">
        <v>0.099</v>
      </c>
    </row>
    <row r="94" spans="1:7">
      <c r="A94" s="410" t="s">
        <v>286</v>
      </c>
      <c r="B94" s="399" t="s">
        <v>2740</v>
      </c>
      <c r="C94" s="400">
        <v>0.088</v>
      </c>
      <c r="D94" s="400">
        <v>0.088</v>
      </c>
      <c r="E94" s="400">
        <v>0.096</v>
      </c>
      <c r="F94" s="400">
        <v>0.1</v>
      </c>
      <c r="G94" s="401">
        <v>0.088</v>
      </c>
    </row>
    <row r="95" spans="1:7">
      <c r="A95" s="410" t="s">
        <v>286</v>
      </c>
      <c r="B95" s="399" t="s">
        <v>2741</v>
      </c>
      <c r="C95" s="400">
        <v>0.096</v>
      </c>
      <c r="D95" s="400">
        <v>0.096</v>
      </c>
      <c r="E95" s="400">
        <v>0.1</v>
      </c>
      <c r="F95" s="400">
        <v>0.1</v>
      </c>
      <c r="G95" s="401">
        <v>0.098</v>
      </c>
    </row>
    <row r="96" spans="1:7">
      <c r="A96" s="410" t="s">
        <v>286</v>
      </c>
      <c r="B96" s="399" t="s">
        <v>2742</v>
      </c>
      <c r="C96" s="400">
        <v>0.097</v>
      </c>
      <c r="D96" s="400">
        <v>0.097</v>
      </c>
      <c r="E96" s="400">
        <v>0.1</v>
      </c>
      <c r="F96" s="400">
        <v>0.1</v>
      </c>
      <c r="G96" s="401">
        <v>0.098</v>
      </c>
    </row>
    <row r="97" spans="1:7">
      <c r="A97" s="410" t="s">
        <v>286</v>
      </c>
      <c r="B97" s="399" t="s">
        <v>2743</v>
      </c>
      <c r="C97" s="400">
        <v>0.096</v>
      </c>
      <c r="D97" s="400">
        <v>0.096</v>
      </c>
      <c r="E97" s="400">
        <v>0.099</v>
      </c>
      <c r="F97" s="400">
        <v>0.1</v>
      </c>
      <c r="G97" s="401">
        <v>0.098</v>
      </c>
    </row>
    <row r="98" spans="1:7">
      <c r="A98" s="410" t="s">
        <v>286</v>
      </c>
      <c r="B98" s="399" t="s">
        <v>2744</v>
      </c>
      <c r="C98" s="400">
        <v>0.098</v>
      </c>
      <c r="D98" s="400">
        <v>0.098</v>
      </c>
      <c r="E98" s="400">
        <v>0.1</v>
      </c>
      <c r="F98" s="400">
        <v>0.1</v>
      </c>
      <c r="G98" s="401">
        <v>0.099</v>
      </c>
    </row>
    <row r="99" spans="1:7">
      <c r="A99" s="410" t="s">
        <v>286</v>
      </c>
      <c r="B99" s="399" t="s">
        <v>2745</v>
      </c>
      <c r="C99" s="400">
        <v>0.096</v>
      </c>
      <c r="D99" s="400">
        <v>0.096</v>
      </c>
      <c r="E99" s="400">
        <v>0.1</v>
      </c>
      <c r="F99" s="400">
        <v>0.1</v>
      </c>
      <c r="G99" s="401">
        <v>0.097</v>
      </c>
    </row>
    <row r="100" spans="1:7">
      <c r="A100" s="410" t="s">
        <v>286</v>
      </c>
      <c r="B100" s="399" t="s">
        <v>2746</v>
      </c>
      <c r="C100" s="400">
        <v>0.1</v>
      </c>
      <c r="D100" s="400">
        <v>0.1</v>
      </c>
      <c r="E100" s="400">
        <v>0.097</v>
      </c>
      <c r="F100" s="400">
        <v>0.098</v>
      </c>
      <c r="G100" s="401">
        <v>0.1</v>
      </c>
    </row>
    <row r="101" spans="1:7">
      <c r="A101" s="410" t="s">
        <v>286</v>
      </c>
      <c r="B101" s="399" t="s">
        <v>2747</v>
      </c>
      <c r="C101" s="400">
        <v>0.1</v>
      </c>
      <c r="D101" s="400">
        <v>0.1</v>
      </c>
      <c r="E101" s="400">
        <v>0.095</v>
      </c>
      <c r="F101" s="400">
        <v>0.1</v>
      </c>
      <c r="G101" s="401">
        <v>0.1</v>
      </c>
    </row>
    <row r="102" spans="1:7">
      <c r="A102" s="410" t="s">
        <v>286</v>
      </c>
      <c r="B102" s="399" t="s">
        <v>2748</v>
      </c>
      <c r="C102" s="400">
        <v>0.1</v>
      </c>
      <c r="D102" s="400">
        <v>0.1</v>
      </c>
      <c r="E102" s="400">
        <v>0.099</v>
      </c>
      <c r="F102" s="400">
        <v>0.097</v>
      </c>
      <c r="G102" s="401">
        <v>0.1</v>
      </c>
    </row>
    <row r="103" spans="1:7">
      <c r="A103" s="410" t="s">
        <v>286</v>
      </c>
      <c r="B103" s="399" t="s">
        <v>2749</v>
      </c>
      <c r="C103" s="400">
        <v>0.1</v>
      </c>
      <c r="D103" s="400">
        <v>0.1</v>
      </c>
      <c r="E103" s="400">
        <v>0.098</v>
      </c>
      <c r="F103" s="400">
        <v>0.1</v>
      </c>
      <c r="G103" s="401">
        <v>0.1</v>
      </c>
    </row>
    <row r="104" spans="1:7">
      <c r="A104" s="410" t="s">
        <v>286</v>
      </c>
      <c r="B104" s="399" t="s">
        <v>2750</v>
      </c>
      <c r="C104" s="400">
        <v>0.1</v>
      </c>
      <c r="D104" s="400">
        <v>0.1</v>
      </c>
      <c r="E104" s="400">
        <v>0.098</v>
      </c>
      <c r="F104" s="400">
        <v>0.1</v>
      </c>
      <c r="G104" s="401">
        <v>0.1</v>
      </c>
    </row>
    <row r="105" spans="1:7">
      <c r="A105" s="410" t="s">
        <v>286</v>
      </c>
      <c r="B105" s="399" t="s">
        <v>2751</v>
      </c>
      <c r="C105" s="400">
        <v>0.098</v>
      </c>
      <c r="D105" s="400">
        <v>0.098</v>
      </c>
      <c r="E105" s="400">
        <v>0.098</v>
      </c>
      <c r="F105" s="400">
        <v>0.1</v>
      </c>
      <c r="G105" s="401">
        <v>0.099</v>
      </c>
    </row>
    <row r="106" spans="1:7">
      <c r="A106" s="410" t="s">
        <v>286</v>
      </c>
      <c r="B106" s="399" t="s">
        <v>2752</v>
      </c>
      <c r="C106" s="400">
        <v>0.097</v>
      </c>
      <c r="D106" s="400">
        <v>0.097</v>
      </c>
      <c r="E106" s="400">
        <v>0.097</v>
      </c>
      <c r="F106" s="400">
        <v>0.1</v>
      </c>
      <c r="G106" s="401">
        <v>0.099</v>
      </c>
    </row>
    <row r="107" spans="1:7">
      <c r="A107" s="410" t="s">
        <v>286</v>
      </c>
      <c r="B107" s="399" t="s">
        <v>2753</v>
      </c>
      <c r="C107" s="400">
        <v>0.1</v>
      </c>
      <c r="D107" s="400">
        <v>0.1</v>
      </c>
      <c r="E107" s="400">
        <v>0.086</v>
      </c>
      <c r="F107" s="400">
        <v>0.09</v>
      </c>
      <c r="G107" s="401">
        <v>0.1</v>
      </c>
    </row>
    <row r="108" spans="1:7">
      <c r="A108" s="410" t="s">
        <v>286</v>
      </c>
      <c r="B108" s="399" t="s">
        <v>2754</v>
      </c>
      <c r="C108" s="400">
        <v>0.1</v>
      </c>
      <c r="D108" s="400">
        <v>0.1</v>
      </c>
      <c r="E108" s="400">
        <v>0.096</v>
      </c>
      <c r="F108" s="411"/>
      <c r="G108" s="401">
        <v>0.1</v>
      </c>
    </row>
    <row r="109" spans="1:7">
      <c r="A109" s="410" t="s">
        <v>286</v>
      </c>
      <c r="B109" s="399" t="s">
        <v>2755</v>
      </c>
      <c r="C109" s="400">
        <v>0.1</v>
      </c>
      <c r="D109" s="400">
        <v>0.1</v>
      </c>
      <c r="E109" s="400">
        <v>0.1</v>
      </c>
      <c r="F109" s="411"/>
      <c r="G109" s="401">
        <v>0.1</v>
      </c>
    </row>
    <row r="110" spans="1:7">
      <c r="A110" s="410" t="s">
        <v>286</v>
      </c>
      <c r="B110" s="399" t="s">
        <v>2756</v>
      </c>
      <c r="C110" s="400">
        <v>0.1</v>
      </c>
      <c r="D110" s="400">
        <v>0.1</v>
      </c>
      <c r="E110" s="400">
        <v>0.1</v>
      </c>
      <c r="F110" s="411"/>
      <c r="G110" s="401">
        <v>0.1</v>
      </c>
    </row>
    <row r="111" spans="1:7">
      <c r="A111" s="410" t="s">
        <v>286</v>
      </c>
      <c r="B111" s="399" t="s">
        <v>2757</v>
      </c>
      <c r="C111" s="400">
        <v>0.1</v>
      </c>
      <c r="D111" s="400">
        <v>0.1</v>
      </c>
      <c r="E111" s="400">
        <v>0.095</v>
      </c>
      <c r="F111" s="411"/>
      <c r="G111" s="401">
        <v>0.1</v>
      </c>
    </row>
    <row r="112" spans="1:7">
      <c r="A112" s="410" t="s">
        <v>286</v>
      </c>
      <c r="B112" s="399" t="s">
        <v>2758</v>
      </c>
      <c r="C112" s="400">
        <v>0.097</v>
      </c>
      <c r="D112" s="400">
        <v>0.097</v>
      </c>
      <c r="E112" s="400">
        <v>0.05</v>
      </c>
      <c r="F112" s="411"/>
      <c r="G112" s="401">
        <v>0.098</v>
      </c>
    </row>
    <row r="113" spans="1:7">
      <c r="A113" s="410" t="s">
        <v>286</v>
      </c>
      <c r="B113" s="399" t="s">
        <v>2759</v>
      </c>
      <c r="C113" s="400">
        <v>0.1</v>
      </c>
      <c r="D113" s="400">
        <v>0.1</v>
      </c>
      <c r="E113" s="411"/>
      <c r="F113" s="411"/>
      <c r="G113" s="401">
        <v>0.1</v>
      </c>
    </row>
    <row r="114" spans="1:7">
      <c r="A114" s="410" t="s">
        <v>286</v>
      </c>
      <c r="B114" s="399" t="s">
        <v>2760</v>
      </c>
      <c r="C114" s="400">
        <v>0.097</v>
      </c>
      <c r="D114" s="400">
        <v>0.097</v>
      </c>
      <c r="E114" s="411"/>
      <c r="F114" s="411"/>
      <c r="G114" s="401">
        <v>0.099</v>
      </c>
    </row>
    <row r="115" spans="1:7">
      <c r="A115" s="410" t="s">
        <v>286</v>
      </c>
      <c r="B115" s="399" t="s">
        <v>2761</v>
      </c>
      <c r="C115" s="400">
        <v>0.1</v>
      </c>
      <c r="D115" s="400">
        <v>0.1</v>
      </c>
      <c r="E115" s="411"/>
      <c r="F115" s="411"/>
      <c r="G115" s="401">
        <v>0.1</v>
      </c>
    </row>
    <row r="116" spans="1:7">
      <c r="A116" s="410" t="s">
        <v>286</v>
      </c>
      <c r="B116" s="399" t="s">
        <v>2762</v>
      </c>
      <c r="C116" s="400">
        <v>0.1</v>
      </c>
      <c r="D116" s="400">
        <v>0.1</v>
      </c>
      <c r="E116" s="411"/>
      <c r="F116" s="411"/>
      <c r="G116" s="401">
        <v>0.1</v>
      </c>
    </row>
    <row r="117" spans="1:7">
      <c r="A117" s="410" t="s">
        <v>286</v>
      </c>
      <c r="B117" s="399" t="s">
        <v>2763</v>
      </c>
      <c r="C117" s="400">
        <v>0.097</v>
      </c>
      <c r="D117" s="400">
        <v>0.097</v>
      </c>
      <c r="E117" s="411"/>
      <c r="F117" s="411"/>
      <c r="G117" s="401">
        <v>0.097</v>
      </c>
    </row>
    <row r="118" spans="1:7">
      <c r="A118" s="410" t="s">
        <v>286</v>
      </c>
      <c r="B118" s="399" t="s">
        <v>2764</v>
      </c>
      <c r="C118" s="400">
        <v>0.1</v>
      </c>
      <c r="D118" s="400">
        <v>0.1</v>
      </c>
      <c r="E118" s="411"/>
      <c r="F118" s="411"/>
      <c r="G118" s="401">
        <v>0.1</v>
      </c>
    </row>
    <row r="119" spans="1:7">
      <c r="A119" s="410" t="s">
        <v>286</v>
      </c>
      <c r="B119" s="399" t="s">
        <v>2765</v>
      </c>
      <c r="C119" s="400">
        <v>0.051</v>
      </c>
      <c r="D119" s="400">
        <v>0.052</v>
      </c>
      <c r="E119" s="411"/>
      <c r="F119" s="416"/>
      <c r="G119" s="401">
        <v>0.06</v>
      </c>
    </row>
    <row r="120" spans="1:7">
      <c r="A120" s="410" t="s">
        <v>286</v>
      </c>
      <c r="B120" s="399" t="s">
        <v>2766</v>
      </c>
      <c r="C120" s="411"/>
      <c r="D120" s="411"/>
      <c r="E120" s="411"/>
      <c r="F120" s="400">
        <v>0.1</v>
      </c>
      <c r="G120" s="417"/>
    </row>
    <row r="121" spans="1:7">
      <c r="A121" s="410" t="s">
        <v>286</v>
      </c>
      <c r="B121" s="399" t="s">
        <v>2767</v>
      </c>
      <c r="C121" s="411"/>
      <c r="D121" s="411"/>
      <c r="E121" s="411"/>
      <c r="F121" s="400">
        <v>0.1</v>
      </c>
      <c r="G121" s="417"/>
    </row>
    <row r="122" spans="1:7">
      <c r="A122" s="410" t="s">
        <v>286</v>
      </c>
      <c r="B122" s="399" t="s">
        <v>2768</v>
      </c>
      <c r="C122" s="400">
        <v>0.1</v>
      </c>
      <c r="D122" s="400">
        <v>0.1</v>
      </c>
      <c r="E122" s="400">
        <v>0.098</v>
      </c>
      <c r="F122" s="400">
        <v>0.1</v>
      </c>
      <c r="G122" s="401">
        <v>0.1</v>
      </c>
    </row>
    <row r="123" spans="1:7">
      <c r="A123" s="410" t="s">
        <v>286</v>
      </c>
      <c r="B123" s="399" t="s">
        <v>2769</v>
      </c>
      <c r="C123" s="400">
        <v>0.1</v>
      </c>
      <c r="D123" s="400">
        <v>0.1</v>
      </c>
      <c r="E123" s="400">
        <v>0.098</v>
      </c>
      <c r="F123" s="400">
        <v>0.1</v>
      </c>
      <c r="G123" s="401">
        <v>0.1</v>
      </c>
    </row>
    <row r="124" spans="1:7">
      <c r="A124" s="410" t="s">
        <v>286</v>
      </c>
      <c r="B124" s="399" t="s">
        <v>2770</v>
      </c>
      <c r="C124" s="400">
        <v>0.1</v>
      </c>
      <c r="D124" s="400">
        <v>0.1</v>
      </c>
      <c r="E124" s="400">
        <v>0.098</v>
      </c>
      <c r="F124" s="416"/>
      <c r="G124" s="401">
        <v>0.1</v>
      </c>
    </row>
    <row r="125" spans="1:7">
      <c r="A125" s="410" t="s">
        <v>286</v>
      </c>
      <c r="B125" s="399" t="s">
        <v>2771</v>
      </c>
      <c r="C125" s="400">
        <v>0.098</v>
      </c>
      <c r="D125" s="400">
        <v>0.098</v>
      </c>
      <c r="E125" s="400">
        <v>0.096</v>
      </c>
      <c r="F125" s="416"/>
      <c r="G125" s="401">
        <v>0.1</v>
      </c>
    </row>
    <row r="126" ht="14.25" spans="1:7">
      <c r="A126" s="413" t="s">
        <v>286</v>
      </c>
      <c r="B126" s="403" t="s">
        <v>2772</v>
      </c>
      <c r="C126" s="404">
        <v>0.1</v>
      </c>
      <c r="D126" s="404">
        <v>0.1</v>
      </c>
      <c r="E126" s="404">
        <v>0.098</v>
      </c>
      <c r="F126" s="404">
        <v>0.1</v>
      </c>
      <c r="G126" s="406">
        <v>0.1</v>
      </c>
    </row>
    <row r="127" spans="1:7">
      <c r="A127" s="409" t="s">
        <v>295</v>
      </c>
      <c r="B127" s="395" t="s">
        <v>2773</v>
      </c>
      <c r="C127" s="396">
        <v>0.121</v>
      </c>
      <c r="D127" s="396">
        <v>0.121</v>
      </c>
      <c r="E127" s="396">
        <v>0.107</v>
      </c>
      <c r="F127" s="396">
        <v>0.13</v>
      </c>
      <c r="G127" s="397">
        <v>0.122</v>
      </c>
    </row>
    <row r="128" spans="1:7">
      <c r="A128" s="410" t="s">
        <v>295</v>
      </c>
      <c r="B128" s="399" t="s">
        <v>2774</v>
      </c>
      <c r="C128" s="400">
        <v>0.116</v>
      </c>
      <c r="D128" s="400">
        <v>0.117</v>
      </c>
      <c r="E128" s="400">
        <v>0.104</v>
      </c>
      <c r="F128" s="400">
        <v>0.13</v>
      </c>
      <c r="G128" s="401">
        <v>0.117</v>
      </c>
    </row>
    <row r="129" spans="1:7">
      <c r="A129" s="410" t="s">
        <v>295</v>
      </c>
      <c r="B129" s="399" t="s">
        <v>2775</v>
      </c>
      <c r="C129" s="400">
        <v>0.107</v>
      </c>
      <c r="D129" s="400">
        <v>0.108</v>
      </c>
      <c r="E129" s="400">
        <v>0.1</v>
      </c>
      <c r="F129" s="400">
        <v>0.13</v>
      </c>
      <c r="G129" s="401">
        <v>0.117</v>
      </c>
    </row>
    <row r="130" spans="1:7">
      <c r="A130" s="410" t="s">
        <v>295</v>
      </c>
      <c r="B130" s="399" t="s">
        <v>2776</v>
      </c>
      <c r="C130" s="400">
        <v>0.13</v>
      </c>
      <c r="D130" s="400">
        <v>0.13</v>
      </c>
      <c r="E130" s="400">
        <v>0.126</v>
      </c>
      <c r="F130" s="400">
        <v>0.13</v>
      </c>
      <c r="G130" s="401">
        <v>0.13</v>
      </c>
    </row>
    <row r="131" spans="1:7">
      <c r="A131" s="410" t="s">
        <v>295</v>
      </c>
      <c r="B131" s="399" t="s">
        <v>2777</v>
      </c>
      <c r="C131" s="400">
        <v>0.13</v>
      </c>
      <c r="D131" s="400">
        <v>0.13</v>
      </c>
      <c r="E131" s="400">
        <v>0.13</v>
      </c>
      <c r="F131" s="400">
        <v>0.13</v>
      </c>
      <c r="G131" s="401">
        <v>0.13</v>
      </c>
    </row>
    <row r="132" spans="1:7">
      <c r="A132" s="410" t="s">
        <v>295</v>
      </c>
      <c r="B132" s="399" t="s">
        <v>2778</v>
      </c>
      <c r="C132" s="400">
        <v>0.13</v>
      </c>
      <c r="D132" s="400">
        <v>0.13</v>
      </c>
      <c r="E132" s="400">
        <v>0.126</v>
      </c>
      <c r="F132" s="400">
        <v>0.13</v>
      </c>
      <c r="G132" s="401">
        <v>0.13</v>
      </c>
    </row>
    <row r="133" spans="1:7">
      <c r="A133" s="410" t="s">
        <v>295</v>
      </c>
      <c r="B133" s="399" t="s">
        <v>2779</v>
      </c>
      <c r="C133" s="400">
        <v>0.111</v>
      </c>
      <c r="D133" s="400">
        <v>0.111</v>
      </c>
      <c r="E133" s="400">
        <v>0.102</v>
      </c>
      <c r="F133" s="400">
        <v>0.13</v>
      </c>
      <c r="G133" s="401">
        <v>0.121</v>
      </c>
    </row>
    <row r="134" spans="1:7">
      <c r="A134" s="410" t="s">
        <v>295</v>
      </c>
      <c r="B134" s="399" t="s">
        <v>2780</v>
      </c>
      <c r="C134" s="400">
        <v>0.121</v>
      </c>
      <c r="D134" s="400">
        <v>0.121</v>
      </c>
      <c r="E134" s="400">
        <v>0.1</v>
      </c>
      <c r="F134" s="400">
        <v>0.13</v>
      </c>
      <c r="G134" s="401">
        <v>0.123</v>
      </c>
    </row>
    <row r="135" spans="1:7">
      <c r="A135" s="410" t="s">
        <v>295</v>
      </c>
      <c r="B135" s="399" t="s">
        <v>2781</v>
      </c>
      <c r="C135" s="400">
        <v>0.105</v>
      </c>
      <c r="D135" s="400">
        <v>0.106</v>
      </c>
      <c r="E135" s="400">
        <v>0.1</v>
      </c>
      <c r="F135" s="400">
        <v>0.13</v>
      </c>
      <c r="G135" s="401">
        <v>0.115</v>
      </c>
    </row>
    <row r="136" spans="1:7">
      <c r="A136" s="410" t="s">
        <v>295</v>
      </c>
      <c r="B136" s="399" t="s">
        <v>2782</v>
      </c>
      <c r="C136" s="400">
        <v>0.127</v>
      </c>
      <c r="D136" s="400">
        <v>0.127</v>
      </c>
      <c r="E136" s="400">
        <v>0.121</v>
      </c>
      <c r="F136" s="400">
        <v>0.123</v>
      </c>
      <c r="G136" s="401">
        <v>0.129</v>
      </c>
    </row>
    <row r="137" spans="1:7">
      <c r="A137" s="410" t="s">
        <v>295</v>
      </c>
      <c r="B137" s="399" t="s">
        <v>2783</v>
      </c>
      <c r="C137" s="400">
        <v>0.13</v>
      </c>
      <c r="D137" s="400">
        <v>0.13</v>
      </c>
      <c r="E137" s="400">
        <v>0.129</v>
      </c>
      <c r="F137" s="400">
        <v>0.13</v>
      </c>
      <c r="G137" s="401">
        <v>0.13</v>
      </c>
    </row>
    <row r="138" spans="1:7">
      <c r="A138" s="410" t="s">
        <v>295</v>
      </c>
      <c r="B138" s="399" t="s">
        <v>2784</v>
      </c>
      <c r="C138" s="400">
        <v>0.13</v>
      </c>
      <c r="D138" s="400">
        <v>0.13</v>
      </c>
      <c r="E138" s="400">
        <v>0.125</v>
      </c>
      <c r="F138" s="400">
        <v>0.13</v>
      </c>
      <c r="G138" s="401">
        <v>0.13</v>
      </c>
    </row>
    <row r="139" spans="1:7">
      <c r="A139" s="410" t="s">
        <v>295</v>
      </c>
      <c r="B139" s="399" t="s">
        <v>2785</v>
      </c>
      <c r="C139" s="400">
        <v>0.13</v>
      </c>
      <c r="D139" s="400">
        <v>0.13</v>
      </c>
      <c r="E139" s="400">
        <v>0.126</v>
      </c>
      <c r="F139" s="400">
        <v>0.13</v>
      </c>
      <c r="G139" s="401">
        <v>0.13</v>
      </c>
    </row>
    <row r="140" spans="1:7">
      <c r="A140" s="410" t="s">
        <v>295</v>
      </c>
      <c r="B140" s="399" t="s">
        <v>2786</v>
      </c>
      <c r="C140" s="400">
        <v>0.1</v>
      </c>
      <c r="D140" s="400">
        <v>0.1</v>
      </c>
      <c r="E140" s="400">
        <v>0.1</v>
      </c>
      <c r="F140" s="400">
        <v>0.123</v>
      </c>
      <c r="G140" s="401">
        <v>0.107</v>
      </c>
    </row>
    <row r="141" spans="1:7">
      <c r="A141" s="410" t="s">
        <v>295</v>
      </c>
      <c r="B141" s="399" t="s">
        <v>2787</v>
      </c>
      <c r="C141" s="400">
        <v>0.127</v>
      </c>
      <c r="D141" s="400">
        <v>0.127</v>
      </c>
      <c r="E141" s="400">
        <v>0.122</v>
      </c>
      <c r="F141" s="400">
        <v>0.1</v>
      </c>
      <c r="G141" s="401">
        <v>0.129</v>
      </c>
    </row>
    <row r="142" spans="1:7">
      <c r="A142" s="410" t="s">
        <v>295</v>
      </c>
      <c r="B142" s="399" t="s">
        <v>2788</v>
      </c>
      <c r="C142" s="400">
        <v>0.121</v>
      </c>
      <c r="D142" s="400">
        <v>0.122</v>
      </c>
      <c r="E142" s="400">
        <v>0.1</v>
      </c>
      <c r="F142" s="400">
        <v>0.123</v>
      </c>
      <c r="G142" s="401">
        <v>0.123</v>
      </c>
    </row>
    <row r="143" spans="1:7">
      <c r="A143" s="410" t="s">
        <v>295</v>
      </c>
      <c r="B143" s="399" t="s">
        <v>2789</v>
      </c>
      <c r="C143" s="400">
        <v>0.1</v>
      </c>
      <c r="D143" s="400">
        <v>0.1</v>
      </c>
      <c r="E143" s="400">
        <v>0.1</v>
      </c>
      <c r="F143" s="400">
        <v>0.13</v>
      </c>
      <c r="G143" s="401">
        <v>0.1</v>
      </c>
    </row>
    <row r="144" spans="1:7">
      <c r="A144" s="410" t="s">
        <v>295</v>
      </c>
      <c r="B144" s="399" t="s">
        <v>2790</v>
      </c>
      <c r="C144" s="400">
        <v>0.106</v>
      </c>
      <c r="D144" s="400">
        <v>0.105</v>
      </c>
      <c r="E144" s="400">
        <v>0.1</v>
      </c>
      <c r="F144" s="400">
        <v>0.13</v>
      </c>
      <c r="G144" s="401">
        <v>0.118</v>
      </c>
    </row>
    <row r="145" spans="1:7">
      <c r="A145" s="410" t="s">
        <v>295</v>
      </c>
      <c r="B145" s="399" t="s">
        <v>2791</v>
      </c>
      <c r="C145" s="400">
        <v>0.123</v>
      </c>
      <c r="D145" s="400">
        <v>0.123</v>
      </c>
      <c r="E145" s="400">
        <v>0.117</v>
      </c>
      <c r="F145" s="400">
        <v>0.13</v>
      </c>
      <c r="G145" s="401">
        <v>0.126</v>
      </c>
    </row>
    <row r="146" spans="1:7">
      <c r="A146" s="410" t="s">
        <v>295</v>
      </c>
      <c r="B146" s="399" t="s">
        <v>2792</v>
      </c>
      <c r="C146" s="400">
        <v>0.127</v>
      </c>
      <c r="D146" s="400">
        <v>0.127</v>
      </c>
      <c r="E146" s="400">
        <v>0.12</v>
      </c>
      <c r="F146" s="411"/>
      <c r="G146" s="401">
        <v>0.129</v>
      </c>
    </row>
    <row r="147" spans="1:7">
      <c r="A147" s="410" t="s">
        <v>295</v>
      </c>
      <c r="B147" s="399" t="s">
        <v>2793</v>
      </c>
      <c r="C147" s="400">
        <v>0.13</v>
      </c>
      <c r="D147" s="400">
        <v>0.13</v>
      </c>
      <c r="E147" s="400">
        <v>0.126</v>
      </c>
      <c r="F147" s="411"/>
      <c r="G147" s="401">
        <v>0.13</v>
      </c>
    </row>
    <row r="148" spans="1:7">
      <c r="A148" s="410" t="s">
        <v>295</v>
      </c>
      <c r="B148" s="399" t="s">
        <v>2794</v>
      </c>
      <c r="C148" s="400">
        <v>0.13</v>
      </c>
      <c r="D148" s="400">
        <v>0.13</v>
      </c>
      <c r="E148" s="400">
        <v>0.13</v>
      </c>
      <c r="F148" s="411"/>
      <c r="G148" s="401">
        <v>0.13</v>
      </c>
    </row>
    <row r="149" spans="1:7">
      <c r="A149" s="410" t="s">
        <v>295</v>
      </c>
      <c r="B149" s="399" t="s">
        <v>2795</v>
      </c>
      <c r="C149" s="400">
        <v>0.13</v>
      </c>
      <c r="D149" s="400">
        <v>0.13</v>
      </c>
      <c r="E149" s="400">
        <v>0.13</v>
      </c>
      <c r="F149" s="400">
        <v>0.13</v>
      </c>
      <c r="G149" s="401">
        <v>0.13</v>
      </c>
    </row>
    <row r="150" spans="1:7">
      <c r="A150" s="410" t="s">
        <v>295</v>
      </c>
      <c r="B150" s="399" t="s">
        <v>2796</v>
      </c>
      <c r="C150" s="400">
        <v>0.13</v>
      </c>
      <c r="D150" s="400">
        <v>0.13</v>
      </c>
      <c r="E150" s="400">
        <v>0.127</v>
      </c>
      <c r="F150" s="400">
        <v>0.13</v>
      </c>
      <c r="G150" s="401">
        <v>0.13</v>
      </c>
    </row>
    <row r="151" spans="1:7">
      <c r="A151" s="410" t="s">
        <v>295</v>
      </c>
      <c r="B151" s="399" t="s">
        <v>2797</v>
      </c>
      <c r="C151" s="400">
        <v>0.13</v>
      </c>
      <c r="D151" s="400">
        <v>0.13</v>
      </c>
      <c r="E151" s="400">
        <v>0.13</v>
      </c>
      <c r="F151" s="400">
        <v>0.13</v>
      </c>
      <c r="G151" s="401">
        <v>0.13</v>
      </c>
    </row>
    <row r="152" spans="1:7">
      <c r="A152" s="410" t="s">
        <v>295</v>
      </c>
      <c r="B152" s="399" t="s">
        <v>2798</v>
      </c>
      <c r="C152" s="400">
        <v>0.13</v>
      </c>
      <c r="D152" s="400">
        <v>0.13</v>
      </c>
      <c r="E152" s="400">
        <v>0.13</v>
      </c>
      <c r="F152" s="400">
        <v>0.13</v>
      </c>
      <c r="G152" s="401">
        <v>0.13</v>
      </c>
    </row>
    <row r="153" spans="1:7">
      <c r="A153" s="410" t="s">
        <v>295</v>
      </c>
      <c r="B153" s="399" t="s">
        <v>2799</v>
      </c>
      <c r="C153" s="400">
        <v>0.13</v>
      </c>
      <c r="D153" s="400">
        <v>0.13</v>
      </c>
      <c r="E153" s="400">
        <v>0.13</v>
      </c>
      <c r="F153" s="400">
        <v>0.13</v>
      </c>
      <c r="G153" s="401">
        <v>0.13</v>
      </c>
    </row>
    <row r="154" spans="1:7">
      <c r="A154" s="410" t="s">
        <v>295</v>
      </c>
      <c r="B154" s="399" t="s">
        <v>2800</v>
      </c>
      <c r="C154" s="400">
        <v>0.121</v>
      </c>
      <c r="D154" s="400">
        <v>0.121</v>
      </c>
      <c r="E154" s="400">
        <v>0.105</v>
      </c>
      <c r="F154" s="400">
        <v>0.121</v>
      </c>
      <c r="G154" s="401">
        <v>0.123</v>
      </c>
    </row>
    <row r="155" spans="1:7">
      <c r="A155" s="410" t="s">
        <v>295</v>
      </c>
      <c r="B155" s="399" t="s">
        <v>2801</v>
      </c>
      <c r="C155" s="400">
        <v>0.1</v>
      </c>
      <c r="D155" s="400">
        <v>0.1</v>
      </c>
      <c r="E155" s="400">
        <v>0.1</v>
      </c>
      <c r="F155" s="400">
        <v>0.1</v>
      </c>
      <c r="G155" s="401">
        <v>0.1</v>
      </c>
    </row>
    <row r="156" spans="1:7">
      <c r="A156" s="410" t="s">
        <v>295</v>
      </c>
      <c r="B156" s="399" t="s">
        <v>2802</v>
      </c>
      <c r="C156" s="400">
        <v>0.13</v>
      </c>
      <c r="D156" s="400">
        <v>0.13</v>
      </c>
      <c r="E156" s="400">
        <v>0.13</v>
      </c>
      <c r="F156" s="400">
        <v>0.13</v>
      </c>
      <c r="G156" s="401">
        <v>0.13</v>
      </c>
    </row>
    <row r="157" spans="1:7">
      <c r="A157" s="410" t="s">
        <v>295</v>
      </c>
      <c r="B157" s="399" t="s">
        <v>2803</v>
      </c>
      <c r="C157" s="400">
        <v>0.13</v>
      </c>
      <c r="D157" s="400">
        <v>0.13</v>
      </c>
      <c r="E157" s="400">
        <v>0.125</v>
      </c>
      <c r="F157" s="400">
        <v>0.13</v>
      </c>
      <c r="G157" s="401">
        <v>0.13</v>
      </c>
    </row>
    <row r="158" spans="1:7">
      <c r="A158" s="410" t="s">
        <v>295</v>
      </c>
      <c r="B158" s="399" t="s">
        <v>2804</v>
      </c>
      <c r="C158" s="400">
        <v>0.124</v>
      </c>
      <c r="D158" s="400">
        <v>0.124</v>
      </c>
      <c r="E158" s="400">
        <v>0.117</v>
      </c>
      <c r="F158" s="400">
        <v>0.121</v>
      </c>
      <c r="G158" s="401">
        <v>0.124</v>
      </c>
    </row>
    <row r="159" spans="1:7">
      <c r="A159" s="410" t="s">
        <v>295</v>
      </c>
      <c r="B159" s="399" t="s">
        <v>2805</v>
      </c>
      <c r="C159" s="400">
        <v>0.127</v>
      </c>
      <c r="D159" s="400">
        <v>0.127</v>
      </c>
      <c r="E159" s="400">
        <v>0.122</v>
      </c>
      <c r="F159" s="400">
        <v>0.13</v>
      </c>
      <c r="G159" s="401">
        <v>0.129</v>
      </c>
    </row>
    <row r="160" spans="1:7">
      <c r="A160" s="410" t="s">
        <v>295</v>
      </c>
      <c r="B160" s="399" t="s">
        <v>2806</v>
      </c>
      <c r="C160" s="400">
        <v>0.13</v>
      </c>
      <c r="D160" s="400">
        <v>0.13</v>
      </c>
      <c r="E160" s="400">
        <v>0.124</v>
      </c>
      <c r="F160" s="400">
        <v>0.126</v>
      </c>
      <c r="G160" s="401">
        <v>0.13</v>
      </c>
    </row>
    <row r="161" spans="1:7">
      <c r="A161" s="410" t="s">
        <v>295</v>
      </c>
      <c r="B161" s="399" t="s">
        <v>2807</v>
      </c>
      <c r="C161" s="400">
        <v>0.13</v>
      </c>
      <c r="D161" s="400">
        <v>0.13</v>
      </c>
      <c r="E161" s="400">
        <v>0.124</v>
      </c>
      <c r="F161" s="400">
        <v>0.127</v>
      </c>
      <c r="G161" s="401">
        <v>0.13</v>
      </c>
    </row>
    <row r="162" spans="1:7">
      <c r="A162" s="410" t="s">
        <v>295</v>
      </c>
      <c r="B162" s="399" t="s">
        <v>2808</v>
      </c>
      <c r="C162" s="400">
        <v>0.1</v>
      </c>
      <c r="D162" s="400">
        <v>0.1</v>
      </c>
      <c r="E162" s="400">
        <v>0.1</v>
      </c>
      <c r="F162" s="400">
        <v>0.121</v>
      </c>
      <c r="G162" s="401">
        <v>0.105</v>
      </c>
    </row>
    <row r="163" spans="1:7">
      <c r="A163" s="410" t="s">
        <v>295</v>
      </c>
      <c r="B163" s="399" t="s">
        <v>2809</v>
      </c>
      <c r="C163" s="400">
        <v>0.1</v>
      </c>
      <c r="D163" s="400">
        <v>0.1</v>
      </c>
      <c r="E163" s="400">
        <v>0.1</v>
      </c>
      <c r="F163" s="400">
        <v>0.1</v>
      </c>
      <c r="G163" s="401">
        <v>0.1</v>
      </c>
    </row>
    <row r="164" spans="1:7">
      <c r="A164" s="410" t="s">
        <v>295</v>
      </c>
      <c r="B164" s="399" t="s">
        <v>2810</v>
      </c>
      <c r="C164" s="416"/>
      <c r="D164" s="416"/>
      <c r="E164" s="416"/>
      <c r="F164" s="400">
        <v>0.1</v>
      </c>
      <c r="G164" s="412"/>
    </row>
    <row r="165" spans="1:7">
      <c r="A165" s="410" t="s">
        <v>295</v>
      </c>
      <c r="B165" s="399" t="s">
        <v>2811</v>
      </c>
      <c r="C165" s="400">
        <v>0.126</v>
      </c>
      <c r="D165" s="400">
        <v>0.126</v>
      </c>
      <c r="E165" s="400">
        <v>0.119</v>
      </c>
      <c r="F165" s="400">
        <v>0.13</v>
      </c>
      <c r="G165" s="401">
        <v>0.128</v>
      </c>
    </row>
    <row r="166" spans="1:7">
      <c r="A166" s="410" t="s">
        <v>295</v>
      </c>
      <c r="B166" s="399" t="s">
        <v>2812</v>
      </c>
      <c r="C166" s="400">
        <v>0.129</v>
      </c>
      <c r="D166" s="400">
        <v>0.129</v>
      </c>
      <c r="E166" s="400">
        <v>0.123</v>
      </c>
      <c r="F166" s="400">
        <v>0.128</v>
      </c>
      <c r="G166" s="401">
        <v>0.13</v>
      </c>
    </row>
    <row r="167" spans="1:7">
      <c r="A167" s="410" t="s">
        <v>295</v>
      </c>
      <c r="B167" s="399" t="s">
        <v>2813</v>
      </c>
      <c r="C167" s="400">
        <v>0.125</v>
      </c>
      <c r="D167" s="400">
        <v>0.125</v>
      </c>
      <c r="E167" s="400">
        <v>0.117</v>
      </c>
      <c r="F167" s="400">
        <v>0.13</v>
      </c>
      <c r="G167" s="401">
        <v>0.126</v>
      </c>
    </row>
    <row r="168" spans="1:7">
      <c r="A168" s="410" t="s">
        <v>295</v>
      </c>
      <c r="B168" s="399" t="s">
        <v>2814</v>
      </c>
      <c r="C168" s="400">
        <v>0.128</v>
      </c>
      <c r="D168" s="400">
        <v>0.128</v>
      </c>
      <c r="E168" s="400">
        <v>0.123</v>
      </c>
      <c r="F168" s="411"/>
      <c r="G168" s="401">
        <v>0.13</v>
      </c>
    </row>
    <row r="169" spans="1:7">
      <c r="A169" s="410" t="s">
        <v>295</v>
      </c>
      <c r="B169" s="399" t="s">
        <v>2815</v>
      </c>
      <c r="C169" s="416"/>
      <c r="D169" s="416"/>
      <c r="E169" s="416"/>
      <c r="F169" s="400">
        <v>0.05</v>
      </c>
      <c r="G169" s="412"/>
    </row>
    <row r="170" spans="1:7">
      <c r="A170" s="410" t="s">
        <v>295</v>
      </c>
      <c r="B170" s="399" t="s">
        <v>2816</v>
      </c>
      <c r="C170" s="416"/>
      <c r="D170" s="416"/>
      <c r="E170" s="416"/>
      <c r="F170" s="400">
        <v>0.05</v>
      </c>
      <c r="G170" s="412"/>
    </row>
    <row r="171" spans="1:7">
      <c r="A171" s="410" t="s">
        <v>295</v>
      </c>
      <c r="B171" s="399" t="s">
        <v>2817</v>
      </c>
      <c r="C171" s="416"/>
      <c r="D171" s="416"/>
      <c r="E171" s="416"/>
      <c r="F171" s="400">
        <v>0.05</v>
      </c>
      <c r="G171" s="417"/>
    </row>
    <row r="172" spans="1:7">
      <c r="A172" s="410" t="s">
        <v>295</v>
      </c>
      <c r="B172" s="399" t="s">
        <v>2818</v>
      </c>
      <c r="C172" s="416"/>
      <c r="D172" s="416"/>
      <c r="E172" s="416"/>
      <c r="F172" s="400">
        <v>0.05</v>
      </c>
      <c r="G172" s="417"/>
    </row>
    <row r="173" spans="1:7">
      <c r="A173" s="410" t="s">
        <v>295</v>
      </c>
      <c r="B173" s="399" t="s">
        <v>2819</v>
      </c>
      <c r="C173" s="416"/>
      <c r="D173" s="416"/>
      <c r="E173" s="416"/>
      <c r="F173" s="400">
        <v>0.05</v>
      </c>
      <c r="G173" s="412"/>
    </row>
    <row r="174" spans="1:7">
      <c r="A174" s="410" t="s">
        <v>295</v>
      </c>
      <c r="B174" s="399" t="s">
        <v>2820</v>
      </c>
      <c r="C174" s="416"/>
      <c r="D174" s="416"/>
      <c r="E174" s="416"/>
      <c r="F174" s="400">
        <v>0.05</v>
      </c>
      <c r="G174" s="412"/>
    </row>
    <row r="175" spans="1:7">
      <c r="A175" s="410" t="s">
        <v>295</v>
      </c>
      <c r="B175" s="399" t="s">
        <v>2821</v>
      </c>
      <c r="C175" s="416"/>
      <c r="D175" s="416"/>
      <c r="E175" s="416"/>
      <c r="F175" s="400">
        <v>0.05</v>
      </c>
      <c r="G175" s="412"/>
    </row>
    <row r="176" spans="1:7">
      <c r="A176" s="410" t="s">
        <v>295</v>
      </c>
      <c r="B176" s="399" t="s">
        <v>2822</v>
      </c>
      <c r="C176" s="416"/>
      <c r="D176" s="416"/>
      <c r="E176" s="416"/>
      <c r="F176" s="400">
        <v>0.05</v>
      </c>
      <c r="G176" s="412"/>
    </row>
    <row r="177" spans="1:7">
      <c r="A177" s="410" t="s">
        <v>295</v>
      </c>
      <c r="B177" s="399" t="s">
        <v>2823</v>
      </c>
      <c r="C177" s="411"/>
      <c r="D177" s="411"/>
      <c r="E177" s="411"/>
      <c r="F177" s="400">
        <v>0.05</v>
      </c>
      <c r="G177" s="417"/>
    </row>
    <row r="178" spans="1:7">
      <c r="A178" s="410" t="s">
        <v>295</v>
      </c>
      <c r="B178" s="399" t="s">
        <v>2824</v>
      </c>
      <c r="C178" s="411"/>
      <c r="D178" s="411"/>
      <c r="E178" s="411"/>
      <c r="F178" s="400">
        <v>0.05</v>
      </c>
      <c r="G178" s="417"/>
    </row>
    <row r="179" spans="1:7">
      <c r="A179" s="410" t="s">
        <v>295</v>
      </c>
      <c r="B179" s="399" t="s">
        <v>2825</v>
      </c>
      <c r="C179" s="411"/>
      <c r="D179" s="411"/>
      <c r="E179" s="411"/>
      <c r="F179" s="400">
        <v>0.05</v>
      </c>
      <c r="G179" s="417"/>
    </row>
    <row r="180" spans="1:7">
      <c r="A180" s="410" t="s">
        <v>295</v>
      </c>
      <c r="B180" s="399" t="s">
        <v>2826</v>
      </c>
      <c r="C180" s="411"/>
      <c r="D180" s="411"/>
      <c r="E180" s="411"/>
      <c r="F180" s="400">
        <v>0.05</v>
      </c>
      <c r="G180" s="417"/>
    </row>
    <row r="181" spans="1:7">
      <c r="A181" s="410" t="s">
        <v>295</v>
      </c>
      <c r="B181" s="399" t="s">
        <v>2827</v>
      </c>
      <c r="C181" s="411"/>
      <c r="D181" s="411"/>
      <c r="E181" s="411"/>
      <c r="F181" s="400">
        <v>0.05</v>
      </c>
      <c r="G181" s="417"/>
    </row>
    <row r="182" spans="1:7">
      <c r="A182" s="410" t="s">
        <v>295</v>
      </c>
      <c r="B182" s="399" t="s">
        <v>2828</v>
      </c>
      <c r="C182" s="411"/>
      <c r="D182" s="411"/>
      <c r="E182" s="411"/>
      <c r="F182" s="400">
        <v>0.05</v>
      </c>
      <c r="G182" s="417"/>
    </row>
    <row r="183" spans="1:7">
      <c r="A183" s="410" t="s">
        <v>295</v>
      </c>
      <c r="B183" s="399" t="s">
        <v>2829</v>
      </c>
      <c r="C183" s="411"/>
      <c r="D183" s="411"/>
      <c r="E183" s="411"/>
      <c r="F183" s="400">
        <v>0.05</v>
      </c>
      <c r="G183" s="417"/>
    </row>
    <row r="184" spans="1:7">
      <c r="A184" s="410" t="s">
        <v>295</v>
      </c>
      <c r="B184" s="399" t="s">
        <v>2830</v>
      </c>
      <c r="C184" s="411"/>
      <c r="D184" s="411"/>
      <c r="E184" s="411"/>
      <c r="F184" s="400">
        <v>0.05</v>
      </c>
      <c r="G184" s="417"/>
    </row>
    <row r="185" spans="1:7">
      <c r="A185" s="410" t="s">
        <v>295</v>
      </c>
      <c r="B185" s="399" t="s">
        <v>2831</v>
      </c>
      <c r="C185" s="411"/>
      <c r="D185" s="411"/>
      <c r="E185" s="411"/>
      <c r="F185" s="400">
        <v>0.05</v>
      </c>
      <c r="G185" s="417"/>
    </row>
    <row r="186" spans="1:7">
      <c r="A186" s="410" t="s">
        <v>295</v>
      </c>
      <c r="B186" s="399" t="s">
        <v>2832</v>
      </c>
      <c r="C186" s="411"/>
      <c r="D186" s="411"/>
      <c r="E186" s="411"/>
      <c r="F186" s="400">
        <v>0.05</v>
      </c>
      <c r="G186" s="417"/>
    </row>
    <row r="187" spans="1:7">
      <c r="A187" s="410" t="s">
        <v>295</v>
      </c>
      <c r="B187" s="399" t="s">
        <v>2833</v>
      </c>
      <c r="C187" s="411"/>
      <c r="D187" s="411"/>
      <c r="E187" s="411"/>
      <c r="F187" s="400">
        <v>0.05</v>
      </c>
      <c r="G187" s="417"/>
    </row>
    <row r="188" spans="1:7">
      <c r="A188" s="410" t="s">
        <v>295</v>
      </c>
      <c r="B188" s="399" t="s">
        <v>582</v>
      </c>
      <c r="C188" s="411"/>
      <c r="D188" s="411"/>
      <c r="E188" s="411"/>
      <c r="F188" s="400">
        <v>0.05</v>
      </c>
      <c r="G188" s="417"/>
    </row>
    <row r="189" ht="14.25" spans="1:7">
      <c r="A189" s="413" t="s">
        <v>295</v>
      </c>
      <c r="B189" s="403" t="s">
        <v>2834</v>
      </c>
      <c r="C189" s="405"/>
      <c r="D189" s="405"/>
      <c r="E189" s="405"/>
      <c r="F189" s="404">
        <v>0.05</v>
      </c>
      <c r="G189" s="418"/>
    </row>
    <row r="190" spans="1:7">
      <c r="A190" s="409" t="s">
        <v>303</v>
      </c>
      <c r="B190" s="395" t="s">
        <v>2835</v>
      </c>
      <c r="C190" s="396">
        <v>0.124</v>
      </c>
      <c r="D190" s="396">
        <v>0.124</v>
      </c>
      <c r="E190" s="396">
        <v>0.129</v>
      </c>
      <c r="F190" s="396">
        <v>0.13</v>
      </c>
      <c r="G190" s="397">
        <v>0.127</v>
      </c>
    </row>
    <row r="191" spans="1:7">
      <c r="A191" s="410" t="s">
        <v>303</v>
      </c>
      <c r="B191" s="399" t="s">
        <v>2836</v>
      </c>
      <c r="C191" s="400">
        <v>0.13</v>
      </c>
      <c r="D191" s="400">
        <v>0.13</v>
      </c>
      <c r="E191" s="400">
        <v>0.13</v>
      </c>
      <c r="F191" s="400">
        <v>0.13</v>
      </c>
      <c r="G191" s="401">
        <v>0.13</v>
      </c>
    </row>
    <row r="192" spans="1:7">
      <c r="A192" s="410" t="s">
        <v>303</v>
      </c>
      <c r="B192" s="399" t="s">
        <v>2837</v>
      </c>
      <c r="C192" s="400">
        <v>0.13</v>
      </c>
      <c r="D192" s="400">
        <v>0.13</v>
      </c>
      <c r="E192" s="400">
        <v>0.13</v>
      </c>
      <c r="F192" s="400">
        <v>0.13</v>
      </c>
      <c r="G192" s="401">
        <v>0.13</v>
      </c>
    </row>
    <row r="193" spans="1:7">
      <c r="A193" s="410" t="s">
        <v>303</v>
      </c>
      <c r="B193" s="399" t="s">
        <v>2838</v>
      </c>
      <c r="C193" s="400">
        <v>0.13</v>
      </c>
      <c r="D193" s="400">
        <v>0.13</v>
      </c>
      <c r="E193" s="400">
        <v>0.13</v>
      </c>
      <c r="F193" s="400">
        <v>0.13</v>
      </c>
      <c r="G193" s="401">
        <v>0.13</v>
      </c>
    </row>
    <row r="194" spans="1:7">
      <c r="A194" s="410" t="s">
        <v>303</v>
      </c>
      <c r="B194" s="399" t="s">
        <v>2839</v>
      </c>
      <c r="C194" s="400">
        <v>0.123</v>
      </c>
      <c r="D194" s="400">
        <v>0.123</v>
      </c>
      <c r="E194" s="400">
        <v>0.128</v>
      </c>
      <c r="F194" s="400">
        <v>0.13</v>
      </c>
      <c r="G194" s="401">
        <v>0.126</v>
      </c>
    </row>
    <row r="195" spans="1:7">
      <c r="A195" s="410" t="s">
        <v>303</v>
      </c>
      <c r="B195" s="399" t="s">
        <v>2840</v>
      </c>
      <c r="C195" s="400">
        <v>0.127</v>
      </c>
      <c r="D195" s="400">
        <v>0.127</v>
      </c>
      <c r="E195" s="400">
        <v>0.121</v>
      </c>
      <c r="F195" s="400">
        <v>0.129</v>
      </c>
      <c r="G195" s="401">
        <v>0.129</v>
      </c>
    </row>
    <row r="196" spans="1:7">
      <c r="A196" s="410" t="s">
        <v>303</v>
      </c>
      <c r="B196" s="399" t="s">
        <v>2841</v>
      </c>
      <c r="C196" s="400">
        <v>0.127</v>
      </c>
      <c r="D196" s="400">
        <v>0.128</v>
      </c>
      <c r="E196" s="400">
        <v>0.122</v>
      </c>
      <c r="F196" s="400">
        <v>0.13</v>
      </c>
      <c r="G196" s="401">
        <v>0.129</v>
      </c>
    </row>
    <row r="197" spans="1:7">
      <c r="A197" s="410" t="s">
        <v>303</v>
      </c>
      <c r="B197" s="399" t="s">
        <v>2842</v>
      </c>
      <c r="C197" s="400">
        <v>0.126</v>
      </c>
      <c r="D197" s="400">
        <v>0.126</v>
      </c>
      <c r="E197" s="400">
        <v>0.119</v>
      </c>
      <c r="F197" s="400">
        <v>0.13</v>
      </c>
      <c r="G197" s="401">
        <v>0.128</v>
      </c>
    </row>
    <row r="198" spans="1:7">
      <c r="A198" s="410" t="s">
        <v>303</v>
      </c>
      <c r="B198" s="399" t="s">
        <v>2843</v>
      </c>
      <c r="C198" s="400">
        <v>0.13</v>
      </c>
      <c r="D198" s="400">
        <v>0.13</v>
      </c>
      <c r="E198" s="400">
        <v>0.126</v>
      </c>
      <c r="F198" s="416"/>
      <c r="G198" s="401">
        <v>0.13</v>
      </c>
    </row>
    <row r="199" spans="1:7">
      <c r="A199" s="410" t="s">
        <v>303</v>
      </c>
      <c r="B199" s="399" t="s">
        <v>2844</v>
      </c>
      <c r="C199" s="400">
        <v>0.13</v>
      </c>
      <c r="D199" s="400">
        <v>0.13</v>
      </c>
      <c r="E199" s="400">
        <v>0.13</v>
      </c>
      <c r="F199" s="400">
        <v>0.13</v>
      </c>
      <c r="G199" s="401">
        <v>0.13</v>
      </c>
    </row>
    <row r="200" spans="1:7">
      <c r="A200" s="410" t="s">
        <v>303</v>
      </c>
      <c r="B200" s="399" t="s">
        <v>2845</v>
      </c>
      <c r="C200" s="416"/>
      <c r="D200" s="416"/>
      <c r="E200" s="416"/>
      <c r="F200" s="400">
        <v>0.13</v>
      </c>
      <c r="G200" s="412"/>
    </row>
    <row r="201" spans="1:7">
      <c r="A201" s="410" t="s">
        <v>303</v>
      </c>
      <c r="B201" s="399" t="s">
        <v>2846</v>
      </c>
      <c r="C201" s="400">
        <v>0.13</v>
      </c>
      <c r="D201" s="400">
        <v>0.13</v>
      </c>
      <c r="E201" s="400">
        <v>0.13</v>
      </c>
      <c r="F201" s="400">
        <v>0.129</v>
      </c>
      <c r="G201" s="401">
        <v>0.13</v>
      </c>
    </row>
    <row r="202" spans="1:7">
      <c r="A202" s="410" t="s">
        <v>303</v>
      </c>
      <c r="B202" s="399" t="s">
        <v>2847</v>
      </c>
      <c r="C202" s="400">
        <v>0.13</v>
      </c>
      <c r="D202" s="400">
        <v>0.13</v>
      </c>
      <c r="E202" s="400">
        <v>0.13</v>
      </c>
      <c r="F202" s="400">
        <v>0.13</v>
      </c>
      <c r="G202" s="401">
        <v>0.13</v>
      </c>
    </row>
    <row r="203" spans="1:7">
      <c r="A203" s="410" t="s">
        <v>303</v>
      </c>
      <c r="B203" s="399" t="s">
        <v>2848</v>
      </c>
      <c r="C203" s="400">
        <v>0.129</v>
      </c>
      <c r="D203" s="400">
        <v>0.129</v>
      </c>
      <c r="E203" s="400">
        <v>0.13</v>
      </c>
      <c r="F203" s="400">
        <v>0.13</v>
      </c>
      <c r="G203" s="401">
        <v>0.13</v>
      </c>
    </row>
    <row r="204" spans="1:7">
      <c r="A204" s="410" t="s">
        <v>303</v>
      </c>
      <c r="B204" s="399" t="s">
        <v>2849</v>
      </c>
      <c r="C204" s="400">
        <v>0.129</v>
      </c>
      <c r="D204" s="400">
        <v>0.129</v>
      </c>
      <c r="E204" s="400">
        <v>0.123</v>
      </c>
      <c r="F204" s="400">
        <v>0.13</v>
      </c>
      <c r="G204" s="401">
        <v>0.13</v>
      </c>
    </row>
    <row r="205" spans="1:7">
      <c r="A205" s="410" t="s">
        <v>303</v>
      </c>
      <c r="B205" s="399" t="s">
        <v>2850</v>
      </c>
      <c r="C205" s="400">
        <v>0.13</v>
      </c>
      <c r="D205" s="400">
        <v>0.13</v>
      </c>
      <c r="E205" s="400">
        <v>0.13</v>
      </c>
      <c r="F205" s="400">
        <v>0.13</v>
      </c>
      <c r="G205" s="401">
        <v>0.13</v>
      </c>
    </row>
    <row r="206" spans="1:7">
      <c r="A206" s="410" t="s">
        <v>303</v>
      </c>
      <c r="B206" s="399" t="s">
        <v>2851</v>
      </c>
      <c r="C206" s="400">
        <v>0.13</v>
      </c>
      <c r="D206" s="400">
        <v>0.13</v>
      </c>
      <c r="E206" s="400">
        <v>0.13</v>
      </c>
      <c r="F206" s="400">
        <v>0.128</v>
      </c>
      <c r="G206" s="401">
        <v>0.13</v>
      </c>
    </row>
    <row r="207" spans="1:7">
      <c r="A207" s="410" t="s">
        <v>303</v>
      </c>
      <c r="B207" s="399" t="s">
        <v>2852</v>
      </c>
      <c r="C207" s="400">
        <v>0.13</v>
      </c>
      <c r="D207" s="400">
        <v>0.13</v>
      </c>
      <c r="E207" s="400">
        <v>0.13</v>
      </c>
      <c r="F207" s="400">
        <v>0.13</v>
      </c>
      <c r="G207" s="401">
        <v>0.13</v>
      </c>
    </row>
    <row r="208" spans="1:7">
      <c r="A208" s="410" t="s">
        <v>303</v>
      </c>
      <c r="B208" s="399" t="s">
        <v>2853</v>
      </c>
      <c r="C208" s="400">
        <v>0.13</v>
      </c>
      <c r="D208" s="400">
        <v>0.13</v>
      </c>
      <c r="E208" s="400">
        <v>0.13</v>
      </c>
      <c r="F208" s="400">
        <v>0.13</v>
      </c>
      <c r="G208" s="401">
        <v>0.13</v>
      </c>
    </row>
    <row r="209" spans="1:7">
      <c r="A209" s="410" t="s">
        <v>303</v>
      </c>
      <c r="B209" s="399" t="s">
        <v>2854</v>
      </c>
      <c r="C209" s="400">
        <v>0.13</v>
      </c>
      <c r="D209" s="400">
        <v>0.13</v>
      </c>
      <c r="E209" s="400">
        <v>0.13</v>
      </c>
      <c r="F209" s="400">
        <v>0.13</v>
      </c>
      <c r="G209" s="401">
        <v>0.13</v>
      </c>
    </row>
    <row r="210" spans="1:7">
      <c r="A210" s="410" t="s">
        <v>303</v>
      </c>
      <c r="B210" s="399" t="s">
        <v>2855</v>
      </c>
      <c r="C210" s="400">
        <v>0.121</v>
      </c>
      <c r="D210" s="400">
        <v>0.121</v>
      </c>
      <c r="E210" s="400">
        <v>0.125</v>
      </c>
      <c r="F210" s="400">
        <v>0.13</v>
      </c>
      <c r="G210" s="401">
        <v>0.123</v>
      </c>
    </row>
    <row r="211" spans="1:7">
      <c r="A211" s="410" t="s">
        <v>303</v>
      </c>
      <c r="B211" s="399" t="s">
        <v>2856</v>
      </c>
      <c r="C211" s="400">
        <v>0.123</v>
      </c>
      <c r="D211" s="400">
        <v>0.123</v>
      </c>
      <c r="E211" s="400">
        <v>0.127</v>
      </c>
      <c r="F211" s="400">
        <v>0.115</v>
      </c>
      <c r="G211" s="401">
        <v>0.126</v>
      </c>
    </row>
    <row r="212" spans="1:7">
      <c r="A212" s="410" t="s">
        <v>303</v>
      </c>
      <c r="B212" s="399" t="s">
        <v>2857</v>
      </c>
      <c r="C212" s="400">
        <v>0.126</v>
      </c>
      <c r="D212" s="400">
        <v>0.126</v>
      </c>
      <c r="E212" s="400">
        <v>0.13</v>
      </c>
      <c r="F212" s="400">
        <v>0.13</v>
      </c>
      <c r="G212" s="401">
        <v>0.129</v>
      </c>
    </row>
    <row r="213" spans="1:7">
      <c r="A213" s="410" t="s">
        <v>303</v>
      </c>
      <c r="B213" s="399" t="s">
        <v>2858</v>
      </c>
      <c r="C213" s="400">
        <v>0.129</v>
      </c>
      <c r="D213" s="400">
        <v>0.13</v>
      </c>
      <c r="E213" s="400">
        <v>0.127</v>
      </c>
      <c r="F213" s="400">
        <v>0.13</v>
      </c>
      <c r="G213" s="401">
        <v>0.13</v>
      </c>
    </row>
    <row r="214" spans="1:7">
      <c r="A214" s="410" t="s">
        <v>303</v>
      </c>
      <c r="B214" s="399" t="s">
        <v>2859</v>
      </c>
      <c r="C214" s="400">
        <v>0.128</v>
      </c>
      <c r="D214" s="400">
        <v>0.128</v>
      </c>
      <c r="E214" s="400">
        <v>0.13</v>
      </c>
      <c r="F214" s="400">
        <v>0.13</v>
      </c>
      <c r="G214" s="401">
        <v>0.13</v>
      </c>
    </row>
    <row r="215" spans="1:7">
      <c r="A215" s="410" t="s">
        <v>303</v>
      </c>
      <c r="B215" s="399" t="s">
        <v>2860</v>
      </c>
      <c r="C215" s="400">
        <v>0.13</v>
      </c>
      <c r="D215" s="400">
        <v>0.13</v>
      </c>
      <c r="E215" s="400">
        <v>0.13</v>
      </c>
      <c r="F215" s="400">
        <v>0.129</v>
      </c>
      <c r="G215" s="401">
        <v>0.13</v>
      </c>
    </row>
    <row r="216" spans="1:7">
      <c r="A216" s="410" t="s">
        <v>303</v>
      </c>
      <c r="B216" s="399" t="s">
        <v>2861</v>
      </c>
      <c r="C216" s="400">
        <v>0.13</v>
      </c>
      <c r="D216" s="400">
        <v>0.13</v>
      </c>
      <c r="E216" s="400">
        <v>0.13</v>
      </c>
      <c r="F216" s="400">
        <v>0.13</v>
      </c>
      <c r="G216" s="401">
        <v>0.13</v>
      </c>
    </row>
    <row r="217" spans="1:7">
      <c r="A217" s="410" t="s">
        <v>303</v>
      </c>
      <c r="B217" s="399" t="s">
        <v>2862</v>
      </c>
      <c r="C217" s="400">
        <v>0.129</v>
      </c>
      <c r="D217" s="400">
        <v>0.129</v>
      </c>
      <c r="E217" s="400">
        <v>0.13</v>
      </c>
      <c r="F217" s="400">
        <v>0.13</v>
      </c>
      <c r="G217" s="401">
        <v>0.13</v>
      </c>
    </row>
    <row r="218" spans="1:7">
      <c r="A218" s="410" t="s">
        <v>303</v>
      </c>
      <c r="B218" s="399" t="s">
        <v>2863</v>
      </c>
      <c r="C218" s="411"/>
      <c r="D218" s="411"/>
      <c r="E218" s="411"/>
      <c r="F218" s="400">
        <v>0.05</v>
      </c>
      <c r="G218" s="417"/>
    </row>
    <row r="219" spans="1:7">
      <c r="A219" s="410" t="s">
        <v>303</v>
      </c>
      <c r="B219" s="399" t="s">
        <v>2864</v>
      </c>
      <c r="C219" s="411"/>
      <c r="D219" s="411"/>
      <c r="E219" s="411"/>
      <c r="F219" s="400">
        <v>0.05</v>
      </c>
      <c r="G219" s="417"/>
    </row>
    <row r="220" spans="1:7">
      <c r="A220" s="410" t="s">
        <v>303</v>
      </c>
      <c r="B220" s="399" t="s">
        <v>2865</v>
      </c>
      <c r="C220" s="411"/>
      <c r="D220" s="411"/>
      <c r="E220" s="411"/>
      <c r="F220" s="400">
        <v>0.05</v>
      </c>
      <c r="G220" s="417"/>
    </row>
    <row r="221" spans="1:7">
      <c r="A221" s="410" t="s">
        <v>303</v>
      </c>
      <c r="B221" s="399" t="s">
        <v>2866</v>
      </c>
      <c r="C221" s="411"/>
      <c r="D221" s="411"/>
      <c r="E221" s="411"/>
      <c r="F221" s="400">
        <v>0.05</v>
      </c>
      <c r="G221" s="417"/>
    </row>
    <row r="222" spans="1:7">
      <c r="A222" s="410" t="s">
        <v>303</v>
      </c>
      <c r="B222" s="399" t="s">
        <v>2867</v>
      </c>
      <c r="C222" s="411"/>
      <c r="D222" s="411"/>
      <c r="E222" s="411"/>
      <c r="F222" s="400">
        <v>0.05</v>
      </c>
      <c r="G222" s="417"/>
    </row>
    <row r="223" spans="1:7">
      <c r="A223" s="410" t="s">
        <v>303</v>
      </c>
      <c r="B223" s="399" t="s">
        <v>2868</v>
      </c>
      <c r="C223" s="411"/>
      <c r="D223" s="411"/>
      <c r="E223" s="411"/>
      <c r="F223" s="400">
        <v>0.05</v>
      </c>
      <c r="G223" s="417"/>
    </row>
    <row r="224" spans="1:7">
      <c r="A224" s="410" t="s">
        <v>303</v>
      </c>
      <c r="B224" s="399" t="s">
        <v>2869</v>
      </c>
      <c r="C224" s="411"/>
      <c r="D224" s="411"/>
      <c r="E224" s="411"/>
      <c r="F224" s="400">
        <v>0.05</v>
      </c>
      <c r="G224" s="417"/>
    </row>
    <row r="225" spans="1:7">
      <c r="A225" s="410" t="s">
        <v>303</v>
      </c>
      <c r="B225" s="399" t="s">
        <v>2870</v>
      </c>
      <c r="C225" s="411"/>
      <c r="D225" s="411"/>
      <c r="E225" s="411"/>
      <c r="F225" s="400">
        <v>0.05</v>
      </c>
      <c r="G225" s="417"/>
    </row>
    <row r="226" spans="1:7">
      <c r="A226" s="410" t="s">
        <v>303</v>
      </c>
      <c r="B226" s="399" t="s">
        <v>2871</v>
      </c>
      <c r="C226" s="411"/>
      <c r="D226" s="411"/>
      <c r="E226" s="411"/>
      <c r="F226" s="400">
        <v>0.05</v>
      </c>
      <c r="G226" s="417"/>
    </row>
    <row r="227" spans="1:7">
      <c r="A227" s="410" t="s">
        <v>303</v>
      </c>
      <c r="B227" s="399" t="s">
        <v>2872</v>
      </c>
      <c r="C227" s="411"/>
      <c r="D227" s="411"/>
      <c r="E227" s="411"/>
      <c r="F227" s="400">
        <v>0.05</v>
      </c>
      <c r="G227" s="417"/>
    </row>
    <row r="228" spans="1:7">
      <c r="A228" s="410" t="s">
        <v>303</v>
      </c>
      <c r="B228" s="399" t="s">
        <v>2873</v>
      </c>
      <c r="C228" s="411"/>
      <c r="D228" s="411"/>
      <c r="E228" s="411"/>
      <c r="F228" s="400">
        <v>0.05</v>
      </c>
      <c r="G228" s="417"/>
    </row>
    <row r="229" spans="1:7">
      <c r="A229" s="410" t="s">
        <v>303</v>
      </c>
      <c r="B229" s="399" t="s">
        <v>2874</v>
      </c>
      <c r="C229" s="411"/>
      <c r="D229" s="411"/>
      <c r="E229" s="411"/>
      <c r="F229" s="400">
        <v>0.05</v>
      </c>
      <c r="G229" s="417"/>
    </row>
    <row r="230" spans="1:7">
      <c r="A230" s="410" t="s">
        <v>303</v>
      </c>
      <c r="B230" s="399" t="s">
        <v>2875</v>
      </c>
      <c r="C230" s="411"/>
      <c r="D230" s="411"/>
      <c r="E230" s="411"/>
      <c r="F230" s="400">
        <v>0.05</v>
      </c>
      <c r="G230" s="417"/>
    </row>
    <row r="231" spans="1:7">
      <c r="A231" s="410" t="s">
        <v>303</v>
      </c>
      <c r="B231" s="399" t="s">
        <v>2876</v>
      </c>
      <c r="C231" s="411"/>
      <c r="D231" s="411"/>
      <c r="E231" s="411"/>
      <c r="F231" s="400">
        <v>0.05</v>
      </c>
      <c r="G231" s="417"/>
    </row>
    <row r="232" spans="1:7">
      <c r="A232" s="410" t="s">
        <v>303</v>
      </c>
      <c r="B232" s="399" t="s">
        <v>2877</v>
      </c>
      <c r="C232" s="411"/>
      <c r="D232" s="411"/>
      <c r="E232" s="411"/>
      <c r="F232" s="400">
        <v>0.05</v>
      </c>
      <c r="G232" s="417"/>
    </row>
    <row r="233" ht="14.25" spans="1:7">
      <c r="A233" s="413" t="s">
        <v>303</v>
      </c>
      <c r="B233" s="403" t="s">
        <v>2878</v>
      </c>
      <c r="C233" s="405"/>
      <c r="D233" s="405"/>
      <c r="E233" s="405"/>
      <c r="F233" s="404">
        <v>0.05</v>
      </c>
      <c r="G233" s="418"/>
    </row>
    <row r="234" spans="1:7">
      <c r="A234" s="409" t="s">
        <v>311</v>
      </c>
      <c r="B234" s="395" t="s">
        <v>2879</v>
      </c>
      <c r="C234" s="396">
        <v>0.13</v>
      </c>
      <c r="D234" s="396">
        <v>0.128</v>
      </c>
      <c r="E234" s="396">
        <v>0.142</v>
      </c>
      <c r="F234" s="396">
        <v>0.147</v>
      </c>
      <c r="G234" s="397">
        <v>0.14</v>
      </c>
    </row>
    <row r="235" spans="1:7">
      <c r="A235" s="410" t="s">
        <v>311</v>
      </c>
      <c r="B235" s="399" t="s">
        <v>2880</v>
      </c>
      <c r="C235" s="400">
        <v>0.136</v>
      </c>
      <c r="D235" s="400">
        <v>0.138</v>
      </c>
      <c r="E235" s="400">
        <v>0.145</v>
      </c>
      <c r="F235" s="400">
        <v>0.143</v>
      </c>
      <c r="G235" s="401">
        <v>0.141</v>
      </c>
    </row>
    <row r="236" spans="1:7">
      <c r="A236" s="410" t="s">
        <v>311</v>
      </c>
      <c r="B236" s="399" t="s">
        <v>2881</v>
      </c>
      <c r="C236" s="400">
        <v>0.15</v>
      </c>
      <c r="D236" s="400">
        <v>0.15</v>
      </c>
      <c r="E236" s="400">
        <v>0.15</v>
      </c>
      <c r="F236" s="400">
        <v>0.15</v>
      </c>
      <c r="G236" s="401">
        <v>0.15</v>
      </c>
    </row>
    <row r="237" spans="1:7">
      <c r="A237" s="410" t="s">
        <v>311</v>
      </c>
      <c r="B237" s="399" t="s">
        <v>2882</v>
      </c>
      <c r="C237" s="400">
        <v>0.15</v>
      </c>
      <c r="D237" s="400">
        <v>0.15</v>
      </c>
      <c r="E237" s="400">
        <v>0.15</v>
      </c>
      <c r="F237" s="400">
        <v>0.15</v>
      </c>
      <c r="G237" s="401">
        <v>0.15</v>
      </c>
    </row>
    <row r="238" spans="1:7">
      <c r="A238" s="410" t="s">
        <v>311</v>
      </c>
      <c r="B238" s="399" t="s">
        <v>2883</v>
      </c>
      <c r="C238" s="400">
        <v>0.149</v>
      </c>
      <c r="D238" s="400">
        <v>0.149</v>
      </c>
      <c r="E238" s="400">
        <v>0.15</v>
      </c>
      <c r="F238" s="400">
        <v>0.15</v>
      </c>
      <c r="G238" s="401">
        <v>0.15</v>
      </c>
    </row>
    <row r="239" spans="1:7">
      <c r="A239" s="410" t="s">
        <v>311</v>
      </c>
      <c r="B239" s="399" t="s">
        <v>2884</v>
      </c>
      <c r="C239" s="400">
        <v>0.15</v>
      </c>
      <c r="D239" s="400">
        <v>0.15</v>
      </c>
      <c r="E239" s="400">
        <v>0.15</v>
      </c>
      <c r="F239" s="400">
        <v>0.15</v>
      </c>
      <c r="G239" s="401">
        <v>0.15</v>
      </c>
    </row>
    <row r="240" spans="1:7">
      <c r="A240" s="410" t="s">
        <v>311</v>
      </c>
      <c r="B240" s="399" t="s">
        <v>2885</v>
      </c>
      <c r="C240" s="400">
        <v>0.15</v>
      </c>
      <c r="D240" s="400">
        <v>0.15</v>
      </c>
      <c r="E240" s="400">
        <v>0.15</v>
      </c>
      <c r="F240" s="400">
        <v>0.15</v>
      </c>
      <c r="G240" s="401">
        <v>0.15</v>
      </c>
    </row>
    <row r="241" spans="1:7">
      <c r="A241" s="410" t="s">
        <v>311</v>
      </c>
      <c r="B241" s="399" t="s">
        <v>2886</v>
      </c>
      <c r="C241" s="400">
        <v>0.141</v>
      </c>
      <c r="D241" s="400">
        <v>0.142</v>
      </c>
      <c r="E241" s="400">
        <v>0.149</v>
      </c>
      <c r="F241" s="400">
        <v>0.15</v>
      </c>
      <c r="G241" s="401">
        <v>0.144</v>
      </c>
    </row>
    <row r="242" spans="1:7">
      <c r="A242" s="410" t="s">
        <v>311</v>
      </c>
      <c r="B242" s="399" t="s">
        <v>2887</v>
      </c>
      <c r="C242" s="400">
        <v>0.141</v>
      </c>
      <c r="D242" s="400">
        <v>0.142</v>
      </c>
      <c r="E242" s="400">
        <v>0.148</v>
      </c>
      <c r="F242" s="400">
        <v>0.127</v>
      </c>
      <c r="G242" s="401">
        <v>0.144</v>
      </c>
    </row>
    <row r="243" spans="1:7">
      <c r="A243" s="410" t="s">
        <v>311</v>
      </c>
      <c r="B243" s="399" t="s">
        <v>2888</v>
      </c>
      <c r="C243" s="400">
        <v>0.147</v>
      </c>
      <c r="D243" s="400">
        <v>0.147</v>
      </c>
      <c r="E243" s="400">
        <v>0.15</v>
      </c>
      <c r="F243" s="400">
        <v>0.15</v>
      </c>
      <c r="G243" s="401">
        <v>0.149</v>
      </c>
    </row>
    <row r="244" spans="1:7">
      <c r="A244" s="410" t="s">
        <v>311</v>
      </c>
      <c r="B244" s="399" t="s">
        <v>2889</v>
      </c>
      <c r="C244" s="400">
        <v>0.15</v>
      </c>
      <c r="D244" s="400">
        <v>0.15</v>
      </c>
      <c r="E244" s="400">
        <v>0.15</v>
      </c>
      <c r="F244" s="400">
        <v>0.15</v>
      </c>
      <c r="G244" s="401">
        <v>0.15</v>
      </c>
    </row>
    <row r="245" spans="1:7">
      <c r="A245" s="410" t="s">
        <v>311</v>
      </c>
      <c r="B245" s="399" t="s">
        <v>2890</v>
      </c>
      <c r="C245" s="400">
        <v>0.142</v>
      </c>
      <c r="D245" s="400">
        <v>0.142</v>
      </c>
      <c r="E245" s="400">
        <v>0.15</v>
      </c>
      <c r="F245" s="400">
        <v>0.15</v>
      </c>
      <c r="G245" s="401">
        <v>0.145</v>
      </c>
    </row>
    <row r="246" spans="1:7">
      <c r="A246" s="410" t="s">
        <v>311</v>
      </c>
      <c r="B246" s="399" t="s">
        <v>2891</v>
      </c>
      <c r="C246" s="400">
        <v>0.142</v>
      </c>
      <c r="D246" s="400">
        <v>0.143</v>
      </c>
      <c r="E246" s="400">
        <v>0.15</v>
      </c>
      <c r="F246" s="400">
        <v>0.142</v>
      </c>
      <c r="G246" s="401">
        <v>0.144</v>
      </c>
    </row>
    <row r="247" spans="1:7">
      <c r="A247" s="410" t="s">
        <v>311</v>
      </c>
      <c r="B247" s="399" t="s">
        <v>2892</v>
      </c>
      <c r="C247" s="400">
        <v>0.149</v>
      </c>
      <c r="D247" s="400">
        <v>0.149</v>
      </c>
      <c r="E247" s="400">
        <v>0.15</v>
      </c>
      <c r="F247" s="400">
        <v>0.15</v>
      </c>
      <c r="G247" s="401">
        <v>0.15</v>
      </c>
    </row>
    <row r="248" spans="1:7">
      <c r="A248" s="410" t="s">
        <v>311</v>
      </c>
      <c r="B248" s="399" t="s">
        <v>2893</v>
      </c>
      <c r="C248" s="400">
        <v>0.144</v>
      </c>
      <c r="D248" s="400">
        <v>0.144</v>
      </c>
      <c r="E248" s="400">
        <v>0.149</v>
      </c>
      <c r="F248" s="400">
        <v>0.148</v>
      </c>
      <c r="G248" s="401">
        <v>0.146</v>
      </c>
    </row>
    <row r="249" spans="1:7">
      <c r="A249" s="410" t="s">
        <v>311</v>
      </c>
      <c r="B249" s="399" t="s">
        <v>2894</v>
      </c>
      <c r="C249" s="400">
        <v>0.14</v>
      </c>
      <c r="D249" s="400">
        <v>0.14</v>
      </c>
      <c r="E249" s="400">
        <v>0.147</v>
      </c>
      <c r="F249" s="400">
        <v>0.149</v>
      </c>
      <c r="G249" s="401">
        <v>0.142</v>
      </c>
    </row>
    <row r="250" spans="1:7">
      <c r="A250" s="410" t="s">
        <v>311</v>
      </c>
      <c r="B250" s="399" t="s">
        <v>2895</v>
      </c>
      <c r="C250" s="400">
        <v>0.144</v>
      </c>
      <c r="D250" s="400">
        <v>0.143</v>
      </c>
      <c r="E250" s="400">
        <v>0.149</v>
      </c>
      <c r="F250" s="400">
        <v>0.15</v>
      </c>
      <c r="G250" s="401">
        <v>0.146</v>
      </c>
    </row>
    <row r="251" spans="1:7">
      <c r="A251" s="410" t="s">
        <v>311</v>
      </c>
      <c r="B251" s="399" t="s">
        <v>2896</v>
      </c>
      <c r="C251" s="416"/>
      <c r="D251" s="411"/>
      <c r="E251" s="411"/>
      <c r="F251" s="400">
        <v>0.1</v>
      </c>
      <c r="G251" s="417"/>
    </row>
    <row r="252" spans="1:7">
      <c r="A252" s="410" t="s">
        <v>311</v>
      </c>
      <c r="B252" s="399" t="s">
        <v>2897</v>
      </c>
      <c r="C252" s="400">
        <v>0.144</v>
      </c>
      <c r="D252" s="400">
        <v>0.144</v>
      </c>
      <c r="E252" s="400">
        <v>0.15</v>
      </c>
      <c r="F252" s="400">
        <v>0.149</v>
      </c>
      <c r="G252" s="401">
        <v>0.146</v>
      </c>
    </row>
    <row r="253" spans="1:7">
      <c r="A253" s="410" t="s">
        <v>311</v>
      </c>
      <c r="B253" s="399" t="s">
        <v>2898</v>
      </c>
      <c r="C253" s="400">
        <v>0.142</v>
      </c>
      <c r="D253" s="400">
        <v>0.142</v>
      </c>
      <c r="E253" s="400">
        <v>0.146</v>
      </c>
      <c r="F253" s="400">
        <v>0.148</v>
      </c>
      <c r="G253" s="401">
        <v>0.145</v>
      </c>
    </row>
    <row r="254" spans="1:7">
      <c r="A254" s="410" t="s">
        <v>311</v>
      </c>
      <c r="B254" s="399" t="s">
        <v>2899</v>
      </c>
      <c r="C254" s="400">
        <v>0.15</v>
      </c>
      <c r="D254" s="400">
        <v>0.15</v>
      </c>
      <c r="E254" s="400">
        <v>0.15</v>
      </c>
      <c r="F254" s="400">
        <v>0.15</v>
      </c>
      <c r="G254" s="401">
        <v>0.15</v>
      </c>
    </row>
    <row r="255" spans="1:7">
      <c r="A255" s="410" t="s">
        <v>311</v>
      </c>
      <c r="B255" s="399" t="s">
        <v>2900</v>
      </c>
      <c r="C255" s="400">
        <v>0.143</v>
      </c>
      <c r="D255" s="400">
        <v>0.143</v>
      </c>
      <c r="E255" s="400">
        <v>0.15</v>
      </c>
      <c r="F255" s="400">
        <v>0.15</v>
      </c>
      <c r="G255" s="401">
        <v>0.145</v>
      </c>
    </row>
    <row r="256" spans="1:7">
      <c r="A256" s="410" t="s">
        <v>311</v>
      </c>
      <c r="B256" s="399" t="s">
        <v>2901</v>
      </c>
      <c r="C256" s="400">
        <v>0.15</v>
      </c>
      <c r="D256" s="400">
        <v>0.15</v>
      </c>
      <c r="E256" s="400">
        <v>0.15</v>
      </c>
      <c r="F256" s="400">
        <v>0.146</v>
      </c>
      <c r="G256" s="401">
        <v>0.15</v>
      </c>
    </row>
    <row r="257" spans="1:7">
      <c r="A257" s="410" t="s">
        <v>311</v>
      </c>
      <c r="B257" s="399" t="s">
        <v>2902</v>
      </c>
      <c r="C257" s="400">
        <v>0.142</v>
      </c>
      <c r="D257" s="400">
        <v>0.143</v>
      </c>
      <c r="E257" s="400">
        <v>0.148</v>
      </c>
      <c r="F257" s="400">
        <v>0.15</v>
      </c>
      <c r="G257" s="401">
        <v>0.145</v>
      </c>
    </row>
    <row r="258" spans="1:7">
      <c r="A258" s="410" t="s">
        <v>311</v>
      </c>
      <c r="B258" s="399" t="s">
        <v>2903</v>
      </c>
      <c r="C258" s="400">
        <v>0.143</v>
      </c>
      <c r="D258" s="400">
        <v>0.143</v>
      </c>
      <c r="E258" s="400">
        <v>0.15</v>
      </c>
      <c r="F258" s="400">
        <v>0.148</v>
      </c>
      <c r="G258" s="401">
        <v>0.146</v>
      </c>
    </row>
    <row r="259" spans="1:7">
      <c r="A259" s="410" t="s">
        <v>311</v>
      </c>
      <c r="B259" s="399" t="s">
        <v>2904</v>
      </c>
      <c r="C259" s="400">
        <v>0.144</v>
      </c>
      <c r="D259" s="400">
        <v>0.144</v>
      </c>
      <c r="E259" s="400">
        <v>0.149</v>
      </c>
      <c r="F259" s="400">
        <v>0.147</v>
      </c>
      <c r="G259" s="401">
        <v>0.146</v>
      </c>
    </row>
    <row r="260" spans="1:7">
      <c r="A260" s="410" t="s">
        <v>311</v>
      </c>
      <c r="B260" s="399" t="s">
        <v>2905</v>
      </c>
      <c r="C260" s="400">
        <v>0.109</v>
      </c>
      <c r="D260" s="400">
        <v>0.111</v>
      </c>
      <c r="E260" s="400">
        <v>0.131</v>
      </c>
      <c r="F260" s="400">
        <v>0.126</v>
      </c>
      <c r="G260" s="401">
        <v>0.119</v>
      </c>
    </row>
    <row r="261" spans="1:7">
      <c r="A261" s="410" t="s">
        <v>311</v>
      </c>
      <c r="B261" s="399" t="s">
        <v>2906</v>
      </c>
      <c r="C261" s="400">
        <v>0.1</v>
      </c>
      <c r="D261" s="400">
        <v>0.1</v>
      </c>
      <c r="E261" s="400">
        <v>0.118</v>
      </c>
      <c r="F261" s="400">
        <v>0.108</v>
      </c>
      <c r="G261" s="401">
        <v>0.107</v>
      </c>
    </row>
    <row r="262" spans="1:7">
      <c r="A262" s="410" t="s">
        <v>311</v>
      </c>
      <c r="B262" s="399" t="s">
        <v>2907</v>
      </c>
      <c r="C262" s="400">
        <v>0.1</v>
      </c>
      <c r="D262" s="400">
        <v>0.1</v>
      </c>
      <c r="E262" s="400">
        <v>0.1</v>
      </c>
      <c r="F262" s="400">
        <v>0.141</v>
      </c>
      <c r="G262" s="401">
        <v>0.1</v>
      </c>
    </row>
    <row r="263" spans="1:7">
      <c r="A263" s="410" t="s">
        <v>311</v>
      </c>
      <c r="B263" s="399" t="s">
        <v>2908</v>
      </c>
      <c r="C263" s="400">
        <v>0.148</v>
      </c>
      <c r="D263" s="400">
        <v>0.148</v>
      </c>
      <c r="E263" s="400">
        <v>0.15</v>
      </c>
      <c r="F263" s="400">
        <v>0.147</v>
      </c>
      <c r="G263" s="401">
        <v>0.15</v>
      </c>
    </row>
    <row r="264" spans="1:7">
      <c r="A264" s="410" t="s">
        <v>311</v>
      </c>
      <c r="B264" s="399" t="s">
        <v>2909</v>
      </c>
      <c r="C264" s="400">
        <v>0.143</v>
      </c>
      <c r="D264" s="400">
        <v>0.143</v>
      </c>
      <c r="E264" s="400">
        <v>0.15</v>
      </c>
      <c r="F264" s="400">
        <v>0.149</v>
      </c>
      <c r="G264" s="401">
        <v>0.146</v>
      </c>
    </row>
    <row r="265" spans="1:7">
      <c r="A265" s="410" t="s">
        <v>311</v>
      </c>
      <c r="B265" s="399" t="s">
        <v>2910</v>
      </c>
      <c r="C265" s="411"/>
      <c r="D265" s="411"/>
      <c r="E265" s="411"/>
      <c r="F265" s="400">
        <v>0.05</v>
      </c>
      <c r="G265" s="417"/>
    </row>
    <row r="266" spans="1:7">
      <c r="A266" s="410" t="s">
        <v>311</v>
      </c>
      <c r="B266" s="399" t="s">
        <v>2911</v>
      </c>
      <c r="C266" s="411"/>
      <c r="D266" s="411"/>
      <c r="E266" s="411"/>
      <c r="F266" s="400">
        <v>0.05</v>
      </c>
      <c r="G266" s="417"/>
    </row>
    <row r="267" spans="1:7">
      <c r="A267" s="410" t="s">
        <v>311</v>
      </c>
      <c r="B267" s="399" t="s">
        <v>2912</v>
      </c>
      <c r="C267" s="411"/>
      <c r="D267" s="411"/>
      <c r="E267" s="411"/>
      <c r="F267" s="400">
        <v>0.05</v>
      </c>
      <c r="G267" s="417"/>
    </row>
    <row r="268" spans="1:7">
      <c r="A268" s="410" t="s">
        <v>311</v>
      </c>
      <c r="B268" s="399" t="s">
        <v>2913</v>
      </c>
      <c r="C268" s="411"/>
      <c r="D268" s="411"/>
      <c r="E268" s="411"/>
      <c r="F268" s="400">
        <v>0.05</v>
      </c>
      <c r="G268" s="417"/>
    </row>
    <row r="269" spans="1:7">
      <c r="A269" s="410" t="s">
        <v>311</v>
      </c>
      <c r="B269" s="399" t="s">
        <v>2914</v>
      </c>
      <c r="C269" s="411"/>
      <c r="D269" s="411"/>
      <c r="E269" s="411"/>
      <c r="F269" s="400">
        <v>0.05</v>
      </c>
      <c r="G269" s="417"/>
    </row>
    <row r="270" spans="1:7">
      <c r="A270" s="410" t="s">
        <v>311</v>
      </c>
      <c r="B270" s="399" t="s">
        <v>2915</v>
      </c>
      <c r="C270" s="411"/>
      <c r="D270" s="411"/>
      <c r="E270" s="411"/>
      <c r="F270" s="400">
        <v>0.05</v>
      </c>
      <c r="G270" s="417"/>
    </row>
    <row r="271" spans="1:7">
      <c r="A271" s="410" t="s">
        <v>311</v>
      </c>
      <c r="B271" s="399" t="s">
        <v>2916</v>
      </c>
      <c r="C271" s="411"/>
      <c r="D271" s="411"/>
      <c r="E271" s="411"/>
      <c r="F271" s="400">
        <v>0.05</v>
      </c>
      <c r="G271" s="417"/>
    </row>
    <row r="272" spans="1:7">
      <c r="A272" s="410" t="s">
        <v>311</v>
      </c>
      <c r="B272" s="399" t="s">
        <v>2917</v>
      </c>
      <c r="C272" s="411"/>
      <c r="D272" s="411"/>
      <c r="E272" s="411"/>
      <c r="F272" s="400">
        <v>0.05</v>
      </c>
      <c r="G272" s="417"/>
    </row>
    <row r="273" spans="1:7">
      <c r="A273" s="410" t="s">
        <v>311</v>
      </c>
      <c r="B273" s="399" t="s">
        <v>2918</v>
      </c>
      <c r="C273" s="411"/>
      <c r="D273" s="411"/>
      <c r="E273" s="411"/>
      <c r="F273" s="400">
        <v>0.05</v>
      </c>
      <c r="G273" s="417"/>
    </row>
    <row r="274" spans="1:7">
      <c r="A274" s="410" t="s">
        <v>311</v>
      </c>
      <c r="B274" s="399" t="s">
        <v>2919</v>
      </c>
      <c r="C274" s="411"/>
      <c r="D274" s="411"/>
      <c r="E274" s="411"/>
      <c r="F274" s="400">
        <v>0.05</v>
      </c>
      <c r="G274" s="417"/>
    </row>
    <row r="275" spans="1:7">
      <c r="A275" s="410" t="s">
        <v>311</v>
      </c>
      <c r="B275" s="399" t="s">
        <v>2920</v>
      </c>
      <c r="C275" s="411"/>
      <c r="D275" s="411"/>
      <c r="E275" s="411"/>
      <c r="F275" s="400">
        <v>0.05</v>
      </c>
      <c r="G275" s="417"/>
    </row>
    <row r="276" ht="14.25" spans="1:7">
      <c r="A276" s="413" t="s">
        <v>311</v>
      </c>
      <c r="B276" s="403" t="s">
        <v>2921</v>
      </c>
      <c r="C276" s="405"/>
      <c r="D276" s="405"/>
      <c r="E276" s="405"/>
      <c r="F276" s="404">
        <v>0.05</v>
      </c>
      <c r="G276" s="418"/>
    </row>
    <row r="277" spans="1:7">
      <c r="A277" s="409" t="s">
        <v>318</v>
      </c>
      <c r="B277" s="395" t="s">
        <v>2922</v>
      </c>
      <c r="C277" s="396">
        <v>0.15</v>
      </c>
      <c r="D277" s="396">
        <v>0.15</v>
      </c>
      <c r="E277" s="396">
        <v>0.15</v>
      </c>
      <c r="F277" s="396">
        <v>0.15</v>
      </c>
      <c r="G277" s="397">
        <v>0.15</v>
      </c>
    </row>
    <row r="278" spans="1:7">
      <c r="A278" s="410" t="s">
        <v>318</v>
      </c>
      <c r="B278" s="399" t="s">
        <v>2923</v>
      </c>
      <c r="C278" s="400">
        <v>0.15</v>
      </c>
      <c r="D278" s="400">
        <v>0.15</v>
      </c>
      <c r="E278" s="400">
        <v>0.15</v>
      </c>
      <c r="F278" s="400">
        <v>0.15</v>
      </c>
      <c r="G278" s="401">
        <v>0.15</v>
      </c>
    </row>
    <row r="279" spans="1:7">
      <c r="A279" s="410" t="s">
        <v>318</v>
      </c>
      <c r="B279" s="399" t="s">
        <v>2924</v>
      </c>
      <c r="C279" s="400">
        <v>0.15</v>
      </c>
      <c r="D279" s="400">
        <v>0.15</v>
      </c>
      <c r="E279" s="400">
        <v>0.15</v>
      </c>
      <c r="F279" s="400">
        <v>0.15</v>
      </c>
      <c r="G279" s="401">
        <v>0.15</v>
      </c>
    </row>
    <row r="280" spans="1:7">
      <c r="A280" s="410" t="s">
        <v>318</v>
      </c>
      <c r="B280" s="399" t="s">
        <v>2925</v>
      </c>
      <c r="C280" s="400">
        <v>0.15</v>
      </c>
      <c r="D280" s="400">
        <v>0.15</v>
      </c>
      <c r="E280" s="400">
        <v>0.15</v>
      </c>
      <c r="F280" s="400">
        <v>0.15</v>
      </c>
      <c r="G280" s="401">
        <v>0.15</v>
      </c>
    </row>
    <row r="281" spans="1:7">
      <c r="A281" s="410" t="s">
        <v>318</v>
      </c>
      <c r="B281" s="399" t="s">
        <v>2926</v>
      </c>
      <c r="C281" s="400">
        <v>0.15</v>
      </c>
      <c r="D281" s="400">
        <v>0.15</v>
      </c>
      <c r="E281" s="400">
        <v>0.15</v>
      </c>
      <c r="F281" s="400">
        <v>0.15</v>
      </c>
      <c r="G281" s="401">
        <v>0.15</v>
      </c>
    </row>
    <row r="282" spans="1:7">
      <c r="A282" s="410" t="s">
        <v>318</v>
      </c>
      <c r="B282" s="399" t="s">
        <v>2927</v>
      </c>
      <c r="C282" s="400">
        <v>0.15</v>
      </c>
      <c r="D282" s="400">
        <v>0.15</v>
      </c>
      <c r="E282" s="400">
        <v>0.15</v>
      </c>
      <c r="F282" s="400">
        <v>0.145</v>
      </c>
      <c r="G282" s="401">
        <v>0.15</v>
      </c>
    </row>
    <row r="283" spans="1:7">
      <c r="A283" s="410" t="s">
        <v>318</v>
      </c>
      <c r="B283" s="399" t="s">
        <v>2928</v>
      </c>
      <c r="C283" s="400">
        <v>0.15</v>
      </c>
      <c r="D283" s="400">
        <v>0.15</v>
      </c>
      <c r="E283" s="400">
        <v>0.15</v>
      </c>
      <c r="F283" s="400">
        <v>0.142</v>
      </c>
      <c r="G283" s="401">
        <v>0.15</v>
      </c>
    </row>
    <row r="284" spans="1:7">
      <c r="A284" s="410" t="s">
        <v>318</v>
      </c>
      <c r="B284" s="399" t="s">
        <v>2929</v>
      </c>
      <c r="C284" s="400">
        <v>0.15</v>
      </c>
      <c r="D284" s="400">
        <v>0.15</v>
      </c>
      <c r="E284" s="400">
        <v>0.15</v>
      </c>
      <c r="F284" s="400">
        <v>0.15</v>
      </c>
      <c r="G284" s="401">
        <v>0.15</v>
      </c>
    </row>
    <row r="285" spans="1:7">
      <c r="A285" s="410" t="s">
        <v>318</v>
      </c>
      <c r="B285" s="399" t="s">
        <v>2930</v>
      </c>
      <c r="C285" s="400">
        <v>0.15</v>
      </c>
      <c r="D285" s="400">
        <v>0.15</v>
      </c>
      <c r="E285" s="400">
        <v>0.15</v>
      </c>
      <c r="F285" s="400">
        <v>0.15</v>
      </c>
      <c r="G285" s="401">
        <v>0.15</v>
      </c>
    </row>
    <row r="286" spans="1:7">
      <c r="A286" s="410" t="s">
        <v>318</v>
      </c>
      <c r="B286" s="399" t="s">
        <v>2931</v>
      </c>
      <c r="C286" s="400">
        <v>0.145</v>
      </c>
      <c r="D286" s="400">
        <v>0.145</v>
      </c>
      <c r="E286" s="400">
        <v>0.15</v>
      </c>
      <c r="F286" s="400">
        <v>0.141</v>
      </c>
      <c r="G286" s="401">
        <v>0.145</v>
      </c>
    </row>
    <row r="287" spans="1:7">
      <c r="A287" s="410" t="s">
        <v>318</v>
      </c>
      <c r="B287" s="399" t="s">
        <v>2932</v>
      </c>
      <c r="C287" s="400">
        <v>0.11</v>
      </c>
      <c r="D287" s="400">
        <v>0.111</v>
      </c>
      <c r="E287" s="400">
        <v>0.141</v>
      </c>
      <c r="F287" s="400">
        <v>0.11</v>
      </c>
      <c r="G287" s="401">
        <v>0.12</v>
      </c>
    </row>
    <row r="288" spans="1:7">
      <c r="A288" s="410" t="s">
        <v>318</v>
      </c>
      <c r="B288" s="399" t="s">
        <v>2933</v>
      </c>
      <c r="C288" s="400">
        <v>0.142</v>
      </c>
      <c r="D288" s="400">
        <v>0.143</v>
      </c>
      <c r="E288" s="400">
        <v>0.15</v>
      </c>
      <c r="F288" s="400">
        <v>0.142</v>
      </c>
      <c r="G288" s="401">
        <v>0.144</v>
      </c>
    </row>
    <row r="289" spans="1:7">
      <c r="A289" s="410" t="s">
        <v>318</v>
      </c>
      <c r="B289" s="399" t="s">
        <v>2934</v>
      </c>
      <c r="C289" s="400">
        <v>0.143</v>
      </c>
      <c r="D289" s="400">
        <v>0.143</v>
      </c>
      <c r="E289" s="400">
        <v>0.148</v>
      </c>
      <c r="F289" s="400">
        <v>0.144</v>
      </c>
      <c r="G289" s="401">
        <v>0.144</v>
      </c>
    </row>
    <row r="290" spans="1:7">
      <c r="A290" s="410" t="s">
        <v>318</v>
      </c>
      <c r="B290" s="399" t="s">
        <v>2935</v>
      </c>
      <c r="C290" s="400">
        <v>0.148</v>
      </c>
      <c r="D290" s="400">
        <v>0.149</v>
      </c>
      <c r="E290" s="400">
        <v>0.15</v>
      </c>
      <c r="F290" s="400">
        <v>0.127</v>
      </c>
      <c r="G290" s="401">
        <v>0.15</v>
      </c>
    </row>
    <row r="291" spans="1:7">
      <c r="A291" s="410" t="s">
        <v>318</v>
      </c>
      <c r="B291" s="399" t="s">
        <v>2936</v>
      </c>
      <c r="C291" s="400">
        <v>0.15</v>
      </c>
      <c r="D291" s="400">
        <v>0.15</v>
      </c>
      <c r="E291" s="400">
        <v>0.15</v>
      </c>
      <c r="F291" s="400">
        <v>0.149</v>
      </c>
      <c r="G291" s="401">
        <v>0.15</v>
      </c>
    </row>
    <row r="292" spans="1:7">
      <c r="A292" s="410" t="s">
        <v>318</v>
      </c>
      <c r="B292" s="399" t="s">
        <v>2937</v>
      </c>
      <c r="C292" s="400">
        <v>0.15</v>
      </c>
      <c r="D292" s="400">
        <v>0.15</v>
      </c>
      <c r="E292" s="400">
        <v>0.15</v>
      </c>
      <c r="F292" s="400">
        <v>0.144</v>
      </c>
      <c r="G292" s="401">
        <v>0.15</v>
      </c>
    </row>
    <row r="293" spans="1:7">
      <c r="A293" s="410" t="s">
        <v>318</v>
      </c>
      <c r="B293" s="399" t="s">
        <v>2938</v>
      </c>
      <c r="C293" s="400">
        <v>0.15</v>
      </c>
      <c r="D293" s="400">
        <v>0.15</v>
      </c>
      <c r="E293" s="400">
        <v>0.15</v>
      </c>
      <c r="F293" s="400">
        <v>0.145</v>
      </c>
      <c r="G293" s="401">
        <v>0.15</v>
      </c>
    </row>
    <row r="294" spans="1:7">
      <c r="A294" s="410" t="s">
        <v>318</v>
      </c>
      <c r="B294" s="399" t="s">
        <v>2939</v>
      </c>
      <c r="C294" s="400">
        <v>0.15</v>
      </c>
      <c r="D294" s="400">
        <v>0.15</v>
      </c>
      <c r="E294" s="400">
        <v>0.15</v>
      </c>
      <c r="F294" s="400">
        <v>0.149</v>
      </c>
      <c r="G294" s="401">
        <v>0.15</v>
      </c>
    </row>
    <row r="295" spans="1:7">
      <c r="A295" s="410" t="s">
        <v>318</v>
      </c>
      <c r="B295" s="399" t="s">
        <v>2940</v>
      </c>
      <c r="C295" s="400">
        <v>0.15</v>
      </c>
      <c r="D295" s="400">
        <v>0.15</v>
      </c>
      <c r="E295" s="400">
        <v>0.15</v>
      </c>
      <c r="F295" s="400">
        <v>0.148</v>
      </c>
      <c r="G295" s="401">
        <v>0.15</v>
      </c>
    </row>
    <row r="296" spans="1:7">
      <c r="A296" s="410" t="s">
        <v>318</v>
      </c>
      <c r="B296" s="399" t="s">
        <v>2941</v>
      </c>
      <c r="C296" s="400">
        <v>0.15</v>
      </c>
      <c r="D296" s="400">
        <v>0.15</v>
      </c>
      <c r="E296" s="400">
        <v>0.15</v>
      </c>
      <c r="F296" s="400">
        <v>0.144</v>
      </c>
      <c r="G296" s="401">
        <v>0.15</v>
      </c>
    </row>
    <row r="297" spans="1:7">
      <c r="A297" s="410" t="s">
        <v>318</v>
      </c>
      <c r="B297" s="399" t="s">
        <v>2942</v>
      </c>
      <c r="C297" s="400">
        <v>0.15</v>
      </c>
      <c r="D297" s="400">
        <v>0.15</v>
      </c>
      <c r="E297" s="400">
        <v>0.15</v>
      </c>
      <c r="F297" s="400">
        <v>0.145</v>
      </c>
      <c r="G297" s="401">
        <v>0.15</v>
      </c>
    </row>
    <row r="298" spans="1:7">
      <c r="A298" s="410" t="s">
        <v>318</v>
      </c>
      <c r="B298" s="399" t="s">
        <v>2943</v>
      </c>
      <c r="C298" s="400">
        <v>0.15</v>
      </c>
      <c r="D298" s="400">
        <v>0.15</v>
      </c>
      <c r="E298" s="400">
        <v>0.15</v>
      </c>
      <c r="F298" s="400">
        <v>0.15</v>
      </c>
      <c r="G298" s="401">
        <v>0.15</v>
      </c>
    </row>
    <row r="299" spans="1:7">
      <c r="A299" s="410" t="s">
        <v>318</v>
      </c>
      <c r="B299" s="419" t="s">
        <v>2944</v>
      </c>
      <c r="C299" s="400">
        <v>0.15</v>
      </c>
      <c r="D299" s="400">
        <v>0.15</v>
      </c>
      <c r="E299" s="400">
        <v>0.15</v>
      </c>
      <c r="F299" s="400">
        <v>0.145</v>
      </c>
      <c r="G299" s="401">
        <v>0.15</v>
      </c>
    </row>
    <row r="300" spans="1:7">
      <c r="A300" s="410" t="s">
        <v>318</v>
      </c>
      <c r="B300" s="419" t="s">
        <v>2945</v>
      </c>
      <c r="C300" s="400">
        <v>0.15</v>
      </c>
      <c r="D300" s="400">
        <v>0.15</v>
      </c>
      <c r="E300" s="400">
        <v>0.15</v>
      </c>
      <c r="F300" s="400">
        <v>0.146</v>
      </c>
      <c r="G300" s="401">
        <v>0.15</v>
      </c>
    </row>
    <row r="301" spans="1:7">
      <c r="A301" s="410" t="s">
        <v>318</v>
      </c>
      <c r="B301" s="419" t="s">
        <v>2946</v>
      </c>
      <c r="C301" s="400">
        <v>0.126</v>
      </c>
      <c r="D301" s="400">
        <v>0.124</v>
      </c>
      <c r="E301" s="400">
        <v>0.141</v>
      </c>
      <c r="F301" s="400">
        <v>0.144</v>
      </c>
      <c r="G301" s="401">
        <v>0.13</v>
      </c>
    </row>
    <row r="302" spans="1:7">
      <c r="A302" s="410" t="s">
        <v>318</v>
      </c>
      <c r="B302" s="399" t="s">
        <v>2947</v>
      </c>
      <c r="C302" s="400">
        <v>0.15</v>
      </c>
      <c r="D302" s="400">
        <v>0.15</v>
      </c>
      <c r="E302" s="400">
        <v>0.15</v>
      </c>
      <c r="F302" s="400">
        <v>0.147</v>
      </c>
      <c r="G302" s="401">
        <v>0.15</v>
      </c>
    </row>
    <row r="303" spans="1:7">
      <c r="A303" s="410" t="s">
        <v>318</v>
      </c>
      <c r="B303" s="399" t="s">
        <v>2948</v>
      </c>
      <c r="C303" s="400">
        <v>0.15</v>
      </c>
      <c r="D303" s="400">
        <v>0.15</v>
      </c>
      <c r="E303" s="400">
        <v>0.15</v>
      </c>
      <c r="F303" s="400">
        <v>0.142</v>
      </c>
      <c r="G303" s="401">
        <v>0.15</v>
      </c>
    </row>
    <row r="304" spans="1:7">
      <c r="A304" s="410" t="s">
        <v>318</v>
      </c>
      <c r="B304" s="399" t="s">
        <v>2949</v>
      </c>
      <c r="C304" s="400">
        <v>0.15</v>
      </c>
      <c r="D304" s="400">
        <v>0.15</v>
      </c>
      <c r="E304" s="400">
        <v>0.15</v>
      </c>
      <c r="F304" s="400">
        <v>0.145</v>
      </c>
      <c r="G304" s="401">
        <v>0.15</v>
      </c>
    </row>
    <row r="305" spans="1:7">
      <c r="A305" s="410" t="s">
        <v>318</v>
      </c>
      <c r="B305" s="399" t="s">
        <v>2950</v>
      </c>
      <c r="C305" s="400">
        <v>0.15</v>
      </c>
      <c r="D305" s="400">
        <v>0.15</v>
      </c>
      <c r="E305" s="400">
        <v>0.15</v>
      </c>
      <c r="F305" s="400">
        <v>0.111</v>
      </c>
      <c r="G305" s="401">
        <v>0.15</v>
      </c>
    </row>
    <row r="306" spans="1:7">
      <c r="A306" s="410" t="s">
        <v>318</v>
      </c>
      <c r="B306" s="399" t="s">
        <v>2951</v>
      </c>
      <c r="C306" s="400">
        <v>0.15</v>
      </c>
      <c r="D306" s="400">
        <v>0.15</v>
      </c>
      <c r="E306" s="400">
        <v>0.15</v>
      </c>
      <c r="F306" s="400">
        <v>0.126</v>
      </c>
      <c r="G306" s="401">
        <v>0.15</v>
      </c>
    </row>
    <row r="307" spans="1:7">
      <c r="A307" s="410" t="s">
        <v>318</v>
      </c>
      <c r="B307" s="399" t="s">
        <v>2952</v>
      </c>
      <c r="C307" s="400">
        <v>0.15</v>
      </c>
      <c r="D307" s="400">
        <v>0.15</v>
      </c>
      <c r="E307" s="400">
        <v>0.15</v>
      </c>
      <c r="F307" s="400">
        <v>0.12</v>
      </c>
      <c r="G307" s="401">
        <v>0.15</v>
      </c>
    </row>
    <row r="308" spans="1:7">
      <c r="A308" s="410" t="s">
        <v>318</v>
      </c>
      <c r="B308" s="399" t="s">
        <v>2953</v>
      </c>
      <c r="C308" s="400">
        <v>0.15</v>
      </c>
      <c r="D308" s="400">
        <v>0.15</v>
      </c>
      <c r="E308" s="400">
        <v>0.15</v>
      </c>
      <c r="F308" s="400">
        <v>0.13</v>
      </c>
      <c r="G308" s="401">
        <v>0.15</v>
      </c>
    </row>
    <row r="309" spans="1:7">
      <c r="A309" s="410" t="s">
        <v>318</v>
      </c>
      <c r="B309" s="399" t="s">
        <v>2954</v>
      </c>
      <c r="C309" s="400">
        <v>0.15</v>
      </c>
      <c r="D309" s="400">
        <v>0.15</v>
      </c>
      <c r="E309" s="400">
        <v>0.15</v>
      </c>
      <c r="F309" s="400">
        <v>0.141</v>
      </c>
      <c r="G309" s="401">
        <v>0.15</v>
      </c>
    </row>
    <row r="310" spans="1:7">
      <c r="A310" s="410" t="s">
        <v>318</v>
      </c>
      <c r="B310" s="399" t="s">
        <v>2955</v>
      </c>
      <c r="C310" s="400">
        <v>0.15</v>
      </c>
      <c r="D310" s="400">
        <v>0.15</v>
      </c>
      <c r="E310" s="400">
        <v>0.15</v>
      </c>
      <c r="F310" s="400">
        <v>0.15</v>
      </c>
      <c r="G310" s="401">
        <v>0.15</v>
      </c>
    </row>
    <row r="311" spans="1:7">
      <c r="A311" s="410" t="s">
        <v>318</v>
      </c>
      <c r="B311" s="399" t="s">
        <v>2956</v>
      </c>
      <c r="C311" s="400">
        <v>0.132</v>
      </c>
      <c r="D311" s="400">
        <v>0.133</v>
      </c>
      <c r="E311" s="400">
        <v>0.145</v>
      </c>
      <c r="F311" s="400">
        <v>0.142</v>
      </c>
      <c r="G311" s="401">
        <v>0.14</v>
      </c>
    </row>
    <row r="312" spans="1:7">
      <c r="A312" s="410" t="s">
        <v>318</v>
      </c>
      <c r="B312" s="399" t="s">
        <v>2957</v>
      </c>
      <c r="C312" s="400">
        <v>0.138</v>
      </c>
      <c r="D312" s="400">
        <v>0.14</v>
      </c>
      <c r="E312" s="400">
        <v>0.146</v>
      </c>
      <c r="F312" s="400">
        <v>0.149</v>
      </c>
      <c r="G312" s="401">
        <v>0.142</v>
      </c>
    </row>
    <row r="313" spans="1:7">
      <c r="A313" s="410" t="s">
        <v>318</v>
      </c>
      <c r="B313" s="399" t="s">
        <v>2958</v>
      </c>
      <c r="C313" s="400">
        <v>0.125</v>
      </c>
      <c r="D313" s="400">
        <v>0.127</v>
      </c>
      <c r="E313" s="400">
        <v>0.144</v>
      </c>
      <c r="F313" s="400">
        <v>0.115</v>
      </c>
      <c r="G313" s="401">
        <v>0.136</v>
      </c>
    </row>
    <row r="314" spans="1:7">
      <c r="A314" s="410" t="s">
        <v>318</v>
      </c>
      <c r="B314" s="399" t="s">
        <v>2959</v>
      </c>
      <c r="C314" s="416"/>
      <c r="D314" s="416"/>
      <c r="E314" s="416"/>
      <c r="F314" s="400">
        <v>0.05</v>
      </c>
      <c r="G314" s="417"/>
    </row>
    <row r="315" spans="1:7">
      <c r="A315" s="410" t="s">
        <v>318</v>
      </c>
      <c r="B315" s="399" t="s">
        <v>2960</v>
      </c>
      <c r="C315" s="416"/>
      <c r="D315" s="416"/>
      <c r="E315" s="416"/>
      <c r="F315" s="400">
        <v>0.05</v>
      </c>
      <c r="G315" s="417"/>
    </row>
    <row r="316" spans="1:7">
      <c r="A316" s="410" t="s">
        <v>318</v>
      </c>
      <c r="B316" s="399" t="s">
        <v>2961</v>
      </c>
      <c r="C316" s="411"/>
      <c r="D316" s="411"/>
      <c r="E316" s="411"/>
      <c r="F316" s="400">
        <v>0.05</v>
      </c>
      <c r="G316" s="417"/>
    </row>
    <row r="317" spans="1:7">
      <c r="A317" s="410" t="s">
        <v>318</v>
      </c>
      <c r="B317" s="399" t="s">
        <v>2962</v>
      </c>
      <c r="C317" s="411"/>
      <c r="D317" s="411"/>
      <c r="E317" s="411"/>
      <c r="F317" s="400">
        <v>0.05</v>
      </c>
      <c r="G317" s="417"/>
    </row>
    <row r="318" spans="1:7">
      <c r="A318" s="410" t="s">
        <v>318</v>
      </c>
      <c r="B318" s="399" t="s">
        <v>2963</v>
      </c>
      <c r="C318" s="411"/>
      <c r="D318" s="411"/>
      <c r="E318" s="411"/>
      <c r="F318" s="400">
        <v>0.05</v>
      </c>
      <c r="G318" s="417"/>
    </row>
    <row r="319" spans="1:7">
      <c r="A319" s="410" t="s">
        <v>318</v>
      </c>
      <c r="B319" s="399" t="s">
        <v>2964</v>
      </c>
      <c r="C319" s="411"/>
      <c r="D319" s="411"/>
      <c r="E319" s="411"/>
      <c r="F319" s="400">
        <v>0.05</v>
      </c>
      <c r="G319" s="417"/>
    </row>
    <row r="320" spans="1:7">
      <c r="A320" s="410" t="s">
        <v>318</v>
      </c>
      <c r="B320" s="399" t="s">
        <v>2965</v>
      </c>
      <c r="C320" s="411"/>
      <c r="D320" s="411"/>
      <c r="E320" s="411"/>
      <c r="F320" s="400">
        <v>0.05</v>
      </c>
      <c r="G320" s="417"/>
    </row>
    <row r="321" spans="1:7">
      <c r="A321" s="410" t="s">
        <v>318</v>
      </c>
      <c r="B321" s="399" t="s">
        <v>2966</v>
      </c>
      <c r="C321" s="411"/>
      <c r="D321" s="411"/>
      <c r="E321" s="411"/>
      <c r="F321" s="400">
        <v>0.05</v>
      </c>
      <c r="G321" s="417"/>
    </row>
    <row r="322" spans="1:7">
      <c r="A322" s="410" t="s">
        <v>318</v>
      </c>
      <c r="B322" s="399" t="s">
        <v>2967</v>
      </c>
      <c r="C322" s="411"/>
      <c r="D322" s="411"/>
      <c r="E322" s="411"/>
      <c r="F322" s="400">
        <v>0.05</v>
      </c>
      <c r="G322" s="417"/>
    </row>
    <row r="323" spans="1:7">
      <c r="A323" s="410" t="s">
        <v>318</v>
      </c>
      <c r="B323" s="399" t="s">
        <v>2968</v>
      </c>
      <c r="C323" s="411"/>
      <c r="D323" s="411"/>
      <c r="E323" s="411"/>
      <c r="F323" s="400">
        <v>0.05</v>
      </c>
      <c r="G323" s="417"/>
    </row>
    <row r="324" spans="1:7">
      <c r="A324" s="410" t="s">
        <v>318</v>
      </c>
      <c r="B324" s="399" t="s">
        <v>2969</v>
      </c>
      <c r="C324" s="411"/>
      <c r="D324" s="411"/>
      <c r="E324" s="411"/>
      <c r="F324" s="400">
        <v>0.05</v>
      </c>
      <c r="G324" s="417"/>
    </row>
    <row r="325" spans="1:7">
      <c r="A325" s="410" t="s">
        <v>318</v>
      </c>
      <c r="B325" s="399" t="s">
        <v>2970</v>
      </c>
      <c r="C325" s="411"/>
      <c r="D325" s="411"/>
      <c r="E325" s="411"/>
      <c r="F325" s="400">
        <v>0.05</v>
      </c>
      <c r="G325" s="417"/>
    </row>
    <row r="326" ht="14.25" spans="1:7">
      <c r="A326" s="413" t="s">
        <v>318</v>
      </c>
      <c r="B326" s="403" t="s">
        <v>2971</v>
      </c>
      <c r="C326" s="405"/>
      <c r="D326" s="405"/>
      <c r="E326" s="405"/>
      <c r="F326" s="404">
        <v>0.05</v>
      </c>
      <c r="G326" s="418"/>
    </row>
    <row r="327" spans="1:7">
      <c r="A327" s="409" t="s">
        <v>324</v>
      </c>
      <c r="B327" s="395" t="s">
        <v>2972</v>
      </c>
      <c r="C327" s="396">
        <v>0.15</v>
      </c>
      <c r="D327" s="396">
        <v>0.15</v>
      </c>
      <c r="E327" s="396">
        <v>0.15</v>
      </c>
      <c r="F327" s="396">
        <v>0.15</v>
      </c>
      <c r="G327" s="397">
        <v>0.15</v>
      </c>
    </row>
    <row r="328" spans="1:7">
      <c r="A328" s="410" t="s">
        <v>324</v>
      </c>
      <c r="B328" s="399" t="s">
        <v>2973</v>
      </c>
      <c r="C328" s="400">
        <v>0.15</v>
      </c>
      <c r="D328" s="400">
        <v>0.15</v>
      </c>
      <c r="E328" s="400">
        <v>0.15</v>
      </c>
      <c r="F328" s="400">
        <v>0.126</v>
      </c>
      <c r="G328" s="401">
        <v>0.15</v>
      </c>
    </row>
    <row r="329" spans="1:7">
      <c r="A329" s="410" t="s">
        <v>324</v>
      </c>
      <c r="B329" s="399" t="s">
        <v>2974</v>
      </c>
      <c r="C329" s="400">
        <v>0.15</v>
      </c>
      <c r="D329" s="400">
        <v>0.15</v>
      </c>
      <c r="E329" s="400">
        <v>0.15</v>
      </c>
      <c r="F329" s="400">
        <v>0.15</v>
      </c>
      <c r="G329" s="401">
        <v>0.15</v>
      </c>
    </row>
    <row r="330" spans="1:7">
      <c r="A330" s="410" t="s">
        <v>324</v>
      </c>
      <c r="B330" s="399" t="s">
        <v>2975</v>
      </c>
      <c r="C330" s="400">
        <v>0.15</v>
      </c>
      <c r="D330" s="400">
        <v>0.15</v>
      </c>
      <c r="E330" s="400">
        <v>0.15</v>
      </c>
      <c r="F330" s="400">
        <v>0.15</v>
      </c>
      <c r="G330" s="401">
        <v>0.15</v>
      </c>
    </row>
    <row r="331" spans="1:7">
      <c r="A331" s="410" t="s">
        <v>324</v>
      </c>
      <c r="B331" s="399" t="s">
        <v>2976</v>
      </c>
      <c r="C331" s="400">
        <v>0.15</v>
      </c>
      <c r="D331" s="400">
        <v>0.15</v>
      </c>
      <c r="E331" s="400">
        <v>0.15</v>
      </c>
      <c r="F331" s="400">
        <v>0.15</v>
      </c>
      <c r="G331" s="401">
        <v>0.15</v>
      </c>
    </row>
    <row r="332" spans="1:7">
      <c r="A332" s="410" t="s">
        <v>324</v>
      </c>
      <c r="B332" s="399" t="s">
        <v>2977</v>
      </c>
      <c r="C332" s="400">
        <v>0.15</v>
      </c>
      <c r="D332" s="400">
        <v>0.15</v>
      </c>
      <c r="E332" s="400">
        <v>0.15</v>
      </c>
      <c r="F332" s="400">
        <v>0.15</v>
      </c>
      <c r="G332" s="401">
        <v>0.15</v>
      </c>
    </row>
    <row r="333" spans="1:7">
      <c r="A333" s="410" t="s">
        <v>324</v>
      </c>
      <c r="B333" s="399" t="s">
        <v>2978</v>
      </c>
      <c r="C333" s="400">
        <v>0.149</v>
      </c>
      <c r="D333" s="400">
        <v>0.149</v>
      </c>
      <c r="E333" s="400">
        <v>0.15</v>
      </c>
      <c r="F333" s="400">
        <v>0.116</v>
      </c>
      <c r="G333" s="401">
        <v>0.15</v>
      </c>
    </row>
    <row r="334" spans="1:7">
      <c r="A334" s="410" t="s">
        <v>324</v>
      </c>
      <c r="B334" s="399" t="s">
        <v>2979</v>
      </c>
      <c r="C334" s="400">
        <v>0.15</v>
      </c>
      <c r="D334" s="400">
        <v>0.15</v>
      </c>
      <c r="E334" s="400">
        <v>0.15</v>
      </c>
      <c r="F334" s="400">
        <v>0.13</v>
      </c>
      <c r="G334" s="401">
        <v>0.15</v>
      </c>
    </row>
    <row r="335" spans="1:7">
      <c r="A335" s="410" t="s">
        <v>324</v>
      </c>
      <c r="B335" s="399" t="s">
        <v>2980</v>
      </c>
      <c r="C335" s="400">
        <v>0.15</v>
      </c>
      <c r="D335" s="400">
        <v>0.15</v>
      </c>
      <c r="E335" s="400">
        <v>0.15</v>
      </c>
      <c r="F335" s="400">
        <v>0.144</v>
      </c>
      <c r="G335" s="401">
        <v>0.15</v>
      </c>
    </row>
    <row r="336" spans="1:7">
      <c r="A336" s="410" t="s">
        <v>324</v>
      </c>
      <c r="B336" s="399" t="s">
        <v>2981</v>
      </c>
      <c r="C336" s="400">
        <v>0.15</v>
      </c>
      <c r="D336" s="400">
        <v>0.15</v>
      </c>
      <c r="E336" s="400">
        <v>0.15</v>
      </c>
      <c r="F336" s="400">
        <v>0.142</v>
      </c>
      <c r="G336" s="401">
        <v>0.15</v>
      </c>
    </row>
    <row r="337" spans="1:7">
      <c r="A337" s="410" t="s">
        <v>324</v>
      </c>
      <c r="B337" s="399" t="s">
        <v>2982</v>
      </c>
      <c r="C337" s="400">
        <v>0.15</v>
      </c>
      <c r="D337" s="400">
        <v>0.15</v>
      </c>
      <c r="E337" s="400">
        <v>0.15</v>
      </c>
      <c r="F337" s="400">
        <v>0.145</v>
      </c>
      <c r="G337" s="401">
        <v>0.15</v>
      </c>
    </row>
    <row r="338" spans="1:7">
      <c r="A338" s="410" t="s">
        <v>324</v>
      </c>
      <c r="B338" s="399" t="s">
        <v>2983</v>
      </c>
      <c r="C338" s="400">
        <v>0.15</v>
      </c>
      <c r="D338" s="400">
        <v>0.15</v>
      </c>
      <c r="E338" s="400">
        <v>0.15</v>
      </c>
      <c r="F338" s="400">
        <v>0.15</v>
      </c>
      <c r="G338" s="401">
        <v>0.15</v>
      </c>
    </row>
    <row r="339" spans="1:7">
      <c r="A339" s="410" t="s">
        <v>324</v>
      </c>
      <c r="B339" s="399" t="s">
        <v>2984</v>
      </c>
      <c r="C339" s="400">
        <v>0.15</v>
      </c>
      <c r="D339" s="400">
        <v>0.15</v>
      </c>
      <c r="E339" s="400">
        <v>0.15</v>
      </c>
      <c r="F339" s="400">
        <v>0.147</v>
      </c>
      <c r="G339" s="401">
        <v>0.15</v>
      </c>
    </row>
    <row r="340" spans="1:7">
      <c r="A340" s="410" t="s">
        <v>324</v>
      </c>
      <c r="B340" s="399" t="s">
        <v>2985</v>
      </c>
      <c r="C340" s="400">
        <v>0.146</v>
      </c>
      <c r="D340" s="400">
        <v>0.146</v>
      </c>
      <c r="E340" s="400">
        <v>0.15</v>
      </c>
      <c r="F340" s="400">
        <v>0.141</v>
      </c>
      <c r="G340" s="401">
        <v>0.147</v>
      </c>
    </row>
    <row r="341" spans="1:7">
      <c r="A341" s="410" t="s">
        <v>324</v>
      </c>
      <c r="B341" s="399" t="s">
        <v>2986</v>
      </c>
      <c r="C341" s="400">
        <v>0.126</v>
      </c>
      <c r="D341" s="400">
        <v>0.124</v>
      </c>
      <c r="E341" s="400">
        <v>0.141</v>
      </c>
      <c r="F341" s="400">
        <v>0.144</v>
      </c>
      <c r="G341" s="401">
        <v>0.13</v>
      </c>
    </row>
    <row r="342" spans="1:7">
      <c r="A342" s="410" t="s">
        <v>324</v>
      </c>
      <c r="B342" s="399" t="s">
        <v>2987</v>
      </c>
      <c r="C342" s="400">
        <v>0.15</v>
      </c>
      <c r="D342" s="400">
        <v>0.15</v>
      </c>
      <c r="E342" s="400">
        <v>0.15</v>
      </c>
      <c r="F342" s="400">
        <v>0.144</v>
      </c>
      <c r="G342" s="401">
        <v>0.15</v>
      </c>
    </row>
    <row r="343" spans="1:7">
      <c r="A343" s="410" t="s">
        <v>324</v>
      </c>
      <c r="B343" s="399" t="s">
        <v>2988</v>
      </c>
      <c r="C343" s="400">
        <v>0.15</v>
      </c>
      <c r="D343" s="400">
        <v>0.15</v>
      </c>
      <c r="E343" s="400">
        <v>0.15</v>
      </c>
      <c r="F343" s="400">
        <v>0.128</v>
      </c>
      <c r="G343" s="401">
        <v>0.15</v>
      </c>
    </row>
    <row r="344" spans="1:7">
      <c r="A344" s="410" t="s">
        <v>324</v>
      </c>
      <c r="B344" s="399" t="s">
        <v>2989</v>
      </c>
      <c r="C344" s="400">
        <v>0.15</v>
      </c>
      <c r="D344" s="400">
        <v>0.15</v>
      </c>
      <c r="E344" s="400">
        <v>0.15</v>
      </c>
      <c r="F344" s="400">
        <v>0.148</v>
      </c>
      <c r="G344" s="401">
        <v>0.15</v>
      </c>
    </row>
    <row r="345" spans="1:7">
      <c r="A345" s="410" t="s">
        <v>324</v>
      </c>
      <c r="B345" s="399" t="s">
        <v>2990</v>
      </c>
      <c r="C345" s="400">
        <v>0.15</v>
      </c>
      <c r="D345" s="400">
        <v>0.15</v>
      </c>
      <c r="E345" s="400">
        <v>0.15</v>
      </c>
      <c r="F345" s="400">
        <v>0.138</v>
      </c>
      <c r="G345" s="401">
        <v>0.15</v>
      </c>
    </row>
    <row r="346" spans="1:7">
      <c r="A346" s="410" t="s">
        <v>324</v>
      </c>
      <c r="B346" s="399" t="s">
        <v>2991</v>
      </c>
      <c r="C346" s="400">
        <v>0.15</v>
      </c>
      <c r="D346" s="400">
        <v>0.15</v>
      </c>
      <c r="E346" s="400">
        <v>0.15</v>
      </c>
      <c r="F346" s="400">
        <v>0.144</v>
      </c>
      <c r="G346" s="401">
        <v>0.15</v>
      </c>
    </row>
    <row r="347" spans="1:7">
      <c r="A347" s="410" t="s">
        <v>324</v>
      </c>
      <c r="B347" s="399" t="s">
        <v>2992</v>
      </c>
      <c r="C347" s="400">
        <v>0.15</v>
      </c>
      <c r="D347" s="400">
        <v>0.15</v>
      </c>
      <c r="E347" s="400">
        <v>0.15</v>
      </c>
      <c r="F347" s="400">
        <v>0.146</v>
      </c>
      <c r="G347" s="401">
        <v>0.15</v>
      </c>
    </row>
    <row r="348" spans="1:7">
      <c r="A348" s="410" t="s">
        <v>324</v>
      </c>
      <c r="B348" s="399" t="s">
        <v>2993</v>
      </c>
      <c r="C348" s="400">
        <v>0.15</v>
      </c>
      <c r="D348" s="400">
        <v>0.15</v>
      </c>
      <c r="E348" s="400">
        <v>0.15</v>
      </c>
      <c r="F348" s="400">
        <v>0.144</v>
      </c>
      <c r="G348" s="401">
        <v>0.15</v>
      </c>
    </row>
    <row r="349" spans="1:7">
      <c r="A349" s="410" t="s">
        <v>324</v>
      </c>
      <c r="B349" s="399" t="s">
        <v>2994</v>
      </c>
      <c r="C349" s="400">
        <v>0.15</v>
      </c>
      <c r="D349" s="400">
        <v>0.15</v>
      </c>
      <c r="E349" s="400">
        <v>0.15</v>
      </c>
      <c r="F349" s="400">
        <v>0.15</v>
      </c>
      <c r="G349" s="401">
        <v>0.15</v>
      </c>
    </row>
    <row r="350" spans="1:7">
      <c r="A350" s="410" t="s">
        <v>324</v>
      </c>
      <c r="B350" s="399" t="s">
        <v>2995</v>
      </c>
      <c r="C350" s="400">
        <v>0.15</v>
      </c>
      <c r="D350" s="400">
        <v>0.15</v>
      </c>
      <c r="E350" s="400">
        <v>0.15</v>
      </c>
      <c r="F350" s="400">
        <v>0.147</v>
      </c>
      <c r="G350" s="401">
        <v>0.15</v>
      </c>
    </row>
    <row r="351" spans="1:7">
      <c r="A351" s="410" t="s">
        <v>324</v>
      </c>
      <c r="B351" s="399" t="s">
        <v>2996</v>
      </c>
      <c r="C351" s="400">
        <v>0.15</v>
      </c>
      <c r="D351" s="400">
        <v>0.15</v>
      </c>
      <c r="E351" s="400">
        <v>0.15</v>
      </c>
      <c r="F351" s="400">
        <v>0.13</v>
      </c>
      <c r="G351" s="401">
        <v>0.15</v>
      </c>
    </row>
    <row r="352" spans="1:7">
      <c r="A352" s="410" t="s">
        <v>324</v>
      </c>
      <c r="B352" s="399" t="s">
        <v>2997</v>
      </c>
      <c r="C352" s="400">
        <v>0.15</v>
      </c>
      <c r="D352" s="400">
        <v>0.15</v>
      </c>
      <c r="E352" s="400">
        <v>0.15</v>
      </c>
      <c r="F352" s="400">
        <v>0.146</v>
      </c>
      <c r="G352" s="401">
        <v>0.15</v>
      </c>
    </row>
    <row r="353" spans="1:7">
      <c r="A353" s="410" t="s">
        <v>324</v>
      </c>
      <c r="B353" s="399" t="s">
        <v>2998</v>
      </c>
      <c r="C353" s="400">
        <v>0.15</v>
      </c>
      <c r="D353" s="400">
        <v>0.15</v>
      </c>
      <c r="E353" s="400">
        <v>0.15</v>
      </c>
      <c r="F353" s="400">
        <v>0.145</v>
      </c>
      <c r="G353" s="401">
        <v>0.15</v>
      </c>
    </row>
    <row r="354" spans="1:7">
      <c r="A354" s="410" t="s">
        <v>324</v>
      </c>
      <c r="B354" s="399" t="s">
        <v>2999</v>
      </c>
      <c r="C354" s="400">
        <v>0.15</v>
      </c>
      <c r="D354" s="400">
        <v>0.15</v>
      </c>
      <c r="E354" s="400">
        <v>0.15</v>
      </c>
      <c r="F354" s="400">
        <v>0.141</v>
      </c>
      <c r="G354" s="401">
        <v>0.15</v>
      </c>
    </row>
    <row r="355" spans="1:7">
      <c r="A355" s="410" t="s">
        <v>324</v>
      </c>
      <c r="B355" s="399" t="s">
        <v>3000</v>
      </c>
      <c r="C355" s="400">
        <v>0.15</v>
      </c>
      <c r="D355" s="400">
        <v>0.15</v>
      </c>
      <c r="E355" s="400">
        <v>0.15</v>
      </c>
      <c r="F355" s="400">
        <v>0.15</v>
      </c>
      <c r="G355" s="401">
        <v>0.15</v>
      </c>
    </row>
    <row r="356" spans="1:7">
      <c r="A356" s="410" t="s">
        <v>324</v>
      </c>
      <c r="B356" s="399" t="s">
        <v>3001</v>
      </c>
      <c r="C356" s="400">
        <v>0.15</v>
      </c>
      <c r="D356" s="400">
        <v>0.15</v>
      </c>
      <c r="E356" s="400">
        <v>0.15</v>
      </c>
      <c r="F356" s="400">
        <v>0.15</v>
      </c>
      <c r="G356" s="401">
        <v>0.15</v>
      </c>
    </row>
    <row r="357" ht="14.25" spans="1:7">
      <c r="A357" s="413" t="s">
        <v>324</v>
      </c>
      <c r="B357" s="403" t="s">
        <v>3002</v>
      </c>
      <c r="C357" s="404">
        <v>0.126</v>
      </c>
      <c r="D357" s="404">
        <v>0.127</v>
      </c>
      <c r="E357" s="404">
        <v>0.143</v>
      </c>
      <c r="F357" s="404">
        <v>0.125</v>
      </c>
      <c r="G357" s="406">
        <v>0.129</v>
      </c>
    </row>
    <row r="358" spans="1:7">
      <c r="A358" s="409" t="s">
        <v>330</v>
      </c>
      <c r="B358" s="395" t="s">
        <v>3003</v>
      </c>
      <c r="C358" s="396">
        <v>0.15</v>
      </c>
      <c r="D358" s="396">
        <v>0.15</v>
      </c>
      <c r="E358" s="396">
        <v>0.15</v>
      </c>
      <c r="F358" s="396">
        <v>0.15</v>
      </c>
      <c r="G358" s="397">
        <v>0.15</v>
      </c>
    </row>
    <row r="359" spans="1:7">
      <c r="A359" s="410" t="s">
        <v>330</v>
      </c>
      <c r="B359" s="399" t="s">
        <v>3004</v>
      </c>
      <c r="C359" s="400">
        <v>0.1</v>
      </c>
      <c r="D359" s="400">
        <v>0.1</v>
      </c>
      <c r="E359" s="400">
        <v>0.1</v>
      </c>
      <c r="F359" s="400">
        <v>0.1</v>
      </c>
      <c r="G359" s="401">
        <v>0.1</v>
      </c>
    </row>
    <row r="360" spans="1:7">
      <c r="A360" s="410" t="s">
        <v>330</v>
      </c>
      <c r="B360" s="399" t="s">
        <v>3005</v>
      </c>
      <c r="C360" s="400">
        <v>0.15</v>
      </c>
      <c r="D360" s="400">
        <v>0.15</v>
      </c>
      <c r="E360" s="400">
        <v>0.15</v>
      </c>
      <c r="F360" s="400">
        <v>0.149</v>
      </c>
      <c r="G360" s="401">
        <v>0.15</v>
      </c>
    </row>
    <row r="361" spans="1:7">
      <c r="A361" s="410" t="s">
        <v>330</v>
      </c>
      <c r="B361" s="399" t="s">
        <v>3006</v>
      </c>
      <c r="C361" s="400">
        <v>0.15</v>
      </c>
      <c r="D361" s="400">
        <v>0.15</v>
      </c>
      <c r="E361" s="400">
        <v>0.15</v>
      </c>
      <c r="F361" s="400">
        <v>0.115</v>
      </c>
      <c r="G361" s="401">
        <v>0.15</v>
      </c>
    </row>
    <row r="362" spans="1:7">
      <c r="A362" s="410" t="s">
        <v>330</v>
      </c>
      <c r="B362" s="399" t="s">
        <v>3007</v>
      </c>
      <c r="C362" s="400">
        <v>0.15</v>
      </c>
      <c r="D362" s="400">
        <v>0.15</v>
      </c>
      <c r="E362" s="400">
        <v>0.15</v>
      </c>
      <c r="F362" s="400">
        <v>0.106</v>
      </c>
      <c r="G362" s="401">
        <v>0.15</v>
      </c>
    </row>
    <row r="363" spans="1:7">
      <c r="A363" s="410" t="s">
        <v>330</v>
      </c>
      <c r="B363" s="399" t="s">
        <v>3008</v>
      </c>
      <c r="C363" s="400">
        <v>0.15</v>
      </c>
      <c r="D363" s="400">
        <v>0.15</v>
      </c>
      <c r="E363" s="400">
        <v>0.15</v>
      </c>
      <c r="F363" s="400">
        <v>0.147</v>
      </c>
      <c r="G363" s="401">
        <v>0.15</v>
      </c>
    </row>
    <row r="364" spans="1:7">
      <c r="A364" s="410" t="s">
        <v>330</v>
      </c>
      <c r="B364" s="399" t="s">
        <v>3009</v>
      </c>
      <c r="C364" s="400">
        <v>0.15</v>
      </c>
      <c r="D364" s="400">
        <v>0.15</v>
      </c>
      <c r="E364" s="400">
        <v>0.15</v>
      </c>
      <c r="F364" s="400">
        <v>0.148</v>
      </c>
      <c r="G364" s="401">
        <v>0.15</v>
      </c>
    </row>
    <row r="365" spans="1:7">
      <c r="A365" s="410" t="s">
        <v>330</v>
      </c>
      <c r="B365" s="399" t="s">
        <v>3010</v>
      </c>
      <c r="C365" s="400">
        <v>0.15</v>
      </c>
      <c r="D365" s="400">
        <v>0.15</v>
      </c>
      <c r="E365" s="400">
        <v>0.15</v>
      </c>
      <c r="F365" s="400">
        <v>0.15</v>
      </c>
      <c r="G365" s="401">
        <v>0.15</v>
      </c>
    </row>
    <row r="366" spans="1:7">
      <c r="A366" s="410" t="s">
        <v>330</v>
      </c>
      <c r="B366" s="399" t="s">
        <v>3011</v>
      </c>
      <c r="C366" s="400">
        <v>0.15</v>
      </c>
      <c r="D366" s="400">
        <v>0.15</v>
      </c>
      <c r="E366" s="400">
        <v>0.15</v>
      </c>
      <c r="F366" s="400">
        <v>0.15</v>
      </c>
      <c r="G366" s="401">
        <v>0.15</v>
      </c>
    </row>
    <row r="367" spans="1:7">
      <c r="A367" s="410" t="s">
        <v>330</v>
      </c>
      <c r="B367" s="399" t="s">
        <v>3012</v>
      </c>
      <c r="C367" s="400">
        <v>0.15</v>
      </c>
      <c r="D367" s="400">
        <v>0.15</v>
      </c>
      <c r="E367" s="400">
        <v>0.15</v>
      </c>
      <c r="F367" s="400">
        <v>0.147</v>
      </c>
      <c r="G367" s="401">
        <v>0.15</v>
      </c>
    </row>
    <row r="368" spans="1:7">
      <c r="A368" s="410" t="s">
        <v>330</v>
      </c>
      <c r="B368" s="399" t="s">
        <v>3013</v>
      </c>
      <c r="C368" s="400">
        <v>0.15</v>
      </c>
      <c r="D368" s="400">
        <v>0.15</v>
      </c>
      <c r="E368" s="400">
        <v>0.15</v>
      </c>
      <c r="F368" s="400">
        <v>0.136</v>
      </c>
      <c r="G368" s="401">
        <v>0.15</v>
      </c>
    </row>
    <row r="369" spans="1:7">
      <c r="A369" s="410" t="s">
        <v>330</v>
      </c>
      <c r="B369" s="399" t="s">
        <v>3014</v>
      </c>
      <c r="C369" s="400">
        <v>0.15</v>
      </c>
      <c r="D369" s="400">
        <v>0.15</v>
      </c>
      <c r="E369" s="400">
        <v>0.15</v>
      </c>
      <c r="F369" s="400">
        <v>0.144</v>
      </c>
      <c r="G369" s="401">
        <v>0.15</v>
      </c>
    </row>
    <row r="370" spans="1:7">
      <c r="A370" s="410" t="s">
        <v>330</v>
      </c>
      <c r="B370" s="399" t="s">
        <v>3015</v>
      </c>
      <c r="C370" s="400">
        <v>0.15</v>
      </c>
      <c r="D370" s="400">
        <v>0.15</v>
      </c>
      <c r="E370" s="400">
        <v>0.15</v>
      </c>
      <c r="F370" s="400">
        <v>0.146</v>
      </c>
      <c r="G370" s="401">
        <v>0.15</v>
      </c>
    </row>
    <row r="371" spans="1:7">
      <c r="A371" s="410" t="s">
        <v>330</v>
      </c>
      <c r="B371" s="399" t="s">
        <v>3016</v>
      </c>
      <c r="C371" s="400">
        <v>0.15</v>
      </c>
      <c r="D371" s="400">
        <v>0.15</v>
      </c>
      <c r="E371" s="400">
        <v>0.15</v>
      </c>
      <c r="F371" s="400">
        <v>0.12</v>
      </c>
      <c r="G371" s="401">
        <v>0.15</v>
      </c>
    </row>
    <row r="372" spans="1:7">
      <c r="A372" s="410" t="s">
        <v>330</v>
      </c>
      <c r="B372" s="399" t="s">
        <v>3017</v>
      </c>
      <c r="C372" s="400">
        <v>0.15</v>
      </c>
      <c r="D372" s="400">
        <v>0.15</v>
      </c>
      <c r="E372" s="400">
        <v>0.15</v>
      </c>
      <c r="F372" s="400">
        <v>0.143</v>
      </c>
      <c r="G372" s="401">
        <v>0.15</v>
      </c>
    </row>
    <row r="373" spans="1:7">
      <c r="A373" s="410" t="s">
        <v>330</v>
      </c>
      <c r="B373" s="399" t="s">
        <v>3018</v>
      </c>
      <c r="C373" s="400">
        <v>0.15</v>
      </c>
      <c r="D373" s="400">
        <v>0.15</v>
      </c>
      <c r="E373" s="400">
        <v>0.15</v>
      </c>
      <c r="F373" s="400">
        <v>0.146</v>
      </c>
      <c r="G373" s="401">
        <v>0.15</v>
      </c>
    </row>
    <row r="374" spans="1:7">
      <c r="A374" s="410" t="s">
        <v>330</v>
      </c>
      <c r="B374" s="399" t="s">
        <v>3019</v>
      </c>
      <c r="C374" s="400">
        <v>0.15</v>
      </c>
      <c r="D374" s="400">
        <v>0.15</v>
      </c>
      <c r="E374" s="400">
        <v>0.15</v>
      </c>
      <c r="F374" s="400">
        <v>0.144</v>
      </c>
      <c r="G374" s="401">
        <v>0.15</v>
      </c>
    </row>
    <row r="375" spans="1:7">
      <c r="A375" s="410" t="s">
        <v>330</v>
      </c>
      <c r="B375" s="399" t="s">
        <v>3020</v>
      </c>
      <c r="C375" s="400">
        <v>0.15</v>
      </c>
      <c r="D375" s="400">
        <v>0.15</v>
      </c>
      <c r="E375" s="400">
        <v>0.15</v>
      </c>
      <c r="F375" s="400">
        <v>0.13</v>
      </c>
      <c r="G375" s="401">
        <v>0.15</v>
      </c>
    </row>
    <row r="376" spans="1:7">
      <c r="A376" s="410" t="s">
        <v>330</v>
      </c>
      <c r="B376" s="399" t="s">
        <v>3021</v>
      </c>
      <c r="C376" s="400">
        <v>0.15</v>
      </c>
      <c r="D376" s="400">
        <v>0.15</v>
      </c>
      <c r="E376" s="400">
        <v>0.15</v>
      </c>
      <c r="F376" s="400">
        <v>0.142</v>
      </c>
      <c r="G376" s="401">
        <v>0.15</v>
      </c>
    </row>
    <row r="377" ht="14.25" spans="1:7">
      <c r="A377" s="413" t="s">
        <v>330</v>
      </c>
      <c r="B377" s="403" t="s">
        <v>3022</v>
      </c>
      <c r="C377" s="404">
        <v>0.15</v>
      </c>
      <c r="D377" s="404">
        <v>0.15</v>
      </c>
      <c r="E377" s="404">
        <v>0.15</v>
      </c>
      <c r="F377" s="404">
        <v>0.14</v>
      </c>
      <c r="G377" s="406">
        <v>0.15</v>
      </c>
    </row>
    <row r="378" spans="1:7">
      <c r="A378" s="409" t="s">
        <v>336</v>
      </c>
      <c r="B378" s="395" t="s">
        <v>3023</v>
      </c>
      <c r="C378" s="396">
        <v>0.15</v>
      </c>
      <c r="D378" s="396">
        <v>0.15</v>
      </c>
      <c r="E378" s="396">
        <v>0.15</v>
      </c>
      <c r="F378" s="396">
        <v>0.107</v>
      </c>
      <c r="G378" s="397">
        <v>0.15</v>
      </c>
    </row>
    <row r="379" spans="1:7">
      <c r="A379" s="410" t="s">
        <v>336</v>
      </c>
      <c r="B379" s="399" t="s">
        <v>3024</v>
      </c>
      <c r="C379" s="400">
        <v>0.15</v>
      </c>
      <c r="D379" s="400">
        <v>0.15</v>
      </c>
      <c r="E379" s="400">
        <v>0.15</v>
      </c>
      <c r="F379" s="400">
        <v>0.115</v>
      </c>
      <c r="G379" s="401">
        <v>0.149</v>
      </c>
    </row>
    <row r="380" spans="1:7">
      <c r="A380" s="410" t="s">
        <v>336</v>
      </c>
      <c r="B380" s="399" t="s">
        <v>3025</v>
      </c>
      <c r="C380" s="400">
        <v>0.15</v>
      </c>
      <c r="D380" s="400">
        <v>0.15</v>
      </c>
      <c r="E380" s="400">
        <v>0.15</v>
      </c>
      <c r="F380" s="400">
        <v>0.1</v>
      </c>
      <c r="G380" s="401">
        <v>0.148</v>
      </c>
    </row>
    <row r="381" spans="1:7">
      <c r="A381" s="410" t="s">
        <v>336</v>
      </c>
      <c r="B381" s="399" t="s">
        <v>3026</v>
      </c>
      <c r="C381" s="400">
        <v>0.15</v>
      </c>
      <c r="D381" s="400">
        <v>0.15</v>
      </c>
      <c r="E381" s="400">
        <v>0.15</v>
      </c>
      <c r="F381" s="400">
        <v>0.126</v>
      </c>
      <c r="G381" s="401">
        <v>0.15</v>
      </c>
    </row>
    <row r="382" spans="1:7">
      <c r="A382" s="410" t="s">
        <v>336</v>
      </c>
      <c r="B382" s="399" t="s">
        <v>3027</v>
      </c>
      <c r="C382" s="400">
        <v>0.15</v>
      </c>
      <c r="D382" s="400">
        <v>0.15</v>
      </c>
      <c r="E382" s="400">
        <v>0.15</v>
      </c>
      <c r="F382" s="400">
        <v>0.15</v>
      </c>
      <c r="G382" s="401">
        <v>0.15</v>
      </c>
    </row>
    <row r="383" spans="1:7">
      <c r="A383" s="410" t="s">
        <v>336</v>
      </c>
      <c r="B383" s="399" t="s">
        <v>3028</v>
      </c>
      <c r="C383" s="400">
        <v>0.15</v>
      </c>
      <c r="D383" s="400">
        <v>0.15</v>
      </c>
      <c r="E383" s="400">
        <v>0.15</v>
      </c>
      <c r="F383" s="400">
        <v>0.147</v>
      </c>
      <c r="G383" s="401">
        <v>0.15</v>
      </c>
    </row>
    <row r="384" ht="14.25" spans="1:7">
      <c r="A384" s="420" t="s">
        <v>336</v>
      </c>
      <c r="B384" s="421" t="s">
        <v>3029</v>
      </c>
      <c r="C384" s="422">
        <v>0.15</v>
      </c>
      <c r="D384" s="422">
        <v>0.15</v>
      </c>
      <c r="E384" s="422">
        <v>0.15</v>
      </c>
      <c r="F384" s="422">
        <v>0.15</v>
      </c>
      <c r="G384" s="42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78"/>
  </cols>
  <sheetData>
    <row r="1" spans="1:6">
      <c r="A1" s="379" t="s">
        <v>3030</v>
      </c>
      <c r="B1" s="379"/>
      <c r="C1" s="379"/>
      <c r="D1" s="379"/>
      <c r="E1" s="379"/>
      <c r="F1" s="380"/>
    </row>
    <row r="2" spans="1:6">
      <c r="A2" s="381" t="s">
        <v>3031</v>
      </c>
      <c r="B2" s="382"/>
      <c r="C2" s="382"/>
      <c r="D2" s="382"/>
      <c r="E2" s="382"/>
      <c r="F2" s="382"/>
    </row>
    <row r="3" spans="1:6">
      <c r="A3" s="381" t="s">
        <v>3032</v>
      </c>
      <c r="B3" s="382"/>
      <c r="C3" s="382"/>
      <c r="D3" s="382"/>
      <c r="E3" s="382"/>
      <c r="F3" s="383" t="s">
        <v>3033</v>
      </c>
    </row>
    <row r="4" spans="1:6">
      <c r="A4" s="384" t="s">
        <v>451</v>
      </c>
      <c r="B4" s="384" t="s">
        <v>229</v>
      </c>
      <c r="C4" s="384" t="s">
        <v>230</v>
      </c>
      <c r="D4" s="384" t="s">
        <v>3034</v>
      </c>
      <c r="E4" s="384" t="s">
        <v>233</v>
      </c>
      <c r="F4" s="384" t="s">
        <v>231</v>
      </c>
    </row>
    <row r="5" spans="1:6">
      <c r="A5" s="385" t="s">
        <v>208</v>
      </c>
      <c r="B5" s="384"/>
      <c r="C5" s="384"/>
      <c r="D5" s="384"/>
      <c r="E5" s="384"/>
      <c r="F5" s="386"/>
    </row>
    <row r="6" spans="1:6">
      <c r="A6" s="385" t="s">
        <v>235</v>
      </c>
      <c r="B6" s="387">
        <v>35380</v>
      </c>
      <c r="C6" s="387">
        <v>35180</v>
      </c>
      <c r="D6" s="387">
        <v>35030</v>
      </c>
      <c r="E6" s="387">
        <v>13780</v>
      </c>
      <c r="F6" s="387">
        <v>25980</v>
      </c>
    </row>
    <row r="7" spans="1:6">
      <c r="A7" s="385" t="s">
        <v>251</v>
      </c>
      <c r="B7" s="387">
        <v>29960</v>
      </c>
      <c r="C7" s="387">
        <v>29800</v>
      </c>
      <c r="D7" s="387">
        <v>29690</v>
      </c>
      <c r="E7" s="387">
        <v>10100</v>
      </c>
      <c r="F7" s="387">
        <v>21690</v>
      </c>
    </row>
    <row r="8" spans="1:6">
      <c r="A8" s="385" t="s">
        <v>264</v>
      </c>
      <c r="B8" s="387">
        <v>24480</v>
      </c>
      <c r="C8" s="387">
        <v>24380</v>
      </c>
      <c r="D8" s="387">
        <v>25590</v>
      </c>
      <c r="E8" s="387">
        <v>7010</v>
      </c>
      <c r="F8" s="387">
        <v>17060</v>
      </c>
    </row>
    <row r="9" spans="1:6">
      <c r="A9" s="385" t="s">
        <v>275</v>
      </c>
      <c r="B9" s="387">
        <v>19370</v>
      </c>
      <c r="C9" s="387">
        <v>19290</v>
      </c>
      <c r="D9" s="387">
        <v>21280</v>
      </c>
      <c r="E9" s="387">
        <v>4910</v>
      </c>
      <c r="F9" s="387">
        <v>13090</v>
      </c>
    </row>
    <row r="10" spans="1:6">
      <c r="A10" s="385" t="s">
        <v>286</v>
      </c>
      <c r="B10" s="387">
        <v>15050</v>
      </c>
      <c r="C10" s="387">
        <v>14980</v>
      </c>
      <c r="D10" s="387">
        <v>17300</v>
      </c>
      <c r="E10" s="387">
        <v>3450</v>
      </c>
      <c r="F10" s="387">
        <v>9900</v>
      </c>
    </row>
    <row r="11" spans="1:6">
      <c r="A11" s="385" t="s">
        <v>295</v>
      </c>
      <c r="B11" s="387">
        <v>11550</v>
      </c>
      <c r="C11" s="387">
        <v>11490</v>
      </c>
      <c r="D11" s="387">
        <v>13850</v>
      </c>
      <c r="E11" s="387">
        <v>2400</v>
      </c>
      <c r="F11" s="387">
        <v>7390</v>
      </c>
    </row>
    <row r="12" spans="1:6">
      <c r="A12" s="385" t="s">
        <v>303</v>
      </c>
      <c r="B12" s="387">
        <v>8630</v>
      </c>
      <c r="C12" s="387">
        <v>8580</v>
      </c>
      <c r="D12" s="387">
        <v>10740</v>
      </c>
      <c r="E12" s="387">
        <v>1720</v>
      </c>
      <c r="F12" s="387">
        <v>5420</v>
      </c>
    </row>
    <row r="13" spans="1:6">
      <c r="A13" s="385" t="s">
        <v>311</v>
      </c>
      <c r="B13" s="387">
        <v>6620</v>
      </c>
      <c r="C13" s="387">
        <v>6580</v>
      </c>
      <c r="D13" s="387">
        <v>7830</v>
      </c>
      <c r="E13" s="387">
        <v>1260</v>
      </c>
      <c r="F13" s="387">
        <v>4040</v>
      </c>
    </row>
    <row r="14" spans="1:6">
      <c r="A14" s="385" t="s">
        <v>318</v>
      </c>
      <c r="B14" s="387">
        <v>4900</v>
      </c>
      <c r="C14" s="387">
        <v>4860</v>
      </c>
      <c r="D14" s="387">
        <v>5540</v>
      </c>
      <c r="E14" s="387">
        <v>950</v>
      </c>
      <c r="F14" s="387">
        <v>2930</v>
      </c>
    </row>
    <row r="15" spans="1:6">
      <c r="A15" s="385" t="s">
        <v>324</v>
      </c>
      <c r="B15" s="387">
        <v>3380</v>
      </c>
      <c r="C15" s="387">
        <v>3340</v>
      </c>
      <c r="D15" s="387">
        <v>3630</v>
      </c>
      <c r="E15" s="387">
        <v>730</v>
      </c>
      <c r="F15" s="387">
        <v>1990</v>
      </c>
    </row>
    <row r="16" spans="1:6">
      <c r="A16" s="385" t="s">
        <v>330</v>
      </c>
      <c r="B16" s="387">
        <v>2230</v>
      </c>
      <c r="C16" s="387">
        <v>2200</v>
      </c>
      <c r="D16" s="387">
        <v>2180</v>
      </c>
      <c r="E16" s="387">
        <v>570</v>
      </c>
      <c r="F16" s="387">
        <v>1330</v>
      </c>
    </row>
    <row r="17" spans="1:6">
      <c r="A17" s="385" t="s">
        <v>336</v>
      </c>
      <c r="B17" s="387">
        <v>1390</v>
      </c>
      <c r="C17" s="387">
        <v>1360</v>
      </c>
      <c r="D17" s="387">
        <v>1340</v>
      </c>
      <c r="E17" s="387">
        <v>450</v>
      </c>
      <c r="F17" s="38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96">
        <f>基准地价修正!G23</f>
        <v>46086</v>
      </c>
      <c r="B1" s="297" t="s">
        <v>3035</v>
      </c>
      <c r="C1" s="298"/>
      <c r="D1" s="298"/>
      <c r="E1" s="298"/>
      <c r="F1" s="298"/>
      <c r="G1" s="298"/>
      <c r="H1" s="298"/>
      <c r="I1" s="298"/>
      <c r="J1" s="299"/>
      <c r="K1" s="298" t="s">
        <v>3036</v>
      </c>
      <c r="L1" s="298"/>
      <c r="M1" s="298"/>
      <c r="N1" s="298"/>
      <c r="O1" s="298"/>
      <c r="P1" s="298"/>
      <c r="Q1" s="299"/>
      <c r="R1" s="300" t="s">
        <v>3037</v>
      </c>
      <c r="S1" s="295"/>
      <c r="T1" s="295"/>
      <c r="U1" s="295"/>
      <c r="V1" s="295"/>
      <c r="W1" s="295"/>
      <c r="X1" s="299"/>
      <c r="Y1" s="300" t="s">
        <v>3038</v>
      </c>
      <c r="Z1" s="295"/>
      <c r="AA1" s="295"/>
      <c r="AB1" s="295"/>
      <c r="AC1" s="295"/>
      <c r="AD1" s="295"/>
    </row>
    <row r="2" s="289" customFormat="1" ht="14.25" spans="1:44">
      <c r="B2" s="301"/>
      <c r="C2" s="302"/>
      <c r="D2" s="148" t="s">
        <v>3039</v>
      </c>
      <c r="E2" s="149" t="s">
        <v>229</v>
      </c>
      <c r="F2" s="149" t="s">
        <v>230</v>
      </c>
      <c r="G2" s="149" t="s">
        <v>232</v>
      </c>
      <c r="H2" s="149" t="s">
        <v>233</v>
      </c>
      <c r="I2" s="149" t="s">
        <v>231</v>
      </c>
      <c r="J2" s="303"/>
      <c r="K2" s="148" t="s">
        <v>3039</v>
      </c>
      <c r="L2" s="149" t="s">
        <v>229</v>
      </c>
      <c r="M2" s="149" t="s">
        <v>230</v>
      </c>
      <c r="N2" s="149" t="s">
        <v>232</v>
      </c>
      <c r="O2" s="149" t="s">
        <v>233</v>
      </c>
      <c r="P2" s="149" t="s">
        <v>231</v>
      </c>
      <c r="Q2" s="303"/>
      <c r="R2" s="148" t="s">
        <v>3039</v>
      </c>
      <c r="S2" s="149" t="s">
        <v>229</v>
      </c>
      <c r="T2" s="149" t="s">
        <v>230</v>
      </c>
      <c r="U2" s="149" t="s">
        <v>232</v>
      </c>
      <c r="V2" s="149" t="s">
        <v>233</v>
      </c>
      <c r="W2" s="149" t="s">
        <v>231</v>
      </c>
      <c r="X2" s="303"/>
      <c r="Y2" s="148" t="s">
        <v>3039</v>
      </c>
      <c r="Z2" s="149" t="s">
        <v>229</v>
      </c>
      <c r="AA2" s="149" t="s">
        <v>230</v>
      </c>
      <c r="AB2" s="149" t="s">
        <v>232</v>
      </c>
      <c r="AC2" s="149" t="s">
        <v>233</v>
      </c>
      <c r="AD2" s="149" t="s">
        <v>231</v>
      </c>
      <c r="AF2" t="s">
        <v>3039</v>
      </c>
      <c r="AG2" t="s">
        <v>229</v>
      </c>
      <c r="AH2" t="s">
        <v>230</v>
      </c>
      <c r="AI2" t="s">
        <v>232</v>
      </c>
      <c r="AJ2" t="s">
        <v>233</v>
      </c>
      <c r="AK2" t="s">
        <v>231</v>
      </c>
      <c r="AM2" t="s">
        <v>3039</v>
      </c>
      <c r="AN2" t="s">
        <v>229</v>
      </c>
      <c r="AO2" t="s">
        <v>230</v>
      </c>
      <c r="AP2" t="s">
        <v>232</v>
      </c>
      <c r="AQ2" t="s">
        <v>233</v>
      </c>
      <c r="AR2" t="s">
        <v>231</v>
      </c>
    </row>
    <row r="3" s="290" customFormat="1" ht="12.75" spans="1:44">
      <c r="A3" s="304" t="s">
        <v>3040</v>
      </c>
      <c r="B3" s="305"/>
      <c r="C3" s="306"/>
      <c r="D3" s="307">
        <f>ROUND(AVERAGEIF(D4:D28,"&lt;&gt;0"),2)</f>
        <v>0.28</v>
      </c>
      <c r="E3" s="307">
        <f t="shared" ref="E3:H3" si="0">ROUND(AVERAGEIF(E4:E28,"&lt;&gt;0"),2)</f>
        <v>0.09</v>
      </c>
      <c r="F3" s="307">
        <f t="shared" si="0"/>
        <v>-0.17</v>
      </c>
      <c r="G3" s="307">
        <f t="shared" si="0"/>
        <v>0.38</v>
      </c>
      <c r="H3" s="307">
        <f t="shared" si="0"/>
        <v>0.47</v>
      </c>
      <c r="I3" s="307">
        <f>F3</f>
        <v>-0.17</v>
      </c>
      <c r="J3" s="308"/>
      <c r="K3" s="309">
        <f>ROUND(AVERAGEIF(K4:K28,"&lt;&gt;0"),4)</f>
        <v>0.0028</v>
      </c>
      <c r="L3" s="310">
        <f t="shared" ref="L3:O3" si="1">ROUND(AVERAGEIF(L4:L28,"&lt;&gt;0"),4)</f>
        <v>0.0009</v>
      </c>
      <c r="M3" s="310">
        <f t="shared" si="1"/>
        <v>-0.0017</v>
      </c>
      <c r="N3" s="310">
        <f t="shared" si="1"/>
        <v>0.0038</v>
      </c>
      <c r="O3" s="310">
        <f t="shared" si="1"/>
        <v>0.0047</v>
      </c>
      <c r="P3" s="310">
        <f>M3</f>
        <v>-0.0017</v>
      </c>
      <c r="Q3" s="308"/>
      <c r="R3" s="311">
        <f>ROUND(SUMPRODUCT(PRODUCT(1+K4:K28)),4)</f>
        <v>1.0567</v>
      </c>
      <c r="S3" s="312">
        <f t="shared" ref="S3:V3" si="2">ROUND(SUMPRODUCT(PRODUCT(1+L4:L28)),4)</f>
        <v>1.0176</v>
      </c>
      <c r="T3" s="312">
        <f t="shared" si="2"/>
        <v>0.9659</v>
      </c>
      <c r="U3" s="312">
        <f t="shared" si="2"/>
        <v>1.0777</v>
      </c>
      <c r="V3" s="312">
        <f t="shared" si="2"/>
        <v>1.0934</v>
      </c>
      <c r="W3" s="311">
        <f>T3</f>
        <v>0.9659</v>
      </c>
      <c r="X3" s="308"/>
      <c r="Y3" s="313">
        <f>ROUND(AVERAGEIF(Y15:Y28,"&lt;&gt;0"),4)</f>
        <v>0.0084</v>
      </c>
      <c r="Z3" s="314">
        <f t="shared" ref="Z3:AC3" si="3">ROUND(AVERAGEIF(Z15:Z28,"&lt;&gt;0"),4)</f>
        <v>0.0035</v>
      </c>
      <c r="AA3" s="315">
        <f t="shared" si="3"/>
        <v>0.0008</v>
      </c>
      <c r="AB3" s="313">
        <f t="shared" si="3"/>
        <v>0.0091</v>
      </c>
      <c r="AC3" s="316">
        <f t="shared" si="3"/>
        <v>0.0061</v>
      </c>
      <c r="AD3" s="313">
        <f>AA3</f>
        <v>0.0008</v>
      </c>
    </row>
    <row r="4" s="291" customFormat="1" ht="12.75" spans="1:44">
      <c r="B4" s="317"/>
      <c r="C4" s="318"/>
      <c r="D4" s="318"/>
      <c r="E4" s="318"/>
      <c r="F4" s="318"/>
      <c r="G4" s="318"/>
      <c r="H4" s="318"/>
      <c r="I4" s="318"/>
      <c r="J4" s="299"/>
      <c r="K4" s="319"/>
      <c r="L4" s="320"/>
      <c r="M4" s="320"/>
      <c r="N4" s="320"/>
      <c r="O4" s="320"/>
      <c r="P4" s="320"/>
      <c r="Q4" s="299"/>
      <c r="R4" s="321"/>
      <c r="S4" s="322"/>
      <c r="T4" s="323"/>
      <c r="U4" s="321"/>
      <c r="V4" s="324"/>
      <c r="W4" s="321"/>
      <c r="X4" s="299"/>
      <c r="Y4" s="325"/>
      <c r="Z4" s="326"/>
      <c r="AA4" s="327"/>
      <c r="AB4" s="325"/>
      <c r="AC4" s="328"/>
      <c r="AD4" s="325"/>
    </row>
    <row r="5" s="292" customFormat="1" spans="1:44">
      <c r="A5" s="166" t="s">
        <v>3041</v>
      </c>
      <c r="B5" s="168">
        <v>2026</v>
      </c>
      <c r="C5" s="169">
        <v>4</v>
      </c>
      <c r="D5" s="170">
        <v>0</v>
      </c>
      <c r="E5" s="170">
        <v>0</v>
      </c>
      <c r="F5" s="170">
        <v>0</v>
      </c>
      <c r="G5" s="170">
        <v>0</v>
      </c>
      <c r="H5" s="170">
        <v>0</v>
      </c>
      <c r="I5" s="171">
        <f t="shared" ref="I5" si="4">F5</f>
        <v>0</v>
      </c>
      <c r="J5" s="329"/>
      <c r="K5" s="330">
        <f t="shared" ref="K5:K6" si="5">D5/100</f>
        <v>0</v>
      </c>
      <c r="L5" s="325">
        <f t="shared" ref="L5:L6" si="6">E5/100</f>
        <v>0</v>
      </c>
      <c r="M5" s="325">
        <f t="shared" ref="M5:M6" si="7">F5/100</f>
        <v>0</v>
      </c>
      <c r="N5" s="325">
        <f t="shared" ref="N5:N6" si="8">G5/100</f>
        <v>0</v>
      </c>
      <c r="O5" s="325">
        <f t="shared" ref="O5:O6" si="9">H5/100</f>
        <v>0</v>
      </c>
      <c r="P5" s="325">
        <f t="shared" ref="P5:P15" si="10">M5</f>
        <v>0</v>
      </c>
      <c r="Q5" s="329"/>
      <c r="R5" s="331">
        <f>ROUND(IF(项目基本情况!$B$8="出让",SUMPRODUCT(PRODUCT(1+K5:$K$28)),SUMPRODUCT(PRODUCT(1+K5:$K$27))),4)</f>
        <v>1.0465</v>
      </c>
      <c r="S5" s="331">
        <f>ROUND(IF(项目基本情况!$B$8="出让",SUMPRODUCT(PRODUCT(1+L5:$L$28)),SUMPRODUCT(PRODUCT(1+L5:$L$27))),4)</f>
        <v>1.016</v>
      </c>
      <c r="T5" s="331">
        <f>ROUND(IF(项目基本情况!$B$8="出让",SUMPRODUCT(PRODUCT(1+M5:$M$28)),SUMPRODUCT(PRODUCT(1+M5:$M$27))),4)</f>
        <v>0.9683</v>
      </c>
      <c r="U5" s="331">
        <f>ROUND(IF(项目基本情况!$B$8="出让",SUMPRODUCT(PRODUCT(1+N5:$N$28)),SUMPRODUCT(PRODUCT(1+N5:$N$27))),4)</f>
        <v>1.0659</v>
      </c>
      <c r="V5" s="331">
        <f>ROUND(IF(项目基本情况!$B$8="出让",SUMPRODUCT(PRODUCT(1+O5:$O$28)),SUMPRODUCT(PRODUCT(1+O5:$O$27))),4)</f>
        <v>1.0895</v>
      </c>
      <c r="W5" s="331">
        <f t="shared" ref="W5:W15" si="11">T5</f>
        <v>0.9683</v>
      </c>
      <c r="X5" s="329"/>
      <c r="Y5" s="332">
        <f>IF(D5=0,0,ROUND(AVERAGE(D5:D22)/100,4))</f>
        <v>0</v>
      </c>
      <c r="Z5" s="332">
        <f t="shared" ref="Z5" si="12">IF(E5=0,0,ROUND(AVERAGE(E5:E22)/100,4))</f>
        <v>0</v>
      </c>
      <c r="AA5" s="332">
        <f t="shared" ref="AA5" si="13">IF(F5=0,0,ROUND(AVERAGE(F5:F22)/100,4))</f>
        <v>0</v>
      </c>
      <c r="AB5" s="332">
        <f t="shared" ref="AB5" si="14">IF(G5=0,0,ROUND(AVERAGE(G5:G22)/100,4))</f>
        <v>0</v>
      </c>
      <c r="AC5" s="332">
        <f t="shared" ref="AC5" si="15">IF(H5=0,0,ROUND(AVERAGE(H5:H22)/100,4))</f>
        <v>0</v>
      </c>
      <c r="AD5" s="332">
        <f t="shared" ref="AD5" si="16">AA5</f>
        <v>0</v>
      </c>
      <c r="AF5" s="333">
        <f t="shared" ref="AF5:AF6" si="17">$AF$28*R5</f>
        <v>104.65</v>
      </c>
      <c r="AG5" s="333">
        <f t="shared" ref="AG5:AG6" si="18">$AF$28*S5</f>
        <v>101.6</v>
      </c>
      <c r="AH5" s="333">
        <f t="shared" ref="AH5:AH6" si="19">$AF$28*T5</f>
        <v>96.83</v>
      </c>
      <c r="AI5" s="333">
        <f t="shared" ref="AI5:AI6" si="20">$AF$28*U5</f>
        <v>106.59</v>
      </c>
      <c r="AJ5" s="333">
        <f t="shared" ref="AJ5:AJ6" si="21">$AF$28*V5</f>
        <v>108.95</v>
      </c>
      <c r="AK5" s="333">
        <f t="shared" ref="AK5:AK6" si="22">$AF$28*W5</f>
        <v>96.83</v>
      </c>
      <c r="AM5" s="334">
        <v>100</v>
      </c>
      <c r="AN5" s="334">
        <v>100</v>
      </c>
      <c r="AO5" s="334">
        <v>100</v>
      </c>
      <c r="AP5" s="334">
        <v>100</v>
      </c>
      <c r="AQ5" s="334">
        <v>100</v>
      </c>
      <c r="AR5" s="334">
        <v>100</v>
      </c>
    </row>
    <row r="6" s="292" customFormat="1" ht="12.75" spans="1:44">
      <c r="A6" s="166" t="s">
        <v>3042</v>
      </c>
      <c r="B6" s="168">
        <v>2026</v>
      </c>
      <c r="C6" s="169">
        <v>3</v>
      </c>
      <c r="D6" s="170">
        <v>0</v>
      </c>
      <c r="E6" s="170">
        <v>0</v>
      </c>
      <c r="F6" s="170">
        <v>0</v>
      </c>
      <c r="G6" s="170">
        <v>0</v>
      </c>
      <c r="H6" s="170">
        <v>0</v>
      </c>
      <c r="I6" s="171">
        <f t="shared" ref="I6:I9" si="23">F6</f>
        <v>0</v>
      </c>
      <c r="J6" s="329"/>
      <c r="K6" s="330">
        <f t="shared" si="5"/>
        <v>0</v>
      </c>
      <c r="L6" s="325">
        <f t="shared" si="6"/>
        <v>0</v>
      </c>
      <c r="M6" s="325">
        <f t="shared" si="7"/>
        <v>0</v>
      </c>
      <c r="N6" s="325">
        <f t="shared" si="8"/>
        <v>0</v>
      </c>
      <c r="O6" s="325">
        <f t="shared" si="9"/>
        <v>0</v>
      </c>
      <c r="P6" s="325">
        <f t="shared" si="10"/>
        <v>0</v>
      </c>
      <c r="Q6" s="329"/>
      <c r="R6" s="331">
        <f>ROUND(IF(项目基本情况!$B$8="出让",SUMPRODUCT(PRODUCT(1+K6:$K$28)),SUMPRODUCT(PRODUCT(1+K6:$K$27))),4)</f>
        <v>1.0465</v>
      </c>
      <c r="S6" s="331">
        <f>ROUND(IF(项目基本情况!$B$8="出让",SUMPRODUCT(PRODUCT(1+L6:$L$28)),SUMPRODUCT(PRODUCT(1+L6:$L$27))),4)</f>
        <v>1.016</v>
      </c>
      <c r="T6" s="331">
        <f>ROUND(IF(项目基本情况!$B$8="出让",SUMPRODUCT(PRODUCT(1+M6:$M$28)),SUMPRODUCT(PRODUCT(1+M6:$M$27))),4)</f>
        <v>0.9683</v>
      </c>
      <c r="U6" s="331">
        <f>ROUND(IF(项目基本情况!$B$8="出让",SUMPRODUCT(PRODUCT(1+N6:$N$28)),SUMPRODUCT(PRODUCT(1+N6:$N$27))),4)</f>
        <v>1.0659</v>
      </c>
      <c r="V6" s="331">
        <f>ROUND(IF(项目基本情况!$B$8="出让",SUMPRODUCT(PRODUCT(1+O6:$O$28)),SUMPRODUCT(PRODUCT(1+O6:$O$27))),4)</f>
        <v>1.0895</v>
      </c>
      <c r="W6" s="331">
        <f t="shared" si="11"/>
        <v>0.9683</v>
      </c>
      <c r="X6" s="329"/>
      <c r="Y6" s="332"/>
      <c r="Z6" s="332"/>
      <c r="AA6" s="332"/>
      <c r="AB6" s="332"/>
      <c r="AC6" s="332"/>
      <c r="AD6" s="332"/>
      <c r="AF6" s="333">
        <f t="shared" si="17"/>
        <v>104.65</v>
      </c>
      <c r="AG6" s="333">
        <f t="shared" si="18"/>
        <v>101.6</v>
      </c>
      <c r="AH6" s="333">
        <f t="shared" si="19"/>
        <v>96.83</v>
      </c>
      <c r="AI6" s="333">
        <f t="shared" si="20"/>
        <v>106.59</v>
      </c>
      <c r="AJ6" s="333">
        <f t="shared" si="21"/>
        <v>108.95</v>
      </c>
      <c r="AK6" s="333">
        <f t="shared" si="22"/>
        <v>96.83</v>
      </c>
      <c r="AM6" s="333">
        <f t="shared" ref="AM6" si="24">AM5/(1+D5/100)</f>
        <v>100</v>
      </c>
      <c r="AN6" s="333">
        <f t="shared" ref="AN6" si="25">AN5/(1+E5/100)</f>
        <v>100</v>
      </c>
      <c r="AO6" s="333">
        <f t="shared" ref="AO6" si="26">AO5/(1+F5/100)</f>
        <v>100</v>
      </c>
      <c r="AP6" s="333">
        <f t="shared" ref="AP6" si="27">AP5/(1+G5/100)</f>
        <v>100</v>
      </c>
      <c r="AQ6" s="333">
        <f t="shared" ref="AQ6" si="28">AQ5/(1+H5/100)</f>
        <v>100</v>
      </c>
      <c r="AR6" s="333">
        <f t="shared" ref="AR6" si="29">AR5/(1+I5/100)</f>
        <v>100</v>
      </c>
    </row>
    <row r="7" s="292" customFormat="1" ht="12.75" spans="1:44">
      <c r="A7" s="166" t="s">
        <v>3043</v>
      </c>
      <c r="B7" s="168">
        <v>2026</v>
      </c>
      <c r="C7" s="169">
        <v>2</v>
      </c>
      <c r="D7" s="170">
        <v>0</v>
      </c>
      <c r="E7" s="170">
        <v>0</v>
      </c>
      <c r="F7" s="170">
        <v>0</v>
      </c>
      <c r="G7" s="170">
        <v>0</v>
      </c>
      <c r="H7" s="170">
        <v>0</v>
      </c>
      <c r="I7" s="171">
        <f t="shared" si="23"/>
        <v>0</v>
      </c>
      <c r="J7" s="329"/>
      <c r="K7" s="330">
        <f t="shared" ref="K7:K9" si="30">D7/100</f>
        <v>0</v>
      </c>
      <c r="L7" s="325">
        <f t="shared" ref="L7:L9" si="31">E7/100</f>
        <v>0</v>
      </c>
      <c r="M7" s="325">
        <f t="shared" ref="M7:M9" si="32">F7/100</f>
        <v>0</v>
      </c>
      <c r="N7" s="325">
        <f t="shared" ref="N7:N9" si="33">G7/100</f>
        <v>0</v>
      </c>
      <c r="O7" s="325">
        <f t="shared" ref="O7:O9" si="34">H7/100</f>
        <v>0</v>
      </c>
      <c r="P7" s="325">
        <f t="shared" ref="P7:P9" si="35">M7</f>
        <v>0</v>
      </c>
      <c r="Q7" s="329"/>
      <c r="R7" s="331">
        <f>ROUND(IF(项目基本情况!$B$8="出让",SUMPRODUCT(PRODUCT(1+K7:$K$28)),SUMPRODUCT(PRODUCT(1+K7:$K$27))),4)</f>
        <v>1.0465</v>
      </c>
      <c r="S7" s="331">
        <f>ROUND(IF(项目基本情况!$B$8="出让",SUMPRODUCT(PRODUCT(1+L7:$L$28)),SUMPRODUCT(PRODUCT(1+L7:$L$27))),4)</f>
        <v>1.016</v>
      </c>
      <c r="T7" s="331">
        <f>ROUND(IF(项目基本情况!$B$8="出让",SUMPRODUCT(PRODUCT(1+M7:$M$28)),SUMPRODUCT(PRODUCT(1+M7:$M$27))),4)</f>
        <v>0.9683</v>
      </c>
      <c r="U7" s="331">
        <f>ROUND(IF(项目基本情况!$B$8="出让",SUMPRODUCT(PRODUCT(1+N7:$N$28)),SUMPRODUCT(PRODUCT(1+N7:$N$27))),4)</f>
        <v>1.0659</v>
      </c>
      <c r="V7" s="331">
        <f>ROUND(IF(项目基本情况!$B$8="出让",SUMPRODUCT(PRODUCT(1+O7:$O$28)),SUMPRODUCT(PRODUCT(1+O7:$O$27))),4)</f>
        <v>1.0895</v>
      </c>
      <c r="W7" s="331">
        <f t="shared" ref="W7:W9" si="36">T7</f>
        <v>0.9683</v>
      </c>
      <c r="X7" s="329"/>
      <c r="Y7" s="332">
        <f t="shared" ref="Y7:Y9" si="37">IF(D7=0,0,ROUND(AVERAGE(D7:D20)/100,4))</f>
        <v>0</v>
      </c>
      <c r="Z7" s="332">
        <f t="shared" ref="Z7:Z9" si="38">IF(E7=0,0,ROUND(AVERAGE(E7:E20)/100,4))</f>
        <v>0</v>
      </c>
      <c r="AA7" s="332">
        <f t="shared" ref="AA7:AA9" si="39">IF(F7=0,0,ROUND(AVERAGE(F7:F20)/100,4))</f>
        <v>0</v>
      </c>
      <c r="AB7" s="332">
        <f t="shared" ref="AB7:AB9" si="40">IF(G7=0,0,ROUND(AVERAGE(G7:G20)/100,4))</f>
        <v>0</v>
      </c>
      <c r="AC7" s="332">
        <f t="shared" ref="AC7:AC9" si="41">IF(H7=0,0,ROUND(AVERAGE(H7:H20)/100,4))</f>
        <v>0</v>
      </c>
      <c r="AD7" s="332">
        <f t="shared" ref="AD7:AD9" si="42">AA7</f>
        <v>0</v>
      </c>
      <c r="AF7" s="333">
        <f t="shared" ref="AF7:AF9" si="43">$AF$28*R7</f>
        <v>104.65</v>
      </c>
      <c r="AG7" s="333">
        <f t="shared" ref="AG7:AG9" si="44">$AF$28*S7</f>
        <v>101.6</v>
      </c>
      <c r="AH7" s="333">
        <f t="shared" ref="AH7:AH9" si="45">$AF$28*T7</f>
        <v>96.83</v>
      </c>
      <c r="AI7" s="333">
        <f t="shared" ref="AI7:AI9" si="46">$AF$28*U7</f>
        <v>106.59</v>
      </c>
      <c r="AJ7" s="333">
        <f t="shared" ref="AJ7:AJ9" si="47">$AF$28*V7</f>
        <v>108.95</v>
      </c>
      <c r="AK7" s="333">
        <f t="shared" ref="AK7:AK9" si="48">$AF$28*W7</f>
        <v>96.83</v>
      </c>
      <c r="AM7" s="333">
        <f t="shared" ref="AM7:AM9" si="49">AM6/(1+D6/100)</f>
        <v>100</v>
      </c>
      <c r="AN7" s="333">
        <f t="shared" ref="AN7:AN9" si="50">AN6/(1+E6/100)</f>
        <v>100</v>
      </c>
      <c r="AO7" s="333">
        <f t="shared" ref="AO7:AO9" si="51">AO6/(1+F6/100)</f>
        <v>100</v>
      </c>
      <c r="AP7" s="333">
        <f t="shared" ref="AP7:AP9" si="52">AP6/(1+G6/100)</f>
        <v>100</v>
      </c>
      <c r="AQ7" s="333">
        <f t="shared" ref="AQ7:AQ9" si="53">AQ6/(1+H6/100)</f>
        <v>100</v>
      </c>
      <c r="AR7" s="333">
        <f t="shared" ref="AR7:AR9" si="54">AR6/(1+I6/100)</f>
        <v>100</v>
      </c>
    </row>
    <row r="8" s="293" customFormat="1" ht="12.75" spans="1:44">
      <c r="A8" s="335" t="s">
        <v>3044</v>
      </c>
      <c r="B8" s="336">
        <v>2026</v>
      </c>
      <c r="C8" s="337">
        <v>1</v>
      </c>
      <c r="D8" s="338">
        <v>0</v>
      </c>
      <c r="E8" s="338">
        <v>0</v>
      </c>
      <c r="F8" s="338">
        <v>0</v>
      </c>
      <c r="G8" s="338">
        <v>0</v>
      </c>
      <c r="H8" s="339">
        <v>0</v>
      </c>
      <c r="I8" s="340">
        <f t="shared" si="23"/>
        <v>0</v>
      </c>
      <c r="J8" s="341"/>
      <c r="K8" s="342">
        <f t="shared" si="30"/>
        <v>0</v>
      </c>
      <c r="L8" s="343">
        <f t="shared" si="31"/>
        <v>0</v>
      </c>
      <c r="M8" s="343">
        <f t="shared" si="32"/>
        <v>0</v>
      </c>
      <c r="N8" s="343">
        <f t="shared" si="33"/>
        <v>0</v>
      </c>
      <c r="O8" s="343">
        <f t="shared" si="34"/>
        <v>0</v>
      </c>
      <c r="P8" s="343">
        <f t="shared" si="35"/>
        <v>0</v>
      </c>
      <c r="Q8" s="341"/>
      <c r="R8" s="344">
        <f>ROUND(IF(项目基本情况!$B$8="出让",SUMPRODUCT(PRODUCT(1+K8:$K$28)),SUMPRODUCT(PRODUCT(1+K8:$K$27))),4)</f>
        <v>1.0465</v>
      </c>
      <c r="S8" s="344">
        <f>ROUND(IF(项目基本情况!$B$8="出让",SUMPRODUCT(PRODUCT(1+L8:$L$28)),SUMPRODUCT(PRODUCT(1+L8:$L$27))),4)</f>
        <v>1.016</v>
      </c>
      <c r="T8" s="344">
        <f>ROUND(IF(项目基本情况!$B$8="出让",SUMPRODUCT(PRODUCT(1+M8:$M$28)),SUMPRODUCT(PRODUCT(1+M8:$M$27))),4)</f>
        <v>0.9683</v>
      </c>
      <c r="U8" s="344">
        <f>ROUND(IF(项目基本情况!$B$8="出让",SUMPRODUCT(PRODUCT(1+N8:$N$28)),SUMPRODUCT(PRODUCT(1+N8:$N$27))),4)</f>
        <v>1.0659</v>
      </c>
      <c r="V8" s="344">
        <f>ROUND(IF(项目基本情况!$B$8="出让",SUMPRODUCT(PRODUCT(1+O8:$O$28)),SUMPRODUCT(PRODUCT(1+O8:$O$27))),4)</f>
        <v>1.0895</v>
      </c>
      <c r="W8" s="344">
        <f t="shared" si="36"/>
        <v>0.9683</v>
      </c>
      <c r="X8" s="341"/>
      <c r="Y8" s="343">
        <f t="shared" si="37"/>
        <v>0</v>
      </c>
      <c r="Z8" s="343">
        <f t="shared" si="38"/>
        <v>0</v>
      </c>
      <c r="AA8" s="343">
        <f t="shared" si="39"/>
        <v>0</v>
      </c>
      <c r="AB8" s="343">
        <f t="shared" si="40"/>
        <v>0</v>
      </c>
      <c r="AC8" s="343">
        <f t="shared" si="41"/>
        <v>0</v>
      </c>
      <c r="AD8" s="343">
        <f t="shared" si="42"/>
        <v>0</v>
      </c>
      <c r="AF8" s="345">
        <f t="shared" si="43"/>
        <v>104.65</v>
      </c>
      <c r="AG8" s="345">
        <f t="shared" si="44"/>
        <v>101.6</v>
      </c>
      <c r="AH8" s="345">
        <f t="shared" si="45"/>
        <v>96.83</v>
      </c>
      <c r="AI8" s="345">
        <f t="shared" si="46"/>
        <v>106.59</v>
      </c>
      <c r="AJ8" s="345">
        <f t="shared" si="47"/>
        <v>108.95</v>
      </c>
      <c r="AK8" s="345">
        <f t="shared" si="48"/>
        <v>96.83</v>
      </c>
      <c r="AM8" s="345">
        <f t="shared" si="49"/>
        <v>100</v>
      </c>
      <c r="AN8" s="345">
        <f t="shared" si="50"/>
        <v>100</v>
      </c>
      <c r="AO8" s="345">
        <f t="shared" si="51"/>
        <v>100</v>
      </c>
      <c r="AP8" s="345">
        <f t="shared" si="52"/>
        <v>100</v>
      </c>
      <c r="AQ8" s="345">
        <f t="shared" si="53"/>
        <v>100</v>
      </c>
      <c r="AR8" s="345">
        <f t="shared" si="54"/>
        <v>100</v>
      </c>
    </row>
    <row r="9" s="292" customFormat="1" ht="12.75" spans="1:44">
      <c r="A9" s="166" t="s">
        <v>3045</v>
      </c>
      <c r="B9" s="168">
        <v>2025</v>
      </c>
      <c r="C9" s="169">
        <v>4</v>
      </c>
      <c r="D9" s="170">
        <v>-0.61</v>
      </c>
      <c r="E9" s="170">
        <v>-0.9</v>
      </c>
      <c r="F9" s="170">
        <v>-0.47</v>
      </c>
      <c r="G9" s="170">
        <v>0.11</v>
      </c>
      <c r="H9" s="170">
        <v>0</v>
      </c>
      <c r="I9" s="171">
        <f t="shared" si="23"/>
        <v>-0.47</v>
      </c>
      <c r="J9" s="329"/>
      <c r="K9" s="330">
        <f t="shared" si="30"/>
        <v>-0.0061</v>
      </c>
      <c r="L9" s="325">
        <f t="shared" si="31"/>
        <v>-0.009</v>
      </c>
      <c r="M9" s="325">
        <f t="shared" si="32"/>
        <v>-0.0047</v>
      </c>
      <c r="N9" s="325">
        <f t="shared" si="33"/>
        <v>0.0011</v>
      </c>
      <c r="O9" s="325">
        <f t="shared" si="34"/>
        <v>0</v>
      </c>
      <c r="P9" s="325">
        <f t="shared" si="35"/>
        <v>-0.0047</v>
      </c>
      <c r="Q9" s="329"/>
      <c r="R9" s="331">
        <f>ROUND(IF(项目基本情况!$B$8="出让",SUMPRODUCT(PRODUCT(1+K9:$K$28)),SUMPRODUCT(PRODUCT(1+K9:$K$27))),4)</f>
        <v>1.0465</v>
      </c>
      <c r="S9" s="331">
        <f>ROUND(IF(项目基本情况!$B$8="出让",SUMPRODUCT(PRODUCT(1+L9:$L$28)),SUMPRODUCT(PRODUCT(1+L9:$L$27))),4)</f>
        <v>1.016</v>
      </c>
      <c r="T9" s="331">
        <f>ROUND(IF(项目基本情况!$B$8="出让",SUMPRODUCT(PRODUCT(1+M9:$M$28)),SUMPRODUCT(PRODUCT(1+M9:$M$27))),4)</f>
        <v>0.9683</v>
      </c>
      <c r="U9" s="331">
        <f>ROUND(IF(项目基本情况!$B$8="出让",SUMPRODUCT(PRODUCT(1+N9:$N$28)),SUMPRODUCT(PRODUCT(1+N9:$N$27))),4)</f>
        <v>1.0659</v>
      </c>
      <c r="V9" s="331">
        <f>ROUND(IF(项目基本情况!$B$8="出让",SUMPRODUCT(PRODUCT(1+O9:$O$28)),SUMPRODUCT(PRODUCT(1+O9:$O$27))),4)</f>
        <v>1.0895</v>
      </c>
      <c r="W9" s="331">
        <f t="shared" si="36"/>
        <v>0.9683</v>
      </c>
      <c r="X9" s="329"/>
      <c r="Y9" s="332">
        <f t="shared" si="37"/>
        <v>0.0003</v>
      </c>
      <c r="Z9" s="332">
        <f t="shared" si="38"/>
        <v>-0.0003</v>
      </c>
      <c r="AA9" s="332">
        <f t="shared" si="39"/>
        <v>-0.0031</v>
      </c>
      <c r="AB9" s="332">
        <f t="shared" si="40"/>
        <v>0.0013</v>
      </c>
      <c r="AC9" s="332">
        <f t="shared" si="41"/>
        <v>0</v>
      </c>
      <c r="AD9" s="332">
        <f t="shared" si="42"/>
        <v>-0.0031</v>
      </c>
      <c r="AF9" s="333">
        <f t="shared" si="43"/>
        <v>104.65</v>
      </c>
      <c r="AG9" s="333">
        <f t="shared" si="44"/>
        <v>101.6</v>
      </c>
      <c r="AH9" s="333">
        <f t="shared" si="45"/>
        <v>96.83</v>
      </c>
      <c r="AI9" s="333">
        <f t="shared" si="46"/>
        <v>106.59</v>
      </c>
      <c r="AJ9" s="333">
        <f t="shared" si="47"/>
        <v>108.95</v>
      </c>
      <c r="AK9" s="333">
        <f t="shared" si="48"/>
        <v>96.83</v>
      </c>
      <c r="AM9" s="333">
        <f t="shared" si="49"/>
        <v>100</v>
      </c>
      <c r="AN9" s="333">
        <f t="shared" si="50"/>
        <v>100</v>
      </c>
      <c r="AO9" s="333">
        <f t="shared" si="51"/>
        <v>100</v>
      </c>
      <c r="AP9" s="333">
        <f t="shared" si="52"/>
        <v>100</v>
      </c>
      <c r="AQ9" s="333">
        <f t="shared" si="53"/>
        <v>100</v>
      </c>
      <c r="AR9" s="333">
        <f t="shared" si="54"/>
        <v>100</v>
      </c>
    </row>
    <row r="10" s="292" customFormat="1" ht="12.75" spans="1:44">
      <c r="A10" s="166" t="s">
        <v>3046</v>
      </c>
      <c r="B10" s="168">
        <v>2025</v>
      </c>
      <c r="C10" s="169">
        <v>3</v>
      </c>
      <c r="D10" s="170">
        <v>-0.45</v>
      </c>
      <c r="E10" s="170">
        <v>-0.22</v>
      </c>
      <c r="F10" s="170">
        <v>-0.82</v>
      </c>
      <c r="G10" s="170">
        <v>-0.39</v>
      </c>
      <c r="H10" s="170">
        <v>0.04</v>
      </c>
      <c r="I10" s="171">
        <f t="shared" ref="I10" si="55">F10</f>
        <v>-0.82</v>
      </c>
      <c r="J10" s="329"/>
      <c r="K10" s="330">
        <f t="shared" ref="K10" si="56">D10/100</f>
        <v>-0.0045</v>
      </c>
      <c r="L10" s="325">
        <f t="shared" ref="L10" si="57">E10/100</f>
        <v>-0.0022</v>
      </c>
      <c r="M10" s="325">
        <f t="shared" ref="M10" si="58">F10/100</f>
        <v>-0.0082</v>
      </c>
      <c r="N10" s="325">
        <f t="shared" ref="N10" si="59">G10/100</f>
        <v>-0.0039</v>
      </c>
      <c r="O10" s="325">
        <f t="shared" ref="O10" si="60">H10/100</f>
        <v>0.0004</v>
      </c>
      <c r="P10" s="325">
        <f t="shared" si="10"/>
        <v>-0.0082</v>
      </c>
      <c r="Q10" s="329"/>
      <c r="R10" s="331">
        <f>ROUND(IF(项目基本情况!$B$8="出让",SUMPRODUCT(PRODUCT(1+K10:$K$28)),SUMPRODUCT(PRODUCT(1+K10:$K$27))),4)</f>
        <v>1.053</v>
      </c>
      <c r="S10" s="331">
        <f>ROUND(IF(项目基本情况!$B$8="出让",SUMPRODUCT(PRODUCT(1+L10:$L$28)),SUMPRODUCT(PRODUCT(1+L10:$L$27))),4)</f>
        <v>1.0252</v>
      </c>
      <c r="T10" s="331">
        <f>ROUND(IF(项目基本情况!$B$8="出让",SUMPRODUCT(PRODUCT(1+M10:$M$28)),SUMPRODUCT(PRODUCT(1+M10:$M$27))),4)</f>
        <v>0.9729</v>
      </c>
      <c r="U10" s="331">
        <f>ROUND(IF(项目基本情况!$B$8="出让",SUMPRODUCT(PRODUCT(1+N10:$N$28)),SUMPRODUCT(PRODUCT(1+N10:$N$27))),4)</f>
        <v>1.0647</v>
      </c>
      <c r="V10" s="331">
        <f>ROUND(IF(项目基本情况!$B$8="出让",SUMPRODUCT(PRODUCT(1+O10:$O$28)),SUMPRODUCT(PRODUCT(1+O10:$O$27))),4)</f>
        <v>1.0895</v>
      </c>
      <c r="W10" s="331">
        <f t="shared" si="11"/>
        <v>0.9729</v>
      </c>
      <c r="X10" s="329"/>
      <c r="Y10" s="332">
        <f t="shared" ref="Y10:Y15" si="61">IF(D10=0,0,ROUND(AVERAGE(D10:D23)/100,4))</f>
        <v>0.0014</v>
      </c>
      <c r="Z10" s="332">
        <f t="shared" ref="Z10" si="62">IF(E10=0,0,ROUND(AVERAGE(E10:E23)/100,4))</f>
        <v>0.0005</v>
      </c>
      <c r="AA10" s="332">
        <f t="shared" ref="AA10" si="63">IF(F10=0,0,ROUND(AVERAGE(F10:F23)/100,4))</f>
        <v>-0.0027</v>
      </c>
      <c r="AB10" s="332">
        <f t="shared" ref="AB10" si="64">IF(G10=0,0,ROUND(AVERAGE(G10:G23)/100,4))</f>
        <v>0.002</v>
      </c>
      <c r="AC10" s="332">
        <f t="shared" ref="AC10" si="65">IF(H10=0,0,ROUND(AVERAGE(H10:H23)/100,4))</f>
        <v>0.0042</v>
      </c>
      <c r="AD10" s="332">
        <f t="shared" ref="AD10" si="66">AA10</f>
        <v>-0.0027</v>
      </c>
      <c r="AF10" s="333">
        <f t="shared" ref="AF10:AF27" si="67">$AF$28*R10</f>
        <v>105.3</v>
      </c>
      <c r="AG10" s="333">
        <f t="shared" ref="AG10:AG27" si="68">$AF$28*S10</f>
        <v>102.52</v>
      </c>
      <c r="AH10" s="333">
        <f t="shared" ref="AH10:AH27" si="69">$AF$28*T10</f>
        <v>97.29</v>
      </c>
      <c r="AI10" s="333">
        <f t="shared" ref="AI10:AI27" si="70">$AF$28*U10</f>
        <v>106.47</v>
      </c>
      <c r="AJ10" s="333">
        <f t="shared" ref="AJ10:AJ27" si="71">$AF$28*V10</f>
        <v>108.95</v>
      </c>
      <c r="AK10" s="333">
        <f t="shared" ref="AK10:AK27" si="72">$AF$28*W10</f>
        <v>97.29</v>
      </c>
      <c r="AM10" s="333">
        <f>AM5/(1+D5/100)</f>
        <v>100</v>
      </c>
      <c r="AN10" s="333">
        <f t="shared" ref="AN10:AR10" si="73">AN5/(1+E5/100)</f>
        <v>100</v>
      </c>
      <c r="AO10" s="333">
        <f t="shared" si="73"/>
        <v>100</v>
      </c>
      <c r="AP10" s="333">
        <f t="shared" si="73"/>
        <v>100</v>
      </c>
      <c r="AQ10" s="333">
        <f t="shared" si="73"/>
        <v>100</v>
      </c>
      <c r="AR10" s="333">
        <f t="shared" si="73"/>
        <v>100</v>
      </c>
    </row>
    <row r="11" s="292" customFormat="1" ht="12.75" spans="1:44">
      <c r="A11" s="166" t="s">
        <v>3047</v>
      </c>
      <c r="B11" s="168">
        <v>2025</v>
      </c>
      <c r="C11" s="169">
        <v>2</v>
      </c>
      <c r="D11" s="170">
        <v>0.05</v>
      </c>
      <c r="E11" s="170">
        <v>-0.62</v>
      </c>
      <c r="F11" s="170">
        <v>-1.05</v>
      </c>
      <c r="G11" s="170">
        <v>0.09</v>
      </c>
      <c r="H11" s="170">
        <v>0.17</v>
      </c>
      <c r="I11" s="171">
        <f t="shared" ref="I11" si="74">F11</f>
        <v>-1.05</v>
      </c>
      <c r="J11" s="329"/>
      <c r="K11" s="330">
        <f t="shared" ref="K11" si="75">D11/100</f>
        <v>0.0005</v>
      </c>
      <c r="L11" s="325">
        <f t="shared" ref="L11" si="76">E11/100</f>
        <v>-0.0062</v>
      </c>
      <c r="M11" s="325">
        <f t="shared" ref="M11" si="77">F11/100</f>
        <v>-0.0105</v>
      </c>
      <c r="N11" s="325">
        <f t="shared" ref="N11" si="78">G11/100</f>
        <v>0.0009</v>
      </c>
      <c r="O11" s="325">
        <f t="shared" ref="O11" si="79">H11/100</f>
        <v>0.0017</v>
      </c>
      <c r="P11" s="325">
        <f t="shared" si="10"/>
        <v>-0.0105</v>
      </c>
      <c r="Q11" s="329"/>
      <c r="R11" s="331">
        <f>ROUND(IF(项目基本情况!$B$8="出让",SUMPRODUCT(PRODUCT(1+K11:$K$28)),SUMPRODUCT(PRODUCT(1+K11:$K$27))),4)</f>
        <v>1.0577</v>
      </c>
      <c r="S11" s="331">
        <f>ROUND(IF(项目基本情况!$B$8="出让",SUMPRODUCT(PRODUCT(1+L11:$L$28)),SUMPRODUCT(PRODUCT(1+L11:$L$27))),4)</f>
        <v>1.0275</v>
      </c>
      <c r="T11" s="331">
        <f>ROUND(IF(项目基本情况!$B$8="出让",SUMPRODUCT(PRODUCT(1+M11:$M$28)),SUMPRODUCT(PRODUCT(1+M11:$M$27))),4)</f>
        <v>0.9809</v>
      </c>
      <c r="U11" s="331">
        <f>ROUND(IF(项目基本情况!$B$8="出让",SUMPRODUCT(PRODUCT(1+N11:$N$28)),SUMPRODUCT(PRODUCT(1+N11:$N$27))),4)</f>
        <v>1.0689</v>
      </c>
      <c r="V11" s="331">
        <f>ROUND(IF(项目基本情况!$B$8="出让",SUMPRODUCT(PRODUCT(1+O11:$O$28)),SUMPRODUCT(PRODUCT(1+O11:$O$27))),4)</f>
        <v>1.0891</v>
      </c>
      <c r="W11" s="331">
        <f t="shared" si="11"/>
        <v>0.9809</v>
      </c>
      <c r="X11" s="329"/>
      <c r="Y11" s="332">
        <f t="shared" si="61"/>
        <v>0.0023</v>
      </c>
      <c r="Z11" s="332">
        <f t="shared" ref="Z11" si="80">IF(E11=0,0,ROUND(AVERAGE(E11:E24)/100,4))</f>
        <v>0.001</v>
      </c>
      <c r="AA11" s="332">
        <f t="shared" ref="AA11" si="81">IF(F11=0,0,ROUND(AVERAGE(F11:F24)/100,4))</f>
        <v>-0.0019</v>
      </c>
      <c r="AB11" s="332">
        <f t="shared" ref="AB11" si="82">IF(G11=0,0,ROUND(AVERAGE(G11:G24)/100,4))</f>
        <v>0.0029</v>
      </c>
      <c r="AC11" s="332">
        <f t="shared" ref="AC11" si="83">IF(H11=0,0,ROUND(AVERAGE(H11:H24)/100,4))</f>
        <v>0.0047</v>
      </c>
      <c r="AD11" s="332">
        <f t="shared" ref="AD11" si="84">AA11</f>
        <v>-0.0019</v>
      </c>
      <c r="AF11" s="333">
        <f t="shared" si="67"/>
        <v>105.77</v>
      </c>
      <c r="AG11" s="333">
        <f t="shared" si="68"/>
        <v>102.75</v>
      </c>
      <c r="AH11" s="333">
        <f t="shared" si="69"/>
        <v>98.09</v>
      </c>
      <c r="AI11" s="333">
        <f t="shared" si="70"/>
        <v>106.89</v>
      </c>
      <c r="AJ11" s="333">
        <f t="shared" si="71"/>
        <v>108.91</v>
      </c>
      <c r="AK11" s="333">
        <f t="shared" si="72"/>
        <v>98.09</v>
      </c>
      <c r="AM11" s="333">
        <f t="shared" ref="AM11:AM28" si="85">AM10/(1+D10/100)</f>
        <v>100.452034153692</v>
      </c>
      <c r="AN11" s="333">
        <f t="shared" ref="AN11:AN28" si="86">AN10/(1+E10/100)</f>
        <v>100.220485067148</v>
      </c>
      <c r="AO11" s="333">
        <f t="shared" ref="AO11:AO28" si="87">AO10/(1+F10/100)</f>
        <v>100.82677959266</v>
      </c>
      <c r="AP11" s="333">
        <f t="shared" ref="AP11:AP28" si="88">AP10/(1+G10/100)</f>
        <v>100.391526955125</v>
      </c>
      <c r="AQ11" s="333">
        <f t="shared" ref="AQ11:AQ28" si="89">AQ10/(1+H10/100)</f>
        <v>99.9600159936026</v>
      </c>
      <c r="AR11" s="333">
        <f t="shared" ref="AR11:AR28" si="90">AR10/(1+I10/100)</f>
        <v>100.82677959266</v>
      </c>
    </row>
    <row r="12" s="292" customFormat="1" ht="12.75" spans="1:44">
      <c r="A12" s="166" t="s">
        <v>3048</v>
      </c>
      <c r="B12" s="168">
        <v>2025</v>
      </c>
      <c r="C12" s="169">
        <v>1</v>
      </c>
      <c r="D12" s="170">
        <v>0.57</v>
      </c>
      <c r="E12" s="170">
        <v>-0.57</v>
      </c>
      <c r="F12" s="170">
        <v>-0.9</v>
      </c>
      <c r="G12" s="170">
        <v>1.12</v>
      </c>
      <c r="H12" s="170">
        <v>0.42</v>
      </c>
      <c r="I12" s="171">
        <f t="shared" ref="I12" si="91">F12</f>
        <v>-0.9</v>
      </c>
      <c r="J12" s="329"/>
      <c r="K12" s="330">
        <f t="shared" ref="K12" si="92">D12/100</f>
        <v>0.0057</v>
      </c>
      <c r="L12" s="325">
        <f t="shared" ref="L12" si="93">E12/100</f>
        <v>-0.0057</v>
      </c>
      <c r="M12" s="325">
        <f t="shared" ref="M12" si="94">F12/100</f>
        <v>-0.009</v>
      </c>
      <c r="N12" s="325">
        <f t="shared" ref="N12" si="95">G12/100</f>
        <v>0.0112</v>
      </c>
      <c r="O12" s="325">
        <f t="shared" ref="O12" si="96">H12/100</f>
        <v>0.0042</v>
      </c>
      <c r="P12" s="325">
        <f t="shared" si="10"/>
        <v>-0.009</v>
      </c>
      <c r="Q12" s="329"/>
      <c r="R12" s="331">
        <f>ROUND(IF(项目基本情况!$B$8="出让",SUMPRODUCT(PRODUCT(1+K12:$K$28)),SUMPRODUCT(PRODUCT(1+K12:$K$27))),4)</f>
        <v>1.0572</v>
      </c>
      <c r="S12" s="331">
        <f>ROUND(IF(项目基本情况!$B$8="出让",SUMPRODUCT(PRODUCT(1+L12:$L$28)),SUMPRODUCT(PRODUCT(1+L12:$L$27))),4)</f>
        <v>1.0339</v>
      </c>
      <c r="T12" s="331">
        <f>ROUND(IF(项目基本情况!$B$8="出让",SUMPRODUCT(PRODUCT(1+M12:$M$28)),SUMPRODUCT(PRODUCT(1+M12:$M$27))),4)</f>
        <v>0.9913</v>
      </c>
      <c r="U12" s="331">
        <f>ROUND(IF(项目基本情况!$B$8="出让",SUMPRODUCT(PRODUCT(1+N12:$N$28)),SUMPRODUCT(PRODUCT(1+N12:$N$27))),4)</f>
        <v>1.0679</v>
      </c>
      <c r="V12" s="331">
        <f>ROUND(IF(项目基本情况!$B$8="出让",SUMPRODUCT(PRODUCT(1+O12:$O$28)),SUMPRODUCT(PRODUCT(1+O12:$O$27))),4)</f>
        <v>1.0872</v>
      </c>
      <c r="W12" s="331">
        <f t="shared" si="11"/>
        <v>0.9913</v>
      </c>
      <c r="X12" s="329"/>
      <c r="Y12" s="332">
        <f t="shared" si="61"/>
        <v>0.003</v>
      </c>
      <c r="Z12" s="332">
        <f t="shared" ref="Z12" si="97">IF(E12=0,0,ROUND(AVERAGE(E12:E25)/100,4))</f>
        <v>0.0016</v>
      </c>
      <c r="AA12" s="332">
        <f t="shared" ref="AA12" si="98">IF(F12=0,0,ROUND(AVERAGE(F12:F25)/100,4))</f>
        <v>-0.0011</v>
      </c>
      <c r="AB12" s="332">
        <f t="shared" ref="AB12" si="99">IF(G12=0,0,ROUND(AVERAGE(G12:G25)/100,4))</f>
        <v>0.0037</v>
      </c>
      <c r="AC12" s="332">
        <f t="shared" ref="AC12" si="100">IF(H12=0,0,ROUND(AVERAGE(H12:H25)/100,4))</f>
        <v>0.0049</v>
      </c>
      <c r="AD12" s="332">
        <f t="shared" ref="AD12" si="101">AA12</f>
        <v>-0.0011</v>
      </c>
      <c r="AF12" s="333">
        <f t="shared" si="67"/>
        <v>105.72</v>
      </c>
      <c r="AG12" s="333">
        <f t="shared" si="68"/>
        <v>103.39</v>
      </c>
      <c r="AH12" s="333">
        <f t="shared" si="69"/>
        <v>99.13</v>
      </c>
      <c r="AI12" s="333">
        <f t="shared" si="70"/>
        <v>106.79</v>
      </c>
      <c r="AJ12" s="333">
        <f t="shared" si="71"/>
        <v>108.72</v>
      </c>
      <c r="AK12" s="333">
        <f t="shared" si="72"/>
        <v>99.13</v>
      </c>
      <c r="AM12" s="333">
        <f t="shared" si="85"/>
        <v>100.401833237073</v>
      </c>
      <c r="AN12" s="333">
        <f t="shared" si="86"/>
        <v>100.845728584371</v>
      </c>
      <c r="AO12" s="333">
        <f t="shared" si="87"/>
        <v>101.896694888994</v>
      </c>
      <c r="AP12" s="333">
        <f t="shared" si="88"/>
        <v>100.301255824883</v>
      </c>
      <c r="AQ12" s="333">
        <f t="shared" si="89"/>
        <v>99.7903723605896</v>
      </c>
      <c r="AR12" s="333">
        <f t="shared" si="90"/>
        <v>101.896694888994</v>
      </c>
    </row>
    <row r="13" s="292" customFormat="1" ht="12.75" spans="1:44">
      <c r="A13" s="166" t="s">
        <v>3049</v>
      </c>
      <c r="B13" s="168">
        <v>2024</v>
      </c>
      <c r="C13" s="169">
        <v>4</v>
      </c>
      <c r="D13" s="170">
        <v>-1.02</v>
      </c>
      <c r="E13" s="170">
        <v>-0.48</v>
      </c>
      <c r="F13" s="170">
        <v>-0.75</v>
      </c>
      <c r="G13" s="170">
        <v>-1.05</v>
      </c>
      <c r="H13" s="170">
        <v>0.08</v>
      </c>
      <c r="I13" s="171">
        <f t="shared" ref="I13" si="102">F13</f>
        <v>-0.75</v>
      </c>
      <c r="J13" s="329"/>
      <c r="K13" s="330">
        <f t="shared" ref="K13" si="103">D13/100</f>
        <v>-0.0102</v>
      </c>
      <c r="L13" s="325">
        <f t="shared" ref="L13" si="104">E13/100</f>
        <v>-0.0048</v>
      </c>
      <c r="M13" s="325">
        <f t="shared" ref="M13" si="105">F13/100</f>
        <v>-0.0075</v>
      </c>
      <c r="N13" s="325">
        <f t="shared" ref="N13" si="106">G13/100</f>
        <v>-0.0105</v>
      </c>
      <c r="O13" s="325">
        <f t="shared" ref="O13" si="107">H13/100</f>
        <v>0.0008</v>
      </c>
      <c r="P13" s="325">
        <f t="shared" si="10"/>
        <v>-0.0075</v>
      </c>
      <c r="Q13" s="329"/>
      <c r="R13" s="331">
        <f>ROUND(IF(项目基本情况!$B$8="出让",SUMPRODUCT(PRODUCT(1+K13:$K$28)),SUMPRODUCT(PRODUCT(1+K13:$K$27))),4)</f>
        <v>1.0512</v>
      </c>
      <c r="S13" s="331">
        <f>ROUND(IF(项目基本情况!$B$8="出让",SUMPRODUCT(PRODUCT(1+L13:$L$28)),SUMPRODUCT(PRODUCT(1+L13:$L$27))),4)</f>
        <v>1.0398</v>
      </c>
      <c r="T13" s="331">
        <f>ROUND(IF(项目基本情况!$B$8="出让",SUMPRODUCT(PRODUCT(1+M13:$M$28)),SUMPRODUCT(PRODUCT(1+M13:$M$27))),4)</f>
        <v>1.0003</v>
      </c>
      <c r="U13" s="331">
        <f>ROUND(IF(项目基本情况!$B$8="出让",SUMPRODUCT(PRODUCT(1+N13:$N$28)),SUMPRODUCT(PRODUCT(1+N13:$N$27))),4)</f>
        <v>1.0561</v>
      </c>
      <c r="V13" s="331">
        <f>ROUND(IF(项目基本情况!$B$8="出让",SUMPRODUCT(PRODUCT(1+O13:$O$28)),SUMPRODUCT(PRODUCT(1+O13:$O$27))),4)</f>
        <v>1.0827</v>
      </c>
      <c r="W13" s="331">
        <f t="shared" si="11"/>
        <v>1.0003</v>
      </c>
      <c r="X13" s="329"/>
      <c r="Y13" s="332">
        <f t="shared" si="61"/>
        <v>0.0029</v>
      </c>
      <c r="Z13" s="332">
        <f t="shared" ref="Z13" si="108">IF(E13=0,0,ROUND(AVERAGE(E13:E26)/100,4))</f>
        <v>0.0023</v>
      </c>
      <c r="AA13" s="332">
        <f t="shared" ref="AA13" si="109">IF(F13=0,0,ROUND(AVERAGE(F13:F26)/100,4))</f>
        <v>-0.0003</v>
      </c>
      <c r="AB13" s="332">
        <f t="shared" ref="AB13" si="110">IF(G13=0,0,ROUND(AVERAGE(G13:G26)/100,4))</f>
        <v>0.0033</v>
      </c>
      <c r="AC13" s="332">
        <f t="shared" ref="AC13" si="111">IF(H13=0,0,ROUND(AVERAGE(H13:H26)/100,4))</f>
        <v>0.005</v>
      </c>
      <c r="AD13" s="332">
        <f t="shared" ref="AD13" si="112">AA13</f>
        <v>-0.0003</v>
      </c>
      <c r="AF13" s="333">
        <f t="shared" si="67"/>
        <v>105.12</v>
      </c>
      <c r="AG13" s="333">
        <f t="shared" si="68"/>
        <v>103.98</v>
      </c>
      <c r="AH13" s="333">
        <f t="shared" si="69"/>
        <v>100.03</v>
      </c>
      <c r="AI13" s="333">
        <f t="shared" si="70"/>
        <v>105.61</v>
      </c>
      <c r="AJ13" s="333">
        <f t="shared" si="71"/>
        <v>108.27</v>
      </c>
      <c r="AK13" s="333">
        <f t="shared" si="72"/>
        <v>100.03</v>
      </c>
      <c r="AM13" s="333">
        <f t="shared" si="85"/>
        <v>99.8327863548504</v>
      </c>
      <c r="AN13" s="333">
        <f t="shared" si="86"/>
        <v>101.423844498009</v>
      </c>
      <c r="AO13" s="333">
        <f t="shared" si="87"/>
        <v>102.822093732588</v>
      </c>
      <c r="AP13" s="333">
        <f t="shared" si="88"/>
        <v>99.1903241939108</v>
      </c>
      <c r="AQ13" s="333">
        <f t="shared" si="89"/>
        <v>99.3730057364963</v>
      </c>
      <c r="AR13" s="333">
        <f t="shared" si="90"/>
        <v>102.822093732588</v>
      </c>
    </row>
    <row r="14" s="292" customFormat="1" ht="12.75" spans="1:44">
      <c r="A14" s="166" t="s">
        <v>3050</v>
      </c>
      <c r="B14" s="168">
        <v>2024</v>
      </c>
      <c r="C14" s="169">
        <v>3</v>
      </c>
      <c r="D14" s="170">
        <v>-1.19</v>
      </c>
      <c r="E14" s="170">
        <v>-0.47</v>
      </c>
      <c r="F14" s="170">
        <v>-0.29</v>
      </c>
      <c r="G14" s="170">
        <v>-0.74</v>
      </c>
      <c r="H14" s="170">
        <v>-0.21</v>
      </c>
      <c r="I14" s="171">
        <f t="shared" ref="I14" si="113">F14</f>
        <v>-0.29</v>
      </c>
      <c r="J14" s="329"/>
      <c r="K14" s="330">
        <f t="shared" ref="K14" si="114">D14/100</f>
        <v>-0.0119</v>
      </c>
      <c r="L14" s="325">
        <f t="shared" ref="L14" si="115">E14/100</f>
        <v>-0.0047</v>
      </c>
      <c r="M14" s="325">
        <f t="shared" ref="M14" si="116">F14/100</f>
        <v>-0.0029</v>
      </c>
      <c r="N14" s="325">
        <f t="shared" ref="N14" si="117">G14/100</f>
        <v>-0.0074</v>
      </c>
      <c r="O14" s="325">
        <f t="shared" ref="O14" si="118">H14/100</f>
        <v>-0.0021</v>
      </c>
      <c r="P14" s="325">
        <f t="shared" si="10"/>
        <v>-0.0029</v>
      </c>
      <c r="Q14" s="329"/>
      <c r="R14" s="331">
        <f>ROUND(IF(项目基本情况!$B$8="出让",SUMPRODUCT(PRODUCT(1+K14:$K$28)),SUMPRODUCT(PRODUCT(1+K14:$K$27))),4)</f>
        <v>1.062</v>
      </c>
      <c r="S14" s="331">
        <f>ROUND(IF(项目基本情况!$B$8="出让",SUMPRODUCT(PRODUCT(1+L14:$L$28)),SUMPRODUCT(PRODUCT(1+L14:$L$27))),4)</f>
        <v>1.0448</v>
      </c>
      <c r="T14" s="331">
        <f>ROUND(IF(项目基本情况!$B$8="出让",SUMPRODUCT(PRODUCT(1+M14:$M$28)),SUMPRODUCT(PRODUCT(1+M14:$M$27))),4)</f>
        <v>1.0079</v>
      </c>
      <c r="U14" s="331">
        <f>ROUND(IF(项目基本情况!$B$8="出让",SUMPRODUCT(PRODUCT(1+N14:$N$28)),SUMPRODUCT(PRODUCT(1+N14:$N$27))),4)</f>
        <v>1.0673</v>
      </c>
      <c r="V14" s="331">
        <f>ROUND(IF(项目基本情况!$B$8="出让",SUMPRODUCT(PRODUCT(1+O14:$O$28)),SUMPRODUCT(PRODUCT(1+O14:$O$27))),4)</f>
        <v>1.0818</v>
      </c>
      <c r="W14" s="331">
        <f t="shared" si="11"/>
        <v>1.0079</v>
      </c>
      <c r="X14" s="329"/>
      <c r="Y14" s="332">
        <f t="shared" si="61"/>
        <v>0.0043</v>
      </c>
      <c r="Z14" s="332">
        <f t="shared" ref="Z14" si="119">IF(E14=0,0,ROUND(AVERAGE(E14:E27)/100,4))</f>
        <v>0.0031</v>
      </c>
      <c r="AA14" s="332">
        <f t="shared" ref="AA14" si="120">IF(F14=0,0,ROUND(AVERAGE(F14:F27)/100,4))</f>
        <v>0.0006</v>
      </c>
      <c r="AB14" s="332">
        <f t="shared" ref="AB14" si="121">IF(G14=0,0,ROUND(AVERAGE(G14:G27)/100,4))</f>
        <v>0.0047</v>
      </c>
      <c r="AC14" s="332">
        <f t="shared" ref="AC14" si="122">IF(H14=0,0,ROUND(AVERAGE(H14:H27)/100,4))</f>
        <v>0.0056</v>
      </c>
      <c r="AD14" s="332">
        <f t="shared" ref="AD14" si="123">AA14</f>
        <v>0.0006</v>
      </c>
      <c r="AF14" s="333">
        <f t="shared" si="67"/>
        <v>106.2</v>
      </c>
      <c r="AG14" s="333">
        <f t="shared" si="68"/>
        <v>104.48</v>
      </c>
      <c r="AH14" s="333">
        <f t="shared" si="69"/>
        <v>100.79</v>
      </c>
      <c r="AI14" s="333">
        <f t="shared" si="70"/>
        <v>106.73</v>
      </c>
      <c r="AJ14" s="333">
        <f t="shared" si="71"/>
        <v>108.18</v>
      </c>
      <c r="AK14" s="333">
        <f t="shared" si="72"/>
        <v>100.79</v>
      </c>
      <c r="AM14" s="333">
        <f t="shared" si="85"/>
        <v>100.861574413872</v>
      </c>
      <c r="AN14" s="333">
        <f t="shared" si="86"/>
        <v>101.913027027743</v>
      </c>
      <c r="AO14" s="333">
        <f t="shared" si="87"/>
        <v>103.599086884219</v>
      </c>
      <c r="AP14" s="333">
        <f t="shared" si="88"/>
        <v>100.242874374847</v>
      </c>
      <c r="AQ14" s="333">
        <f t="shared" si="89"/>
        <v>99.2935708797925</v>
      </c>
      <c r="AR14" s="333">
        <f t="shared" si="90"/>
        <v>103.599086884219</v>
      </c>
    </row>
    <row r="15" s="292" customFormat="1" ht="12.75" spans="1:44">
      <c r="A15" s="346" t="s">
        <v>3051</v>
      </c>
      <c r="B15" s="168">
        <v>2024</v>
      </c>
      <c r="C15" s="169">
        <v>2</v>
      </c>
      <c r="D15" s="170">
        <v>-0.59</v>
      </c>
      <c r="E15" s="170">
        <v>-0.21</v>
      </c>
      <c r="F15" s="170">
        <v>-1.38</v>
      </c>
      <c r="G15" s="170">
        <v>-1.24</v>
      </c>
      <c r="H15" s="347">
        <v>0.34</v>
      </c>
      <c r="I15" s="171">
        <f t="shared" ref="I15:I28" si="124">F15</f>
        <v>-1.38</v>
      </c>
      <c r="J15" s="329"/>
      <c r="K15" s="330">
        <f t="shared" ref="K15:O28" si="125">D15/100</f>
        <v>-0.0059</v>
      </c>
      <c r="L15" s="325">
        <f t="shared" si="125"/>
        <v>-0.0021</v>
      </c>
      <c r="M15" s="325">
        <f t="shared" si="125"/>
        <v>-0.0138</v>
      </c>
      <c r="N15" s="325">
        <f t="shared" si="125"/>
        <v>-0.0124</v>
      </c>
      <c r="O15" s="325">
        <f t="shared" si="125"/>
        <v>0.0034</v>
      </c>
      <c r="P15" s="325">
        <f t="shared" si="10"/>
        <v>-0.0138</v>
      </c>
      <c r="Q15" s="329"/>
      <c r="R15" s="331">
        <f>ROUND(IF(项目基本情况!$B$8="出让",SUMPRODUCT(PRODUCT(1+K15:$K$28)),SUMPRODUCT(PRODUCT(1+K15:$K$27))),4)</f>
        <v>1.0748</v>
      </c>
      <c r="S15" s="331">
        <f>ROUND(IF(项目基本情况!$B$8="出让",SUMPRODUCT(PRODUCT(1+L15:$L$28)),SUMPRODUCT(PRODUCT(1+L15:$L$27))),4)</f>
        <v>1.0498</v>
      </c>
      <c r="T15" s="331">
        <f>ROUND(IF(项目基本情况!$B$8="出让",SUMPRODUCT(PRODUCT(1+M15:$M$28)),SUMPRODUCT(PRODUCT(1+M15:$M$27))),4)</f>
        <v>1.0108</v>
      </c>
      <c r="U15" s="331">
        <f>ROUND(IF(项目基本情况!$B$8="出让",SUMPRODUCT(PRODUCT(1+N15:$N$28)),SUMPRODUCT(PRODUCT(1+N15:$N$27))),4)</f>
        <v>1.0753</v>
      </c>
      <c r="V15" s="331">
        <f>ROUND(IF(项目基本情况!$B$8="出让",SUMPRODUCT(PRODUCT(1+O15:$O$28)),SUMPRODUCT(PRODUCT(1+O15:$O$27))),4)</f>
        <v>1.0841</v>
      </c>
      <c r="W15" s="331">
        <f t="shared" si="11"/>
        <v>1.0108</v>
      </c>
      <c r="X15" s="329"/>
      <c r="Y15" s="332">
        <f t="shared" si="61"/>
        <v>0.0059</v>
      </c>
      <c r="Z15" s="332">
        <f t="shared" ref="Z15:AC15" si="126">IF(E15=0,0,ROUND(AVERAGE(E15:E28)/100,4))</f>
        <v>0.0036</v>
      </c>
      <c r="AA15" s="332">
        <f t="shared" si="126"/>
        <v>0.0006</v>
      </c>
      <c r="AB15" s="332">
        <f t="shared" si="126"/>
        <v>0.006</v>
      </c>
      <c r="AC15" s="332">
        <f t="shared" si="126"/>
        <v>0.006</v>
      </c>
      <c r="AD15" s="332">
        <f t="shared" ref="AD15:AD28" si="127">AA15</f>
        <v>0.0006</v>
      </c>
      <c r="AF15" s="333">
        <f t="shared" si="67"/>
        <v>107.48</v>
      </c>
      <c r="AG15" s="333">
        <f t="shared" si="68"/>
        <v>104.98</v>
      </c>
      <c r="AH15" s="333">
        <f t="shared" si="69"/>
        <v>101.08</v>
      </c>
      <c r="AI15" s="333">
        <f t="shared" si="70"/>
        <v>107.53</v>
      </c>
      <c r="AJ15" s="333">
        <f t="shared" si="71"/>
        <v>108.41</v>
      </c>
      <c r="AK15" s="333">
        <f t="shared" si="72"/>
        <v>101.08</v>
      </c>
      <c r="AM15" s="333">
        <f t="shared" si="85"/>
        <v>102.076282171715</v>
      </c>
      <c r="AN15" s="333">
        <f t="shared" si="86"/>
        <v>102.394280144421</v>
      </c>
      <c r="AO15" s="333">
        <f t="shared" si="87"/>
        <v>103.900398038531</v>
      </c>
      <c r="AP15" s="333">
        <f t="shared" si="88"/>
        <v>100.990201868675</v>
      </c>
      <c r="AQ15" s="333">
        <f t="shared" si="89"/>
        <v>99.5025261847805</v>
      </c>
      <c r="AR15" s="333">
        <f t="shared" si="90"/>
        <v>103.900398038531</v>
      </c>
    </row>
    <row r="16" s="292" customFormat="1" ht="12.75" spans="1:44">
      <c r="A16" s="346" t="s">
        <v>3052</v>
      </c>
      <c r="B16" s="168">
        <v>2024</v>
      </c>
      <c r="C16" s="169">
        <v>1</v>
      </c>
      <c r="D16" s="170">
        <v>0.08</v>
      </c>
      <c r="E16" s="170">
        <v>0.46</v>
      </c>
      <c r="F16" s="170">
        <v>-0.16</v>
      </c>
      <c r="G16" s="170">
        <v>0.26</v>
      </c>
      <c r="H16" s="347">
        <v>0.59</v>
      </c>
      <c r="I16" s="171">
        <f t="shared" si="124"/>
        <v>-0.16</v>
      </c>
      <c r="J16" s="329"/>
      <c r="K16" s="330">
        <f t="shared" ref="K16" si="128">D16/100</f>
        <v>0.0008</v>
      </c>
      <c r="L16" s="325">
        <f t="shared" ref="L16" si="129">E16/100</f>
        <v>0.0046</v>
      </c>
      <c r="M16" s="325">
        <f t="shared" ref="M16" si="130">F16/100</f>
        <v>-0.0016</v>
      </c>
      <c r="N16" s="325">
        <f t="shared" ref="N16" si="131">G16/100</f>
        <v>0.0026</v>
      </c>
      <c r="O16" s="325">
        <f t="shared" ref="O16" si="132">H16/100</f>
        <v>0.0059</v>
      </c>
      <c r="P16" s="325">
        <f t="shared" ref="P16" si="133">M16</f>
        <v>-0.0016</v>
      </c>
      <c r="Q16" s="329"/>
      <c r="R16" s="331">
        <f>ROUND(IF(项目基本情况!$B$8="出让",SUMPRODUCT(PRODUCT(1+K16:$K$28)),SUMPRODUCT(PRODUCT(1+K16:$K$27))),4)</f>
        <v>1.0812</v>
      </c>
      <c r="S16" s="331">
        <f>ROUND(IF(项目基本情况!$B$8="出让",SUMPRODUCT(PRODUCT(1+L16:$L$28)),SUMPRODUCT(PRODUCT(1+L16:$L$27))),4)</f>
        <v>1.052</v>
      </c>
      <c r="T16" s="331">
        <f>ROUND(IF(项目基本情况!$B$8="出让",SUMPRODUCT(PRODUCT(1+M16:$M$28)),SUMPRODUCT(PRODUCT(1+M16:$M$27))),4)</f>
        <v>1.025</v>
      </c>
      <c r="U16" s="331">
        <f>ROUND(IF(项目基本情况!$B$8="出让",SUMPRODUCT(PRODUCT(1+N16:$N$28)),SUMPRODUCT(PRODUCT(1+N16:$N$27))),4)</f>
        <v>1.0888</v>
      </c>
      <c r="V16" s="331">
        <f>ROUND(IF(项目基本情况!$B$8="出让",SUMPRODUCT(PRODUCT(1+O16:$O$28)),SUMPRODUCT(PRODUCT(1+O16:$O$27))),4)</f>
        <v>1.0804</v>
      </c>
      <c r="W16" s="331">
        <f t="shared" ref="W16" si="134">T16</f>
        <v>1.025</v>
      </c>
      <c r="X16" s="329"/>
      <c r="Y16" s="332"/>
      <c r="Z16" s="332"/>
      <c r="AA16" s="332"/>
      <c r="AB16" s="332"/>
      <c r="AC16" s="332"/>
      <c r="AD16" s="332"/>
      <c r="AF16" s="333">
        <f t="shared" si="67"/>
        <v>108.12</v>
      </c>
      <c r="AG16" s="333">
        <f t="shared" si="68"/>
        <v>105.2</v>
      </c>
      <c r="AH16" s="333">
        <f t="shared" si="69"/>
        <v>102.5</v>
      </c>
      <c r="AI16" s="333">
        <f t="shared" si="70"/>
        <v>108.88</v>
      </c>
      <c r="AJ16" s="333">
        <f t="shared" si="71"/>
        <v>108.04</v>
      </c>
      <c r="AK16" s="333">
        <f t="shared" si="72"/>
        <v>102.5</v>
      </c>
      <c r="AM16" s="333">
        <f t="shared" si="85"/>
        <v>102.682106600659</v>
      </c>
      <c r="AN16" s="333">
        <f t="shared" si="86"/>
        <v>102.609760641769</v>
      </c>
      <c r="AO16" s="333">
        <f t="shared" si="87"/>
        <v>105.354287201917</v>
      </c>
      <c r="AP16" s="333">
        <f t="shared" si="88"/>
        <v>102.258203593231</v>
      </c>
      <c r="AQ16" s="333">
        <f t="shared" si="89"/>
        <v>99.1653639473595</v>
      </c>
      <c r="AR16" s="333">
        <f t="shared" si="90"/>
        <v>105.354287201917</v>
      </c>
    </row>
    <row r="17" s="292" customFormat="1" ht="12.75" spans="1:44">
      <c r="A17" s="346" t="s">
        <v>3053</v>
      </c>
      <c r="B17" s="168">
        <v>2023</v>
      </c>
      <c r="C17" s="169">
        <v>4</v>
      </c>
      <c r="D17" s="170">
        <v>0.19</v>
      </c>
      <c r="E17" s="170">
        <v>0.24</v>
      </c>
      <c r="F17" s="170">
        <v>-0.16</v>
      </c>
      <c r="G17" s="170">
        <v>0.17</v>
      </c>
      <c r="H17" s="347">
        <v>0.61</v>
      </c>
      <c r="I17" s="171">
        <f t="shared" si="124"/>
        <v>-0.16</v>
      </c>
      <c r="J17" s="329"/>
      <c r="K17" s="330">
        <f t="shared" si="125"/>
        <v>0.0019</v>
      </c>
      <c r="L17" s="325">
        <f t="shared" si="125"/>
        <v>0.0024</v>
      </c>
      <c r="M17" s="325">
        <f t="shared" si="125"/>
        <v>-0.0016</v>
      </c>
      <c r="N17" s="325">
        <f t="shared" si="125"/>
        <v>0.0017</v>
      </c>
      <c r="O17" s="325">
        <f t="shared" si="125"/>
        <v>0.0061</v>
      </c>
      <c r="P17" s="325">
        <f t="shared" ref="P17" si="135">M17</f>
        <v>-0.0016</v>
      </c>
      <c r="Q17" s="329"/>
      <c r="R17" s="331">
        <f>ROUND(IF(项目基本情况!$B$8="出让",SUMPRODUCT(PRODUCT(1+K17:$K$28)),SUMPRODUCT(PRODUCT(1+K17:$K$27))),4)</f>
        <v>1.0804</v>
      </c>
      <c r="S17" s="331">
        <f>ROUND(IF(项目基本情况!$B$8="出让",SUMPRODUCT(PRODUCT(1+L17:$L$28)),SUMPRODUCT(PRODUCT(1+L17:$L$27))),4)</f>
        <v>1.0472</v>
      </c>
      <c r="T17" s="331">
        <f>ROUND(IF(项目基本情况!$B$8="出让",SUMPRODUCT(PRODUCT(1+M17:$M$28)),SUMPRODUCT(PRODUCT(1+M17:$M$27))),4)</f>
        <v>1.0266</v>
      </c>
      <c r="U17" s="331">
        <f>ROUND(IF(项目基本情况!$B$8="出让",SUMPRODUCT(PRODUCT(1+N17:$N$28)),SUMPRODUCT(PRODUCT(1+N17:$N$27))),4)</f>
        <v>1.0859</v>
      </c>
      <c r="V17" s="331">
        <f>ROUND(IF(项目基本情况!$B$8="出让",SUMPRODUCT(PRODUCT(1+O17:$O$28)),SUMPRODUCT(PRODUCT(1+O17:$O$27))),4)</f>
        <v>1.0741</v>
      </c>
      <c r="W17" s="331">
        <f t="shared" ref="W17" si="136">T17</f>
        <v>1.0266</v>
      </c>
      <c r="X17" s="329"/>
      <c r="Y17" s="332"/>
      <c r="Z17" s="332"/>
      <c r="AA17" s="332"/>
      <c r="AB17" s="332"/>
      <c r="AC17" s="332"/>
      <c r="AD17" s="332"/>
      <c r="AF17" s="333">
        <f t="shared" si="67"/>
        <v>108.04</v>
      </c>
      <c r="AG17" s="333">
        <f t="shared" si="68"/>
        <v>104.72</v>
      </c>
      <c r="AH17" s="333">
        <f t="shared" si="69"/>
        <v>102.66</v>
      </c>
      <c r="AI17" s="333">
        <f t="shared" si="70"/>
        <v>108.59</v>
      </c>
      <c r="AJ17" s="333">
        <f t="shared" si="71"/>
        <v>107.41</v>
      </c>
      <c r="AK17" s="333">
        <f t="shared" si="72"/>
        <v>102.66</v>
      </c>
      <c r="AM17" s="333">
        <f t="shared" si="85"/>
        <v>102.600026579396</v>
      </c>
      <c r="AN17" s="333">
        <f t="shared" si="86"/>
        <v>102.139917023461</v>
      </c>
      <c r="AO17" s="333">
        <f t="shared" si="87"/>
        <v>105.523124200638</v>
      </c>
      <c r="AP17" s="333">
        <f t="shared" si="88"/>
        <v>101.993021736715</v>
      </c>
      <c r="AQ17" s="333">
        <f t="shared" si="89"/>
        <v>98.5837199993632</v>
      </c>
      <c r="AR17" s="333">
        <f t="shared" si="90"/>
        <v>105.523124200638</v>
      </c>
    </row>
    <row r="18" s="292" customFormat="1" ht="12.75" spans="1:44">
      <c r="A18" s="346" t="s">
        <v>3054</v>
      </c>
      <c r="B18" s="168">
        <v>2023</v>
      </c>
      <c r="C18" s="169">
        <v>3</v>
      </c>
      <c r="D18" s="170">
        <v>0.25</v>
      </c>
      <c r="E18" s="170">
        <v>0.5</v>
      </c>
      <c r="F18" s="170">
        <v>0.31</v>
      </c>
      <c r="G18" s="170">
        <v>0.21</v>
      </c>
      <c r="H18" s="347">
        <v>0.43</v>
      </c>
      <c r="I18" s="171">
        <f t="shared" si="124"/>
        <v>0.31</v>
      </c>
      <c r="J18" s="329"/>
      <c r="K18" s="330">
        <f t="shared" ref="K18:K20" si="137">D18/100</f>
        <v>0.0025</v>
      </c>
      <c r="L18" s="325">
        <f t="shared" ref="L18:L20" si="138">E18/100</f>
        <v>0.005</v>
      </c>
      <c r="M18" s="325">
        <f t="shared" ref="M18:M20" si="139">F18/100</f>
        <v>0.0031</v>
      </c>
      <c r="N18" s="325">
        <f t="shared" ref="N18:N20" si="140">G18/100</f>
        <v>0.0021</v>
      </c>
      <c r="O18" s="325">
        <f t="shared" ref="O18:O20" si="141">H18/100</f>
        <v>0.0043</v>
      </c>
      <c r="P18" s="325">
        <f t="shared" ref="P18:P20" si="142">M18</f>
        <v>0.0031</v>
      </c>
      <c r="Q18" s="329"/>
      <c r="R18" s="331">
        <f>ROUND(IF(项目基本情况!$B$8="出让",SUMPRODUCT(PRODUCT(1+K18:$K$28)),SUMPRODUCT(PRODUCT(1+K18:$K$27))),4)</f>
        <v>1.0783</v>
      </c>
      <c r="S18" s="331">
        <f>ROUND(IF(项目基本情况!$B$8="出让",SUMPRODUCT(PRODUCT(1+L18:$L$28)),SUMPRODUCT(PRODUCT(1+L18:$L$27))),4)</f>
        <v>1.0447</v>
      </c>
      <c r="T18" s="331">
        <f>ROUND(IF(项目基本情况!$B$8="出让",SUMPRODUCT(PRODUCT(1+M18:$M$28)),SUMPRODUCT(PRODUCT(1+M18:$M$27))),4)</f>
        <v>1.0282</v>
      </c>
      <c r="U18" s="331">
        <f>ROUND(IF(项目基本情况!$B$8="出让",SUMPRODUCT(PRODUCT(1+N18:$N$28)),SUMPRODUCT(PRODUCT(1+N18:$N$27))),4)</f>
        <v>1.0841</v>
      </c>
      <c r="V18" s="331">
        <f>ROUND(IF(项目基本情况!$B$8="出让",SUMPRODUCT(PRODUCT(1+O18:$O$28)),SUMPRODUCT(PRODUCT(1+O18:$O$27))),4)</f>
        <v>1.0675</v>
      </c>
      <c r="W18" s="331">
        <f t="shared" ref="W18:W19" si="143">T18</f>
        <v>1.0282</v>
      </c>
      <c r="X18" s="329"/>
      <c r="Y18" s="332"/>
      <c r="Z18" s="332"/>
      <c r="AA18" s="332"/>
      <c r="AB18" s="332"/>
      <c r="AC18" s="332"/>
      <c r="AD18" s="332"/>
      <c r="AF18" s="333">
        <f t="shared" si="67"/>
        <v>107.83</v>
      </c>
      <c r="AG18" s="333">
        <f t="shared" si="68"/>
        <v>104.47</v>
      </c>
      <c r="AH18" s="333">
        <f t="shared" si="69"/>
        <v>102.82</v>
      </c>
      <c r="AI18" s="333">
        <f t="shared" si="70"/>
        <v>108.41</v>
      </c>
      <c r="AJ18" s="333">
        <f t="shared" si="71"/>
        <v>106.75</v>
      </c>
      <c r="AK18" s="333">
        <f t="shared" si="72"/>
        <v>102.82</v>
      </c>
      <c r="AM18" s="333">
        <f t="shared" si="85"/>
        <v>102.405456212592</v>
      </c>
      <c r="AN18" s="333">
        <f t="shared" si="86"/>
        <v>101.895368139925</v>
      </c>
      <c r="AO18" s="333">
        <f t="shared" si="87"/>
        <v>105.692231771473</v>
      </c>
      <c r="AP18" s="333">
        <f t="shared" si="88"/>
        <v>101.819927859355</v>
      </c>
      <c r="AQ18" s="333">
        <f t="shared" si="89"/>
        <v>97.9860053666268</v>
      </c>
      <c r="AR18" s="333">
        <f t="shared" si="90"/>
        <v>105.692231771473</v>
      </c>
    </row>
    <row r="19" s="292" customFormat="1" ht="12.75" spans="1:44">
      <c r="A19" s="346" t="s">
        <v>3055</v>
      </c>
      <c r="B19" s="168">
        <v>2023</v>
      </c>
      <c r="C19" s="169">
        <v>2</v>
      </c>
      <c r="D19" s="170">
        <v>0.91</v>
      </c>
      <c r="E19" s="170">
        <v>0.66</v>
      </c>
      <c r="F19" s="170">
        <v>0.47</v>
      </c>
      <c r="G19" s="170">
        <v>0.96</v>
      </c>
      <c r="H19" s="347">
        <v>0.71</v>
      </c>
      <c r="I19" s="171">
        <f t="shared" si="124"/>
        <v>0.47</v>
      </c>
      <c r="J19" s="329"/>
      <c r="K19" s="330">
        <f t="shared" si="137"/>
        <v>0.0091</v>
      </c>
      <c r="L19" s="325">
        <f t="shared" si="138"/>
        <v>0.0066</v>
      </c>
      <c r="M19" s="325">
        <f t="shared" si="139"/>
        <v>0.0047</v>
      </c>
      <c r="N19" s="325">
        <f t="shared" si="140"/>
        <v>0.0096</v>
      </c>
      <c r="O19" s="325">
        <f t="shared" si="141"/>
        <v>0.0071</v>
      </c>
      <c r="P19" s="325">
        <f t="shared" si="142"/>
        <v>0.0047</v>
      </c>
      <c r="Q19" s="329"/>
      <c r="R19" s="331">
        <f>ROUND(IF(项目基本情况!$B$8="出让",SUMPRODUCT(PRODUCT(1+K19:$K$28)),SUMPRODUCT(PRODUCT(1+K19:$K$27))),4)</f>
        <v>1.0756</v>
      </c>
      <c r="S19" s="331">
        <f>ROUND(IF(项目基本情况!$B$8="出让",SUMPRODUCT(PRODUCT(1+L19:$L$28)),SUMPRODUCT(PRODUCT(1+L19:$L$27))),4)</f>
        <v>1.0395</v>
      </c>
      <c r="T19" s="331">
        <f>ROUND(IF(项目基本情况!$B$8="出让",SUMPRODUCT(PRODUCT(1+M19:$M$28)),SUMPRODUCT(PRODUCT(1+M19:$M$27))),4)</f>
        <v>1.0251</v>
      </c>
      <c r="U19" s="331">
        <f>ROUND(IF(项目基本情况!$B$8="出让",SUMPRODUCT(PRODUCT(1+N19:$N$28)),SUMPRODUCT(PRODUCT(1+N19:$N$27))),4)</f>
        <v>1.0818</v>
      </c>
      <c r="V19" s="331">
        <f>ROUND(IF(项目基本情况!$B$8="出让",SUMPRODUCT(PRODUCT(1+O19:$O$28)),SUMPRODUCT(PRODUCT(1+O19:$O$27))),4)</f>
        <v>1.063</v>
      </c>
      <c r="W19" s="331">
        <f t="shared" si="143"/>
        <v>1.0251</v>
      </c>
      <c r="X19" s="329"/>
      <c r="Y19" s="332"/>
      <c r="Z19" s="332"/>
      <c r="AA19" s="332"/>
      <c r="AB19" s="332"/>
      <c r="AC19" s="332"/>
      <c r="AD19" s="332"/>
      <c r="AF19" s="333">
        <f t="shared" si="67"/>
        <v>107.56</v>
      </c>
      <c r="AG19" s="333">
        <f t="shared" si="68"/>
        <v>103.95</v>
      </c>
      <c r="AH19" s="333">
        <f t="shared" si="69"/>
        <v>102.51</v>
      </c>
      <c r="AI19" s="333">
        <f t="shared" si="70"/>
        <v>108.18</v>
      </c>
      <c r="AJ19" s="333">
        <f t="shared" si="71"/>
        <v>106.3</v>
      </c>
      <c r="AK19" s="333">
        <f t="shared" si="72"/>
        <v>102.51</v>
      </c>
      <c r="AM19" s="333">
        <f t="shared" si="85"/>
        <v>102.150081010067</v>
      </c>
      <c r="AN19" s="333">
        <f t="shared" si="86"/>
        <v>101.388426009876</v>
      </c>
      <c r="AO19" s="333">
        <f t="shared" si="87"/>
        <v>105.365598416382</v>
      </c>
      <c r="AP19" s="333">
        <f t="shared" si="88"/>
        <v>101.606554095753</v>
      </c>
      <c r="AQ19" s="333">
        <f t="shared" si="89"/>
        <v>97.5664695475722</v>
      </c>
      <c r="AR19" s="333">
        <f t="shared" si="90"/>
        <v>105.365598416382</v>
      </c>
    </row>
    <row r="20" s="292" customFormat="1" ht="12.75" spans="1:44">
      <c r="A20" s="346" t="s">
        <v>3056</v>
      </c>
      <c r="B20" s="168">
        <v>2023</v>
      </c>
      <c r="C20" s="169">
        <v>1</v>
      </c>
      <c r="D20" s="170">
        <v>0.89</v>
      </c>
      <c r="E20" s="170">
        <v>0.74</v>
      </c>
      <c r="F20" s="170">
        <v>0.57</v>
      </c>
      <c r="G20" s="170">
        <v>0.92</v>
      </c>
      <c r="H20" s="347">
        <v>0.5</v>
      </c>
      <c r="I20" s="171">
        <f t="shared" si="124"/>
        <v>0.57</v>
      </c>
      <c r="J20" s="329"/>
      <c r="K20" s="330">
        <f t="shared" si="137"/>
        <v>0.0089</v>
      </c>
      <c r="L20" s="325">
        <f t="shared" si="138"/>
        <v>0.0074</v>
      </c>
      <c r="M20" s="325">
        <f t="shared" si="139"/>
        <v>0.0057</v>
      </c>
      <c r="N20" s="325">
        <f t="shared" si="140"/>
        <v>0.0092</v>
      </c>
      <c r="O20" s="325">
        <f t="shared" si="141"/>
        <v>0.005</v>
      </c>
      <c r="P20" s="325">
        <f t="shared" si="142"/>
        <v>0.0057</v>
      </c>
      <c r="Q20" s="329"/>
      <c r="R20" s="331">
        <f>ROUND(IF(项目基本情况!$B$8="出让",SUMPRODUCT(PRODUCT(1+K20:$K$28)),SUMPRODUCT(PRODUCT(1+K20:$K$27))),4)</f>
        <v>1.0659</v>
      </c>
      <c r="S20" s="331">
        <f>ROUND(IF(项目基本情况!$B$8="出让",SUMPRODUCT(PRODUCT(1+L20:$L$28)),SUMPRODUCT(PRODUCT(1+L20:$L$27))),4)</f>
        <v>1.0326</v>
      </c>
      <c r="T20" s="331">
        <f>ROUND(IF(项目基本情况!$B$8="出让",SUMPRODUCT(PRODUCT(1+M20:$M$28)),SUMPRODUCT(PRODUCT(1+M20:$M$27))),4)</f>
        <v>1.0203</v>
      </c>
      <c r="U20" s="331">
        <f>ROUND(IF(项目基本情况!$B$8="出让",SUMPRODUCT(PRODUCT(1+N20:$N$28)),SUMPRODUCT(PRODUCT(1+N20:$N$27))),4)</f>
        <v>1.0715</v>
      </c>
      <c r="V20" s="331">
        <f>ROUND(IF(项目基本情况!$B$8="出让",SUMPRODUCT(PRODUCT(1+O20:$O$28)),SUMPRODUCT(PRODUCT(1+O20:$O$27))),4)</f>
        <v>1.0555</v>
      </c>
      <c r="W20" s="331">
        <f t="shared" ref="W20:W27" si="144">T20</f>
        <v>1.0203</v>
      </c>
      <c r="X20" s="329"/>
      <c r="Y20" s="332"/>
      <c r="Z20" s="332"/>
      <c r="AA20" s="332"/>
      <c r="AB20" s="332"/>
      <c r="AC20" s="332"/>
      <c r="AD20" s="332"/>
      <c r="AF20" s="333">
        <f t="shared" si="67"/>
        <v>106.59</v>
      </c>
      <c r="AG20" s="333">
        <f t="shared" si="68"/>
        <v>103.26</v>
      </c>
      <c r="AH20" s="333">
        <f t="shared" si="69"/>
        <v>102.03</v>
      </c>
      <c r="AI20" s="333">
        <f t="shared" si="70"/>
        <v>107.15</v>
      </c>
      <c r="AJ20" s="333">
        <f t="shared" si="71"/>
        <v>105.55</v>
      </c>
      <c r="AK20" s="333">
        <f t="shared" si="72"/>
        <v>102.03</v>
      </c>
      <c r="AM20" s="333">
        <f t="shared" si="85"/>
        <v>101.228898037922</v>
      </c>
      <c r="AN20" s="333">
        <f t="shared" si="86"/>
        <v>100.723649920401</v>
      </c>
      <c r="AO20" s="333">
        <f t="shared" si="87"/>
        <v>104.872696741696</v>
      </c>
      <c r="AP20" s="333">
        <f t="shared" si="88"/>
        <v>100.640406196269</v>
      </c>
      <c r="AQ20" s="333">
        <f t="shared" si="89"/>
        <v>96.8786312655866</v>
      </c>
      <c r="AR20" s="333">
        <f t="shared" si="90"/>
        <v>104.872696741696</v>
      </c>
    </row>
    <row r="21" s="292" customFormat="1" ht="12.75" spans="1:44">
      <c r="A21" s="346" t="s">
        <v>3057</v>
      </c>
      <c r="B21" s="168">
        <v>2022</v>
      </c>
      <c r="C21" s="169">
        <v>4</v>
      </c>
      <c r="D21" s="170">
        <v>0.62</v>
      </c>
      <c r="E21" s="170">
        <v>0.2</v>
      </c>
      <c r="F21" s="170">
        <v>0.11</v>
      </c>
      <c r="G21" s="170">
        <v>0.69</v>
      </c>
      <c r="H21" s="347">
        <v>0.53</v>
      </c>
      <c r="I21" s="171">
        <f t="shared" si="124"/>
        <v>0.11</v>
      </c>
      <c r="J21" s="329"/>
      <c r="K21" s="330">
        <f t="shared" si="125"/>
        <v>0.0062</v>
      </c>
      <c r="L21" s="325">
        <f t="shared" si="125"/>
        <v>0.002</v>
      </c>
      <c r="M21" s="325">
        <f t="shared" si="125"/>
        <v>0.0011</v>
      </c>
      <c r="N21" s="325">
        <f t="shared" si="125"/>
        <v>0.0069</v>
      </c>
      <c r="O21" s="325">
        <f t="shared" si="125"/>
        <v>0.0053</v>
      </c>
      <c r="P21" s="325">
        <f t="shared" ref="P21:P28" si="145">M21</f>
        <v>0.0011</v>
      </c>
      <c r="Q21" s="329"/>
      <c r="R21" s="331">
        <f>ROUND(IF(项目基本情况!$B$8="出让",SUMPRODUCT(PRODUCT(1+K21:$K$28)),SUMPRODUCT(PRODUCT(1+K21:$K$27))),4)</f>
        <v>1.0565</v>
      </c>
      <c r="S21" s="331">
        <f>ROUND(IF(项目基本情况!$B$8="出让",SUMPRODUCT(PRODUCT(1+L21:$L$28)),SUMPRODUCT(PRODUCT(1+L21:$L$27))),4)</f>
        <v>1.0251</v>
      </c>
      <c r="T21" s="331">
        <f>ROUND(IF(项目基本情况!$B$8="出让",SUMPRODUCT(PRODUCT(1+M21:$M$28)),SUMPRODUCT(PRODUCT(1+M21:$M$27))),4)</f>
        <v>1.0145</v>
      </c>
      <c r="U21" s="331">
        <f>ROUND(IF(项目基本情况!$B$8="出让",SUMPRODUCT(PRODUCT(1+N21:$N$28)),SUMPRODUCT(PRODUCT(1+N21:$N$27))),4)</f>
        <v>1.0618</v>
      </c>
      <c r="V21" s="331">
        <f>ROUND(IF(项目基本情况!$B$8="出让",SUMPRODUCT(PRODUCT(1+O21:$O$28)),SUMPRODUCT(PRODUCT(1+O21:$O$27))),4)</f>
        <v>1.0502</v>
      </c>
      <c r="W21" s="331">
        <f t="shared" si="144"/>
        <v>1.0145</v>
      </c>
      <c r="X21" s="329"/>
      <c r="Y21" s="332">
        <f>IF(D21=0,0,ROUND(AVERAGE(D21:D29)/100,4))</f>
        <v>0.0081</v>
      </c>
      <c r="Z21" s="332">
        <f t="shared" ref="Z21:AC21" si="146">IF(E21=0,0,ROUND(AVERAGE(E21:E28)/100,4))</f>
        <v>0.0033</v>
      </c>
      <c r="AA21" s="332">
        <f t="shared" si="146"/>
        <v>0.0015</v>
      </c>
      <c r="AB21" s="332">
        <f t="shared" si="146"/>
        <v>0.0089</v>
      </c>
      <c r="AC21" s="332">
        <f t="shared" si="146"/>
        <v>0.0066</v>
      </c>
      <c r="AD21" s="332">
        <f t="shared" si="127"/>
        <v>0.0015</v>
      </c>
      <c r="AF21" s="333">
        <f t="shared" si="67"/>
        <v>105.65</v>
      </c>
      <c r="AG21" s="333">
        <f t="shared" si="68"/>
        <v>102.51</v>
      </c>
      <c r="AH21" s="333">
        <f t="shared" si="69"/>
        <v>101.45</v>
      </c>
      <c r="AI21" s="333">
        <f t="shared" si="70"/>
        <v>106.18</v>
      </c>
      <c r="AJ21" s="333">
        <f t="shared" si="71"/>
        <v>105.02</v>
      </c>
      <c r="AK21" s="333">
        <f t="shared" si="72"/>
        <v>101.45</v>
      </c>
      <c r="AM21" s="333">
        <f t="shared" si="85"/>
        <v>100.335908452693</v>
      </c>
      <c r="AN21" s="333">
        <f t="shared" si="86"/>
        <v>99.9837700222368</v>
      </c>
      <c r="AO21" s="333">
        <f t="shared" si="87"/>
        <v>104.278310372572</v>
      </c>
      <c r="AP21" s="333">
        <f t="shared" si="88"/>
        <v>99.7229550101757</v>
      </c>
      <c r="AQ21" s="333">
        <f t="shared" si="89"/>
        <v>96.3966480254593</v>
      </c>
      <c r="AR21" s="333">
        <f t="shared" si="90"/>
        <v>104.278310372572</v>
      </c>
    </row>
    <row r="22" s="292" customFormat="1" ht="12.75" spans="1:44">
      <c r="A22" s="346" t="s">
        <v>3058</v>
      </c>
      <c r="B22" s="168">
        <v>2022</v>
      </c>
      <c r="C22" s="169">
        <v>3</v>
      </c>
      <c r="D22" s="170">
        <v>0.66</v>
      </c>
      <c r="E22" s="170">
        <v>0.32</v>
      </c>
      <c r="F22" s="170">
        <v>0.23</v>
      </c>
      <c r="G22" s="170">
        <v>0.72</v>
      </c>
      <c r="H22" s="347">
        <v>0.63</v>
      </c>
      <c r="I22" s="171">
        <f t="shared" si="124"/>
        <v>0.23</v>
      </c>
      <c r="J22" s="329"/>
      <c r="K22" s="330">
        <f t="shared" si="125"/>
        <v>0.0066</v>
      </c>
      <c r="L22" s="325">
        <f t="shared" si="125"/>
        <v>0.0032</v>
      </c>
      <c r="M22" s="325">
        <f t="shared" si="125"/>
        <v>0.0023</v>
      </c>
      <c r="N22" s="325">
        <f t="shared" si="125"/>
        <v>0.0072</v>
      </c>
      <c r="O22" s="325">
        <f t="shared" si="125"/>
        <v>0.0063</v>
      </c>
      <c r="P22" s="325">
        <f t="shared" si="145"/>
        <v>0.0023</v>
      </c>
      <c r="Q22" s="329"/>
      <c r="R22" s="331">
        <f>ROUND(IF(项目基本情况!$B$8="出让",SUMPRODUCT(PRODUCT(1+K22:$K$28)),SUMPRODUCT(PRODUCT(1+K22:$K$27))),4)</f>
        <v>1.05</v>
      </c>
      <c r="S22" s="331">
        <f>ROUND(IF(项目基本情况!$B$8="出让",SUMPRODUCT(PRODUCT(1+L22:$L$28)),SUMPRODUCT(PRODUCT(1+L22:$L$27))),4)</f>
        <v>1.023</v>
      </c>
      <c r="T22" s="331">
        <f>ROUND(IF(项目基本情况!$B$8="出让",SUMPRODUCT(PRODUCT(1+M22:$M$28)),SUMPRODUCT(PRODUCT(1+M22:$M$27))),4)</f>
        <v>1.0134</v>
      </c>
      <c r="U22" s="331">
        <f>ROUND(IF(项目基本情况!$B$8="出让",SUMPRODUCT(PRODUCT(1+N22:$N$28)),SUMPRODUCT(PRODUCT(1+N22:$N$27))),4)</f>
        <v>1.0545</v>
      </c>
      <c r="V22" s="331">
        <f>ROUND(IF(项目基本情况!$B$8="出让",SUMPRODUCT(PRODUCT(1+O22:$O$28)),SUMPRODUCT(PRODUCT(1+O22:$O$27))),4)</f>
        <v>1.0447</v>
      </c>
      <c r="W22" s="331">
        <f t="shared" si="144"/>
        <v>1.0134</v>
      </c>
      <c r="X22" s="329"/>
      <c r="Y22" s="332">
        <f>IF(D22=0,0,ROUND(AVERAGE(D22:D28)/100,4))</f>
        <v>0.0084</v>
      </c>
      <c r="Z22" s="332">
        <f t="shared" ref="Z22:AC22" si="147">IF(E22=0,0,ROUND(AVERAGE(E22:E28)/100,4))</f>
        <v>0.0035</v>
      </c>
      <c r="AA22" s="332">
        <f t="shared" si="147"/>
        <v>0.0015</v>
      </c>
      <c r="AB22" s="332">
        <f t="shared" si="147"/>
        <v>0.0092</v>
      </c>
      <c r="AC22" s="332">
        <f t="shared" si="147"/>
        <v>0.0068</v>
      </c>
      <c r="AD22" s="332">
        <f t="shared" si="127"/>
        <v>0.0015</v>
      </c>
      <c r="AF22" s="333">
        <f t="shared" si="67"/>
        <v>105</v>
      </c>
      <c r="AG22" s="333">
        <f t="shared" si="68"/>
        <v>102.3</v>
      </c>
      <c r="AH22" s="333">
        <f t="shared" si="69"/>
        <v>101.34</v>
      </c>
      <c r="AI22" s="333">
        <f t="shared" si="70"/>
        <v>105.45</v>
      </c>
      <c r="AJ22" s="333">
        <f t="shared" si="71"/>
        <v>104.47</v>
      </c>
      <c r="AK22" s="333">
        <f t="shared" si="72"/>
        <v>101.34</v>
      </c>
      <c r="AM22" s="333">
        <f t="shared" si="85"/>
        <v>99.7176589670966</v>
      </c>
      <c r="AN22" s="333">
        <f t="shared" si="86"/>
        <v>99.7842016189988</v>
      </c>
      <c r="AO22" s="333">
        <f t="shared" si="87"/>
        <v>104.163730269276</v>
      </c>
      <c r="AP22" s="333">
        <f t="shared" si="88"/>
        <v>99.0395818950995</v>
      </c>
      <c r="AQ22" s="333">
        <f t="shared" si="89"/>
        <v>95.8884392971842</v>
      </c>
      <c r="AR22" s="333">
        <f t="shared" si="90"/>
        <v>104.163730269276</v>
      </c>
    </row>
    <row r="23" s="292" customFormat="1" ht="12.75" spans="1:44">
      <c r="A23" s="346" t="s">
        <v>3059</v>
      </c>
      <c r="B23" s="168">
        <v>2022</v>
      </c>
      <c r="C23" s="169">
        <v>2</v>
      </c>
      <c r="D23" s="170">
        <v>0.93</v>
      </c>
      <c r="E23" s="170">
        <v>0.15</v>
      </c>
      <c r="F23" s="170">
        <v>0.01</v>
      </c>
      <c r="G23" s="170">
        <v>1.05</v>
      </c>
      <c r="H23" s="347">
        <v>1.08</v>
      </c>
      <c r="I23" s="171">
        <f t="shared" si="124"/>
        <v>0.01</v>
      </c>
      <c r="J23" s="329"/>
      <c r="K23" s="330">
        <f t="shared" si="125"/>
        <v>0.0093</v>
      </c>
      <c r="L23" s="325">
        <f t="shared" si="125"/>
        <v>0.0015</v>
      </c>
      <c r="M23" s="325">
        <f t="shared" si="125"/>
        <v>0.0001</v>
      </c>
      <c r="N23" s="325">
        <f t="shared" si="125"/>
        <v>0.0105</v>
      </c>
      <c r="O23" s="325">
        <f t="shared" si="125"/>
        <v>0.0108</v>
      </c>
      <c r="P23" s="325">
        <f t="shared" si="145"/>
        <v>0.0001</v>
      </c>
      <c r="Q23" s="329"/>
      <c r="R23" s="331">
        <f>ROUND(IF(项目基本情况!$B$8="出让",SUMPRODUCT(PRODUCT(1+K23:$K$28)),SUMPRODUCT(PRODUCT(1+K23:$K$27))),4)</f>
        <v>1.0431</v>
      </c>
      <c r="S23" s="331">
        <f>ROUND(IF(项目基本情况!$B$8="出让",SUMPRODUCT(PRODUCT(1+L23:$L$28)),SUMPRODUCT(PRODUCT(1+L23:$L$27))),4)</f>
        <v>1.0197</v>
      </c>
      <c r="T23" s="331">
        <f>ROUND(IF(项目基本情况!$B$8="出让",SUMPRODUCT(PRODUCT(1+M23:$M$28)),SUMPRODUCT(PRODUCT(1+M23:$M$27))),4)</f>
        <v>1.011</v>
      </c>
      <c r="U23" s="331">
        <f>ROUND(IF(项目基本情况!$B$8="出让",SUMPRODUCT(PRODUCT(1+N23:$N$28)),SUMPRODUCT(PRODUCT(1+N23:$N$27))),4)</f>
        <v>1.0469</v>
      </c>
      <c r="V23" s="331">
        <f>ROUND(IF(项目基本情况!$B$8="出让",SUMPRODUCT(PRODUCT(1+O23:$O$28)),SUMPRODUCT(PRODUCT(1+O23:$O$27))),4)</f>
        <v>1.0382</v>
      </c>
      <c r="W23" s="331">
        <f t="shared" si="144"/>
        <v>1.011</v>
      </c>
      <c r="X23" s="329"/>
      <c r="Y23" s="332">
        <f>IF(D23=0,0,ROUND(AVERAGE(D23:D28)/100,4))</f>
        <v>0.0087</v>
      </c>
      <c r="Z23" s="332">
        <f t="shared" ref="Z23:AC23" si="148">IF(E23=0,0,ROUND(AVERAGE(E23:E28)/100,4))</f>
        <v>0.0035</v>
      </c>
      <c r="AA23" s="332">
        <f t="shared" si="148"/>
        <v>0.0014</v>
      </c>
      <c r="AB23" s="332">
        <f t="shared" si="148"/>
        <v>0.0095</v>
      </c>
      <c r="AC23" s="332">
        <f t="shared" si="148"/>
        <v>0.0069</v>
      </c>
      <c r="AD23" s="332">
        <f t="shared" si="127"/>
        <v>0.0014</v>
      </c>
      <c r="AF23" s="333">
        <f t="shared" si="67"/>
        <v>104.31</v>
      </c>
      <c r="AG23" s="333">
        <f t="shared" si="68"/>
        <v>101.97</v>
      </c>
      <c r="AH23" s="333">
        <f t="shared" si="69"/>
        <v>101.1</v>
      </c>
      <c r="AI23" s="333">
        <f t="shared" si="70"/>
        <v>104.69</v>
      </c>
      <c r="AJ23" s="333">
        <f t="shared" si="71"/>
        <v>103.82</v>
      </c>
      <c r="AK23" s="333">
        <f t="shared" si="72"/>
        <v>101.1</v>
      </c>
      <c r="AM23" s="333">
        <f t="shared" si="85"/>
        <v>99.0638376386813</v>
      </c>
      <c r="AN23" s="333">
        <f t="shared" si="86"/>
        <v>99.4659107047436</v>
      </c>
      <c r="AO23" s="333">
        <f t="shared" si="87"/>
        <v>103.924703451338</v>
      </c>
      <c r="AP23" s="333">
        <f t="shared" si="88"/>
        <v>98.3315944153093</v>
      </c>
      <c r="AQ23" s="333">
        <f t="shared" si="89"/>
        <v>95.2881241152581</v>
      </c>
      <c r="AR23" s="333">
        <f t="shared" si="90"/>
        <v>103.924703451338</v>
      </c>
    </row>
    <row r="24" s="292" customFormat="1" ht="12.75" spans="1:44">
      <c r="A24" s="346" t="s">
        <v>3060</v>
      </c>
      <c r="B24" s="168">
        <v>2022</v>
      </c>
      <c r="C24" s="169">
        <v>1</v>
      </c>
      <c r="D24" s="170">
        <v>0.89</v>
      </c>
      <c r="E24" s="170">
        <v>0.44</v>
      </c>
      <c r="F24" s="170">
        <v>0.37</v>
      </c>
      <c r="G24" s="170">
        <v>0.96</v>
      </c>
      <c r="H24" s="347">
        <v>0.64</v>
      </c>
      <c r="I24" s="171">
        <f t="shared" si="124"/>
        <v>0.37</v>
      </c>
      <c r="J24" s="329"/>
      <c r="K24" s="330">
        <f t="shared" si="125"/>
        <v>0.0089</v>
      </c>
      <c r="L24" s="325">
        <f t="shared" si="125"/>
        <v>0.0044</v>
      </c>
      <c r="M24" s="325">
        <f t="shared" si="125"/>
        <v>0.0037</v>
      </c>
      <c r="N24" s="325">
        <f t="shared" si="125"/>
        <v>0.0096</v>
      </c>
      <c r="O24" s="325">
        <f t="shared" si="125"/>
        <v>0.0064</v>
      </c>
      <c r="P24" s="325">
        <f t="shared" si="145"/>
        <v>0.0037</v>
      </c>
      <c r="Q24" s="329"/>
      <c r="R24" s="331">
        <f>ROUND(IF(项目基本情况!$B$8="出让",SUMPRODUCT(PRODUCT(1+K24:$K$28)),SUMPRODUCT(PRODUCT(1+K24:$K$27))),4)</f>
        <v>1.0335</v>
      </c>
      <c r="S24" s="331">
        <f>ROUND(IF(项目基本情况!$B$8="出让",SUMPRODUCT(PRODUCT(1+L24:$L$28)),SUMPRODUCT(PRODUCT(1+L24:$L$27))),4)</f>
        <v>1.0182</v>
      </c>
      <c r="T24" s="331">
        <f>ROUND(IF(项目基本情况!$B$8="出让",SUMPRODUCT(PRODUCT(1+M24:$M$28)),SUMPRODUCT(PRODUCT(1+M24:$M$27))),4)</f>
        <v>1.0109</v>
      </c>
      <c r="U24" s="331">
        <f>ROUND(IF(项目基本情况!$B$8="出让",SUMPRODUCT(PRODUCT(1+N24:$N$28)),SUMPRODUCT(PRODUCT(1+N24:$N$27))),4)</f>
        <v>1.0361</v>
      </c>
      <c r="V24" s="331">
        <f>ROUND(IF(项目基本情况!$B$8="出让",SUMPRODUCT(PRODUCT(1+O24:$O$28)),SUMPRODUCT(PRODUCT(1+O24:$O$27))),4)</f>
        <v>1.0271</v>
      </c>
      <c r="W24" s="331">
        <f t="shared" si="144"/>
        <v>1.0109</v>
      </c>
      <c r="X24" s="329"/>
      <c r="Y24" s="332">
        <f>IF(D24=0,0,ROUND(AVERAGE(D24:D28)/100,4))</f>
        <v>0.0086</v>
      </c>
      <c r="Z24" s="332">
        <f t="shared" ref="Z24:AC24" si="149">IF(E24=0,0,ROUND(AVERAGE(E24:E28)/100,4))</f>
        <v>0.0039</v>
      </c>
      <c r="AA24" s="332">
        <f t="shared" si="149"/>
        <v>0.0017</v>
      </c>
      <c r="AB24" s="332">
        <f t="shared" si="149"/>
        <v>0.0093</v>
      </c>
      <c r="AC24" s="332">
        <f t="shared" si="149"/>
        <v>0.0061</v>
      </c>
      <c r="AD24" s="332">
        <f t="shared" si="127"/>
        <v>0.0017</v>
      </c>
      <c r="AF24" s="333">
        <f t="shared" si="67"/>
        <v>103.35</v>
      </c>
      <c r="AG24" s="333">
        <f t="shared" si="68"/>
        <v>101.82</v>
      </c>
      <c r="AH24" s="333">
        <f t="shared" si="69"/>
        <v>101.09</v>
      </c>
      <c r="AI24" s="333">
        <f t="shared" si="70"/>
        <v>103.61</v>
      </c>
      <c r="AJ24" s="333">
        <f t="shared" si="71"/>
        <v>102.71</v>
      </c>
      <c r="AK24" s="333">
        <f t="shared" si="72"/>
        <v>101.09</v>
      </c>
      <c r="AM24" s="333">
        <f t="shared" si="85"/>
        <v>98.1510330314884</v>
      </c>
      <c r="AN24" s="333">
        <f t="shared" si="86"/>
        <v>99.316935301791</v>
      </c>
      <c r="AO24" s="333">
        <f t="shared" si="87"/>
        <v>103.914312020136</v>
      </c>
      <c r="AP24" s="333">
        <f t="shared" si="88"/>
        <v>97.309841083928</v>
      </c>
      <c r="AQ24" s="333">
        <f t="shared" si="89"/>
        <v>94.2700080285497</v>
      </c>
      <c r="AR24" s="333">
        <f t="shared" si="90"/>
        <v>103.914312020136</v>
      </c>
    </row>
    <row r="25" s="292" customFormat="1" ht="12.75" spans="1:44">
      <c r="A25" s="346" t="s">
        <v>3061</v>
      </c>
      <c r="B25" s="168">
        <v>2021</v>
      </c>
      <c r="C25" s="169">
        <v>4</v>
      </c>
      <c r="D25" s="170">
        <v>1.03</v>
      </c>
      <c r="E25" s="170">
        <v>0.24</v>
      </c>
      <c r="F25" s="170">
        <v>0.07</v>
      </c>
      <c r="G25" s="170">
        <v>1.17</v>
      </c>
      <c r="H25" s="347">
        <v>0.55</v>
      </c>
      <c r="I25" s="171">
        <f t="shared" si="124"/>
        <v>0.07</v>
      </c>
      <c r="J25" s="329"/>
      <c r="K25" s="330">
        <f t="shared" si="125"/>
        <v>0.0103</v>
      </c>
      <c r="L25" s="325">
        <f t="shared" si="125"/>
        <v>0.0024</v>
      </c>
      <c r="M25" s="325">
        <f t="shared" si="125"/>
        <v>0.0007</v>
      </c>
      <c r="N25" s="325">
        <f t="shared" si="125"/>
        <v>0.0117</v>
      </c>
      <c r="O25" s="325">
        <f t="shared" si="125"/>
        <v>0.0055</v>
      </c>
      <c r="P25" s="325">
        <f t="shared" si="145"/>
        <v>0.0007</v>
      </c>
      <c r="Q25" s="329"/>
      <c r="R25" s="331">
        <f>ROUND(IF(项目基本情况!$B$8="出让",SUMPRODUCT(PRODUCT(1+K25:$K$28)),SUMPRODUCT(PRODUCT(1+K25:$K$27))),4)</f>
        <v>1.0244</v>
      </c>
      <c r="S25" s="331">
        <f>ROUND(IF(项目基本情况!$B$8="出让",SUMPRODUCT(PRODUCT(1+L25:$L$28)),SUMPRODUCT(PRODUCT(1+L25:$L$27))),4)</f>
        <v>1.0138</v>
      </c>
      <c r="T25" s="331">
        <f>ROUND(IF(项目基本情况!$B$8="出让",SUMPRODUCT(PRODUCT(1+M25:$M$28)),SUMPRODUCT(PRODUCT(1+M25:$M$27))),4)</f>
        <v>1.0072</v>
      </c>
      <c r="U25" s="331">
        <f>ROUND(IF(项目基本情况!$B$8="出让",SUMPRODUCT(PRODUCT(1+N25:$N$28)),SUMPRODUCT(PRODUCT(1+N25:$N$27))),4)</f>
        <v>1.0262</v>
      </c>
      <c r="V25" s="331">
        <f>ROUND(IF(项目基本情况!$B$8="出让",SUMPRODUCT(PRODUCT(1+O25:$O$28)),SUMPRODUCT(PRODUCT(1+O25:$O$27))),4)</f>
        <v>1.0205</v>
      </c>
      <c r="W25" s="331">
        <f t="shared" si="144"/>
        <v>1.0072</v>
      </c>
      <c r="X25" s="329"/>
      <c r="Y25" s="332">
        <f>IF(D25=0,0,ROUND(AVERAGE(D25:D28)/100,4))</f>
        <v>0.0085</v>
      </c>
      <c r="Z25" s="332">
        <f t="shared" ref="Z25:AC25" si="150">IF(E25=0,0,ROUND(AVERAGE(E25:E28)/100,4))</f>
        <v>0.0038</v>
      </c>
      <c r="AA25" s="332">
        <f t="shared" si="150"/>
        <v>0.0012</v>
      </c>
      <c r="AB25" s="332">
        <f t="shared" si="150"/>
        <v>0.0093</v>
      </c>
      <c r="AC25" s="332">
        <f t="shared" si="150"/>
        <v>0.006</v>
      </c>
      <c r="AD25" s="332">
        <f t="shared" si="127"/>
        <v>0.0012</v>
      </c>
      <c r="AF25" s="333">
        <f t="shared" si="67"/>
        <v>102.44</v>
      </c>
      <c r="AG25" s="333">
        <f t="shared" si="68"/>
        <v>101.38</v>
      </c>
      <c r="AH25" s="333">
        <f t="shared" si="69"/>
        <v>100.72</v>
      </c>
      <c r="AI25" s="333">
        <f t="shared" si="70"/>
        <v>102.62</v>
      </c>
      <c r="AJ25" s="333">
        <f t="shared" si="71"/>
        <v>102.05</v>
      </c>
      <c r="AK25" s="333">
        <f t="shared" si="72"/>
        <v>100.72</v>
      </c>
      <c r="AM25" s="333">
        <f t="shared" si="85"/>
        <v>97.2851947977881</v>
      </c>
      <c r="AN25" s="333">
        <f t="shared" si="86"/>
        <v>98.8818551391786</v>
      </c>
      <c r="AO25" s="333">
        <f t="shared" si="87"/>
        <v>103.531246408425</v>
      </c>
      <c r="AP25" s="333">
        <f t="shared" si="88"/>
        <v>96.3845494095959</v>
      </c>
      <c r="AQ25" s="333">
        <f t="shared" si="89"/>
        <v>93.6705167215319</v>
      </c>
      <c r="AR25" s="333">
        <f t="shared" si="90"/>
        <v>103.531246408425</v>
      </c>
    </row>
    <row r="26" s="292" customFormat="1" ht="12.75" spans="1:44">
      <c r="A26" s="346" t="s">
        <v>3062</v>
      </c>
      <c r="B26" s="168">
        <v>2021</v>
      </c>
      <c r="C26" s="169">
        <v>3</v>
      </c>
      <c r="D26" s="170">
        <v>0.47</v>
      </c>
      <c r="E26" s="170">
        <v>0.41</v>
      </c>
      <c r="F26" s="170">
        <v>0.24</v>
      </c>
      <c r="G26" s="170">
        <v>0.48</v>
      </c>
      <c r="H26" s="347">
        <v>0.48</v>
      </c>
      <c r="I26" s="171">
        <f t="shared" si="124"/>
        <v>0.24</v>
      </c>
      <c r="J26" s="329"/>
      <c r="K26" s="330">
        <f t="shared" si="125"/>
        <v>0.0047</v>
      </c>
      <c r="L26" s="325">
        <f t="shared" si="125"/>
        <v>0.0041</v>
      </c>
      <c r="M26" s="325">
        <f t="shared" si="125"/>
        <v>0.0024</v>
      </c>
      <c r="N26" s="325">
        <f t="shared" si="125"/>
        <v>0.0048</v>
      </c>
      <c r="O26" s="325">
        <f t="shared" si="125"/>
        <v>0.0048</v>
      </c>
      <c r="P26" s="325">
        <f t="shared" si="145"/>
        <v>0.0024</v>
      </c>
      <c r="Q26" s="329"/>
      <c r="R26" s="331">
        <f>ROUND(IF(项目基本情况!$B$8="出让",SUMPRODUCT(PRODUCT(1+K26:$K$28)),SUMPRODUCT(PRODUCT(1+K26:$K$27))),4)</f>
        <v>1.0139</v>
      </c>
      <c r="S26" s="331">
        <f>ROUND(IF(项目基本情况!$B$8="出让",SUMPRODUCT(PRODUCT(1+L26:$L$28)),SUMPRODUCT(PRODUCT(1+L26:$L$27))),4)</f>
        <v>1.0113</v>
      </c>
      <c r="T26" s="331">
        <f>ROUND(IF(项目基本情况!$B$8="出让",SUMPRODUCT(PRODUCT(1+M26:$M$28)),SUMPRODUCT(PRODUCT(1+M26:$M$27))),4)</f>
        <v>1.0065</v>
      </c>
      <c r="U26" s="331">
        <f>ROUND(IF(项目基本情况!$B$8="出让",SUMPRODUCT(PRODUCT(1+N26:$N$28)),SUMPRODUCT(PRODUCT(1+N26:$N$27))),4)</f>
        <v>1.0143</v>
      </c>
      <c r="V26" s="331">
        <f>ROUND(IF(项目基本情况!$B$8="出让",SUMPRODUCT(PRODUCT(1+O26:$O$28)),SUMPRODUCT(PRODUCT(1+O26:$O$27))),4)</f>
        <v>1.0149</v>
      </c>
      <c r="W26" s="331">
        <f t="shared" si="144"/>
        <v>1.0065</v>
      </c>
      <c r="X26" s="329"/>
      <c r="Y26" s="332">
        <f>IF(D26=0,0,ROUND(AVERAGE(D26:D28)/100,4))</f>
        <v>0.0079</v>
      </c>
      <c r="Z26" s="332">
        <f>IF(E26=0,0,ROUND(AVERAGE(E26:E28)/100,4))</f>
        <v>0.0043</v>
      </c>
      <c r="AA26" s="332">
        <f>IF(F26=0,0,ROUND(AVERAGE(F26:F28)/100,4))</f>
        <v>0.0013</v>
      </c>
      <c r="AB26" s="332">
        <f>IF(G26=0,0,ROUND(AVERAGE(G26:G28)/100,4))</f>
        <v>0.0085</v>
      </c>
      <c r="AC26" s="332">
        <f>IF(H26=0,0,ROUND(AVERAGE(H26:H28)/100,4))</f>
        <v>0.0062</v>
      </c>
      <c r="AD26" s="332">
        <f t="shared" si="127"/>
        <v>0.0013</v>
      </c>
      <c r="AF26" s="333">
        <f t="shared" si="67"/>
        <v>101.39</v>
      </c>
      <c r="AG26" s="333">
        <f t="shared" si="68"/>
        <v>101.13</v>
      </c>
      <c r="AH26" s="333">
        <f t="shared" si="69"/>
        <v>100.65</v>
      </c>
      <c r="AI26" s="333">
        <f t="shared" si="70"/>
        <v>101.43</v>
      </c>
      <c r="AJ26" s="333">
        <f t="shared" si="71"/>
        <v>101.49</v>
      </c>
      <c r="AK26" s="333">
        <f t="shared" si="72"/>
        <v>100.65</v>
      </c>
      <c r="AM26" s="333">
        <f t="shared" si="85"/>
        <v>96.2933730553183</v>
      </c>
      <c r="AN26" s="333">
        <f t="shared" si="86"/>
        <v>98.6451068826602</v>
      </c>
      <c r="AO26" s="333">
        <f t="shared" si="87"/>
        <v>103.458825230763</v>
      </c>
      <c r="AP26" s="333">
        <f t="shared" si="88"/>
        <v>95.2698916769753</v>
      </c>
      <c r="AQ26" s="333">
        <f t="shared" si="89"/>
        <v>93.1581469135076</v>
      </c>
      <c r="AR26" s="333">
        <f t="shared" si="90"/>
        <v>103.458825230763</v>
      </c>
    </row>
    <row r="27" s="292" customFormat="1" ht="12.75" spans="1:44">
      <c r="A27" s="346" t="s">
        <v>3063</v>
      </c>
      <c r="B27" s="168">
        <v>2021</v>
      </c>
      <c r="C27" s="169">
        <v>2</v>
      </c>
      <c r="D27" s="170">
        <v>0.92</v>
      </c>
      <c r="E27" s="170">
        <v>0.72</v>
      </c>
      <c r="F27" s="170">
        <v>0.41</v>
      </c>
      <c r="G27" s="170">
        <v>0.95</v>
      </c>
      <c r="H27" s="347">
        <v>1.01</v>
      </c>
      <c r="I27" s="171">
        <f t="shared" si="124"/>
        <v>0.41</v>
      </c>
      <c r="J27" s="329"/>
      <c r="K27" s="330">
        <f t="shared" si="125"/>
        <v>0.0092</v>
      </c>
      <c r="L27" s="325">
        <f t="shared" si="125"/>
        <v>0.0072</v>
      </c>
      <c r="M27" s="325">
        <f t="shared" si="125"/>
        <v>0.0041</v>
      </c>
      <c r="N27" s="325">
        <f t="shared" si="125"/>
        <v>0.0095</v>
      </c>
      <c r="O27" s="325">
        <f t="shared" si="125"/>
        <v>0.0101</v>
      </c>
      <c r="P27" s="325">
        <f t="shared" si="145"/>
        <v>0.0041</v>
      </c>
      <c r="Q27" s="329"/>
      <c r="R27" s="331">
        <f>ROUND(IF(项目基本情况!$B$8="出让",SUMPRODUCT(PRODUCT(1+K27:$K$28)),SUMPRODUCT(PRODUCT(1+K27:$K$27))),4)</f>
        <v>1.0092</v>
      </c>
      <c r="S27" s="331">
        <f>ROUND(IF(项目基本情况!$B$8="出让",SUMPRODUCT(PRODUCT(1+L27:$L$28)),SUMPRODUCT(PRODUCT(1+L27:$L$27))),4)</f>
        <v>1.0072</v>
      </c>
      <c r="T27" s="331">
        <f>ROUND(IF(项目基本情况!$B$8="出让",SUMPRODUCT(PRODUCT(1+M27:$M$28)),SUMPRODUCT(PRODUCT(1+M27:$M$27))),4)</f>
        <v>1.0041</v>
      </c>
      <c r="U27" s="331">
        <f>ROUND(IF(项目基本情况!$B$8="出让",SUMPRODUCT(PRODUCT(1+N27:$N$28)),SUMPRODUCT(PRODUCT(1+N27:$N$27))),4)</f>
        <v>1.0095</v>
      </c>
      <c r="V27" s="331">
        <f>ROUND(IF(项目基本情况!$B$8="出让",SUMPRODUCT(PRODUCT(1+O27:$O$28)),SUMPRODUCT(PRODUCT(1+O27:$O$27))),4)</f>
        <v>1.0101</v>
      </c>
      <c r="W27" s="331">
        <f t="shared" si="144"/>
        <v>1.0041</v>
      </c>
      <c r="X27" s="329"/>
      <c r="Y27" s="332">
        <f>IF(D27=0,0,ROUND(AVERAGE(D27:D28)/100,4))</f>
        <v>0.0095</v>
      </c>
      <c r="Z27" s="332">
        <f>IF(E27=0,0,ROUND(AVERAGE(E27:E28)/100,4))</f>
        <v>0.0044</v>
      </c>
      <c r="AA27" s="332">
        <f>IF(F27=0,0,ROUND(AVERAGE(F27:F28)/100,4))</f>
        <v>0.0008</v>
      </c>
      <c r="AB27" s="332">
        <f>IF(G27=0,0,ROUND(AVERAGE(G27:G28)/100,4))</f>
        <v>0.0103</v>
      </c>
      <c r="AC27" s="332">
        <f>IF(H27=0,0,ROUND(AVERAGE(H27:H28)/100,4))</f>
        <v>0.0069</v>
      </c>
      <c r="AD27" s="332">
        <f t="shared" si="127"/>
        <v>0.0008</v>
      </c>
      <c r="AF27" s="333">
        <f t="shared" si="67"/>
        <v>100.92</v>
      </c>
      <c r="AG27" s="333">
        <f t="shared" si="68"/>
        <v>100.72</v>
      </c>
      <c r="AH27" s="333">
        <f t="shared" si="69"/>
        <v>100.41</v>
      </c>
      <c r="AI27" s="333">
        <f t="shared" si="70"/>
        <v>100.95</v>
      </c>
      <c r="AJ27" s="333">
        <f t="shared" si="71"/>
        <v>101.01</v>
      </c>
      <c r="AK27" s="333">
        <f t="shared" si="72"/>
        <v>100.41</v>
      </c>
      <c r="AM27" s="333">
        <f t="shared" si="85"/>
        <v>95.8429113718706</v>
      </c>
      <c r="AN27" s="333">
        <f t="shared" si="86"/>
        <v>98.2423133977295</v>
      </c>
      <c r="AO27" s="333">
        <f t="shared" si="87"/>
        <v>103.211118546252</v>
      </c>
      <c r="AP27" s="333">
        <f t="shared" si="88"/>
        <v>94.8147807294738</v>
      </c>
      <c r="AQ27" s="333">
        <f t="shared" si="89"/>
        <v>92.7131239186979</v>
      </c>
      <c r="AR27" s="333">
        <f t="shared" si="90"/>
        <v>103.211118546252</v>
      </c>
    </row>
    <row r="28" s="294" customFormat="1" ht="14.25" spans="1:44">
      <c r="A28" s="348" t="s">
        <v>3064</v>
      </c>
      <c r="B28" s="349">
        <v>2021</v>
      </c>
      <c r="C28" s="350">
        <v>1</v>
      </c>
      <c r="D28" s="351">
        <v>0.97</v>
      </c>
      <c r="E28" s="351">
        <v>0.16</v>
      </c>
      <c r="F28" s="351">
        <v>-0.25</v>
      </c>
      <c r="G28" s="351">
        <v>1.11</v>
      </c>
      <c r="H28" s="352">
        <v>0.36</v>
      </c>
      <c r="I28" s="353">
        <f t="shared" si="124"/>
        <v>-0.25</v>
      </c>
      <c r="J28" s="354"/>
      <c r="K28" s="355">
        <f t="shared" si="125"/>
        <v>0.0097</v>
      </c>
      <c r="L28" s="356">
        <f t="shared" si="125"/>
        <v>0.0016</v>
      </c>
      <c r="M28" s="356">
        <f>F28/100</f>
        <v>-0.0025</v>
      </c>
      <c r="N28" s="356">
        <f t="shared" si="125"/>
        <v>0.0111</v>
      </c>
      <c r="O28" s="356">
        <f t="shared" si="125"/>
        <v>0.0036</v>
      </c>
      <c r="P28" s="356">
        <f t="shared" si="145"/>
        <v>-0.0025</v>
      </c>
      <c r="Q28" s="354"/>
      <c r="R28" s="357">
        <v>1</v>
      </c>
      <c r="S28" s="357">
        <v>1</v>
      </c>
      <c r="T28" s="357">
        <v>1</v>
      </c>
      <c r="U28" s="357">
        <v>1</v>
      </c>
      <c r="V28" s="357">
        <v>1</v>
      </c>
      <c r="W28" s="357">
        <f t="shared" ref="W28" si="151">T28</f>
        <v>1</v>
      </c>
      <c r="X28" s="354"/>
      <c r="Y28" s="356">
        <f>IF(D28=0,0,ROUND(AVERAGE(D28:D28)/100,4))</f>
        <v>0.0097</v>
      </c>
      <c r="Z28" s="356">
        <f>IF(E28=0,0,ROUND(AVERAGE(E28:E28)/100,4))</f>
        <v>0.0016</v>
      </c>
      <c r="AA28" s="356">
        <f>IF(F28=0,0,ROUND(AVERAGE(F28:F28)/100,4))</f>
        <v>-0.0025</v>
      </c>
      <c r="AB28" s="356">
        <f>IF(G28=0,0,ROUND(AVERAGE(G28:G28)/100,4))</f>
        <v>0.0111</v>
      </c>
      <c r="AC28" s="356">
        <f>IF(H28=0,0,ROUND(AVERAGE(H28:H28)/100,4))</f>
        <v>0.0036</v>
      </c>
      <c r="AD28" s="356">
        <f t="shared" si="127"/>
        <v>-0.0025</v>
      </c>
      <c r="AF28" s="358">
        <v>100</v>
      </c>
      <c r="AG28" s="358">
        <v>100</v>
      </c>
      <c r="AH28" s="358">
        <v>100</v>
      </c>
      <c r="AI28" s="358">
        <v>100</v>
      </c>
      <c r="AJ28" s="358">
        <v>100</v>
      </c>
      <c r="AK28" s="358">
        <v>100</v>
      </c>
      <c r="AM28" s="359">
        <f t="shared" si="85"/>
        <v>94.9691947798955</v>
      </c>
      <c r="AN28" s="359">
        <f t="shared" si="86"/>
        <v>97.540025216173</v>
      </c>
      <c r="AO28" s="359">
        <f t="shared" si="87"/>
        <v>102.789680854748</v>
      </c>
      <c r="AP28" s="359">
        <f t="shared" si="88"/>
        <v>93.9225168196868</v>
      </c>
      <c r="AQ28" s="359">
        <f t="shared" si="89"/>
        <v>91.7860844655954</v>
      </c>
      <c r="AR28" s="359">
        <f t="shared" si="90"/>
        <v>102.789680854748</v>
      </c>
    </row>
    <row r="29" customFormat="1" ht="14.25"/>
    <row r="30" customFormat="1" spans="1:44">
      <c r="A30" s="360" t="s">
        <v>3065</v>
      </c>
    </row>
    <row r="31" customFormat="1" spans="1:44">
      <c r="I31" s="361" t="s">
        <v>1821</v>
      </c>
    </row>
    <row r="32" customFormat="1"/>
    <row r="33" s="295" customFormat="1" ht="12.75" spans="1:44">
      <c r="B33" s="297" t="s">
        <v>3066</v>
      </c>
      <c r="C33" s="298"/>
      <c r="D33" s="298"/>
      <c r="E33" s="298"/>
      <c r="F33" s="298"/>
      <c r="G33" s="298"/>
      <c r="H33" s="298"/>
      <c r="I33" s="298"/>
      <c r="J33" s="299"/>
      <c r="K33" s="298" t="s">
        <v>3036</v>
      </c>
      <c r="L33" s="298"/>
      <c r="M33" s="298"/>
      <c r="N33" s="298"/>
      <c r="O33" s="298"/>
      <c r="P33" s="298"/>
      <c r="Q33" s="299"/>
      <c r="R33" s="300" t="s">
        <v>3037</v>
      </c>
      <c r="X33" s="299"/>
      <c r="Y33" s="300" t="s">
        <v>3038</v>
      </c>
    </row>
    <row r="34" s="289" customFormat="1" ht="14.25" spans="1:44">
      <c r="B34" s="301"/>
      <c r="C34" s="302"/>
      <c r="D34" s="148" t="s">
        <v>3039</v>
      </c>
      <c r="E34" s="149" t="s">
        <v>229</v>
      </c>
      <c r="F34" s="149" t="s">
        <v>230</v>
      </c>
      <c r="G34" s="149" t="s">
        <v>232</v>
      </c>
      <c r="H34" s="149"/>
      <c r="I34" s="149" t="s">
        <v>231</v>
      </c>
      <c r="J34" s="303"/>
      <c r="K34" s="148" t="s">
        <v>3039</v>
      </c>
      <c r="L34" s="149" t="s">
        <v>229</v>
      </c>
      <c r="M34" s="149" t="s">
        <v>230</v>
      </c>
      <c r="N34" s="149" t="s">
        <v>232</v>
      </c>
      <c r="O34" s="149"/>
      <c r="P34" s="149" t="s">
        <v>231</v>
      </c>
      <c r="Q34" s="303"/>
      <c r="R34" s="148" t="s">
        <v>3039</v>
      </c>
      <c r="S34" s="149" t="s">
        <v>229</v>
      </c>
      <c r="T34" s="149" t="s">
        <v>230</v>
      </c>
      <c r="U34" s="149" t="s">
        <v>232</v>
      </c>
      <c r="V34" s="149"/>
      <c r="W34" s="149" t="s">
        <v>231</v>
      </c>
      <c r="X34" s="303"/>
      <c r="Y34" s="148" t="s">
        <v>3039</v>
      </c>
      <c r="Z34" s="149" t="s">
        <v>229</v>
      </c>
      <c r="AA34" s="149" t="s">
        <v>230</v>
      </c>
      <c r="AB34" s="149" t="s">
        <v>232</v>
      </c>
      <c r="AC34" s="149"/>
      <c r="AD34" s="149" t="s">
        <v>231</v>
      </c>
      <c r="AG34" t="s">
        <v>229</v>
      </c>
      <c r="AH34" t="s">
        <v>230</v>
      </c>
      <c r="AI34" t="s">
        <v>232</v>
      </c>
      <c r="AJ34"/>
      <c r="AK34" t="s">
        <v>231</v>
      </c>
      <c r="AN34" t="s">
        <v>229</v>
      </c>
      <c r="AO34" t="s">
        <v>230</v>
      </c>
      <c r="AP34" t="s">
        <v>232</v>
      </c>
      <c r="AQ34"/>
      <c r="AR34" t="s">
        <v>231</v>
      </c>
    </row>
    <row r="35" s="290" customFormat="1" ht="12.75" spans="1:44">
      <c r="A35" s="304" t="s">
        <v>3040</v>
      </c>
      <c r="B35" s="305"/>
      <c r="C35" s="306"/>
      <c r="D35" s="306"/>
      <c r="E35" s="307">
        <f t="shared" ref="E35:G35" si="152">ROUND(AVERAGEIF(E36:E60,"&lt;&gt;0"),2)</f>
        <v>-0.07</v>
      </c>
      <c r="F35" s="307">
        <f t="shared" si="152"/>
        <v>-0.25</v>
      </c>
      <c r="G35" s="307">
        <f t="shared" si="152"/>
        <v>0.07</v>
      </c>
      <c r="H35" s="307"/>
      <c r="I35" s="307">
        <f>F35</f>
        <v>-0.25</v>
      </c>
      <c r="J35" s="308"/>
      <c r="K35" s="309"/>
      <c r="L35" s="310">
        <f t="shared" ref="L35:N35" si="153">ROUND(AVERAGEIF(L36:L60,"&lt;&gt;0"),4)</f>
        <v>-0.0006</v>
      </c>
      <c r="M35" s="310">
        <f t="shared" si="153"/>
        <v>-0.0025</v>
      </c>
      <c r="N35" s="310">
        <f t="shared" si="153"/>
        <v>0.0007</v>
      </c>
      <c r="O35" s="310"/>
      <c r="P35" s="310">
        <f>M35</f>
        <v>-0.0025</v>
      </c>
      <c r="Q35" s="308"/>
      <c r="R35" s="362"/>
      <c r="S35" s="312">
        <f>ROUND(SUMPRODUCT(PRODUCT(1+L36:L60)),4)</f>
        <v>0.9866</v>
      </c>
      <c r="T35" s="312">
        <f t="shared" ref="T35:U35" si="154">ROUND(SUMPRODUCT(PRODUCT(1+M36:M60)),4)</f>
        <v>0.9507</v>
      </c>
      <c r="U35" s="312">
        <f t="shared" si="154"/>
        <v>1.0123</v>
      </c>
      <c r="V35" s="312"/>
      <c r="W35" s="311">
        <f>T35</f>
        <v>0.9507</v>
      </c>
      <c r="X35" s="308"/>
      <c r="Y35" s="313"/>
      <c r="Z35" s="314">
        <f t="shared" ref="Z35:AB35" si="155">ROUND(AVERAGEIF(Z36:Z60,"&lt;&gt;0"),4)</f>
        <v>0.0029</v>
      </c>
      <c r="AA35" s="315">
        <f t="shared" si="155"/>
        <v>0.0023</v>
      </c>
      <c r="AB35" s="313">
        <f t="shared" si="155"/>
        <v>0.006</v>
      </c>
      <c r="AC35" s="316"/>
      <c r="AD35" s="313">
        <f>AA35</f>
        <v>0.0023</v>
      </c>
    </row>
    <row r="36" s="291" customFormat="1" ht="12.75" spans="1:44">
      <c r="B36" s="317"/>
      <c r="C36" s="318"/>
      <c r="D36" s="318"/>
      <c r="E36" s="318"/>
      <c r="F36" s="318"/>
      <c r="G36" s="318"/>
      <c r="H36" s="318"/>
      <c r="I36" s="318"/>
      <c r="J36" s="299"/>
      <c r="K36" s="319"/>
      <c r="L36" s="320"/>
      <c r="M36" s="320"/>
      <c r="N36" s="320"/>
      <c r="O36" s="320"/>
      <c r="P36" s="320"/>
      <c r="Q36" s="299"/>
      <c r="R36" s="321"/>
      <c r="S36" s="322"/>
      <c r="T36" s="323"/>
      <c r="U36" s="321"/>
      <c r="V36" s="324"/>
      <c r="W36" s="321"/>
      <c r="X36" s="299"/>
      <c r="Y36" s="325"/>
      <c r="Z36" s="326"/>
      <c r="AA36" s="327"/>
      <c r="AB36" s="325"/>
      <c r="AC36" s="328"/>
      <c r="AD36" s="325"/>
    </row>
    <row r="37" s="292" customFormat="1" spans="1:44">
      <c r="A37" s="166" t="s">
        <v>3041</v>
      </c>
      <c r="B37" s="168">
        <v>2026</v>
      </c>
      <c r="C37" s="169">
        <v>4</v>
      </c>
      <c r="D37" s="363"/>
      <c r="E37" s="170">
        <v>0</v>
      </c>
      <c r="F37" s="170">
        <v>0</v>
      </c>
      <c r="G37" s="170">
        <v>0</v>
      </c>
      <c r="H37" s="170"/>
      <c r="I37" s="171">
        <f t="shared" ref="I37" si="156">F37</f>
        <v>0</v>
      </c>
      <c r="J37" s="329"/>
      <c r="K37" s="330"/>
      <c r="L37" s="325">
        <f t="shared" ref="L37:L41" si="157">E37/100</f>
        <v>0</v>
      </c>
      <c r="M37" s="325">
        <f t="shared" ref="M37:M41" si="158">F37/100</f>
        <v>0</v>
      </c>
      <c r="N37" s="325">
        <f t="shared" ref="N37:N41" si="159">G37/100</f>
        <v>0</v>
      </c>
      <c r="O37" s="325"/>
      <c r="P37" s="325">
        <f t="shared" ref="P37:P47" si="160">M37</f>
        <v>0</v>
      </c>
      <c r="Q37" s="329"/>
      <c r="R37" s="364"/>
      <c r="S37" s="331">
        <f>ROUND(IF(项目基本情况!$B$8="出让",SUMPRODUCT(PRODUCT(1+L37:L$60)),SUMPRODUCT(PRODUCT(1+L37:L$59))),4)</f>
        <v>0.9831</v>
      </c>
      <c r="T37" s="331">
        <f>ROUND(IF(项目基本情况!$B$8="出让",SUMPRODUCT(PRODUCT(1+M37:M$60)),SUMPRODUCT(PRODUCT(1+M37:M$59))),4)</f>
        <v>0.9462</v>
      </c>
      <c r="U37" s="331">
        <f>ROUND(IF(项目基本情况!$B$8="出让",SUMPRODUCT(PRODUCT(1+N37:N$60)),SUMPRODUCT(PRODUCT(1+N37:N$59))),4)</f>
        <v>1.0024</v>
      </c>
      <c r="V37" s="331"/>
      <c r="W37" s="331">
        <f t="shared" ref="W37:W47" si="161">T37</f>
        <v>0.9462</v>
      </c>
      <c r="X37" s="329"/>
      <c r="Y37" s="332"/>
      <c r="Z37" s="365">
        <f t="shared" ref="Z37" si="162">IF(E37=0,0,ROUND(AVERAGE(E37:E54)/100,4))</f>
        <v>0</v>
      </c>
      <c r="AA37" s="365">
        <f t="shared" ref="AA37" si="163">IF(F37=0,0,ROUND(AVERAGE(F37:F54)/100,4))</f>
        <v>0</v>
      </c>
      <c r="AB37" s="365">
        <f t="shared" ref="AB37" si="164">IF(G37=0,0,ROUND(AVERAGE(G37:G54)/100,4))</f>
        <v>0</v>
      </c>
      <c r="AC37" s="366"/>
      <c r="AD37" s="332">
        <f>IF(I37=0,0,ROUND(AVERAGE(I37:I54)/100,4))</f>
        <v>0</v>
      </c>
      <c r="AG37" s="333">
        <f>$AG$60*S37</f>
        <v>98.31</v>
      </c>
      <c r="AH37" s="333">
        <f>$AG$60*T37</f>
        <v>94.62</v>
      </c>
      <c r="AI37" s="333">
        <f>$AG$60*U37</f>
        <v>100.24</v>
      </c>
      <c r="AJ37" s="333"/>
      <c r="AK37" s="333">
        <f>$AG$60*W37</f>
        <v>94.62</v>
      </c>
      <c r="AN37" s="358">
        <v>100</v>
      </c>
      <c r="AO37" s="358">
        <v>100</v>
      </c>
      <c r="AP37" s="358">
        <v>100</v>
      </c>
      <c r="AQ37" s="358"/>
      <c r="AR37" s="358">
        <v>100</v>
      </c>
    </row>
    <row r="38" s="292" customFormat="1" ht="12.75" spans="1:44">
      <c r="A38" s="166" t="s">
        <v>3042</v>
      </c>
      <c r="B38" s="168">
        <v>2026</v>
      </c>
      <c r="C38" s="169">
        <v>3</v>
      </c>
      <c r="D38" s="363"/>
      <c r="E38" s="170">
        <v>0</v>
      </c>
      <c r="F38" s="170">
        <v>0</v>
      </c>
      <c r="G38" s="170">
        <v>0</v>
      </c>
      <c r="H38" s="170"/>
      <c r="I38" s="171">
        <f t="shared" ref="I38:I41" si="165">F38</f>
        <v>0</v>
      </c>
      <c r="J38" s="329"/>
      <c r="K38" s="330"/>
      <c r="L38" s="325">
        <f t="shared" si="157"/>
        <v>0</v>
      </c>
      <c r="M38" s="325">
        <f t="shared" si="158"/>
        <v>0</v>
      </c>
      <c r="N38" s="325">
        <f t="shared" si="159"/>
        <v>0</v>
      </c>
      <c r="O38" s="325"/>
      <c r="P38" s="325">
        <f t="shared" ref="P38:P41" si="166">M38</f>
        <v>0</v>
      </c>
      <c r="Q38" s="329"/>
      <c r="R38" s="364"/>
      <c r="S38" s="331">
        <f>ROUND(IF(项目基本情况!$B$8="出让",SUMPRODUCT(PRODUCT(1+L38:L$60)),SUMPRODUCT(PRODUCT(1+L38:L$59))),4)</f>
        <v>0.9831</v>
      </c>
      <c r="T38" s="331">
        <f>ROUND(IF(项目基本情况!$B$8="出让",SUMPRODUCT(PRODUCT(1+M38:M$60)),SUMPRODUCT(PRODUCT(1+M38:M$59))),4)</f>
        <v>0.9462</v>
      </c>
      <c r="U38" s="331">
        <f>ROUND(IF(项目基本情况!$B$8="出让",SUMPRODUCT(PRODUCT(1+N38:N$60)),SUMPRODUCT(PRODUCT(1+N38:N$59))),4)</f>
        <v>1.0024</v>
      </c>
      <c r="V38" s="331"/>
      <c r="W38" s="331">
        <f t="shared" ref="W38:W41" si="167">T38</f>
        <v>0.9462</v>
      </c>
      <c r="X38" s="329"/>
      <c r="Y38" s="332"/>
      <c r="Z38" s="365"/>
      <c r="AA38" s="367"/>
      <c r="AB38" s="367"/>
      <c r="AC38" s="366"/>
      <c r="AD38" s="332"/>
      <c r="AG38" s="333">
        <f t="shared" ref="AG38:AG41" si="168">$AG$60*S38</f>
        <v>98.31</v>
      </c>
      <c r="AH38" s="333">
        <f t="shared" ref="AH38:AH41" si="169">$AG$60*T38</f>
        <v>94.62</v>
      </c>
      <c r="AI38" s="333">
        <f t="shared" ref="AI38:AI41" si="170">$AG$60*U38</f>
        <v>100.24</v>
      </c>
      <c r="AJ38" s="333"/>
      <c r="AK38" s="333">
        <f t="shared" ref="AK38:AK41" si="171">$AG$60*W38</f>
        <v>94.62</v>
      </c>
      <c r="AN38" s="333">
        <f t="shared" ref="AN38:AN41" si="172">AN37/(1+E37/100)</f>
        <v>100</v>
      </c>
      <c r="AO38" s="333">
        <f t="shared" ref="AO38:AO41" si="173">AO37/(1+F37/100)</f>
        <v>100</v>
      </c>
      <c r="AP38" s="333">
        <f t="shared" ref="AP38:AP41" si="174">AP37/(1+G37/100)</f>
        <v>100</v>
      </c>
      <c r="AQ38" s="333"/>
      <c r="AR38" s="333">
        <f t="shared" ref="AR38:AR41" si="175">AR37/(1+I37/100)</f>
        <v>100</v>
      </c>
    </row>
    <row r="39" s="292" customFormat="1" ht="12.75" spans="1:44">
      <c r="A39" s="166" t="s">
        <v>3043</v>
      </c>
      <c r="B39" s="168">
        <v>2026</v>
      </c>
      <c r="C39" s="169">
        <v>2</v>
      </c>
      <c r="D39" s="363"/>
      <c r="E39" s="170">
        <v>0</v>
      </c>
      <c r="F39" s="170">
        <v>0</v>
      </c>
      <c r="G39" s="170">
        <v>0</v>
      </c>
      <c r="H39" s="170"/>
      <c r="I39" s="171">
        <f t="shared" si="165"/>
        <v>0</v>
      </c>
      <c r="J39" s="329"/>
      <c r="K39" s="330"/>
      <c r="L39" s="325">
        <f t="shared" si="157"/>
        <v>0</v>
      </c>
      <c r="M39" s="325">
        <f t="shared" si="158"/>
        <v>0</v>
      </c>
      <c r="N39" s="325">
        <f t="shared" si="159"/>
        <v>0</v>
      </c>
      <c r="O39" s="325"/>
      <c r="P39" s="325">
        <f t="shared" si="166"/>
        <v>0</v>
      </c>
      <c r="Q39" s="329"/>
      <c r="R39" s="364"/>
      <c r="S39" s="331">
        <f>ROUND(IF(项目基本情况!$B$8="出让",SUMPRODUCT(PRODUCT(1+L39:L$60)),SUMPRODUCT(PRODUCT(1+L39:L$59))),4)</f>
        <v>0.9831</v>
      </c>
      <c r="T39" s="331">
        <f>ROUND(IF(项目基本情况!$B$8="出让",SUMPRODUCT(PRODUCT(1+M39:M$60)),SUMPRODUCT(PRODUCT(1+M39:M$59))),4)</f>
        <v>0.9462</v>
      </c>
      <c r="U39" s="331">
        <f>ROUND(IF(项目基本情况!$B$8="出让",SUMPRODUCT(PRODUCT(1+N39:N$60)),SUMPRODUCT(PRODUCT(1+N39:N$59))),4)</f>
        <v>1.0024</v>
      </c>
      <c r="V39" s="331"/>
      <c r="W39" s="331">
        <f t="shared" si="167"/>
        <v>0.9462</v>
      </c>
      <c r="X39" s="329"/>
      <c r="Y39" s="332"/>
      <c r="Z39" s="365"/>
      <c r="AA39" s="367"/>
      <c r="AB39" s="367"/>
      <c r="AC39" s="366"/>
      <c r="AD39" s="332"/>
      <c r="AG39" s="333">
        <f t="shared" si="168"/>
        <v>98.31</v>
      </c>
      <c r="AH39" s="333">
        <f t="shared" si="169"/>
        <v>94.62</v>
      </c>
      <c r="AI39" s="333">
        <f t="shared" si="170"/>
        <v>100.24</v>
      </c>
      <c r="AJ39" s="333"/>
      <c r="AK39" s="333">
        <f t="shared" si="171"/>
        <v>94.62</v>
      </c>
      <c r="AN39" s="333">
        <f t="shared" si="172"/>
        <v>100</v>
      </c>
      <c r="AO39" s="333">
        <f t="shared" si="173"/>
        <v>100</v>
      </c>
      <c r="AP39" s="333">
        <f t="shared" si="174"/>
        <v>100</v>
      </c>
      <c r="AQ39" s="333"/>
      <c r="AR39" s="333">
        <f t="shared" si="175"/>
        <v>100</v>
      </c>
    </row>
    <row r="40" s="293" customFormat="1" ht="12.75" spans="1:44">
      <c r="A40" s="335" t="s">
        <v>3044</v>
      </c>
      <c r="B40" s="336">
        <v>2026</v>
      </c>
      <c r="C40" s="337">
        <v>1</v>
      </c>
      <c r="D40" s="368"/>
      <c r="E40" s="338">
        <v>0</v>
      </c>
      <c r="F40" s="338">
        <v>0</v>
      </c>
      <c r="G40" s="338">
        <v>0</v>
      </c>
      <c r="H40" s="339"/>
      <c r="I40" s="340">
        <f t="shared" si="165"/>
        <v>0</v>
      </c>
      <c r="J40" s="341"/>
      <c r="K40" s="342"/>
      <c r="L40" s="343">
        <f t="shared" si="157"/>
        <v>0</v>
      </c>
      <c r="M40" s="343">
        <f t="shared" si="158"/>
        <v>0</v>
      </c>
      <c r="N40" s="343">
        <f t="shared" si="159"/>
        <v>0</v>
      </c>
      <c r="O40" s="343"/>
      <c r="P40" s="343">
        <f t="shared" si="166"/>
        <v>0</v>
      </c>
      <c r="Q40" s="341"/>
      <c r="R40" s="341"/>
      <c r="S40" s="344">
        <f>ROUND(IF(项目基本情况!$B$8="出让",SUMPRODUCT(PRODUCT(1+L40:L$60)),SUMPRODUCT(PRODUCT(1+L40:L$59))),4)</f>
        <v>0.9831</v>
      </c>
      <c r="T40" s="344">
        <f>ROUND(IF(项目基本情况!$B$8="出让",SUMPRODUCT(PRODUCT(1+M40:M$60)),SUMPRODUCT(PRODUCT(1+M40:M$59))),4)</f>
        <v>0.9462</v>
      </c>
      <c r="U40" s="344">
        <f>ROUND(IF(项目基本情况!$B$8="出让",SUMPRODUCT(PRODUCT(1+N40:N$60)),SUMPRODUCT(PRODUCT(1+N40:N$59))),4)</f>
        <v>1.0024</v>
      </c>
      <c r="V40" s="344"/>
      <c r="W40" s="344">
        <f t="shared" si="167"/>
        <v>0.9462</v>
      </c>
      <c r="X40" s="341"/>
      <c r="Y40" s="343"/>
      <c r="Z40" s="369"/>
      <c r="AA40" s="370"/>
      <c r="AB40" s="343"/>
      <c r="AC40" s="371"/>
      <c r="AD40" s="343"/>
      <c r="AG40" s="345">
        <f t="shared" si="168"/>
        <v>98.31</v>
      </c>
      <c r="AH40" s="345">
        <f t="shared" si="169"/>
        <v>94.62</v>
      </c>
      <c r="AI40" s="345">
        <f t="shared" si="170"/>
        <v>100.24</v>
      </c>
      <c r="AJ40" s="345"/>
      <c r="AK40" s="345">
        <f t="shared" si="171"/>
        <v>94.62</v>
      </c>
      <c r="AN40" s="345">
        <f t="shared" si="172"/>
        <v>100</v>
      </c>
      <c r="AO40" s="345">
        <f t="shared" si="173"/>
        <v>100</v>
      </c>
      <c r="AP40" s="345">
        <f t="shared" si="174"/>
        <v>100</v>
      </c>
      <c r="AQ40" s="345"/>
      <c r="AR40" s="345">
        <f t="shared" si="175"/>
        <v>100</v>
      </c>
    </row>
    <row r="41" s="292" customFormat="1" ht="12.75" spans="1:44">
      <c r="A41" s="166" t="s">
        <v>3045</v>
      </c>
      <c r="B41" s="168">
        <v>2025</v>
      </c>
      <c r="C41" s="169">
        <v>4</v>
      </c>
      <c r="D41" s="363"/>
      <c r="E41" s="170">
        <v>-2.05</v>
      </c>
      <c r="F41" s="170">
        <v>-3.68</v>
      </c>
      <c r="G41" s="170">
        <v>-2.43</v>
      </c>
      <c r="H41" s="170"/>
      <c r="I41" s="171">
        <f t="shared" si="165"/>
        <v>-3.68</v>
      </c>
      <c r="J41" s="329"/>
      <c r="K41" s="330"/>
      <c r="L41" s="325">
        <f t="shared" si="157"/>
        <v>-0.0205</v>
      </c>
      <c r="M41" s="325">
        <f t="shared" si="158"/>
        <v>-0.0368</v>
      </c>
      <c r="N41" s="325">
        <f t="shared" si="159"/>
        <v>-0.0243</v>
      </c>
      <c r="O41" s="325"/>
      <c r="P41" s="325">
        <f t="shared" si="166"/>
        <v>-0.0368</v>
      </c>
      <c r="Q41" s="329"/>
      <c r="R41" s="364"/>
      <c r="S41" s="331">
        <f>ROUND(IF(项目基本情况!$B$8="出让",SUMPRODUCT(PRODUCT(1+L41:L$60)),SUMPRODUCT(PRODUCT(1+L41:L$59))),4)</f>
        <v>0.9831</v>
      </c>
      <c r="T41" s="331">
        <f>ROUND(IF(项目基本情况!$B$8="出让",SUMPRODUCT(PRODUCT(1+M41:M$60)),SUMPRODUCT(PRODUCT(1+M41:M$59))),4)</f>
        <v>0.9462</v>
      </c>
      <c r="U41" s="331">
        <f>ROUND(IF(项目基本情况!$B$8="出让",SUMPRODUCT(PRODUCT(1+N41:N$60)),SUMPRODUCT(PRODUCT(1+N41:N$59))),4)</f>
        <v>1.0024</v>
      </c>
      <c r="V41" s="331"/>
      <c r="W41" s="331">
        <f t="shared" si="167"/>
        <v>0.9462</v>
      </c>
      <c r="X41" s="329"/>
      <c r="Y41" s="332"/>
      <c r="Z41" s="365"/>
      <c r="AA41" s="367"/>
      <c r="AB41" s="367"/>
      <c r="AC41" s="366"/>
      <c r="AD41" s="332"/>
      <c r="AG41" s="333">
        <f t="shared" si="168"/>
        <v>98.31</v>
      </c>
      <c r="AH41" s="333">
        <f t="shared" si="169"/>
        <v>94.62</v>
      </c>
      <c r="AI41" s="333">
        <f t="shared" si="170"/>
        <v>100.24</v>
      </c>
      <c r="AJ41" s="333"/>
      <c r="AK41" s="333">
        <f t="shared" si="171"/>
        <v>94.62</v>
      </c>
      <c r="AN41" s="333">
        <f t="shared" si="172"/>
        <v>100</v>
      </c>
      <c r="AO41" s="333">
        <f t="shared" si="173"/>
        <v>100</v>
      </c>
      <c r="AP41" s="333">
        <f t="shared" si="174"/>
        <v>100</v>
      </c>
      <c r="AQ41" s="333"/>
      <c r="AR41" s="333">
        <f t="shared" si="175"/>
        <v>100</v>
      </c>
    </row>
    <row r="42" s="292" customFormat="1" ht="12.75" spans="1:44">
      <c r="A42" s="166" t="s">
        <v>3046</v>
      </c>
      <c r="B42" s="168">
        <v>2025</v>
      </c>
      <c r="C42" s="169">
        <v>3</v>
      </c>
      <c r="D42" s="363"/>
      <c r="E42" s="170">
        <v>-0.8</v>
      </c>
      <c r="F42" s="170">
        <v>-1.45</v>
      </c>
      <c r="G42" s="170">
        <v>-0.62</v>
      </c>
      <c r="H42" s="170"/>
      <c r="I42" s="171">
        <f t="shared" ref="I42" si="176">F42</f>
        <v>-1.45</v>
      </c>
      <c r="J42" s="329"/>
      <c r="K42" s="330"/>
      <c r="L42" s="325">
        <f t="shared" ref="L42" si="177">E42/100</f>
        <v>-0.008</v>
      </c>
      <c r="M42" s="325">
        <f t="shared" ref="M42" si="178">F42/100</f>
        <v>-0.0145</v>
      </c>
      <c r="N42" s="325">
        <f t="shared" ref="N42" si="179">G42/100</f>
        <v>-0.0062</v>
      </c>
      <c r="O42" s="325"/>
      <c r="P42" s="325">
        <f t="shared" si="160"/>
        <v>-0.0145</v>
      </c>
      <c r="Q42" s="329"/>
      <c r="R42" s="364"/>
      <c r="S42" s="331">
        <f>ROUND(IF(项目基本情况!$B$8="出让",SUMPRODUCT(PRODUCT(1+L42:L$60)),SUMPRODUCT(PRODUCT(1+L42:L$59))),4)</f>
        <v>1.0037</v>
      </c>
      <c r="T42" s="331">
        <f>ROUND(IF(项目基本情况!$B$8="出让",SUMPRODUCT(PRODUCT(1+M42:M$60)),SUMPRODUCT(PRODUCT(1+M42:M$59))),4)</f>
        <v>0.9823</v>
      </c>
      <c r="U42" s="331">
        <f>ROUND(IF(项目基本情况!$B$8="出让",SUMPRODUCT(PRODUCT(1+N42:N$60)),SUMPRODUCT(PRODUCT(1+N42:N$59))),4)</f>
        <v>1.0274</v>
      </c>
      <c r="V42" s="331"/>
      <c r="W42" s="331">
        <f t="shared" si="161"/>
        <v>0.9823</v>
      </c>
      <c r="X42" s="329"/>
      <c r="Y42" s="332"/>
      <c r="Z42" s="365">
        <f t="shared" ref="Z42" si="180">IF(E42=0,0,ROUND(AVERAGE(E42:E55)/100,4))</f>
        <v>-0.0013</v>
      </c>
      <c r="AA42" s="367">
        <f t="shared" ref="AA42" si="181">IF(F42=0,0,ROUND(AVERAGE(F42:F55)/100,4))</f>
        <v>-0.0022</v>
      </c>
      <c r="AB42" s="367">
        <f t="shared" ref="AB42" si="182">IF(G42=0,0,ROUND(AVERAGE(G42:G55)/100,4))</f>
        <v>-0.0003</v>
      </c>
      <c r="AC42" s="366"/>
      <c r="AD42" s="332">
        <f t="shared" ref="AD42:AD47" si="183">IF(I42=0,0,ROUND(AVERAGE(I42:I55)/100,4))</f>
        <v>-0.0022</v>
      </c>
      <c r="AG42" s="333">
        <f t="shared" ref="AG42:AG59" si="184">$AG$60*S42</f>
        <v>100.37</v>
      </c>
      <c r="AH42" s="333">
        <f t="shared" ref="AH42:AH58" si="185">$AG$60*T42</f>
        <v>98.23</v>
      </c>
      <c r="AI42" s="333">
        <f t="shared" ref="AI42:AI58" si="186">$AG$60*U42</f>
        <v>102.74</v>
      </c>
      <c r="AJ42" s="333"/>
      <c r="AK42" s="333">
        <f t="shared" ref="AK42:AK58" si="187">$AG$60*W42</f>
        <v>98.23</v>
      </c>
      <c r="AN42" s="333">
        <f>AN37/(1+E37/100)</f>
        <v>100</v>
      </c>
      <c r="AO42" s="333">
        <f t="shared" ref="AO42:AR42" si="188">AO37/(1+F37/100)</f>
        <v>100</v>
      </c>
      <c r="AP42" s="333">
        <f t="shared" si="188"/>
        <v>100</v>
      </c>
      <c r="AQ42" s="333"/>
      <c r="AR42" s="333">
        <f t="shared" si="188"/>
        <v>100</v>
      </c>
    </row>
    <row r="43" s="292" customFormat="1" ht="12.75" spans="1:44">
      <c r="A43" s="166" t="s">
        <v>3047</v>
      </c>
      <c r="B43" s="168">
        <v>2025</v>
      </c>
      <c r="C43" s="169">
        <v>2</v>
      </c>
      <c r="D43" s="363"/>
      <c r="E43" s="170">
        <v>-0.31</v>
      </c>
      <c r="F43" s="170">
        <v>-1.03</v>
      </c>
      <c r="G43" s="170">
        <v>0.03</v>
      </c>
      <c r="H43" s="170"/>
      <c r="I43" s="171">
        <f t="shared" ref="I43" si="189">F43</f>
        <v>-1.03</v>
      </c>
      <c r="J43" s="329"/>
      <c r="K43" s="330"/>
      <c r="L43" s="325">
        <f t="shared" ref="L43" si="190">E43/100</f>
        <v>-0.0031</v>
      </c>
      <c r="M43" s="325">
        <f t="shared" ref="M43" si="191">F43/100</f>
        <v>-0.0103</v>
      </c>
      <c r="N43" s="325">
        <f t="shared" ref="N43" si="192">G43/100</f>
        <v>0.0003</v>
      </c>
      <c r="O43" s="325"/>
      <c r="P43" s="325">
        <f t="shared" si="160"/>
        <v>-0.0103</v>
      </c>
      <c r="Q43" s="329"/>
      <c r="R43" s="364"/>
      <c r="S43" s="331">
        <f>ROUND(IF(项目基本情况!$B$8="出让",SUMPRODUCT(PRODUCT(1+L43:L$60)),SUMPRODUCT(PRODUCT(1+L43:L$59))),4)</f>
        <v>1.0118</v>
      </c>
      <c r="T43" s="331">
        <f>ROUND(IF(项目基本情况!$B$8="出让",SUMPRODUCT(PRODUCT(1+M43:M$60)),SUMPRODUCT(PRODUCT(1+M43:M$59))),4)</f>
        <v>0.9968</v>
      </c>
      <c r="U43" s="331">
        <f>ROUND(IF(项目基本情况!$B$8="出让",SUMPRODUCT(PRODUCT(1+N43:N$60)),SUMPRODUCT(PRODUCT(1+N43:N$59))),4)</f>
        <v>1.0338</v>
      </c>
      <c r="V43" s="331"/>
      <c r="W43" s="331">
        <f t="shared" si="161"/>
        <v>0.9968</v>
      </c>
      <c r="X43" s="329"/>
      <c r="Y43" s="332"/>
      <c r="Z43" s="365">
        <f t="shared" ref="Z43" si="193">IF(E43=0,0,ROUND(AVERAGE(E43:E56)/100,4))</f>
        <v>-0.0003</v>
      </c>
      <c r="AA43" s="365">
        <f t="shared" ref="AA43" si="194">IF(F43=0,0,ROUND(AVERAGE(F43:F56)/100,4))</f>
        <v>-0.0008</v>
      </c>
      <c r="AB43" s="365">
        <f t="shared" ref="AB43" si="195">IF(G43=0,0,ROUND(AVERAGE(G43:G56)/100,4))</f>
        <v>0.0005</v>
      </c>
      <c r="AC43" s="366"/>
      <c r="AD43" s="332">
        <f t="shared" si="183"/>
        <v>-0.0008</v>
      </c>
      <c r="AG43" s="333">
        <f t="shared" si="184"/>
        <v>101.18</v>
      </c>
      <c r="AH43" s="333">
        <f t="shared" si="185"/>
        <v>99.68</v>
      </c>
      <c r="AI43" s="333">
        <f t="shared" si="186"/>
        <v>103.38</v>
      </c>
      <c r="AJ43" s="333"/>
      <c r="AK43" s="333">
        <f t="shared" si="187"/>
        <v>99.68</v>
      </c>
      <c r="AN43" s="333">
        <f t="shared" ref="AN43:AN60" si="196">AN42/(1+E42/100)</f>
        <v>100.806451612903</v>
      </c>
      <c r="AO43" s="333">
        <f t="shared" ref="AO43" si="197">AO42/(1+F42/100)</f>
        <v>101.471334348047</v>
      </c>
      <c r="AP43" s="333">
        <f t="shared" ref="AP43" si="198">AP42/(1+G42/100)</f>
        <v>100.623867981485</v>
      </c>
      <c r="AQ43" s="333"/>
      <c r="AR43" s="333">
        <f t="shared" ref="AR43" si="199">AR42/(1+I42/100)</f>
        <v>101.471334348047</v>
      </c>
    </row>
    <row r="44" s="292" customFormat="1" ht="12.75" spans="1:44">
      <c r="A44" s="166" t="s">
        <v>3048</v>
      </c>
      <c r="B44" s="168">
        <v>2025</v>
      </c>
      <c r="C44" s="169">
        <v>1</v>
      </c>
      <c r="D44" s="363"/>
      <c r="E44" s="170">
        <v>-1.47</v>
      </c>
      <c r="F44" s="170">
        <v>-0.98</v>
      </c>
      <c r="G44" s="170">
        <v>-0.51</v>
      </c>
      <c r="H44" s="170"/>
      <c r="I44" s="171">
        <f t="shared" ref="I44" si="200">F44</f>
        <v>-0.98</v>
      </c>
      <c r="J44" s="329"/>
      <c r="K44" s="330"/>
      <c r="L44" s="325">
        <f t="shared" ref="L44" si="201">E44/100</f>
        <v>-0.0147</v>
      </c>
      <c r="M44" s="325">
        <f t="shared" ref="M44" si="202">F44/100</f>
        <v>-0.0098</v>
      </c>
      <c r="N44" s="325">
        <f t="shared" ref="N44" si="203">G44/100</f>
        <v>-0.0051</v>
      </c>
      <c r="O44" s="325"/>
      <c r="P44" s="325">
        <f t="shared" si="160"/>
        <v>-0.0098</v>
      </c>
      <c r="Q44" s="329"/>
      <c r="R44" s="364"/>
      <c r="S44" s="331">
        <f>ROUND(IF(项目基本情况!$B$8="出让",SUMPRODUCT(PRODUCT(1+L44:L$60)),SUMPRODUCT(PRODUCT(1+L44:L$59))),4)</f>
        <v>1.0149</v>
      </c>
      <c r="T44" s="331">
        <f>ROUND(IF(项目基本情况!$B$8="出让",SUMPRODUCT(PRODUCT(1+M44:M$60)),SUMPRODUCT(PRODUCT(1+M44:M$59))),4)</f>
        <v>1.0072</v>
      </c>
      <c r="U44" s="331">
        <f>ROUND(IF(项目基本情况!$B$8="出让",SUMPRODUCT(PRODUCT(1+N44:N$60)),SUMPRODUCT(PRODUCT(1+N44:N$59))),4)</f>
        <v>1.0335</v>
      </c>
      <c r="V44" s="331"/>
      <c r="W44" s="331">
        <f t="shared" si="161"/>
        <v>1.0072</v>
      </c>
      <c r="X44" s="329"/>
      <c r="Y44" s="332"/>
      <c r="Z44" s="365">
        <f t="shared" ref="Z44" si="204">IF(E44=0,0,ROUND(AVERAGE(E44:E57)/100,4))</f>
        <v>0.0004</v>
      </c>
      <c r="AA44" s="365">
        <f t="shared" ref="AA44" si="205">IF(F44=0,0,ROUND(AVERAGE(F44:F57)/100,4))</f>
        <v>0</v>
      </c>
      <c r="AB44" s="365">
        <f t="shared" ref="AB44" si="206">IF(G44=0,0,ROUND(AVERAGE(G44:G57)/100,4))</f>
        <v>0.001</v>
      </c>
      <c r="AC44" s="366"/>
      <c r="AD44" s="332">
        <f t="shared" si="183"/>
        <v>0</v>
      </c>
      <c r="AG44" s="333">
        <f t="shared" si="184"/>
        <v>101.49</v>
      </c>
      <c r="AH44" s="333">
        <f t="shared" si="185"/>
        <v>100.72</v>
      </c>
      <c r="AI44" s="333">
        <f t="shared" si="186"/>
        <v>103.35</v>
      </c>
      <c r="AJ44" s="333"/>
      <c r="AK44" s="333">
        <f t="shared" si="187"/>
        <v>100.72</v>
      </c>
      <c r="AN44" s="333">
        <f t="shared" si="196"/>
        <v>101.119923375367</v>
      </c>
      <c r="AO44" s="333">
        <f t="shared" ref="AO44:AO60" si="207">AO43/(1+F43/100)</f>
        <v>102.527366220114</v>
      </c>
      <c r="AP44" s="333">
        <f t="shared" ref="AP44:AP60" si="208">AP43/(1+G43/100)</f>
        <v>100.593689874523</v>
      </c>
      <c r="AQ44" s="333"/>
      <c r="AR44" s="333">
        <f t="shared" ref="AR44:AR60" si="209">AR43/(1+I43/100)</f>
        <v>102.527366220114</v>
      </c>
    </row>
    <row r="45" s="292" customFormat="1" ht="12.75" spans="1:44">
      <c r="A45" s="166" t="s">
        <v>3049</v>
      </c>
      <c r="B45" s="168">
        <v>2024</v>
      </c>
      <c r="C45" s="169">
        <v>4</v>
      </c>
      <c r="D45" s="363"/>
      <c r="E45" s="170">
        <v>-0.61</v>
      </c>
      <c r="F45" s="170">
        <v>-0.71</v>
      </c>
      <c r="G45" s="170">
        <v>-0.88</v>
      </c>
      <c r="H45" s="170"/>
      <c r="I45" s="171">
        <f t="shared" ref="I45" si="210">F45</f>
        <v>-0.71</v>
      </c>
      <c r="J45" s="329"/>
      <c r="K45" s="330"/>
      <c r="L45" s="325">
        <f t="shared" ref="L45" si="211">E45/100</f>
        <v>-0.0061</v>
      </c>
      <c r="M45" s="325">
        <f t="shared" ref="M45" si="212">F45/100</f>
        <v>-0.0071</v>
      </c>
      <c r="N45" s="325">
        <f t="shared" ref="N45" si="213">G45/100</f>
        <v>-0.0088</v>
      </c>
      <c r="O45" s="325"/>
      <c r="P45" s="325">
        <f t="shared" si="160"/>
        <v>-0.0071</v>
      </c>
      <c r="Q45" s="329"/>
      <c r="R45" s="364"/>
      <c r="S45" s="331">
        <f>ROUND(IF(项目基本情况!$B$8="出让",SUMPRODUCT(PRODUCT(1+L45:L$60)),SUMPRODUCT(PRODUCT(1+L45:L$59))),4)</f>
        <v>1.0301</v>
      </c>
      <c r="T45" s="331">
        <f>ROUND(IF(项目基本情况!$B$8="出让",SUMPRODUCT(PRODUCT(1+M45:M$60)),SUMPRODUCT(PRODUCT(1+M45:M$59))),4)</f>
        <v>1.0171</v>
      </c>
      <c r="U45" s="331">
        <f>ROUND(IF(项目基本情况!$B$8="出让",SUMPRODUCT(PRODUCT(1+N45:N$60)),SUMPRODUCT(PRODUCT(1+N45:N$59))),4)</f>
        <v>1.0388</v>
      </c>
      <c r="V45" s="331"/>
      <c r="W45" s="331">
        <f t="shared" si="161"/>
        <v>1.0171</v>
      </c>
      <c r="X45" s="329"/>
      <c r="Y45" s="332"/>
      <c r="Z45" s="365">
        <f t="shared" ref="Z45" si="214">IF(E45=0,0,ROUND(AVERAGE(E45:E58)/100,4))</f>
        <v>0.0017</v>
      </c>
      <c r="AA45" s="365">
        <f t="shared" ref="AA45" si="215">IF(F45=0,0,ROUND(AVERAGE(F45:F58)/100,4))</f>
        <v>0.0009</v>
      </c>
      <c r="AB45" s="365">
        <f t="shared" ref="AB45" si="216">IF(G45=0,0,ROUND(AVERAGE(G45:G58)/100,4))</f>
        <v>0.002</v>
      </c>
      <c r="AC45" s="366"/>
      <c r="AD45" s="332">
        <f t="shared" si="183"/>
        <v>0.0009</v>
      </c>
      <c r="AG45" s="333">
        <f t="shared" si="184"/>
        <v>103.01</v>
      </c>
      <c r="AH45" s="333">
        <f t="shared" si="185"/>
        <v>101.71</v>
      </c>
      <c r="AI45" s="333">
        <f t="shared" si="186"/>
        <v>103.88</v>
      </c>
      <c r="AJ45" s="333"/>
      <c r="AK45" s="333">
        <f t="shared" si="187"/>
        <v>101.71</v>
      </c>
      <c r="AN45" s="333">
        <f t="shared" si="196"/>
        <v>102.628563255219</v>
      </c>
      <c r="AO45" s="333">
        <f t="shared" si="207"/>
        <v>103.542078590299</v>
      </c>
      <c r="AP45" s="333">
        <f t="shared" si="208"/>
        <v>101.109347547013</v>
      </c>
      <c r="AQ45" s="333"/>
      <c r="AR45" s="333">
        <f t="shared" si="209"/>
        <v>103.542078590299</v>
      </c>
    </row>
    <row r="46" s="292" customFormat="1" ht="12.75" spans="1:44">
      <c r="A46" s="166" t="s">
        <v>3050</v>
      </c>
      <c r="B46" s="168">
        <v>2024</v>
      </c>
      <c r="C46" s="169">
        <v>3</v>
      </c>
      <c r="D46" s="363"/>
      <c r="E46" s="170">
        <v>-0.66</v>
      </c>
      <c r="F46" s="170">
        <v>-0.52</v>
      </c>
      <c r="G46" s="170">
        <v>-2.87</v>
      </c>
      <c r="H46" s="170"/>
      <c r="I46" s="171">
        <f t="shared" ref="I46" si="217">F46</f>
        <v>-0.52</v>
      </c>
      <c r="J46" s="329"/>
      <c r="K46" s="330"/>
      <c r="L46" s="325">
        <f t="shared" ref="L46" si="218">E46/100</f>
        <v>-0.0066</v>
      </c>
      <c r="M46" s="325">
        <f t="shared" ref="M46" si="219">F46/100</f>
        <v>-0.0052</v>
      </c>
      <c r="N46" s="325">
        <f t="shared" ref="N46" si="220">G46/100</f>
        <v>-0.0287</v>
      </c>
      <c r="O46" s="325"/>
      <c r="P46" s="325">
        <f t="shared" si="160"/>
        <v>-0.0052</v>
      </c>
      <c r="Q46" s="329"/>
      <c r="R46" s="364"/>
      <c r="S46" s="331">
        <f>ROUND(IF(项目基本情况!$B$8="出让",SUMPRODUCT(PRODUCT(1+L46:L$60)),SUMPRODUCT(PRODUCT(1+L46:L$59))),4)</f>
        <v>1.0364</v>
      </c>
      <c r="T46" s="331">
        <f>ROUND(IF(项目基本情况!$B$8="出让",SUMPRODUCT(PRODUCT(1+M46:M$60)),SUMPRODUCT(PRODUCT(1+M46:M$59))),4)</f>
        <v>1.0244</v>
      </c>
      <c r="U46" s="331">
        <f>ROUND(IF(项目基本情况!$B$8="出让",SUMPRODUCT(PRODUCT(1+N46:N$60)),SUMPRODUCT(PRODUCT(1+N46:N$59))),4)</f>
        <v>1.048</v>
      </c>
      <c r="V46" s="331"/>
      <c r="W46" s="331">
        <f t="shared" si="161"/>
        <v>1.0244</v>
      </c>
      <c r="X46" s="329"/>
      <c r="Y46" s="332"/>
      <c r="Z46" s="365">
        <f t="shared" ref="Z46:AB47" si="221">IF(E46=0,0,ROUND(AVERAGE(E46:E59)/100,4))</f>
        <v>0.0026</v>
      </c>
      <c r="AA46" s="365">
        <f t="shared" si="221"/>
        <v>0.0017</v>
      </c>
      <c r="AB46" s="365">
        <f t="shared" si="221"/>
        <v>0.0034</v>
      </c>
      <c r="AC46" s="366"/>
      <c r="AD46" s="332">
        <f t="shared" si="183"/>
        <v>0.0017</v>
      </c>
      <c r="AG46" s="333">
        <f t="shared" si="184"/>
        <v>103.64</v>
      </c>
      <c r="AH46" s="333">
        <f t="shared" si="185"/>
        <v>102.44</v>
      </c>
      <c r="AI46" s="333">
        <f t="shared" si="186"/>
        <v>104.8</v>
      </c>
      <c r="AJ46" s="333"/>
      <c r="AK46" s="333">
        <f t="shared" si="187"/>
        <v>102.44</v>
      </c>
      <c r="AN46" s="333">
        <f t="shared" si="196"/>
        <v>103.258439737618</v>
      </c>
      <c r="AO46" s="333">
        <f t="shared" si="207"/>
        <v>104.28248422832</v>
      </c>
      <c r="AP46" s="333">
        <f t="shared" si="208"/>
        <v>102.007009228221</v>
      </c>
      <c r="AQ46" s="333"/>
      <c r="AR46" s="333">
        <f t="shared" si="209"/>
        <v>104.28248422832</v>
      </c>
    </row>
    <row r="47" s="292" customFormat="1" ht="12.75" spans="1:44">
      <c r="A47" s="346" t="s">
        <v>3051</v>
      </c>
      <c r="B47" s="168">
        <v>2024</v>
      </c>
      <c r="C47" s="169">
        <v>2</v>
      </c>
      <c r="D47" s="363"/>
      <c r="E47" s="170">
        <v>-0.31</v>
      </c>
      <c r="F47" s="170">
        <v>-0.39</v>
      </c>
      <c r="G47" s="170">
        <v>1.23</v>
      </c>
      <c r="H47" s="347"/>
      <c r="I47" s="171">
        <f t="shared" ref="I47:I60" si="222">F47</f>
        <v>-0.39</v>
      </c>
      <c r="J47" s="329"/>
      <c r="K47" s="330"/>
      <c r="L47" s="325">
        <f t="shared" ref="L47:N60" si="223">E47/100</f>
        <v>-0.0031</v>
      </c>
      <c r="M47" s="325">
        <f t="shared" si="223"/>
        <v>-0.0039</v>
      </c>
      <c r="N47" s="325">
        <f t="shared" si="223"/>
        <v>0.0123</v>
      </c>
      <c r="O47" s="325"/>
      <c r="P47" s="325">
        <f t="shared" si="160"/>
        <v>-0.0039</v>
      </c>
      <c r="Q47" s="329"/>
      <c r="R47" s="364"/>
      <c r="S47" s="331">
        <f>ROUND(IF(项目基本情况!$B$8="出让",SUMPRODUCT(PRODUCT(1+L47:L$60)),SUMPRODUCT(PRODUCT(1+L47:L$59))),4)</f>
        <v>1.0433</v>
      </c>
      <c r="T47" s="331">
        <f>ROUND(IF(项目基本情况!$B$8="出让",SUMPRODUCT(PRODUCT(1+M47:M$60)),SUMPRODUCT(PRODUCT(1+M47:M$59))),4)</f>
        <v>1.0298</v>
      </c>
      <c r="U47" s="331">
        <f>ROUND(IF(项目基本情况!$B$8="出让",SUMPRODUCT(PRODUCT(1+N47:N$60)),SUMPRODUCT(PRODUCT(1+N47:N$59))),4)</f>
        <v>1.079</v>
      </c>
      <c r="V47" s="331"/>
      <c r="W47" s="331">
        <f t="shared" si="161"/>
        <v>1.0298</v>
      </c>
      <c r="X47" s="329"/>
      <c r="Y47" s="332"/>
      <c r="Z47" s="365">
        <f t="shared" si="221"/>
        <v>0.0033</v>
      </c>
      <c r="AA47" s="372">
        <f t="shared" si="221"/>
        <v>0.0024</v>
      </c>
      <c r="AB47" s="332">
        <f t="shared" si="221"/>
        <v>0.0062</v>
      </c>
      <c r="AC47" s="366"/>
      <c r="AD47" s="332">
        <f t="shared" si="183"/>
        <v>0.0024</v>
      </c>
      <c r="AG47" s="333">
        <f t="shared" si="184"/>
        <v>104.33</v>
      </c>
      <c r="AH47" s="333">
        <f t="shared" si="185"/>
        <v>102.98</v>
      </c>
      <c r="AI47" s="333">
        <f t="shared" si="186"/>
        <v>107.9</v>
      </c>
      <c r="AJ47" s="333"/>
      <c r="AK47" s="333">
        <f t="shared" si="187"/>
        <v>102.98</v>
      </c>
      <c r="AN47" s="333">
        <f t="shared" si="196"/>
        <v>103.944473261142</v>
      </c>
      <c r="AO47" s="333">
        <f t="shared" si="207"/>
        <v>104.827587684278</v>
      </c>
      <c r="AP47" s="333">
        <f t="shared" si="208"/>
        <v>105.021115235479</v>
      </c>
      <c r="AQ47" s="333"/>
      <c r="AR47" s="333">
        <f t="shared" si="209"/>
        <v>104.827587684278</v>
      </c>
    </row>
    <row r="48" s="292" customFormat="1" ht="12.75" spans="1:44">
      <c r="A48" s="346" t="s">
        <v>3052</v>
      </c>
      <c r="B48" s="168">
        <v>2024</v>
      </c>
      <c r="C48" s="169">
        <v>1</v>
      </c>
      <c r="D48" s="363"/>
      <c r="E48" s="170">
        <v>0.25</v>
      </c>
      <c r="F48" s="170">
        <v>0.4</v>
      </c>
      <c r="G48" s="170">
        <v>-0.63</v>
      </c>
      <c r="H48" s="347"/>
      <c r="I48" s="171">
        <f t="shared" ref="I48:I49" si="224">F48</f>
        <v>0.4</v>
      </c>
      <c r="J48" s="329"/>
      <c r="K48" s="330"/>
      <c r="L48" s="325">
        <f t="shared" ref="L48" si="225">E48/100</f>
        <v>0.0025</v>
      </c>
      <c r="M48" s="325">
        <f t="shared" ref="M48" si="226">F48/100</f>
        <v>0.004</v>
      </c>
      <c r="N48" s="325">
        <f t="shared" ref="N48" si="227">G48/100</f>
        <v>-0.0063</v>
      </c>
      <c r="O48" s="325"/>
      <c r="P48" s="325">
        <f t="shared" ref="P48" si="228">M48</f>
        <v>0.004</v>
      </c>
      <c r="Q48" s="329"/>
      <c r="R48" s="364"/>
      <c r="S48" s="331">
        <f>ROUND(IF(项目基本情况!$B$8="出让",SUMPRODUCT(PRODUCT(1+L48:L$60)),SUMPRODUCT(PRODUCT(1+L48:L$59))),4)</f>
        <v>1.0465</v>
      </c>
      <c r="T48" s="331">
        <f>ROUND(IF(项目基本情况!$B$8="出让",SUMPRODUCT(PRODUCT(1+M48:M$60)),SUMPRODUCT(PRODUCT(1+M48:M$59))),4)</f>
        <v>1.0338</v>
      </c>
      <c r="U48" s="331">
        <f>ROUND(IF(项目基本情况!$B$8="出让",SUMPRODUCT(PRODUCT(1+N48:N$60)),SUMPRODUCT(PRODUCT(1+N48:N$59))),4)</f>
        <v>1.0659</v>
      </c>
      <c r="V48" s="331"/>
      <c r="W48" s="331">
        <f t="shared" ref="W48" si="229">T48</f>
        <v>1.0338</v>
      </c>
      <c r="X48" s="329"/>
      <c r="Y48" s="332"/>
      <c r="Z48" s="365"/>
      <c r="AA48" s="372"/>
      <c r="AB48" s="332"/>
      <c r="AC48" s="366"/>
      <c r="AD48" s="332"/>
      <c r="AG48" s="333">
        <f t="shared" si="184"/>
        <v>104.65</v>
      </c>
      <c r="AH48" s="333">
        <f t="shared" si="185"/>
        <v>103.38</v>
      </c>
      <c r="AI48" s="333">
        <f t="shared" si="186"/>
        <v>106.59</v>
      </c>
      <c r="AJ48" s="333"/>
      <c r="AK48" s="333">
        <f t="shared" si="187"/>
        <v>103.38</v>
      </c>
      <c r="AN48" s="333">
        <f t="shared" si="196"/>
        <v>104.267703140878</v>
      </c>
      <c r="AO48" s="333">
        <f t="shared" si="207"/>
        <v>105.238015946469</v>
      </c>
      <c r="AP48" s="333">
        <f t="shared" si="208"/>
        <v>103.745051106865</v>
      </c>
      <c r="AQ48" s="333"/>
      <c r="AR48" s="333">
        <f t="shared" si="209"/>
        <v>105.238015946469</v>
      </c>
    </row>
    <row r="49" s="292" customFormat="1" ht="12.75" spans="1:44">
      <c r="A49" s="346" t="s">
        <v>3053</v>
      </c>
      <c r="B49" s="168">
        <v>2023</v>
      </c>
      <c r="C49" s="169">
        <v>4</v>
      </c>
      <c r="D49" s="363"/>
      <c r="E49" s="170">
        <v>0.07</v>
      </c>
      <c r="F49" s="170">
        <v>0.09</v>
      </c>
      <c r="G49" s="170">
        <v>0.03</v>
      </c>
      <c r="H49" s="347"/>
      <c r="I49" s="171">
        <f t="shared" si="224"/>
        <v>0.09</v>
      </c>
      <c r="J49" s="329"/>
      <c r="K49" s="330"/>
      <c r="L49" s="325">
        <f t="shared" si="223"/>
        <v>0.0007</v>
      </c>
      <c r="M49" s="325">
        <f t="shared" si="223"/>
        <v>0.0009</v>
      </c>
      <c r="N49" s="325">
        <f t="shared" si="223"/>
        <v>0.0003</v>
      </c>
      <c r="O49" s="325"/>
      <c r="P49" s="325">
        <f t="shared" ref="P49" si="230">M49</f>
        <v>0.0009</v>
      </c>
      <c r="Q49" s="329"/>
      <c r="R49" s="364"/>
      <c r="S49" s="331">
        <f>ROUND(IF(项目基本情况!$B$8="出让",SUMPRODUCT(PRODUCT(1+L49:L$60)),SUMPRODUCT(PRODUCT(1+L49:L$59))),4)</f>
        <v>1.0439</v>
      </c>
      <c r="T49" s="331">
        <f>ROUND(IF(项目基本情况!$B$8="出让",SUMPRODUCT(PRODUCT(1+M49:M$60)),SUMPRODUCT(PRODUCT(1+M49:M$59))),4)</f>
        <v>1.0297</v>
      </c>
      <c r="U49" s="331">
        <f>ROUND(IF(项目基本情况!$B$8="出让",SUMPRODUCT(PRODUCT(1+N49:N$60)),SUMPRODUCT(PRODUCT(1+N49:N$59))),4)</f>
        <v>1.0727</v>
      </c>
      <c r="V49" s="331"/>
      <c r="W49" s="331">
        <f t="shared" ref="W49" si="231">T49</f>
        <v>1.0297</v>
      </c>
      <c r="X49" s="329"/>
      <c r="Y49" s="332"/>
      <c r="Z49" s="365"/>
      <c r="AA49" s="372"/>
      <c r="AB49" s="332"/>
      <c r="AC49" s="366"/>
      <c r="AD49" s="332"/>
      <c r="AG49" s="333">
        <f t="shared" si="184"/>
        <v>104.39</v>
      </c>
      <c r="AH49" s="333">
        <f t="shared" si="185"/>
        <v>102.97</v>
      </c>
      <c r="AI49" s="333">
        <f t="shared" si="186"/>
        <v>107.27</v>
      </c>
      <c r="AJ49" s="333"/>
      <c r="AK49" s="333">
        <f t="shared" si="187"/>
        <v>102.97</v>
      </c>
      <c r="AN49" s="333">
        <f t="shared" si="196"/>
        <v>104.007683931051</v>
      </c>
      <c r="AO49" s="333">
        <f t="shared" si="207"/>
        <v>104.818740982539</v>
      </c>
      <c r="AP49" s="333">
        <f t="shared" si="208"/>
        <v>104.402788675521</v>
      </c>
      <c r="AQ49" s="333"/>
      <c r="AR49" s="333">
        <f t="shared" si="209"/>
        <v>104.818740982539</v>
      </c>
    </row>
    <row r="50" s="292" customFormat="1" ht="12.75" spans="1:44">
      <c r="A50" s="346" t="s">
        <v>3054</v>
      </c>
      <c r="B50" s="168">
        <v>2023</v>
      </c>
      <c r="C50" s="169">
        <v>3</v>
      </c>
      <c r="D50" s="363"/>
      <c r="E50" s="170">
        <v>0.35</v>
      </c>
      <c r="F50" s="170">
        <v>0.17</v>
      </c>
      <c r="G50" s="170">
        <v>0.52</v>
      </c>
      <c r="H50" s="347"/>
      <c r="I50" s="171">
        <f t="shared" si="222"/>
        <v>0.17</v>
      </c>
      <c r="J50" s="329"/>
      <c r="K50" s="330"/>
      <c r="L50" s="325">
        <f t="shared" ref="L50:L52" si="232">E50/100</f>
        <v>0.0035</v>
      </c>
      <c r="M50" s="325">
        <f t="shared" ref="M50:M52" si="233">F50/100</f>
        <v>0.0017</v>
      </c>
      <c r="N50" s="325">
        <f t="shared" ref="N50:N52" si="234">G50/100</f>
        <v>0.0052</v>
      </c>
      <c r="O50" s="325"/>
      <c r="P50" s="325">
        <f t="shared" ref="P50:P52" si="235">M50</f>
        <v>0.0017</v>
      </c>
      <c r="Q50" s="329"/>
      <c r="R50" s="364"/>
      <c r="S50" s="331">
        <f>ROUND(IF(项目基本情况!$B$8="出让",SUMPRODUCT(PRODUCT(1+L50:L$60)),SUMPRODUCT(PRODUCT(1+L50:L$59))),4)</f>
        <v>1.0432</v>
      </c>
      <c r="T50" s="331">
        <f>ROUND(IF(项目基本情况!$B$8="出让",SUMPRODUCT(PRODUCT(1+M50:M$60)),SUMPRODUCT(PRODUCT(1+M50:M$59))),4)</f>
        <v>1.0287</v>
      </c>
      <c r="U50" s="331">
        <f>ROUND(IF(项目基本情况!$B$8="出让",SUMPRODUCT(PRODUCT(1+N50:N$60)),SUMPRODUCT(PRODUCT(1+N50:N$59))),4)</f>
        <v>1.0723</v>
      </c>
      <c r="V50" s="331"/>
      <c r="W50" s="331">
        <f t="shared" ref="W50:W52" si="236">T50</f>
        <v>1.0287</v>
      </c>
      <c r="X50" s="329"/>
      <c r="Y50" s="332"/>
      <c r="Z50" s="365"/>
      <c r="AA50" s="372"/>
      <c r="AB50" s="332"/>
      <c r="AC50" s="366"/>
      <c r="AD50" s="332"/>
      <c r="AG50" s="333">
        <f t="shared" si="184"/>
        <v>104.32</v>
      </c>
      <c r="AH50" s="333">
        <f t="shared" si="185"/>
        <v>102.87</v>
      </c>
      <c r="AI50" s="333">
        <f t="shared" si="186"/>
        <v>107.23</v>
      </c>
      <c r="AJ50" s="333"/>
      <c r="AK50" s="333">
        <f t="shared" si="187"/>
        <v>102.87</v>
      </c>
      <c r="AN50" s="333">
        <f t="shared" si="196"/>
        <v>103.934929480414</v>
      </c>
      <c r="AO50" s="333">
        <f t="shared" si="207"/>
        <v>104.724488942491</v>
      </c>
      <c r="AP50" s="333">
        <f t="shared" si="208"/>
        <v>104.371477232351</v>
      </c>
      <c r="AQ50" s="333"/>
      <c r="AR50" s="333">
        <f t="shared" si="209"/>
        <v>104.724488942491</v>
      </c>
    </row>
    <row r="51" s="292" customFormat="1" ht="12.75" spans="1:44">
      <c r="A51" s="346" t="s">
        <v>3055</v>
      </c>
      <c r="B51" s="168">
        <v>2023</v>
      </c>
      <c r="C51" s="169">
        <v>2</v>
      </c>
      <c r="D51" s="363"/>
      <c r="E51" s="170">
        <v>0.5</v>
      </c>
      <c r="F51" s="170">
        <v>0.45</v>
      </c>
      <c r="G51" s="170">
        <v>0.89</v>
      </c>
      <c r="H51" s="347"/>
      <c r="I51" s="171">
        <f t="shared" si="222"/>
        <v>0.45</v>
      </c>
      <c r="J51" s="329"/>
      <c r="K51" s="330"/>
      <c r="L51" s="325">
        <f t="shared" si="232"/>
        <v>0.005</v>
      </c>
      <c r="M51" s="325">
        <f t="shared" si="233"/>
        <v>0.0045</v>
      </c>
      <c r="N51" s="325">
        <f t="shared" si="234"/>
        <v>0.0089</v>
      </c>
      <c r="O51" s="325"/>
      <c r="P51" s="325">
        <f t="shared" si="235"/>
        <v>0.0045</v>
      </c>
      <c r="Q51" s="329"/>
      <c r="R51" s="364"/>
      <c r="S51" s="331">
        <f>ROUND(IF(项目基本情况!$B$8="出让",SUMPRODUCT(PRODUCT(1+L51:L$60)),SUMPRODUCT(PRODUCT(1+L51:L$59))),4)</f>
        <v>1.0396</v>
      </c>
      <c r="T51" s="331">
        <f>ROUND(IF(项目基本情况!$B$8="出让",SUMPRODUCT(PRODUCT(1+M51:M$60)),SUMPRODUCT(PRODUCT(1+M51:M$59))),4)</f>
        <v>1.027</v>
      </c>
      <c r="U51" s="331">
        <f>ROUND(IF(项目基本情况!$B$8="出让",SUMPRODUCT(PRODUCT(1+N51:N$60)),SUMPRODUCT(PRODUCT(1+N51:N$59))),4)</f>
        <v>1.0668</v>
      </c>
      <c r="V51" s="331"/>
      <c r="W51" s="331">
        <f t="shared" si="236"/>
        <v>1.027</v>
      </c>
      <c r="X51" s="329"/>
      <c r="Y51" s="332"/>
      <c r="Z51" s="365"/>
      <c r="AA51" s="372"/>
      <c r="AB51" s="332"/>
      <c r="AC51" s="366"/>
      <c r="AD51" s="332"/>
      <c r="AG51" s="333">
        <f t="shared" si="184"/>
        <v>103.96</v>
      </c>
      <c r="AH51" s="333">
        <f t="shared" si="185"/>
        <v>102.7</v>
      </c>
      <c r="AI51" s="333">
        <f t="shared" si="186"/>
        <v>106.68</v>
      </c>
      <c r="AJ51" s="333"/>
      <c r="AK51" s="333">
        <f t="shared" si="187"/>
        <v>102.7</v>
      </c>
      <c r="AN51" s="333">
        <f t="shared" si="196"/>
        <v>103.572425989451</v>
      </c>
      <c r="AO51" s="333">
        <f t="shared" si="207"/>
        <v>104.546759451423</v>
      </c>
      <c r="AP51" s="333">
        <f t="shared" si="208"/>
        <v>103.83155315594</v>
      </c>
      <c r="AQ51" s="333"/>
      <c r="AR51" s="333">
        <f t="shared" si="209"/>
        <v>104.546759451423</v>
      </c>
    </row>
    <row r="52" s="292" customFormat="1" ht="12.75" spans="1:44">
      <c r="A52" s="346" t="s">
        <v>3056</v>
      </c>
      <c r="B52" s="168">
        <v>2023</v>
      </c>
      <c r="C52" s="169">
        <v>1</v>
      </c>
      <c r="D52" s="363"/>
      <c r="E52" s="170">
        <v>0.55</v>
      </c>
      <c r="F52" s="170">
        <v>0.59</v>
      </c>
      <c r="G52" s="170">
        <v>0.64</v>
      </c>
      <c r="H52" s="347"/>
      <c r="I52" s="171">
        <f t="shared" si="222"/>
        <v>0.59</v>
      </c>
      <c r="J52" s="329"/>
      <c r="K52" s="330"/>
      <c r="L52" s="325">
        <f t="shared" si="232"/>
        <v>0.0055</v>
      </c>
      <c r="M52" s="325">
        <f t="shared" si="233"/>
        <v>0.0059</v>
      </c>
      <c r="N52" s="325">
        <f t="shared" si="234"/>
        <v>0.0064</v>
      </c>
      <c r="O52" s="325"/>
      <c r="P52" s="325">
        <f t="shared" si="235"/>
        <v>0.0059</v>
      </c>
      <c r="Q52" s="329"/>
      <c r="R52" s="364"/>
      <c r="S52" s="331">
        <f>ROUND(IF(项目基本情况!$B$8="出让",SUMPRODUCT(PRODUCT(1+L52:L$60)),SUMPRODUCT(PRODUCT(1+L52:L$59))),4)</f>
        <v>1.0344</v>
      </c>
      <c r="T52" s="331">
        <f>ROUND(IF(项目基本情况!$B$8="出让",SUMPRODUCT(PRODUCT(1+M52:M$60)),SUMPRODUCT(PRODUCT(1+M52:M$59))),4)</f>
        <v>1.0224</v>
      </c>
      <c r="U52" s="331">
        <f>ROUND(IF(项目基本情况!$B$8="出让",SUMPRODUCT(PRODUCT(1+N52:N$60)),SUMPRODUCT(PRODUCT(1+N52:N$59))),4)</f>
        <v>1.0574</v>
      </c>
      <c r="V52" s="331"/>
      <c r="W52" s="331">
        <f t="shared" si="236"/>
        <v>1.0224</v>
      </c>
      <c r="X52" s="329"/>
      <c r="Y52" s="332"/>
      <c r="Z52" s="365"/>
      <c r="AA52" s="372"/>
      <c r="AB52" s="332"/>
      <c r="AC52" s="366"/>
      <c r="AD52" s="332"/>
      <c r="AG52" s="333">
        <f t="shared" si="184"/>
        <v>103.44</v>
      </c>
      <c r="AH52" s="333">
        <f t="shared" si="185"/>
        <v>102.24</v>
      </c>
      <c r="AI52" s="333">
        <f t="shared" si="186"/>
        <v>105.74</v>
      </c>
      <c r="AJ52" s="333"/>
      <c r="AK52" s="333">
        <f t="shared" si="187"/>
        <v>102.24</v>
      </c>
      <c r="AN52" s="333">
        <f t="shared" si="196"/>
        <v>103.057140288011</v>
      </c>
      <c r="AO52" s="333">
        <f t="shared" si="207"/>
        <v>104.078406621626</v>
      </c>
      <c r="AP52" s="333">
        <f t="shared" si="208"/>
        <v>102.915604277867</v>
      </c>
      <c r="AQ52" s="333"/>
      <c r="AR52" s="333">
        <f t="shared" si="209"/>
        <v>104.078406621626</v>
      </c>
    </row>
    <row r="53" s="292" customFormat="1" ht="12.75" spans="1:44">
      <c r="A53" s="346" t="s">
        <v>3057</v>
      </c>
      <c r="B53" s="168">
        <v>2022</v>
      </c>
      <c r="C53" s="169">
        <v>4</v>
      </c>
      <c r="D53" s="363"/>
      <c r="E53" s="170">
        <v>0.45</v>
      </c>
      <c r="F53" s="170">
        <v>0.2</v>
      </c>
      <c r="G53" s="170">
        <v>0.38</v>
      </c>
      <c r="H53" s="347"/>
      <c r="I53" s="171">
        <f t="shared" si="222"/>
        <v>0.2</v>
      </c>
      <c r="J53" s="329"/>
      <c r="K53" s="330"/>
      <c r="L53" s="325">
        <f t="shared" si="223"/>
        <v>0.0045</v>
      </c>
      <c r="M53" s="325">
        <f t="shared" si="223"/>
        <v>0.002</v>
      </c>
      <c r="N53" s="325">
        <f t="shared" si="223"/>
        <v>0.0038</v>
      </c>
      <c r="O53" s="325"/>
      <c r="P53" s="325">
        <f t="shared" ref="P53:P60" si="237">M53</f>
        <v>0.002</v>
      </c>
      <c r="Q53" s="329"/>
      <c r="R53" s="364"/>
      <c r="S53" s="331">
        <f>ROUND(IF(项目基本情况!$B$8="出让",SUMPRODUCT(PRODUCT(1+L53:L$60)),SUMPRODUCT(PRODUCT(1+L53:L$59))),4)</f>
        <v>1.0287</v>
      </c>
      <c r="T53" s="331">
        <f>ROUND(IF(项目基本情况!$B$8="出让",SUMPRODUCT(PRODUCT(1+M53:M$60)),SUMPRODUCT(PRODUCT(1+M53:M$59))),4)</f>
        <v>1.0164</v>
      </c>
      <c r="U53" s="331">
        <f>ROUND(IF(项目基本情况!$B$8="出让",SUMPRODUCT(PRODUCT(1+N53:N$60)),SUMPRODUCT(PRODUCT(1+N53:N$59))),4)</f>
        <v>1.0506</v>
      </c>
      <c r="V53" s="331"/>
      <c r="W53" s="331">
        <f t="shared" ref="W53:W60" si="238">T53</f>
        <v>1.0164</v>
      </c>
      <c r="X53" s="329"/>
      <c r="Y53" s="332"/>
      <c r="Z53" s="365">
        <f t="shared" ref="Z53:AD60" si="239">IF(E53=0,0,ROUND(AVERAGE(E53:E61)/100,4))</f>
        <v>0.004</v>
      </c>
      <c r="AA53" s="372">
        <f t="shared" si="239"/>
        <v>0.0026</v>
      </c>
      <c r="AB53" s="332">
        <f t="shared" si="239"/>
        <v>0.0074</v>
      </c>
      <c r="AC53" s="366"/>
      <c r="AD53" s="332">
        <f t="shared" si="239"/>
        <v>0.0026</v>
      </c>
      <c r="AG53" s="333">
        <f t="shared" si="184"/>
        <v>102.87</v>
      </c>
      <c r="AH53" s="333">
        <f t="shared" si="185"/>
        <v>101.64</v>
      </c>
      <c r="AI53" s="333">
        <f t="shared" si="186"/>
        <v>105.06</v>
      </c>
      <c r="AJ53" s="333"/>
      <c r="AK53" s="333">
        <f t="shared" si="187"/>
        <v>101.64</v>
      </c>
      <c r="AN53" s="333">
        <f t="shared" si="196"/>
        <v>102.493426442577</v>
      </c>
      <c r="AO53" s="333">
        <f t="shared" si="207"/>
        <v>103.46794574175</v>
      </c>
      <c r="AP53" s="333">
        <f t="shared" si="208"/>
        <v>102.261133026497</v>
      </c>
      <c r="AQ53" s="333"/>
      <c r="AR53" s="333">
        <f t="shared" si="209"/>
        <v>103.46794574175</v>
      </c>
    </row>
    <row r="54" s="292" customFormat="1" ht="12.75" spans="1:44">
      <c r="A54" s="346" t="s">
        <v>3058</v>
      </c>
      <c r="B54" s="168">
        <v>2022</v>
      </c>
      <c r="C54" s="169">
        <v>3</v>
      </c>
      <c r="D54" s="363"/>
      <c r="E54" s="170">
        <v>0.3</v>
      </c>
      <c r="F54" s="170">
        <v>0.29</v>
      </c>
      <c r="G54" s="170">
        <v>0.83</v>
      </c>
      <c r="H54" s="347"/>
      <c r="I54" s="171">
        <f t="shared" si="222"/>
        <v>0.29</v>
      </c>
      <c r="J54" s="329"/>
      <c r="K54" s="330"/>
      <c r="L54" s="325">
        <f t="shared" si="223"/>
        <v>0.003</v>
      </c>
      <c r="M54" s="325">
        <f t="shared" si="223"/>
        <v>0.0029</v>
      </c>
      <c r="N54" s="325">
        <f t="shared" si="223"/>
        <v>0.0083</v>
      </c>
      <c r="O54" s="325"/>
      <c r="P54" s="325">
        <f t="shared" si="237"/>
        <v>0.0029</v>
      </c>
      <c r="Q54" s="329"/>
      <c r="R54" s="364"/>
      <c r="S54" s="331">
        <f>ROUND(IF(项目基本情况!$B$8="出让",SUMPRODUCT(PRODUCT(1+L54:L$60)),SUMPRODUCT(PRODUCT(1+L54:L$59))),4)</f>
        <v>1.0241</v>
      </c>
      <c r="T54" s="331">
        <f>ROUND(IF(项目基本情况!$B$8="出让",SUMPRODUCT(PRODUCT(1+M54:M$60)),SUMPRODUCT(PRODUCT(1+M54:M$59))),4)</f>
        <v>1.0144</v>
      </c>
      <c r="U54" s="331">
        <f>ROUND(IF(项目基本情况!$B$8="出让",SUMPRODUCT(PRODUCT(1+N54:N$60)),SUMPRODUCT(PRODUCT(1+N54:N$59))),4)</f>
        <v>1.0467</v>
      </c>
      <c r="V54" s="331"/>
      <c r="W54" s="331">
        <f t="shared" si="238"/>
        <v>1.0144</v>
      </c>
      <c r="X54" s="329"/>
      <c r="Y54" s="332"/>
      <c r="Z54" s="365">
        <f t="shared" si="239"/>
        <v>0.0039</v>
      </c>
      <c r="AA54" s="372">
        <f t="shared" si="239"/>
        <v>0.0027</v>
      </c>
      <c r="AB54" s="332">
        <f t="shared" si="239"/>
        <v>0.0079</v>
      </c>
      <c r="AC54" s="366"/>
      <c r="AD54" s="332">
        <f t="shared" si="239"/>
        <v>0.0027</v>
      </c>
      <c r="AG54" s="333">
        <f t="shared" si="184"/>
        <v>102.41</v>
      </c>
      <c r="AH54" s="333">
        <f t="shared" si="185"/>
        <v>101.44</v>
      </c>
      <c r="AI54" s="333">
        <f t="shared" si="186"/>
        <v>104.67</v>
      </c>
      <c r="AJ54" s="333"/>
      <c r="AK54" s="333">
        <f t="shared" si="187"/>
        <v>101.44</v>
      </c>
      <c r="AN54" s="333">
        <f t="shared" si="196"/>
        <v>102.034272217598</v>
      </c>
      <c r="AO54" s="333">
        <f t="shared" si="207"/>
        <v>103.261422895958</v>
      </c>
      <c r="AP54" s="333">
        <f t="shared" si="208"/>
        <v>101.874011781727</v>
      </c>
      <c r="AQ54" s="333"/>
      <c r="AR54" s="333">
        <f t="shared" si="209"/>
        <v>103.261422895958</v>
      </c>
    </row>
    <row r="55" s="292" customFormat="1" ht="12.75" spans="1:44">
      <c r="A55" s="346" t="s">
        <v>3059</v>
      </c>
      <c r="B55" s="168">
        <v>2022</v>
      </c>
      <c r="C55" s="169">
        <v>2</v>
      </c>
      <c r="D55" s="363"/>
      <c r="E55" s="170">
        <v>-0.11</v>
      </c>
      <c r="F55" s="170">
        <v>-0.13</v>
      </c>
      <c r="G55" s="170">
        <v>0.53</v>
      </c>
      <c r="H55" s="347"/>
      <c r="I55" s="171">
        <f t="shared" si="222"/>
        <v>-0.13</v>
      </c>
      <c r="J55" s="329"/>
      <c r="K55" s="330"/>
      <c r="L55" s="325">
        <f t="shared" si="223"/>
        <v>-0.0011</v>
      </c>
      <c r="M55" s="325">
        <f t="shared" si="223"/>
        <v>-0.0013</v>
      </c>
      <c r="N55" s="325">
        <f t="shared" si="223"/>
        <v>0.0053</v>
      </c>
      <c r="O55" s="325"/>
      <c r="P55" s="325">
        <f t="shared" si="237"/>
        <v>-0.0013</v>
      </c>
      <c r="Q55" s="329"/>
      <c r="R55" s="364"/>
      <c r="S55" s="331">
        <f>ROUND(IF(项目基本情况!$B$8="出让",SUMPRODUCT(PRODUCT(1+L55:L$60)),SUMPRODUCT(PRODUCT(1+L55:L$59))),4)</f>
        <v>1.0211</v>
      </c>
      <c r="T55" s="331">
        <f>ROUND(IF(项目基本情况!$B$8="出让",SUMPRODUCT(PRODUCT(1+M55:M$60)),SUMPRODUCT(PRODUCT(1+M55:M$59))),4)</f>
        <v>1.0114</v>
      </c>
      <c r="U55" s="331">
        <f>ROUND(IF(项目基本情况!$B$8="出让",SUMPRODUCT(PRODUCT(1+N55:N$60)),SUMPRODUCT(PRODUCT(1+N55:N$59))),4)</f>
        <v>1.0381</v>
      </c>
      <c r="V55" s="331"/>
      <c r="W55" s="331">
        <f t="shared" si="238"/>
        <v>1.0114</v>
      </c>
      <c r="X55" s="329"/>
      <c r="Y55" s="332"/>
      <c r="Z55" s="365">
        <f t="shared" si="239"/>
        <v>0.0041</v>
      </c>
      <c r="AA55" s="372">
        <f t="shared" si="239"/>
        <v>0.0027</v>
      </c>
      <c r="AB55" s="332">
        <f t="shared" si="239"/>
        <v>0.0079</v>
      </c>
      <c r="AC55" s="366"/>
      <c r="AD55" s="332">
        <f t="shared" si="239"/>
        <v>0.0027</v>
      </c>
      <c r="AG55" s="333">
        <f t="shared" si="184"/>
        <v>102.11</v>
      </c>
      <c r="AH55" s="333">
        <f t="shared" si="185"/>
        <v>101.14</v>
      </c>
      <c r="AI55" s="333">
        <f t="shared" si="186"/>
        <v>103.81</v>
      </c>
      <c r="AJ55" s="333"/>
      <c r="AK55" s="333">
        <f t="shared" si="187"/>
        <v>101.14</v>
      </c>
      <c r="AN55" s="333">
        <f t="shared" si="196"/>
        <v>101.72908496271</v>
      </c>
      <c r="AO55" s="333">
        <f t="shared" si="207"/>
        <v>102.962830686966</v>
      </c>
      <c r="AP55" s="333">
        <f t="shared" si="208"/>
        <v>101.035417813872</v>
      </c>
      <c r="AQ55" s="333"/>
      <c r="AR55" s="333">
        <f t="shared" si="209"/>
        <v>102.962830686966</v>
      </c>
    </row>
    <row r="56" s="292" customFormat="1" ht="12.75" spans="1:44">
      <c r="A56" s="346" t="s">
        <v>3060</v>
      </c>
      <c r="B56" s="168">
        <v>2022</v>
      </c>
      <c r="C56" s="169">
        <v>1</v>
      </c>
      <c r="D56" s="363"/>
      <c r="E56" s="170">
        <v>0.6</v>
      </c>
      <c r="F56" s="170">
        <v>0.45</v>
      </c>
      <c r="G56" s="170">
        <v>0.53</v>
      </c>
      <c r="H56" s="347"/>
      <c r="I56" s="171">
        <f t="shared" si="222"/>
        <v>0.45</v>
      </c>
      <c r="J56" s="329"/>
      <c r="K56" s="330"/>
      <c r="L56" s="325">
        <f t="shared" si="223"/>
        <v>0.006</v>
      </c>
      <c r="M56" s="325">
        <f t="shared" si="223"/>
        <v>0.0045</v>
      </c>
      <c r="N56" s="325">
        <f t="shared" si="223"/>
        <v>0.0053</v>
      </c>
      <c r="O56" s="325"/>
      <c r="P56" s="325">
        <f t="shared" si="237"/>
        <v>0.0045</v>
      </c>
      <c r="Q56" s="329"/>
      <c r="R56" s="364"/>
      <c r="S56" s="331">
        <f>ROUND(IF(项目基本情况!$B$8="出让",SUMPRODUCT(PRODUCT(1+L56:L$60)),SUMPRODUCT(PRODUCT(1+L56:L$59))),4)</f>
        <v>1.0222</v>
      </c>
      <c r="T56" s="331">
        <f>ROUND(IF(项目基本情况!$B$8="出让",SUMPRODUCT(PRODUCT(1+M56:M$60)),SUMPRODUCT(PRODUCT(1+M56:M$59))),4)</f>
        <v>1.0128</v>
      </c>
      <c r="U56" s="331">
        <f>ROUND(IF(项目基本情况!$B$8="出让",SUMPRODUCT(PRODUCT(1+N56:N$60)),SUMPRODUCT(PRODUCT(1+N56:N$59))),4)</f>
        <v>1.0326</v>
      </c>
      <c r="V56" s="331"/>
      <c r="W56" s="331">
        <f t="shared" si="238"/>
        <v>1.0128</v>
      </c>
      <c r="X56" s="329"/>
      <c r="Y56" s="332"/>
      <c r="Z56" s="365">
        <f t="shared" si="239"/>
        <v>0.0051</v>
      </c>
      <c r="AA56" s="372">
        <f t="shared" si="239"/>
        <v>0.0035</v>
      </c>
      <c r="AB56" s="332">
        <f t="shared" si="239"/>
        <v>0.0084</v>
      </c>
      <c r="AC56" s="366"/>
      <c r="AD56" s="332">
        <f t="shared" si="239"/>
        <v>0.0035</v>
      </c>
      <c r="AG56" s="333">
        <f t="shared" si="184"/>
        <v>102.22</v>
      </c>
      <c r="AH56" s="333">
        <f t="shared" si="185"/>
        <v>101.28</v>
      </c>
      <c r="AI56" s="333">
        <f t="shared" si="186"/>
        <v>103.26</v>
      </c>
      <c r="AJ56" s="333"/>
      <c r="AK56" s="333">
        <f t="shared" si="187"/>
        <v>101.28</v>
      </c>
      <c r="AN56" s="333">
        <f t="shared" si="196"/>
        <v>101.841110183912</v>
      </c>
      <c r="AO56" s="333">
        <f t="shared" si="207"/>
        <v>103.096856600546</v>
      </c>
      <c r="AP56" s="333">
        <f t="shared" si="208"/>
        <v>100.502753221796</v>
      </c>
      <c r="AQ56" s="333"/>
      <c r="AR56" s="333">
        <f t="shared" si="209"/>
        <v>103.096856600546</v>
      </c>
    </row>
    <row r="57" s="292" customFormat="1" ht="12.75" spans="1:44">
      <c r="A57" s="346" t="s">
        <v>3061</v>
      </c>
      <c r="B57" s="168">
        <v>2021</v>
      </c>
      <c r="C57" s="169">
        <v>4</v>
      </c>
      <c r="D57" s="363"/>
      <c r="E57" s="170">
        <v>0.58</v>
      </c>
      <c r="F57" s="170">
        <v>0.08</v>
      </c>
      <c r="G57" s="170">
        <v>0.68</v>
      </c>
      <c r="H57" s="347"/>
      <c r="I57" s="171">
        <f t="shared" si="222"/>
        <v>0.08</v>
      </c>
      <c r="J57" s="329"/>
      <c r="K57" s="330"/>
      <c r="L57" s="325">
        <f t="shared" si="223"/>
        <v>0.0058</v>
      </c>
      <c r="M57" s="325">
        <f t="shared" si="223"/>
        <v>0.0008</v>
      </c>
      <c r="N57" s="325">
        <f t="shared" si="223"/>
        <v>0.0068</v>
      </c>
      <c r="O57" s="325"/>
      <c r="P57" s="325">
        <f t="shared" si="237"/>
        <v>0.0008</v>
      </c>
      <c r="Q57" s="329"/>
      <c r="R57" s="364"/>
      <c r="S57" s="331">
        <f>ROUND(IF(项目基本情况!$B$8="出让",SUMPRODUCT(PRODUCT(1+L57:L$60)),SUMPRODUCT(PRODUCT(1+L57:L$59))),4)</f>
        <v>1.0161</v>
      </c>
      <c r="T57" s="331">
        <f>ROUND(IF(项目基本情况!$B$8="出让",SUMPRODUCT(PRODUCT(1+M57:M$60)),SUMPRODUCT(PRODUCT(1+M57:M$59))),4)</f>
        <v>1.0082</v>
      </c>
      <c r="U57" s="331">
        <f>ROUND(IF(项目基本情况!$B$8="出让",SUMPRODUCT(PRODUCT(1+N57:N$60)),SUMPRODUCT(PRODUCT(1+N57:N$59))),4)</f>
        <v>1.0271</v>
      </c>
      <c r="V57" s="331"/>
      <c r="W57" s="331">
        <f t="shared" si="238"/>
        <v>1.0082</v>
      </c>
      <c r="X57" s="329"/>
      <c r="Y57" s="332"/>
      <c r="Z57" s="365">
        <f t="shared" si="239"/>
        <v>0.0049</v>
      </c>
      <c r="AA57" s="372">
        <f t="shared" si="239"/>
        <v>0.0033</v>
      </c>
      <c r="AB57" s="332">
        <f t="shared" si="239"/>
        <v>0.0092</v>
      </c>
      <c r="AC57" s="366"/>
      <c r="AD57" s="332">
        <f t="shared" si="239"/>
        <v>0.0033</v>
      </c>
      <c r="AG57" s="333">
        <f t="shared" si="184"/>
        <v>101.61</v>
      </c>
      <c r="AH57" s="333">
        <f t="shared" si="185"/>
        <v>100.82</v>
      </c>
      <c r="AI57" s="333">
        <f t="shared" si="186"/>
        <v>102.71</v>
      </c>
      <c r="AJ57" s="333"/>
      <c r="AK57" s="333">
        <f t="shared" si="187"/>
        <v>100.82</v>
      </c>
      <c r="AN57" s="333">
        <f t="shared" si="196"/>
        <v>101.233707936294</v>
      </c>
      <c r="AO57" s="333">
        <f t="shared" si="207"/>
        <v>102.634999104576</v>
      </c>
      <c r="AP57" s="333">
        <f t="shared" si="208"/>
        <v>99.9728968683936</v>
      </c>
      <c r="AQ57" s="333"/>
      <c r="AR57" s="333">
        <f t="shared" si="209"/>
        <v>102.634999104576</v>
      </c>
    </row>
    <row r="58" s="292" customFormat="1" ht="12.75" spans="1:44">
      <c r="A58" s="346" t="s">
        <v>3062</v>
      </c>
      <c r="B58" s="168">
        <v>2021</v>
      </c>
      <c r="C58" s="169">
        <v>3</v>
      </c>
      <c r="D58" s="363"/>
      <c r="E58" s="170">
        <v>0.47</v>
      </c>
      <c r="F58" s="170">
        <v>0.28</v>
      </c>
      <c r="G58" s="170">
        <v>0.91</v>
      </c>
      <c r="H58" s="347"/>
      <c r="I58" s="171">
        <f t="shared" si="222"/>
        <v>0.28</v>
      </c>
      <c r="J58" s="329"/>
      <c r="K58" s="330"/>
      <c r="L58" s="325">
        <f t="shared" si="223"/>
        <v>0.0047</v>
      </c>
      <c r="M58" s="325">
        <f t="shared" si="223"/>
        <v>0.0028</v>
      </c>
      <c r="N58" s="325">
        <f t="shared" si="223"/>
        <v>0.0091</v>
      </c>
      <c r="O58" s="325"/>
      <c r="P58" s="325">
        <f t="shared" si="237"/>
        <v>0.0028</v>
      </c>
      <c r="Q58" s="329"/>
      <c r="R58" s="364"/>
      <c r="S58" s="331">
        <f>ROUND(IF(项目基本情况!$B$8="出让",SUMPRODUCT(PRODUCT(1+L58:L$60)),SUMPRODUCT(PRODUCT(1+L58:L$59))),4)</f>
        <v>1.0102</v>
      </c>
      <c r="T58" s="331">
        <f>ROUND(IF(项目基本情况!$B$8="出让",SUMPRODUCT(PRODUCT(1+M58:M$60)),SUMPRODUCT(PRODUCT(1+M58:M$59))),4)</f>
        <v>1.0074</v>
      </c>
      <c r="U58" s="331">
        <f>ROUND(IF(项目基本情况!$B$8="出让",SUMPRODUCT(PRODUCT(1+N58:N$60)),SUMPRODUCT(PRODUCT(1+N58:N$59))),4)</f>
        <v>1.0202</v>
      </c>
      <c r="V58" s="331"/>
      <c r="W58" s="331">
        <f t="shared" si="238"/>
        <v>1.0074</v>
      </c>
      <c r="X58" s="329"/>
      <c r="Y58" s="332"/>
      <c r="Z58" s="365">
        <f t="shared" si="239"/>
        <v>0.0046</v>
      </c>
      <c r="AA58" s="372">
        <f t="shared" si="239"/>
        <v>0.0041</v>
      </c>
      <c r="AB58" s="332">
        <f t="shared" si="239"/>
        <v>0.01</v>
      </c>
      <c r="AC58" s="366"/>
      <c r="AD58" s="332">
        <f t="shared" si="239"/>
        <v>0.0041</v>
      </c>
      <c r="AG58" s="333">
        <f t="shared" si="184"/>
        <v>101.02</v>
      </c>
      <c r="AH58" s="333">
        <f t="shared" si="185"/>
        <v>100.74</v>
      </c>
      <c r="AI58" s="333">
        <f t="shared" si="186"/>
        <v>102.02</v>
      </c>
      <c r="AJ58" s="333"/>
      <c r="AK58" s="333">
        <f t="shared" si="187"/>
        <v>100.74</v>
      </c>
      <c r="AN58" s="333">
        <f t="shared" si="196"/>
        <v>100.649938294188</v>
      </c>
      <c r="AO58" s="333">
        <f t="shared" si="207"/>
        <v>102.552956739185</v>
      </c>
      <c r="AP58" s="333">
        <f t="shared" si="208"/>
        <v>99.2976726940739</v>
      </c>
      <c r="AQ58" s="333"/>
      <c r="AR58" s="333">
        <f t="shared" si="209"/>
        <v>102.552956739185</v>
      </c>
    </row>
    <row r="59" s="292" customFormat="1" ht="12.75" spans="1:44">
      <c r="A59" s="346" t="s">
        <v>3063</v>
      </c>
      <c r="B59" s="168">
        <v>2021</v>
      </c>
      <c r="C59" s="169">
        <v>2</v>
      </c>
      <c r="D59" s="363"/>
      <c r="E59" s="170">
        <v>0.55</v>
      </c>
      <c r="F59" s="170">
        <v>0.46</v>
      </c>
      <c r="G59" s="170">
        <v>1.1</v>
      </c>
      <c r="H59" s="347"/>
      <c r="I59" s="171">
        <f t="shared" si="222"/>
        <v>0.46</v>
      </c>
      <c r="J59" s="329"/>
      <c r="K59" s="330"/>
      <c r="L59" s="325">
        <f t="shared" si="223"/>
        <v>0.0055</v>
      </c>
      <c r="M59" s="325">
        <f t="shared" si="223"/>
        <v>0.0046</v>
      </c>
      <c r="N59" s="325">
        <f t="shared" si="223"/>
        <v>0.011</v>
      </c>
      <c r="O59" s="325"/>
      <c r="P59" s="325">
        <f t="shared" si="237"/>
        <v>0.0046</v>
      </c>
      <c r="Q59" s="329"/>
      <c r="R59" s="364"/>
      <c r="S59" s="331">
        <f>ROUND(IF(项目基本情况!$B$8="出让",SUMPRODUCT(PRODUCT(1+L59:L$60)),SUMPRODUCT(PRODUCT(1+L59:L$59))),4)</f>
        <v>1.0055</v>
      </c>
      <c r="T59" s="331">
        <f>ROUND(IF(项目基本情况!$B$8="出让",SUMPRODUCT(PRODUCT(1+M59:M$60)),SUMPRODUCT(PRODUCT(1+M59:M$59))),4)</f>
        <v>1.0046</v>
      </c>
      <c r="U59" s="331">
        <f>ROUND(IF(项目基本情况!$B$8="出让",SUMPRODUCT(PRODUCT(1+N59:N$60)),SUMPRODUCT(PRODUCT(1+N59:N$59))),4)</f>
        <v>1.011</v>
      </c>
      <c r="V59" s="331"/>
      <c r="W59" s="331">
        <f t="shared" si="238"/>
        <v>1.0046</v>
      </c>
      <c r="X59" s="329"/>
      <c r="Y59" s="332"/>
      <c r="Z59" s="365">
        <f t="shared" si="239"/>
        <v>0.0045</v>
      </c>
      <c r="AA59" s="372">
        <f t="shared" si="239"/>
        <v>0.0047</v>
      </c>
      <c r="AB59" s="332">
        <f t="shared" si="239"/>
        <v>0.0104</v>
      </c>
      <c r="AC59" s="366"/>
      <c r="AD59" s="332">
        <f t="shared" si="239"/>
        <v>0.0047</v>
      </c>
      <c r="AG59" s="333">
        <f t="shared" si="184"/>
        <v>100.55</v>
      </c>
      <c r="AH59" s="333">
        <f t="shared" ref="AH59:AK59" si="240">$AG$60*T59</f>
        <v>100.46</v>
      </c>
      <c r="AI59" s="333">
        <f t="shared" si="240"/>
        <v>101.1</v>
      </c>
      <c r="AJ59" s="333"/>
      <c r="AK59" s="333">
        <f t="shared" si="240"/>
        <v>100.46</v>
      </c>
      <c r="AN59" s="333">
        <f t="shared" si="196"/>
        <v>100.179096540448</v>
      </c>
      <c r="AO59" s="333">
        <f t="shared" si="207"/>
        <v>102.266610230539</v>
      </c>
      <c r="AP59" s="333">
        <f t="shared" si="208"/>
        <v>98.4022125597799</v>
      </c>
      <c r="AQ59" s="333"/>
      <c r="AR59" s="333">
        <f t="shared" si="209"/>
        <v>102.266610230539</v>
      </c>
    </row>
    <row r="60" s="294" customFormat="1" ht="14.25" spans="1:44">
      <c r="A60" s="348" t="s">
        <v>3064</v>
      </c>
      <c r="B60" s="349">
        <v>2021</v>
      </c>
      <c r="C60" s="350">
        <v>1</v>
      </c>
      <c r="D60" s="373"/>
      <c r="E60" s="351">
        <v>0.35</v>
      </c>
      <c r="F60" s="351">
        <v>0.48</v>
      </c>
      <c r="G60" s="351">
        <v>0.98</v>
      </c>
      <c r="H60" s="352"/>
      <c r="I60" s="353">
        <f t="shared" si="222"/>
        <v>0.48</v>
      </c>
      <c r="J60" s="354"/>
      <c r="K60" s="355"/>
      <c r="L60" s="356">
        <f t="shared" si="223"/>
        <v>0.0035</v>
      </c>
      <c r="M60" s="356">
        <f>F60/100</f>
        <v>0.0048</v>
      </c>
      <c r="N60" s="356">
        <f t="shared" si="223"/>
        <v>0.0098</v>
      </c>
      <c r="O60" s="356"/>
      <c r="P60" s="356">
        <f t="shared" si="237"/>
        <v>0.0048</v>
      </c>
      <c r="Q60" s="354"/>
      <c r="R60" s="374"/>
      <c r="S60" s="357">
        <v>1</v>
      </c>
      <c r="T60" s="357">
        <v>1</v>
      </c>
      <c r="U60" s="357">
        <v>1</v>
      </c>
      <c r="V60" s="357"/>
      <c r="W60" s="357">
        <f t="shared" si="238"/>
        <v>1</v>
      </c>
      <c r="X60" s="354"/>
      <c r="Y60" s="356"/>
      <c r="Z60" s="375">
        <f t="shared" si="239"/>
        <v>0.0035</v>
      </c>
      <c r="AA60" s="376">
        <f t="shared" si="239"/>
        <v>0.0048</v>
      </c>
      <c r="AB60" s="356">
        <f t="shared" si="239"/>
        <v>0.0098</v>
      </c>
      <c r="AC60" s="377"/>
      <c r="AD60" s="356">
        <f t="shared" si="239"/>
        <v>0.0048</v>
      </c>
      <c r="AG60" s="334">
        <v>100</v>
      </c>
      <c r="AH60" s="334">
        <v>100</v>
      </c>
      <c r="AI60" s="334">
        <v>100</v>
      </c>
      <c r="AJ60" s="334"/>
      <c r="AK60" s="334">
        <v>100</v>
      </c>
      <c r="AN60" s="359">
        <f t="shared" si="196"/>
        <v>99.6311253510173</v>
      </c>
      <c r="AO60" s="359">
        <f t="shared" si="207"/>
        <v>101.798337876308</v>
      </c>
      <c r="AP60" s="359">
        <f t="shared" si="208"/>
        <v>97.3315653410286</v>
      </c>
      <c r="AQ60" s="359"/>
      <c r="AR60" s="359">
        <f t="shared" si="209"/>
        <v>101.798337876308</v>
      </c>
    </row>
    <row r="61" ht="14.25"/>
    <row r="62" spans="1:44">
      <c r="A62" s="360" t="s">
        <v>3067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44"/>
    <col min="2" max="6" width="9" style="144" customWidth="1"/>
    <col min="7" max="7" width="9" style="145"/>
    <col min="8" max="8" width="9" style="144"/>
    <col min="9" max="12" width="9" style="144" customWidth="1"/>
    <col min="13" max="13" width="2.25" style="144" customWidth="1"/>
    <col min="14" max="14" width="9" style="145" customWidth="1"/>
    <col min="15" max="17" width="9" style="144" customWidth="1"/>
    <col min="18" max="18" width="2.375" style="144" customWidth="1"/>
    <col min="19" max="19" width="7.125" style="145" customWidth="1"/>
    <col min="20" max="22" width="7.125" style="144" customWidth="1"/>
    <col min="23" max="23" width="24.25" style="144" customWidth="1"/>
    <col min="24" max="25" width="9" style="144"/>
    <col min="26" max="27" width="11.625" style="144" customWidth="1"/>
    <col min="28" max="28" width="9" style="144"/>
    <col min="29" max="29" width="2" style="144" customWidth="1"/>
    <col min="30" max="16384" width="9" style="144"/>
  </cols>
  <sheetData>
    <row r="1" s="135" customFormat="1" spans="1:34">
      <c r="B1" s="146" t="s">
        <v>3068</v>
      </c>
      <c r="C1" s="146"/>
      <c r="D1" s="146"/>
      <c r="E1" s="146"/>
      <c r="F1" s="146"/>
      <c r="G1" s="135" t="s">
        <v>3069</v>
      </c>
      <c r="N1" s="135" t="s">
        <v>3036</v>
      </c>
      <c r="S1" s="135" t="s">
        <v>3070</v>
      </c>
      <c r="X1" s="147" t="s">
        <v>3037</v>
      </c>
      <c r="AD1" s="147" t="s">
        <v>3038</v>
      </c>
    </row>
    <row r="2" s="136" customFormat="1" ht="14.25" spans="1:34">
      <c r="B2" s="148" t="s">
        <v>3071</v>
      </c>
      <c r="C2" s="148" t="s">
        <v>3072</v>
      </c>
      <c r="D2" s="149" t="s">
        <v>230</v>
      </c>
      <c r="E2" s="149" t="s">
        <v>232</v>
      </c>
      <c r="F2" s="148" t="s">
        <v>3073</v>
      </c>
      <c r="G2" s="150"/>
      <c r="I2" s="148" t="s">
        <v>3071</v>
      </c>
      <c r="J2" s="149" t="s">
        <v>2370</v>
      </c>
      <c r="K2" s="149" t="s">
        <v>232</v>
      </c>
      <c r="L2" s="148" t="s">
        <v>3073</v>
      </c>
      <c r="N2" s="148" t="s">
        <v>3071</v>
      </c>
      <c r="O2" s="149" t="s">
        <v>2370</v>
      </c>
      <c r="P2" s="149" t="s">
        <v>232</v>
      </c>
      <c r="Q2" s="148" t="s">
        <v>3073</v>
      </c>
      <c r="S2" s="148" t="s">
        <v>3071</v>
      </c>
      <c r="T2" s="149" t="s">
        <v>2370</v>
      </c>
      <c r="U2" s="149" t="s">
        <v>232</v>
      </c>
      <c r="V2" s="148" t="s">
        <v>3073</v>
      </c>
      <c r="X2" s="148" t="s">
        <v>3071</v>
      </c>
      <c r="Y2" s="148" t="s">
        <v>3072</v>
      </c>
      <c r="Z2" s="149" t="s">
        <v>230</v>
      </c>
      <c r="AA2" s="149" t="s">
        <v>232</v>
      </c>
      <c r="AB2" s="148" t="s">
        <v>3073</v>
      </c>
      <c r="AD2" s="148" t="s">
        <v>3071</v>
      </c>
      <c r="AE2" s="148" t="s">
        <v>3072</v>
      </c>
      <c r="AF2" s="149" t="s">
        <v>230</v>
      </c>
      <c r="AG2" s="149" t="s">
        <v>232</v>
      </c>
      <c r="AH2" s="148" t="s">
        <v>3073</v>
      </c>
    </row>
    <row r="3" s="137" customFormat="1" ht="14.25" spans="1:34">
      <c r="A3" s="151" t="s">
        <v>3040</v>
      </c>
      <c r="B3" s="152"/>
      <c r="C3" s="152"/>
      <c r="D3" s="153"/>
      <c r="E3" s="153"/>
      <c r="F3" s="152"/>
      <c r="G3" s="154"/>
      <c r="H3" s="155"/>
      <c r="I3" s="156">
        <f>ROUND(AVERAGE($I4:$I40),2)</f>
        <v>1.55</v>
      </c>
      <c r="J3" s="156">
        <f>ROUND(AVERAGE($J4:$J40),2)</f>
        <v>0.97</v>
      </c>
      <c r="K3" s="156">
        <f>ROUND(AVERAGE($K4:$K40),2)</f>
        <v>1.66</v>
      </c>
      <c r="L3" s="156">
        <f>ROUND(AVERAGE($L4:$L40),2)</f>
        <v>1.1</v>
      </c>
      <c r="N3" s="154"/>
      <c r="S3" s="154"/>
      <c r="W3" s="157"/>
      <c r="X3" s="158">
        <f>ROUND(SUMPRODUCT(PRODUCT(1+N3:N$39)),4)</f>
        <v>1.6585</v>
      </c>
      <c r="Y3" s="158">
        <f>ROUND(SUMPRODUCT(PRODUCT(1+O3:O$39)),4)</f>
        <v>1.3677</v>
      </c>
      <c r="Z3" s="158">
        <f t="shared" ref="Z3:Z37" si="0">Y3</f>
        <v>1.3677</v>
      </c>
      <c r="AA3" s="158">
        <f>ROUND(SUMPRODUCT(PRODUCT(1+P3:P$39)),4)</f>
        <v>1.7434</v>
      </c>
      <c r="AB3" s="158">
        <f>ROUND(SUMPRODUCT(PRODUCT(1+Q3:Q$39)),4)</f>
        <v>1.4609</v>
      </c>
      <c r="AD3" s="159">
        <f>ROUND(AVERAGE(I3:I$40)/100,4)</f>
        <v>0.0155</v>
      </c>
      <c r="AE3" s="159">
        <f>ROUND(AVERAGE(J3:J$40)/100,4)</f>
        <v>0.0097</v>
      </c>
      <c r="AF3" s="159">
        <f t="shared" ref="AF3:AF38" si="1">AE3</f>
        <v>0.0097</v>
      </c>
      <c r="AG3" s="159">
        <f>ROUND(AVERAGE(K3:K$40)/100,4)</f>
        <v>0.0166</v>
      </c>
      <c r="AH3" s="159">
        <f>ROUND(AVERAGE(L3:L$40)/100,4)</f>
        <v>0.011</v>
      </c>
    </row>
    <row r="4" s="138" customFormat="1" ht="14.25" spans="1:34">
      <c r="B4" s="160"/>
      <c r="C4" s="160"/>
      <c r="D4" s="161"/>
      <c r="E4" s="161"/>
      <c r="F4" s="160"/>
      <c r="G4" s="162"/>
      <c r="H4" s="163"/>
      <c r="I4" s="164"/>
      <c r="J4" s="164"/>
      <c r="K4" s="164"/>
      <c r="L4" s="164"/>
      <c r="N4" s="162"/>
      <c r="S4" s="162"/>
      <c r="X4" s="144"/>
      <c r="Y4" s="144"/>
      <c r="Z4" s="144"/>
      <c r="AA4" s="144"/>
      <c r="AB4" s="144"/>
      <c r="AD4" s="165"/>
      <c r="AE4" s="165"/>
      <c r="AF4" s="165"/>
      <c r="AG4" s="165"/>
      <c r="AH4" s="165"/>
    </row>
    <row r="5" s="139" customFormat="1" spans="1:34">
      <c r="A5" s="166" t="s">
        <v>3057</v>
      </c>
      <c r="B5" s="167">
        <f t="shared" ref="B5" si="2">B6*(1+N5)</f>
        <v>510.070896595546</v>
      </c>
      <c r="C5" s="167">
        <f t="shared" ref="C5" si="3">C6*(1+O5)</f>
        <v>352.555931857374</v>
      </c>
      <c r="D5" s="167">
        <f t="shared" ref="D5" si="4">C5</f>
        <v>352.555931857374</v>
      </c>
      <c r="E5" s="167">
        <f t="shared" ref="E5" si="5">E6*(1+P5)</f>
        <v>737.279924634037</v>
      </c>
      <c r="F5" s="167">
        <f t="shared" ref="F5" si="6">F6*(1+Q5)</f>
        <v>335.883191982979</v>
      </c>
      <c r="G5" s="168">
        <v>2022</v>
      </c>
      <c r="H5" s="169">
        <v>1</v>
      </c>
      <c r="I5" s="170">
        <v>0</v>
      </c>
      <c r="J5" s="170">
        <v>0</v>
      </c>
      <c r="K5" s="170">
        <v>0</v>
      </c>
      <c r="L5" s="171">
        <v>0</v>
      </c>
      <c r="M5" s="144"/>
      <c r="N5" s="172">
        <f t="shared" ref="N5" si="7">I5/100</f>
        <v>0</v>
      </c>
      <c r="O5" s="165">
        <f t="shared" ref="O5" si="8">J5/100</f>
        <v>0</v>
      </c>
      <c r="P5" s="165">
        <f t="shared" ref="P5" si="9">K5/100</f>
        <v>0</v>
      </c>
      <c r="Q5" s="165">
        <f t="shared" ref="Q5" si="10">L5/100</f>
        <v>0</v>
      </c>
      <c r="R5" s="173"/>
      <c r="S5" s="172"/>
      <c r="T5" s="165"/>
      <c r="U5" s="165"/>
      <c r="V5" s="165"/>
      <c r="W5" s="174"/>
      <c r="X5" s="175" t="e">
        <f>ROUND(IF(项目基本情况!#REF!="出让",SUMPRODUCT(PRODUCT(1+N5:N$40)),SUMPRODUCT(PRODUCT(1+N5:N$39))),4)</f>
        <v>#REF!</v>
      </c>
      <c r="Y5" s="175" t="e">
        <f>ROUND(IF(项目基本情况!#REF!="出让",SUMPRODUCT(PRODUCT(1+O5:O$40)),SUMPRODUCT(PRODUCT(1+O5:O$39))),4)</f>
        <v>#REF!</v>
      </c>
      <c r="Z5" s="175" t="e">
        <f t="shared" ref="Z5" si="11">Y5</f>
        <v>#REF!</v>
      </c>
      <c r="AA5" s="175" t="e">
        <f>ROUND(IF(项目基本情况!#REF!="出让",SUMPRODUCT(PRODUCT(1+P5:P$40)),SUMPRODUCT(PRODUCT(1+P5:P$39))),4)</f>
        <v>#REF!</v>
      </c>
      <c r="AB5" s="175" t="e">
        <f>ROUND(IF(项目基本情况!#REF!="出让",SUMPRODUCT(PRODUCT(1+Q5:Q$40)),SUMPRODUCT(PRODUCT(1+Q5:Q$39))),4)</f>
        <v>#REF!</v>
      </c>
      <c r="AC5" s="174"/>
      <c r="AD5" s="176">
        <f>ROUND(AVERAGE(I5:I$40)/100,4)</f>
        <v>0.0155</v>
      </c>
      <c r="AE5" s="176">
        <f>ROUND(AVERAGE(J5:J$40)/100,4)</f>
        <v>0.0097</v>
      </c>
      <c r="AF5" s="176">
        <f t="shared" ref="AF5" si="12">AE5</f>
        <v>0.0097</v>
      </c>
      <c r="AG5" s="176">
        <f>ROUND(AVERAGE(K5:K$40)/100,4)</f>
        <v>0.0166</v>
      </c>
      <c r="AH5" s="176">
        <f>ROUND(AVERAGE(L5:L$40)/100,4)</f>
        <v>0.011</v>
      </c>
    </row>
    <row r="6" s="140" customFormat="1" spans="1:34">
      <c r="A6" s="177" t="s">
        <v>3058</v>
      </c>
      <c r="B6" s="178">
        <f t="shared" ref="B6" si="13">B7*(1+N6)</f>
        <v>510.070896595546</v>
      </c>
      <c r="C6" s="178">
        <f t="shared" ref="C6" si="14">C7*(1+O6)</f>
        <v>352.555931857374</v>
      </c>
      <c r="D6" s="178">
        <f t="shared" ref="D6" si="15">C6</f>
        <v>352.555931857374</v>
      </c>
      <c r="E6" s="178">
        <f t="shared" ref="E6" si="16">E7*(1+P6)</f>
        <v>737.279924634037</v>
      </c>
      <c r="F6" s="178">
        <f t="shared" ref="F6" si="17">F7*(1+Q6)</f>
        <v>335.883191982979</v>
      </c>
      <c r="G6" s="168">
        <v>2022</v>
      </c>
      <c r="H6" s="179">
        <v>1</v>
      </c>
      <c r="I6" s="180">
        <v>0</v>
      </c>
      <c r="J6" s="180">
        <v>0</v>
      </c>
      <c r="K6" s="180">
        <v>0</v>
      </c>
      <c r="L6" s="180">
        <v>0</v>
      </c>
      <c r="N6" s="181">
        <f t="shared" ref="N6" si="18">I6/100</f>
        <v>0</v>
      </c>
      <c r="O6" s="181">
        <f t="shared" ref="O6" si="19">J6/100</f>
        <v>0</v>
      </c>
      <c r="P6" s="181">
        <f t="shared" ref="P6" si="20">K6/100</f>
        <v>0</v>
      </c>
      <c r="Q6" s="181">
        <f t="shared" ref="Q6" si="21">L6/100</f>
        <v>0</v>
      </c>
      <c r="S6" s="182"/>
      <c r="W6" s="183" t="s">
        <v>3074</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85">
        <f>ROUND(AVERAGE(I6:I$40)/100,4)</f>
        <v>0.016</v>
      </c>
      <c r="AE6" s="185">
        <f>ROUND(AVERAGE(J6:J$40)/100,4)</f>
        <v>0.01</v>
      </c>
      <c r="AF6" s="185">
        <f t="shared" ref="AF6" si="23">AE6</f>
        <v>0.01</v>
      </c>
      <c r="AG6" s="185">
        <f>ROUND(AVERAGE(K6:K$40)/100,4)</f>
        <v>0.0171</v>
      </c>
      <c r="AH6" s="185">
        <f>ROUND(AVERAGE(L6:L$40)/100,4)</f>
        <v>0.0113</v>
      </c>
    </row>
    <row r="7" s="139" customFormat="1" spans="1:34">
      <c r="A7" s="166" t="s">
        <v>3059</v>
      </c>
      <c r="B7" s="167">
        <f t="shared" ref="B7" si="24">B8*(1+N7)</f>
        <v>510.070896595546</v>
      </c>
      <c r="C7" s="167">
        <f t="shared" ref="C7" si="25">C8*(1+O7)</f>
        <v>352.555931857374</v>
      </c>
      <c r="D7" s="167">
        <f t="shared" ref="D7" si="26">C7</f>
        <v>352.555931857374</v>
      </c>
      <c r="E7" s="167">
        <f t="shared" ref="E7" si="27">E8*(1+P7)</f>
        <v>737.279924634037</v>
      </c>
      <c r="F7" s="167">
        <f t="shared" ref="F7" si="28">F8*(1+Q7)</f>
        <v>335.883191982979</v>
      </c>
      <c r="G7" s="168">
        <v>2022</v>
      </c>
      <c r="H7" s="169">
        <v>1</v>
      </c>
      <c r="I7" s="170">
        <v>0</v>
      </c>
      <c r="J7" s="170">
        <v>0</v>
      </c>
      <c r="K7" s="170">
        <v>0</v>
      </c>
      <c r="L7" s="171">
        <v>0</v>
      </c>
      <c r="M7" s="144"/>
      <c r="N7" s="172">
        <f t="shared" ref="N7" si="29">I7/100</f>
        <v>0</v>
      </c>
      <c r="O7" s="165">
        <f t="shared" ref="O7" si="30">J7/100</f>
        <v>0</v>
      </c>
      <c r="P7" s="165">
        <f t="shared" ref="P7" si="31">K7/100</f>
        <v>0</v>
      </c>
      <c r="Q7" s="165">
        <f t="shared" ref="Q7" si="32">L7/100</f>
        <v>0</v>
      </c>
      <c r="R7" s="173"/>
      <c r="S7" s="172"/>
      <c r="T7" s="165"/>
      <c r="U7" s="165"/>
      <c r="V7" s="165"/>
      <c r="W7" s="174"/>
      <c r="X7" s="175" t="e">
        <f>ROUND(IF(项目基本情况!#REF!="出让",SUMPRODUCT(PRODUCT(1+N7:N$40)),SUMPRODUCT(PRODUCT(1+N7:N$39))),4)</f>
        <v>#REF!</v>
      </c>
      <c r="Y7" s="175" t="e">
        <f>ROUND(IF(项目基本情况!#REF!="出让",SUMPRODUCT(PRODUCT(1+O7:O$40)),SUMPRODUCT(PRODUCT(1+O7:O$39))),4)</f>
        <v>#REF!</v>
      </c>
      <c r="Z7" s="175" t="e">
        <f t="shared" ref="Z7" si="33">Y7</f>
        <v>#REF!</v>
      </c>
      <c r="AA7" s="175" t="e">
        <f>ROUND(IF(项目基本情况!#REF!="出让",SUMPRODUCT(PRODUCT(1+P7:P$40)),SUMPRODUCT(PRODUCT(1+P7:P$39))),4)</f>
        <v>#REF!</v>
      </c>
      <c r="AB7" s="175" t="e">
        <f>ROUND(IF(项目基本情况!#REF!="出让",SUMPRODUCT(PRODUCT(1+Q7:Q$40)),SUMPRODUCT(PRODUCT(1+Q7:Q$39))),4)</f>
        <v>#REF!</v>
      </c>
      <c r="AC7" s="174"/>
      <c r="AD7" s="176">
        <f>ROUND(AVERAGE(I7:I$40)/100,4)</f>
        <v>0.0164</v>
      </c>
      <c r="AE7" s="176">
        <f>ROUND(AVERAGE(J7:J$40)/100,4)</f>
        <v>0.0103</v>
      </c>
      <c r="AF7" s="176">
        <f t="shared" ref="AF7" si="34">AE7</f>
        <v>0.0103</v>
      </c>
      <c r="AG7" s="176">
        <f>ROUND(AVERAGE(K7:K$40)/100,4)</f>
        <v>0.0176</v>
      </c>
      <c r="AH7" s="176">
        <f>ROUND(AVERAGE(L7:L$40)/100,4)</f>
        <v>0.0116</v>
      </c>
    </row>
    <row r="8" s="139" customFormat="1" spans="1:34">
      <c r="A8" s="166" t="s">
        <v>3060</v>
      </c>
      <c r="B8" s="167">
        <f t="shared" ref="B8" si="35">B9*(1+N8)</f>
        <v>510.070896595546</v>
      </c>
      <c r="C8" s="167">
        <f t="shared" ref="C8" si="36">C9*(1+O8)</f>
        <v>352.555931857374</v>
      </c>
      <c r="D8" s="167">
        <f t="shared" ref="D8" si="37">C8</f>
        <v>352.555931857374</v>
      </c>
      <c r="E8" s="167">
        <f t="shared" ref="E8" si="38">E9*(1+P8)</f>
        <v>737.279924634037</v>
      </c>
      <c r="F8" s="167">
        <f t="shared" ref="F8" si="39">F9*(1+Q8)</f>
        <v>335.883191982979</v>
      </c>
      <c r="G8" s="168">
        <v>2022</v>
      </c>
      <c r="H8" s="169">
        <v>1</v>
      </c>
      <c r="I8" s="170"/>
      <c r="J8" s="170"/>
      <c r="K8" s="170">
        <v>0</v>
      </c>
      <c r="L8" s="171">
        <v>0</v>
      </c>
      <c r="M8" s="144"/>
      <c r="N8" s="172">
        <f t="shared" ref="N8" si="40">I8/100</f>
        <v>0</v>
      </c>
      <c r="O8" s="165">
        <f t="shared" ref="O8" si="41">J8/100</f>
        <v>0</v>
      </c>
      <c r="P8" s="165">
        <f t="shared" ref="P8" si="42">K8/100</f>
        <v>0</v>
      </c>
      <c r="Q8" s="165">
        <f t="shared" ref="Q8" si="43">L8/100</f>
        <v>0</v>
      </c>
      <c r="R8" s="173"/>
      <c r="S8" s="172"/>
      <c r="T8" s="165"/>
      <c r="U8" s="165"/>
      <c r="V8" s="165"/>
      <c r="W8" s="174"/>
      <c r="X8" s="175">
        <f>ROUND(IF(项目基本情况!B1="出让",SUMPRODUCT(PRODUCT(1+N8:N$40)),SUMPRODUCT(PRODUCT(1+N8:N$39))),4)</f>
        <v>1.6585</v>
      </c>
      <c r="Y8" s="175">
        <f>ROUND(IF(项目基本情况!B1="出让",SUMPRODUCT(PRODUCT(1+O8:O$40)),SUMPRODUCT(PRODUCT(1+O8:O$39))),4)</f>
        <v>1.3677</v>
      </c>
      <c r="Z8" s="175">
        <f t="shared" ref="Z8" si="44">Y8</f>
        <v>1.3677</v>
      </c>
      <c r="AA8" s="175">
        <f>ROUND(IF(项目基本情况!B1="出让",SUMPRODUCT(PRODUCT(1+P8:P$40)),SUMPRODUCT(PRODUCT(1+P8:P$39))),4)</f>
        <v>1.7434</v>
      </c>
      <c r="AB8" s="175">
        <f>ROUND(IF(项目基本情况!B1="出让",SUMPRODUCT(PRODUCT(1+Q8:Q$40)),SUMPRODUCT(PRODUCT(1+Q8:Q$39))),4)</f>
        <v>1.4609</v>
      </c>
      <c r="AC8" s="174"/>
      <c r="AD8" s="176">
        <f>ROUND(AVERAGE(I8:I$40)/100,4)</f>
        <v>0.0169</v>
      </c>
      <c r="AE8" s="176">
        <f>ROUND(AVERAGE(J8:J$40)/100,4)</f>
        <v>0.0106</v>
      </c>
      <c r="AF8" s="176">
        <f t="shared" ref="AF8" si="45">AE8</f>
        <v>0.0106</v>
      </c>
      <c r="AG8" s="176">
        <f>ROUND(AVERAGE(K8:K$40)/100,4)</f>
        <v>0.0181</v>
      </c>
      <c r="AH8" s="176">
        <f>ROUND(AVERAGE(L8:L$40)/100,4)</f>
        <v>0.012</v>
      </c>
    </row>
    <row r="9" s="139" customFormat="1" spans="1:34">
      <c r="A9" s="166" t="s">
        <v>3061</v>
      </c>
      <c r="B9" s="167">
        <f t="shared" ref="B9" si="46">B10*(1+N9)</f>
        <v>510.070896595546</v>
      </c>
      <c r="C9" s="167">
        <f t="shared" ref="C9" si="47">C10*(1+O9)</f>
        <v>352.555931857374</v>
      </c>
      <c r="D9" s="167">
        <f t="shared" ref="D9" si="48">C9</f>
        <v>352.555931857374</v>
      </c>
      <c r="E9" s="167">
        <f t="shared" ref="E9" si="49">E10*(1+P9)</f>
        <v>737.279924634037</v>
      </c>
      <c r="F9" s="167">
        <f t="shared" ref="F9" si="50">F10*(1+Q9)</f>
        <v>335.883191982979</v>
      </c>
      <c r="G9" s="168">
        <v>2021</v>
      </c>
      <c r="H9" s="169">
        <v>4</v>
      </c>
      <c r="I9" s="170">
        <v>1.03</v>
      </c>
      <c r="J9" s="170">
        <v>0.24</v>
      </c>
      <c r="K9" s="170">
        <v>1.17</v>
      </c>
      <c r="L9" s="171">
        <v>0.55</v>
      </c>
      <c r="M9" s="144"/>
      <c r="N9" s="172">
        <f t="shared" ref="N9" si="51">I9/100</f>
        <v>0.0103</v>
      </c>
      <c r="O9" s="165">
        <f t="shared" ref="O9" si="52">J9/100</f>
        <v>0.0024</v>
      </c>
      <c r="P9" s="165">
        <f t="shared" ref="P9" si="53">K9/100</f>
        <v>0.0117</v>
      </c>
      <c r="Q9" s="165">
        <f t="shared" ref="Q9" si="54">L9/100</f>
        <v>0.0055</v>
      </c>
      <c r="R9" s="173"/>
      <c r="S9" s="172"/>
      <c r="T9" s="165"/>
      <c r="U9" s="165"/>
      <c r="V9" s="165"/>
      <c r="W9" s="174"/>
      <c r="X9" s="175">
        <f>ROUND(IF(项目基本情况!B2="出让",SUMPRODUCT(PRODUCT(1+N9:N$40)),SUMPRODUCT(PRODUCT(1+N9:N$39))),4)</f>
        <v>1.6585</v>
      </c>
      <c r="Y9" s="175">
        <f>ROUND(IF(项目基本情况!B2="出让",SUMPRODUCT(PRODUCT(1+O9:O$40)),SUMPRODUCT(PRODUCT(1+O9:O$39))),4)</f>
        <v>1.3677</v>
      </c>
      <c r="Z9" s="175">
        <f t="shared" ref="Z9" si="55">Y9</f>
        <v>1.3677</v>
      </c>
      <c r="AA9" s="175">
        <f>ROUND(IF(项目基本情况!B2="出让",SUMPRODUCT(PRODUCT(1+P9:P$40)),SUMPRODUCT(PRODUCT(1+P9:P$39))),4)</f>
        <v>1.7434</v>
      </c>
      <c r="AB9" s="175">
        <f>ROUND(IF(项目基本情况!B2="出让",SUMPRODUCT(PRODUCT(1+Q9:Q$40)),SUMPRODUCT(PRODUCT(1+Q9:Q$39))),4)</f>
        <v>1.4609</v>
      </c>
      <c r="AC9" s="174"/>
      <c r="AD9" s="176">
        <f>ROUND(AVERAGE(I9:I$40)/100,4)</f>
        <v>0.0169</v>
      </c>
      <c r="AE9" s="176">
        <f>ROUND(AVERAGE(J9:J$40)/100,4)</f>
        <v>0.0106</v>
      </c>
      <c r="AF9" s="176">
        <f t="shared" ref="AF9" si="56">AE9</f>
        <v>0.0106</v>
      </c>
      <c r="AG9" s="176">
        <f>ROUND(AVERAGE(K9:K$40)/100,4)</f>
        <v>0.0187</v>
      </c>
      <c r="AH9" s="176">
        <f>ROUND(AVERAGE(L9:L$40)/100,4)</f>
        <v>0.0124</v>
      </c>
    </row>
    <row r="10" s="139" customFormat="1" spans="1:34">
      <c r="A10" s="166" t="s">
        <v>3062</v>
      </c>
      <c r="B10" s="167">
        <f t="shared" ref="B10" si="57">B11*(1+N10)</f>
        <v>504.870728096156</v>
      </c>
      <c r="C10" s="167">
        <f t="shared" ref="C10" si="58">C11*(1+O10)</f>
        <v>351.71182348102</v>
      </c>
      <c r="D10" s="167">
        <f t="shared" ref="D10" si="59">C10</f>
        <v>351.71182348102</v>
      </c>
      <c r="E10" s="167">
        <f t="shared" ref="E10" si="60">E11*(1+P10)</f>
        <v>728.753508583608</v>
      </c>
      <c r="F10" s="167">
        <f t="shared" ref="F10" si="61">F11*(1+Q10)</f>
        <v>334.045939316737</v>
      </c>
      <c r="G10" s="168">
        <v>2021</v>
      </c>
      <c r="H10" s="169">
        <v>3</v>
      </c>
      <c r="I10" s="170">
        <v>0.47</v>
      </c>
      <c r="J10" s="170">
        <v>0.41</v>
      </c>
      <c r="K10" s="170">
        <v>0.48</v>
      </c>
      <c r="L10" s="171">
        <v>0.48</v>
      </c>
      <c r="M10" s="144"/>
      <c r="N10" s="172">
        <f t="shared" ref="N10" si="62">I10/100</f>
        <v>0.0047</v>
      </c>
      <c r="O10" s="165">
        <f t="shared" ref="O10" si="63">J10/100</f>
        <v>0.0041</v>
      </c>
      <c r="P10" s="165">
        <f t="shared" ref="P10" si="64">K10/100</f>
        <v>0.0048</v>
      </c>
      <c r="Q10" s="165">
        <f t="shared" ref="Q10" si="65">L10/100</f>
        <v>0.0048</v>
      </c>
      <c r="R10" s="173"/>
      <c r="S10" s="172"/>
      <c r="T10" s="165"/>
      <c r="U10" s="165"/>
      <c r="V10" s="165"/>
      <c r="W10" s="174"/>
      <c r="X10" s="175">
        <f>ROUND(IF(项目基本情况!B3="出让",SUMPRODUCT(PRODUCT(1+N10:N$40)),SUMPRODUCT(PRODUCT(1+N10:N$39))),4)</f>
        <v>1.6416</v>
      </c>
      <c r="Y10" s="175">
        <f>ROUND(IF(项目基本情况!B3="出让",SUMPRODUCT(PRODUCT(1+O10:O$40)),SUMPRODUCT(PRODUCT(1+O10:O$39))),4)</f>
        <v>1.3644</v>
      </c>
      <c r="Z10" s="175">
        <f t="shared" ref="Z10" si="66">Y10</f>
        <v>1.3644</v>
      </c>
      <c r="AA10" s="175">
        <f>ROUND(IF(项目基本情况!B3="出让",SUMPRODUCT(PRODUCT(1+P10:P$40)),SUMPRODUCT(PRODUCT(1+P10:P$39))),4)</f>
        <v>1.7232</v>
      </c>
      <c r="AB10" s="175">
        <f>ROUND(IF(项目基本情况!B3="出让",SUMPRODUCT(PRODUCT(1+Q10:Q$40)),SUMPRODUCT(PRODUCT(1+Q10:Q$39))),4)</f>
        <v>1.4529</v>
      </c>
      <c r="AC10" s="174"/>
      <c r="AD10" s="176">
        <f>ROUND(AVERAGE(I10:I$40)/100,4)</f>
        <v>0.0172</v>
      </c>
      <c r="AE10" s="176">
        <f>ROUND(AVERAGE(J10:J$40)/100,4)</f>
        <v>0.0109</v>
      </c>
      <c r="AF10" s="176">
        <f t="shared" ref="AF10" si="67">AE10</f>
        <v>0.0109</v>
      </c>
      <c r="AG10" s="176">
        <f>ROUND(AVERAGE(K10:K$40)/100,4)</f>
        <v>0.0189</v>
      </c>
      <c r="AH10" s="176">
        <f>ROUND(AVERAGE(L10:L$40)/100,4)</f>
        <v>0.0126</v>
      </c>
    </row>
    <row r="11" s="139" customFormat="1" spans="1:34">
      <c r="A11" s="166" t="s">
        <v>3063</v>
      </c>
      <c r="B11" s="167">
        <f t="shared" ref="B11" si="68">B12*(1+N11)</f>
        <v>502.508936096502</v>
      </c>
      <c r="C11" s="167">
        <f t="shared" ref="C11" si="69">C12*(1+O11)</f>
        <v>350.275693139149</v>
      </c>
      <c r="D11" s="167">
        <f t="shared" ref="D11" si="70">C11</f>
        <v>350.275693139149</v>
      </c>
      <c r="E11" s="167">
        <f t="shared" ref="E11" si="71">E12*(1+P11)</f>
        <v>725.272202013941</v>
      </c>
      <c r="F11" s="167">
        <f t="shared" ref="F11" si="72">F12*(1+Q11)</f>
        <v>332.450178460128</v>
      </c>
      <c r="G11" s="168">
        <v>2021</v>
      </c>
      <c r="H11" s="169">
        <v>2</v>
      </c>
      <c r="I11" s="170">
        <v>0.92</v>
      </c>
      <c r="J11" s="170">
        <v>0.72</v>
      </c>
      <c r="K11" s="170">
        <v>0.95</v>
      </c>
      <c r="L11" s="171">
        <v>1.01</v>
      </c>
      <c r="M11" s="144"/>
      <c r="N11" s="172">
        <f t="shared" ref="N11" si="73">I11/100</f>
        <v>0.0092</v>
      </c>
      <c r="O11" s="165">
        <f t="shared" ref="O11" si="74">J11/100</f>
        <v>0.0072</v>
      </c>
      <c r="P11" s="165">
        <f t="shared" ref="P11" si="75">K11/100</f>
        <v>0.0095</v>
      </c>
      <c r="Q11" s="165">
        <f t="shared" ref="Q11" si="76">L11/100</f>
        <v>0.0101</v>
      </c>
      <c r="R11" s="173"/>
      <c r="S11" s="172"/>
      <c r="T11" s="165"/>
      <c r="U11" s="165"/>
      <c r="V11" s="165"/>
      <c r="W11" s="174"/>
      <c r="X11" s="175">
        <f>ROUND(IF(项目基本情况!B4="出让",SUMPRODUCT(PRODUCT(1+N11:N$40)),SUMPRODUCT(PRODUCT(1+N11:N$39))),4)</f>
        <v>1.6339</v>
      </c>
      <c r="Y11" s="175">
        <f>ROUND(IF(项目基本情况!B4="出让",SUMPRODUCT(PRODUCT(1+O11:O$40)),SUMPRODUCT(PRODUCT(1+O11:O$39))),4)</f>
        <v>1.3588</v>
      </c>
      <c r="Z11" s="175">
        <f t="shared" ref="Z11" si="77">Y11</f>
        <v>1.3588</v>
      </c>
      <c r="AA11" s="175">
        <f>ROUND(IF(项目基本情况!B4="出让",SUMPRODUCT(PRODUCT(1+P11:P$40)),SUMPRODUCT(PRODUCT(1+P11:P$39))),4)</f>
        <v>1.715</v>
      </c>
      <c r="AB11" s="175">
        <f>ROUND(IF(项目基本情况!B4="出让",SUMPRODUCT(PRODUCT(1+Q11:Q$40)),SUMPRODUCT(PRODUCT(1+Q11:Q$39))),4)</f>
        <v>1.446</v>
      </c>
      <c r="AC11" s="174"/>
      <c r="AD11" s="176">
        <f>ROUND(AVERAGE(I11:I$40)/100,4)</f>
        <v>0.0176</v>
      </c>
      <c r="AE11" s="176">
        <f>ROUND(AVERAGE(J11:J$40)/100,4)</f>
        <v>0.0111</v>
      </c>
      <c r="AF11" s="176">
        <f t="shared" ref="AF11" si="78">AE11</f>
        <v>0.0111</v>
      </c>
      <c r="AG11" s="176">
        <f>ROUND(AVERAGE(K11:K$40)/100,4)</f>
        <v>0.0194</v>
      </c>
      <c r="AH11" s="176">
        <f>ROUND(AVERAGE(L11:L$40)/100,4)</f>
        <v>0.0128</v>
      </c>
    </row>
    <row r="12" s="139" customFormat="1" spans="1:34">
      <c r="A12" s="166" t="s">
        <v>3064</v>
      </c>
      <c r="B12" s="167">
        <f t="shared" ref="B12" si="79">B13*(1+N12)</f>
        <v>497.927998510208</v>
      </c>
      <c r="C12" s="167">
        <f t="shared" ref="C12" si="80">C13*(1+O12)</f>
        <v>347.771736635374</v>
      </c>
      <c r="D12" s="167">
        <f t="shared" ref="D12" si="81">C12</f>
        <v>347.771736635374</v>
      </c>
      <c r="E12" s="167">
        <f t="shared" ref="E12" si="82">E13*(1+P12)</f>
        <v>718.446955932582</v>
      </c>
      <c r="F12" s="167">
        <f t="shared" ref="F12" si="83">F13*(1+Q12)</f>
        <v>329.126005801532</v>
      </c>
      <c r="G12" s="168">
        <v>2021</v>
      </c>
      <c r="H12" s="169">
        <v>1</v>
      </c>
      <c r="I12" s="170">
        <v>0.97</v>
      </c>
      <c r="J12" s="170">
        <v>0.16</v>
      </c>
      <c r="K12" s="170">
        <v>1.11</v>
      </c>
      <c r="L12" s="171">
        <v>0.36</v>
      </c>
      <c r="M12" s="144"/>
      <c r="N12" s="172">
        <f t="shared" ref="N12" si="84">I12/100</f>
        <v>0.0097</v>
      </c>
      <c r="O12" s="165">
        <f t="shared" ref="O12" si="85">J12/100</f>
        <v>0.0016</v>
      </c>
      <c r="P12" s="165">
        <f t="shared" ref="P12" si="86">K12/100</f>
        <v>0.0111</v>
      </c>
      <c r="Q12" s="165">
        <f t="shared" ref="Q12" si="87">L12/100</f>
        <v>0.0036</v>
      </c>
      <c r="R12" s="173"/>
      <c r="S12" s="172">
        <f>B12/B13-1</f>
        <v>0.00970000000000004</v>
      </c>
      <c r="T12" s="165">
        <f t="shared" ref="T12" si="88">C12/C13-1</f>
        <v>0.00160000000000005</v>
      </c>
      <c r="U12" s="165">
        <f t="shared" ref="U12" si="89">D12/D13-1</f>
        <v>0.00160000000000005</v>
      </c>
      <c r="V12" s="165">
        <f t="shared" ref="V12" si="90">E12/E13-1</f>
        <v>0.0111000000000001</v>
      </c>
      <c r="W12" s="174"/>
      <c r="X12" s="175">
        <f>ROUND(IF(项目基本情况!B5="出让",SUMPRODUCT(PRODUCT(1+N12:N$40)),SUMPRODUCT(PRODUCT(1+N12:N$39))),4)</f>
        <v>1.619</v>
      </c>
      <c r="Y12" s="175">
        <f>ROUND(IF(项目基本情况!B5="出让",SUMPRODUCT(PRODUCT(1+O12:O$40)),SUMPRODUCT(PRODUCT(1+O12:O$39))),4)</f>
        <v>1.3491</v>
      </c>
      <c r="Z12" s="175">
        <f t="shared" ref="Z12" si="91">Y12</f>
        <v>1.3491</v>
      </c>
      <c r="AA12" s="175">
        <f>ROUND(IF(项目基本情况!B5="出让",SUMPRODUCT(PRODUCT(1+P12:P$40)),SUMPRODUCT(PRODUCT(1+P12:P$39))),4)</f>
        <v>1.6988</v>
      </c>
      <c r="AB12" s="175">
        <f>ROUND(IF(项目基本情况!B5="出让",SUMPRODUCT(PRODUCT(1+Q12:Q$40)),SUMPRODUCT(PRODUCT(1+Q12:Q$39))),4)</f>
        <v>1.4315</v>
      </c>
      <c r="AC12" s="174"/>
      <c r="AD12" s="176">
        <f>ROUND(AVERAGE(I12:I$40)/100,4)</f>
        <v>0.0179</v>
      </c>
      <c r="AE12" s="176">
        <f>ROUND(AVERAGE(J12:J$40)/100,4)</f>
        <v>0.0112</v>
      </c>
      <c r="AF12" s="176">
        <f t="shared" ref="AF12" si="92">AE12</f>
        <v>0.0112</v>
      </c>
      <c r="AG12" s="176">
        <f>ROUND(AVERAGE(K12:K$40)/100,4)</f>
        <v>0.0197</v>
      </c>
      <c r="AH12" s="176">
        <f>ROUND(AVERAGE(L12:L$40)/100,4)</f>
        <v>0.0129</v>
      </c>
    </row>
    <row r="13" s="139" customFormat="1" spans="1:34">
      <c r="A13" s="166" t="s">
        <v>3075</v>
      </c>
      <c r="B13" s="167">
        <f t="shared" ref="B13" si="93">B14*(1+N13)</f>
        <v>493.144496890372</v>
      </c>
      <c r="C13" s="167">
        <f t="shared" ref="C13" si="94">C14*(1+O13)</f>
        <v>347.216190730206</v>
      </c>
      <c r="D13" s="167">
        <f t="shared" ref="D13" si="95">C13</f>
        <v>347.216190730206</v>
      </c>
      <c r="E13" s="167">
        <f t="shared" ref="E13" si="96">E14*(1+P13)</f>
        <v>710.559742787639</v>
      </c>
      <c r="F13" s="167">
        <f t="shared" ref="F13" si="97">F14*(1+Q13)</f>
        <v>327.945402353061</v>
      </c>
      <c r="G13" s="168">
        <v>2020</v>
      </c>
      <c r="H13" s="169">
        <v>4</v>
      </c>
      <c r="I13" s="170">
        <v>2.07</v>
      </c>
      <c r="J13" s="170">
        <v>0.37</v>
      </c>
      <c r="K13" s="170">
        <v>2.35</v>
      </c>
      <c r="L13" s="171">
        <v>2.69</v>
      </c>
      <c r="M13" s="144"/>
      <c r="N13" s="172">
        <f t="shared" ref="N13" si="98">I13/100</f>
        <v>0.0207</v>
      </c>
      <c r="O13" s="165">
        <f t="shared" ref="O13" si="99">J13/100</f>
        <v>0.0037</v>
      </c>
      <c r="P13" s="165">
        <f t="shared" ref="P13" si="100">K13/100</f>
        <v>0.0235</v>
      </c>
      <c r="Q13" s="165">
        <f t="shared" ref="Q13" si="101">L13/100</f>
        <v>0.0269</v>
      </c>
      <c r="R13" s="173"/>
      <c r="S13" s="172"/>
      <c r="T13" s="165"/>
      <c r="U13" s="165"/>
      <c r="V13" s="165"/>
      <c r="W13" s="174"/>
      <c r="X13" s="175">
        <f>ROUND(IF(项目基本情况!B6="出让",SUMPRODUCT(PRODUCT(1+N13:N$40)),SUMPRODUCT(PRODUCT(1+N13:N$39))),4)</f>
        <v>1.6035</v>
      </c>
      <c r="Y13" s="175">
        <f>ROUND(IF(项目基本情况!B6="出让",SUMPRODUCT(PRODUCT(1+O13:O$40)),SUMPRODUCT(PRODUCT(1+O13:O$39))),4)</f>
        <v>1.3469</v>
      </c>
      <c r="Z13" s="175">
        <f t="shared" ref="Z13" si="102">Y13</f>
        <v>1.3469</v>
      </c>
      <c r="AA13" s="175">
        <f>ROUND(IF(项目基本情况!B6="出让",SUMPRODUCT(PRODUCT(1+P13:P$40)),SUMPRODUCT(PRODUCT(1+P13:P$39))),4)</f>
        <v>1.6802</v>
      </c>
      <c r="AB13" s="175">
        <f>ROUND(IF(项目基本情况!B6="出让",SUMPRODUCT(PRODUCT(1+Q13:Q$40)),SUMPRODUCT(PRODUCT(1+Q13:Q$39))),4)</f>
        <v>1.4264</v>
      </c>
      <c r="AC13" s="174"/>
      <c r="AD13" s="176">
        <f>ROUND(AVERAGE(I13:I$40)/100,4)</f>
        <v>0.0182</v>
      </c>
      <c r="AE13" s="176">
        <f>ROUND(AVERAGE(J13:J$40)/100,4)</f>
        <v>0.0116</v>
      </c>
      <c r="AF13" s="176">
        <f t="shared" ref="AF13" si="103">AE13</f>
        <v>0.0116</v>
      </c>
      <c r="AG13" s="176">
        <f>ROUND(AVERAGE(K13:K$40)/100,4)</f>
        <v>0.02</v>
      </c>
      <c r="AH13" s="176">
        <f>ROUND(AVERAGE(L13:L$40)/100,4)</f>
        <v>0.0133</v>
      </c>
    </row>
    <row r="14" s="139" customFormat="1" spans="1:34">
      <c r="A14" s="166" t="s">
        <v>3076</v>
      </c>
      <c r="B14" s="167">
        <f t="shared" ref="B14" si="104">B15*(1+N14)</f>
        <v>483.143427932176</v>
      </c>
      <c r="C14" s="167">
        <f t="shared" ref="C14" si="105">C15*(1+O14)</f>
        <v>345.936226691448</v>
      </c>
      <c r="D14" s="167">
        <f t="shared" ref="D14" si="106">C14</f>
        <v>345.936226691448</v>
      </c>
      <c r="E14" s="167">
        <f t="shared" ref="E14" si="107">E15*(1+P14)</f>
        <v>694.244985625441</v>
      </c>
      <c r="F14" s="167">
        <f t="shared" ref="F14" si="108">F15*(1+Q14)</f>
        <v>319.354759327161</v>
      </c>
      <c r="G14" s="168">
        <v>2020</v>
      </c>
      <c r="H14" s="169">
        <v>3</v>
      </c>
      <c r="I14" s="170">
        <v>0.36</v>
      </c>
      <c r="J14" s="170">
        <v>-0.39</v>
      </c>
      <c r="K14" s="170">
        <v>0.49</v>
      </c>
      <c r="L14" s="171">
        <v>0.07</v>
      </c>
      <c r="M14" s="144"/>
      <c r="N14" s="172">
        <f t="shared" ref="N14" si="109">I14/100</f>
        <v>0.0036</v>
      </c>
      <c r="O14" s="165">
        <f t="shared" ref="O14" si="110">J14/100</f>
        <v>-0.0039</v>
      </c>
      <c r="P14" s="165">
        <f t="shared" ref="P14" si="111">K14/100</f>
        <v>0.0049</v>
      </c>
      <c r="Q14" s="165">
        <f t="shared" ref="Q14" si="112">L14/100</f>
        <v>0.0007</v>
      </c>
      <c r="R14" s="173"/>
      <c r="S14" s="172"/>
      <c r="T14" s="165"/>
      <c r="U14" s="165"/>
      <c r="V14" s="165"/>
      <c r="W14" s="174"/>
      <c r="X14" s="175">
        <f>ROUND(IF(项目基本情况!B7="出让",SUMPRODUCT(PRODUCT(1+N14:N$40)),SUMPRODUCT(PRODUCT(1+N14:N$39))),4)</f>
        <v>1.571</v>
      </c>
      <c r="Y14" s="175">
        <f>ROUND(IF(项目基本情况!B7="出让",SUMPRODUCT(PRODUCT(1+O14:O$40)),SUMPRODUCT(PRODUCT(1+O14:O$39))),4)</f>
        <v>1.342</v>
      </c>
      <c r="Z14" s="175">
        <f t="shared" ref="Z14" si="113">Y14</f>
        <v>1.342</v>
      </c>
      <c r="AA14" s="175">
        <f>ROUND(IF(项目基本情况!B7="出让",SUMPRODUCT(PRODUCT(1+P14:P$40)),SUMPRODUCT(PRODUCT(1+P14:P$39))),4)</f>
        <v>1.6416</v>
      </c>
      <c r="AB14" s="175">
        <f>ROUND(IF(项目基本情况!B7="出让",SUMPRODUCT(PRODUCT(1+Q14:Q$40)),SUMPRODUCT(PRODUCT(1+Q14:Q$39))),4)</f>
        <v>1.389</v>
      </c>
      <c r="AC14" s="174"/>
      <c r="AD14" s="176">
        <f>ROUND(AVERAGE(I14:I$40)/100,4)</f>
        <v>0.0181</v>
      </c>
      <c r="AE14" s="176">
        <f>ROUND(AVERAGE(J14:J$40)/100,4)</f>
        <v>0.0119</v>
      </c>
      <c r="AF14" s="176">
        <f t="shared" ref="AF14" si="114">AE14</f>
        <v>0.0119</v>
      </c>
      <c r="AG14" s="176">
        <f>ROUND(AVERAGE(K14:K$40)/100,4)</f>
        <v>0.0199</v>
      </c>
      <c r="AH14" s="176">
        <f>ROUND(AVERAGE(L14:L$40)/100,4)</f>
        <v>0.0128</v>
      </c>
    </row>
    <row r="15" s="139" customFormat="1" spans="1:34">
      <c r="A15" s="166" t="s">
        <v>3077</v>
      </c>
      <c r="B15" s="167">
        <f t="shared" ref="B15" si="115">B16*(1+N15)</f>
        <v>481.410350669764</v>
      </c>
      <c r="C15" s="167">
        <f t="shared" ref="C15" si="116">C16*(1+O15)</f>
        <v>347.290660266487</v>
      </c>
      <c r="D15" s="167">
        <f t="shared" ref="D15" si="117">C15</f>
        <v>347.290660266487</v>
      </c>
      <c r="E15" s="167">
        <f t="shared" ref="E15" si="118">E16*(1+P15)</f>
        <v>690.85977273902</v>
      </c>
      <c r="F15" s="167">
        <f t="shared" ref="F15" si="119">F16*(1+Q15)</f>
        <v>319.131367370002</v>
      </c>
      <c r="G15" s="168">
        <v>2020</v>
      </c>
      <c r="H15" s="169">
        <v>2</v>
      </c>
      <c r="I15" s="170">
        <v>0.31</v>
      </c>
      <c r="J15" s="170">
        <v>-0.78</v>
      </c>
      <c r="K15" s="170">
        <v>0.5</v>
      </c>
      <c r="L15" s="171">
        <v>0.47</v>
      </c>
      <c r="M15" s="144"/>
      <c r="N15" s="172">
        <f t="shared" ref="N15" si="120">I15/100</f>
        <v>0.0031</v>
      </c>
      <c r="O15" s="165">
        <f t="shared" ref="O15" si="121">J15/100</f>
        <v>-0.0078</v>
      </c>
      <c r="P15" s="165">
        <f t="shared" ref="P15" si="122">K15/100</f>
        <v>0.005</v>
      </c>
      <c r="Q15" s="165">
        <f t="shared" ref="Q15" si="123">L15/100</f>
        <v>0.0047</v>
      </c>
      <c r="R15" s="173"/>
      <c r="S15" s="172"/>
      <c r="T15" s="165"/>
      <c r="U15" s="165"/>
      <c r="V15" s="165"/>
      <c r="W15" s="174"/>
      <c r="X15" s="175">
        <f>ROUND(IF(项目基本情况!B8="出让",SUMPRODUCT(PRODUCT(1+N15:N$40)),SUMPRODUCT(PRODUCT(1+N15:N$39))),4)</f>
        <v>1.5653</v>
      </c>
      <c r="Y15" s="175">
        <f>ROUND(IF(项目基本情况!B8="出让",SUMPRODUCT(PRODUCT(1+O15:O$40)),SUMPRODUCT(PRODUCT(1+O15:O$39))),4)</f>
        <v>1.3472</v>
      </c>
      <c r="Z15" s="175">
        <f t="shared" ref="Z15" si="124">Y15</f>
        <v>1.3472</v>
      </c>
      <c r="AA15" s="175">
        <f>ROUND(IF(项目基本情况!B8="出让",SUMPRODUCT(PRODUCT(1+P15:P$40)),SUMPRODUCT(PRODUCT(1+P15:P$39))),4)</f>
        <v>1.6336</v>
      </c>
      <c r="AB15" s="175">
        <f>ROUND(IF(项目基本情况!B8="出让",SUMPRODUCT(PRODUCT(1+Q15:Q$40)),SUMPRODUCT(PRODUCT(1+Q15:Q$39))),4)</f>
        <v>1.3881</v>
      </c>
      <c r="AC15" s="174"/>
      <c r="AD15" s="176">
        <f>ROUND(AVERAGE(I15:I$40)/100,4)</f>
        <v>0.0186</v>
      </c>
      <c r="AE15" s="176">
        <f>ROUND(AVERAGE(J15:J$40)/100,4)</f>
        <v>0.0125</v>
      </c>
      <c r="AF15" s="176">
        <f t="shared" ref="AF15" si="125">AE15</f>
        <v>0.0125</v>
      </c>
      <c r="AG15" s="176">
        <f>ROUND(AVERAGE(K15:K$40)/100,4)</f>
        <v>0.0204</v>
      </c>
      <c r="AH15" s="176">
        <f>ROUND(AVERAGE(L15:L$40)/100,4)</f>
        <v>0.0132</v>
      </c>
    </row>
    <row r="16" s="139" customFormat="1" spans="1:34">
      <c r="A16" s="166" t="s">
        <v>3078</v>
      </c>
      <c r="B16" s="167">
        <f t="shared" ref="B16" si="126">B17*(1+N16)</f>
        <v>479.922590638784</v>
      </c>
      <c r="C16" s="167">
        <f t="shared" ref="C16" si="127">C17*(1+O16)</f>
        <v>350.020822683418</v>
      </c>
      <c r="D16" s="167">
        <f t="shared" ref="D16" si="128">C16</f>
        <v>350.020822683418</v>
      </c>
      <c r="E16" s="167">
        <f t="shared" ref="E16" si="129">E17*(1+P16)</f>
        <v>687.422659441811</v>
      </c>
      <c r="F16" s="167">
        <f t="shared" ref="F16" si="130">F17*(1+Q16)</f>
        <v>317.63846657709</v>
      </c>
      <c r="G16" s="168">
        <v>2020</v>
      </c>
      <c r="H16" s="169">
        <v>1</v>
      </c>
      <c r="I16" s="170">
        <v>0.12</v>
      </c>
      <c r="J16" s="170">
        <v>-0.4</v>
      </c>
      <c r="K16" s="170">
        <v>0.21</v>
      </c>
      <c r="L16" s="171">
        <v>0.27</v>
      </c>
      <c r="M16" s="144"/>
      <c r="N16" s="172">
        <f t="shared" ref="N16" si="131">I16/100</f>
        <v>0.0012</v>
      </c>
      <c r="O16" s="165">
        <f t="shared" ref="O16" si="132">J16/100</f>
        <v>-0.004</v>
      </c>
      <c r="P16" s="165">
        <f t="shared" ref="P16" si="133">K16/100</f>
        <v>0.0021</v>
      </c>
      <c r="Q16" s="165">
        <f t="shared" ref="Q16" si="134">L16/100</f>
        <v>0.0027</v>
      </c>
      <c r="R16" s="173"/>
      <c r="S16" s="172">
        <f>B16/B17-1</f>
        <v>0.00120000000000009</v>
      </c>
      <c r="T16" s="165">
        <f t="shared" ref="T16" si="135">C16/C17-1</f>
        <v>-0.004</v>
      </c>
      <c r="U16" s="165">
        <f t="shared" ref="U16" si="136">D16/D17-1</f>
        <v>-0.004</v>
      </c>
      <c r="V16" s="165">
        <f t="shared" ref="V16" si="137">E16/E17-1</f>
        <v>0.00209999999999999</v>
      </c>
      <c r="W16" s="174"/>
      <c r="X16" s="175">
        <f>ROUND(IF(项目基本情况!B8="出让",SUMPRODUCT(PRODUCT(1+N16:N$40)),SUMPRODUCT(PRODUCT(1+N16:N$39))),4)</f>
        <v>1.5605</v>
      </c>
      <c r="Y16" s="175">
        <f>ROUND(IF(项目基本情况!B8="出让",SUMPRODUCT(PRODUCT(1+O16:O$40)),SUMPRODUCT(PRODUCT(1+O16:O$39))),4)</f>
        <v>1.3578</v>
      </c>
      <c r="Z16" s="175">
        <f t="shared" ref="Z16" si="138">Y16</f>
        <v>1.3578</v>
      </c>
      <c r="AA16" s="175">
        <f>ROUND(IF(项目基本情况!B8="出让",SUMPRODUCT(PRODUCT(1+P16:P$40)),SUMPRODUCT(PRODUCT(1+P16:P$39))),4)</f>
        <v>1.6255</v>
      </c>
      <c r="AB16" s="175">
        <f>ROUND(IF(项目基本情况!B8="出让",SUMPRODUCT(PRODUCT(1+Q16:Q$40)),SUMPRODUCT(PRODUCT(1+Q16:Q$39))),4)</f>
        <v>1.3816</v>
      </c>
      <c r="AC16" s="174"/>
      <c r="AD16" s="176">
        <f>ROUND(AVERAGE(I16:I$40)/100,4)</f>
        <v>0.0192</v>
      </c>
      <c r="AE16" s="176">
        <f>ROUND(AVERAGE(J16:J$40)/100,4)</f>
        <v>0.0133</v>
      </c>
      <c r="AF16" s="176">
        <f t="shared" ref="AF16" si="139">AE16</f>
        <v>0.0133</v>
      </c>
      <c r="AG16" s="176">
        <f>ROUND(AVERAGE(K16:K$40)/100,4)</f>
        <v>0.0211</v>
      </c>
      <c r="AH16" s="176">
        <f>ROUND(AVERAGE(L16:L$40)/100,4)</f>
        <v>0.0136</v>
      </c>
    </row>
    <row r="17" s="139" customFormat="1" spans="1:34">
      <c r="A17" s="166" t="s">
        <v>3079</v>
      </c>
      <c r="B17" s="167">
        <f t="shared" ref="B17" si="140">B18*(1+N17)</f>
        <v>479.347373790236</v>
      </c>
      <c r="C17" s="167">
        <f t="shared" ref="C17" si="141">C18*(1+O17)</f>
        <v>351.426528798612</v>
      </c>
      <c r="D17" s="167">
        <f t="shared" ref="D17" si="142">C17</f>
        <v>351.426528798612</v>
      </c>
      <c r="E17" s="167">
        <f t="shared" ref="E17" si="143">E18*(1+P17)</f>
        <v>685.982097038031</v>
      </c>
      <c r="F17" s="167">
        <f t="shared" ref="F17" si="144">F18*(1+Q17)</f>
        <v>316.78315206651</v>
      </c>
      <c r="G17" s="168">
        <v>2019</v>
      </c>
      <c r="H17" s="169">
        <v>4</v>
      </c>
      <c r="I17" s="186">
        <v>0.45</v>
      </c>
      <c r="J17" s="186">
        <v>-0.12</v>
      </c>
      <c r="K17" s="186">
        <v>0.54</v>
      </c>
      <c r="L17" s="187">
        <v>0.48</v>
      </c>
      <c r="M17" s="144"/>
      <c r="N17" s="172">
        <f t="shared" ref="N17:N22" si="145">I17/100</f>
        <v>0.0045</v>
      </c>
      <c r="O17" s="165">
        <f t="shared" ref="O17" si="146">J17/100</f>
        <v>-0.0012</v>
      </c>
      <c r="P17" s="165">
        <f t="shared" ref="P17" si="147">K17/100</f>
        <v>0.0054</v>
      </c>
      <c r="Q17" s="165">
        <f t="shared" ref="Q17" si="148">L17/100</f>
        <v>0.0048</v>
      </c>
      <c r="R17" s="173"/>
      <c r="S17" s="172"/>
      <c r="T17" s="165"/>
      <c r="U17" s="165"/>
      <c r="V17" s="165"/>
      <c r="W17" s="174"/>
      <c r="X17" s="175">
        <f>ROUND(IF(项目基本情况!B8="出让",SUMPRODUCT(PRODUCT(1+N17:N$40)),SUMPRODUCT(PRODUCT(1+N17:N$39))),4)</f>
        <v>1.5586</v>
      </c>
      <c r="Y17" s="175">
        <f>ROUND(IF(项目基本情况!B8="出让",SUMPRODUCT(PRODUCT(1+O17:O$40)),SUMPRODUCT(PRODUCT(1+O17:O$39))),4)</f>
        <v>1.3633</v>
      </c>
      <c r="Z17" s="175">
        <f t="shared" ref="Z17" si="149">Y17</f>
        <v>1.3633</v>
      </c>
      <c r="AA17" s="175">
        <f>ROUND(IF(项目基本情况!B8="出让",SUMPRODUCT(PRODUCT(1+P17:P$40)),SUMPRODUCT(PRODUCT(1+P17:P$39))),4)</f>
        <v>1.6221</v>
      </c>
      <c r="AB17" s="175">
        <f>ROUND(IF(项目基本情况!B8="出让",SUMPRODUCT(PRODUCT(1+Q17:Q$40)),SUMPRODUCT(PRODUCT(1+Q17:Q$39))),4)</f>
        <v>1.3778</v>
      </c>
      <c r="AC17" s="174"/>
      <c r="AD17" s="176">
        <f>ROUND(AVERAGE(I17:I$40)/100,4)</f>
        <v>0.02</v>
      </c>
      <c r="AE17" s="176">
        <f>ROUND(AVERAGE(J17:J$40)/100,4)</f>
        <v>0.014</v>
      </c>
      <c r="AF17" s="176">
        <f t="shared" ref="AF17" si="150">AE17</f>
        <v>0.014</v>
      </c>
      <c r="AG17" s="176">
        <f>ROUND(AVERAGE(K17:K$40)/100,4)</f>
        <v>0.0219</v>
      </c>
      <c r="AH17" s="176">
        <f>ROUND(AVERAGE(L17:L$40)/100,4)</f>
        <v>0.014</v>
      </c>
    </row>
    <row r="18" s="139" customFormat="1" ht="13.5" spans="1:34">
      <c r="A18" s="166" t="s">
        <v>3080</v>
      </c>
      <c r="B18" s="167">
        <f t="shared" ref="B18" si="151">B19*(1+N18)</f>
        <v>477.199973907651</v>
      </c>
      <c r="C18" s="167">
        <f t="shared" ref="C18" si="152">C19*(1+O18)</f>
        <v>351.848747295367</v>
      </c>
      <c r="D18" s="167">
        <f t="shared" ref="D18" si="153">C18</f>
        <v>351.848747295367</v>
      </c>
      <c r="E18" s="167">
        <f t="shared" ref="E18" si="154">E19*(1+P18)</f>
        <v>682.297689514652</v>
      </c>
      <c r="F18" s="167">
        <f t="shared" ref="F18" si="155">F19*(1+Q18)</f>
        <v>315.26985675409</v>
      </c>
      <c r="G18" s="168">
        <v>2019</v>
      </c>
      <c r="H18" s="169">
        <v>3</v>
      </c>
      <c r="I18" s="186">
        <v>0.61</v>
      </c>
      <c r="J18" s="186">
        <v>0.67</v>
      </c>
      <c r="K18" s="186">
        <v>0.6</v>
      </c>
      <c r="L18" s="187">
        <v>1.03</v>
      </c>
      <c r="M18" s="144"/>
      <c r="N18" s="172">
        <f t="shared" si="145"/>
        <v>0.0061</v>
      </c>
      <c r="O18" s="165">
        <f t="shared" ref="O18" si="156">J18/100</f>
        <v>0.0067</v>
      </c>
      <c r="P18" s="165">
        <f t="shared" ref="P18" si="157">K18/100</f>
        <v>0.006</v>
      </c>
      <c r="Q18" s="165">
        <f t="shared" ref="Q18" si="158">L18/100</f>
        <v>0.0103</v>
      </c>
      <c r="R18" s="173"/>
      <c r="S18" s="172"/>
      <c r="T18" s="165"/>
      <c r="U18" s="165"/>
      <c r="V18" s="165"/>
      <c r="W18" s="174"/>
      <c r="X18" s="175">
        <f>ROUND(IF(项目基本情况!B8="出让",SUMPRODUCT(PRODUCT(1+N18:N$40)),SUMPRODUCT(PRODUCT(1+N18:N$39))),4)</f>
        <v>1.5516</v>
      </c>
      <c r="Y18" s="175">
        <f>ROUND(IF(项目基本情况!B8="出让",SUMPRODUCT(PRODUCT(1+O18:O$40)),SUMPRODUCT(PRODUCT(1+O18:O$39))),4)</f>
        <v>1.3649</v>
      </c>
      <c r="Z18" s="175">
        <f t="shared" ref="Z18" si="159">Y18</f>
        <v>1.3649</v>
      </c>
      <c r="AA18" s="175">
        <f>ROUND(IF(项目基本情况!B8="出让",SUMPRODUCT(PRODUCT(1+P18:P$40)),SUMPRODUCT(PRODUCT(1+P18:P$39))),4)</f>
        <v>1.6134</v>
      </c>
      <c r="AB18" s="175">
        <f>ROUND(IF(项目基本情况!B8="出让",SUMPRODUCT(PRODUCT(1+Q18:Q$40)),SUMPRODUCT(PRODUCT(1+Q18:Q$39))),4)</f>
        <v>1.3713</v>
      </c>
      <c r="AC18" s="174"/>
      <c r="AD18" s="176">
        <f>ROUND(AVERAGE(I18:I$40)/100,4)</f>
        <v>0.0207</v>
      </c>
      <c r="AE18" s="176">
        <f>ROUND(AVERAGE(J18:J$40)/100,4)</f>
        <v>0.0147</v>
      </c>
      <c r="AF18" s="176">
        <f t="shared" ref="AF18" si="160">AE18</f>
        <v>0.0147</v>
      </c>
      <c r="AG18" s="176">
        <f>ROUND(AVERAGE(K18:K$40)/100,4)</f>
        <v>0.0226</v>
      </c>
      <c r="AH18" s="176">
        <f>ROUND(AVERAGE(L18:L$40)/100,4)</f>
        <v>0.0144</v>
      </c>
    </row>
    <row r="19" s="139" customFormat="1" spans="1:34">
      <c r="A19" s="166" t="s">
        <v>3081</v>
      </c>
      <c r="B19" s="167">
        <f t="shared" ref="B19" si="161">B20*(1+N19)</f>
        <v>474.306703019234</v>
      </c>
      <c r="C19" s="167">
        <f t="shared" ref="C19" si="162">C20*(1+O19)</f>
        <v>349.507050059965</v>
      </c>
      <c r="D19" s="167">
        <f t="shared" ref="D19" si="163">C19</f>
        <v>349.507050059965</v>
      </c>
      <c r="E19" s="167">
        <f t="shared" ref="E19" si="164">E20*(1+P19)</f>
        <v>678.22831959707</v>
      </c>
      <c r="F19" s="167">
        <f t="shared" ref="F19" si="165">F20*(1+Q19)</f>
        <v>312.055683216956</v>
      </c>
      <c r="G19" s="168">
        <v>2019</v>
      </c>
      <c r="H19" s="188">
        <v>2</v>
      </c>
      <c r="I19" s="189">
        <v>1.53</v>
      </c>
      <c r="J19" s="189">
        <v>1.01</v>
      </c>
      <c r="K19" s="189">
        <v>1.62</v>
      </c>
      <c r="L19" s="190">
        <v>1.25</v>
      </c>
      <c r="M19" s="144"/>
      <c r="N19" s="172">
        <f t="shared" si="145"/>
        <v>0.0153</v>
      </c>
      <c r="O19" s="165">
        <f t="shared" ref="O19" si="166">J19/100</f>
        <v>0.0101</v>
      </c>
      <c r="P19" s="165">
        <f t="shared" ref="P19" si="167">K19/100</f>
        <v>0.0162</v>
      </c>
      <c r="Q19" s="165">
        <f t="shared" ref="Q19" si="168">L19/100</f>
        <v>0.0125</v>
      </c>
      <c r="R19" s="173"/>
      <c r="S19" s="172"/>
      <c r="T19" s="165"/>
      <c r="U19" s="165"/>
      <c r="V19" s="165"/>
      <c r="W19" s="174"/>
      <c r="X19" s="175">
        <f>ROUND(IF(项目基本情况!B8="出让",SUMPRODUCT(PRODUCT(1+N19:N$40)),SUMPRODUCT(PRODUCT(1+N19:N$39))),4)</f>
        <v>1.5422</v>
      </c>
      <c r="Y19" s="175">
        <f>ROUND(IF(项目基本情况!B8="出让",SUMPRODUCT(PRODUCT(1+O19:O$40)),SUMPRODUCT(PRODUCT(1+O19:O$39))),4)</f>
        <v>1.3558</v>
      </c>
      <c r="Z19" s="175">
        <f t="shared" ref="Z19" si="169">Y19</f>
        <v>1.3558</v>
      </c>
      <c r="AA19" s="175">
        <f>ROUND(IF(项目基本情况!B8="出让",SUMPRODUCT(PRODUCT(1+P19:P$40)),SUMPRODUCT(PRODUCT(1+P19:P$39))),4)</f>
        <v>1.6037</v>
      </c>
      <c r="AB19" s="175">
        <f>ROUND(IF(项目基本情况!B8="出让",SUMPRODUCT(PRODUCT(1+Q19:Q$40)),SUMPRODUCT(PRODUCT(1+Q19:Q$39))),4)</f>
        <v>1.3573</v>
      </c>
      <c r="AC19" s="174"/>
      <c r="AD19" s="176">
        <f>ROUND(AVERAGE(I19:I$40)/100,4)</f>
        <v>0.0213</v>
      </c>
      <c r="AE19" s="176">
        <f>ROUND(AVERAGE(J19:J$40)/100,4)</f>
        <v>0.015</v>
      </c>
      <c r="AF19" s="176">
        <f t="shared" ref="AF19" si="170">AE19</f>
        <v>0.015</v>
      </c>
      <c r="AG19" s="176">
        <f>ROUND(AVERAGE(K19:K$40)/100,4)</f>
        <v>0.0233</v>
      </c>
      <c r="AH19" s="176">
        <f>ROUND(AVERAGE(L19:L$40)/100,4)</f>
        <v>0.0146</v>
      </c>
    </row>
    <row r="20" s="139" customFormat="1" ht="13.5" spans="1:34">
      <c r="A20" s="166" t="s">
        <v>3082</v>
      </c>
      <c r="B20" s="167">
        <f t="shared" ref="B20" si="171">B21*(1+N20)</f>
        <v>467.159167752619</v>
      </c>
      <c r="C20" s="167">
        <f t="shared" ref="C20" si="172">C21*(1+O20)</f>
        <v>346.012325571691</v>
      </c>
      <c r="D20" s="167">
        <f t="shared" ref="D20" si="173">C20</f>
        <v>346.012325571691</v>
      </c>
      <c r="E20" s="167">
        <f t="shared" ref="E20" si="174">E21*(1+P20)</f>
        <v>667.416177521226</v>
      </c>
      <c r="F20" s="167">
        <f t="shared" ref="F20" si="175">F21*(1+Q20)</f>
        <v>308.203143917981</v>
      </c>
      <c r="G20" s="168">
        <v>2019</v>
      </c>
      <c r="H20" s="169">
        <v>1</v>
      </c>
      <c r="I20" s="186">
        <v>0.6</v>
      </c>
      <c r="J20" s="186">
        <v>0.37</v>
      </c>
      <c r="K20" s="186">
        <v>0.63</v>
      </c>
      <c r="L20" s="187">
        <v>1.13</v>
      </c>
      <c r="M20" s="144"/>
      <c r="N20" s="172">
        <f t="shared" si="145"/>
        <v>0.006</v>
      </c>
      <c r="O20" s="165">
        <f t="shared" ref="O20" si="176">J20/100</f>
        <v>0.0037</v>
      </c>
      <c r="P20" s="165">
        <f t="shared" ref="P20" si="177">K20/100</f>
        <v>0.0063</v>
      </c>
      <c r="Q20" s="165">
        <f t="shared" ref="Q20" si="178">L20/100</f>
        <v>0.0113</v>
      </c>
      <c r="R20" s="173"/>
      <c r="S20" s="172">
        <f>B20/B21-1</f>
        <v>0.00600000000000001</v>
      </c>
      <c r="T20" s="165">
        <f t="shared" ref="T20" si="179">C20/C21-1</f>
        <v>0.00370000000000004</v>
      </c>
      <c r="U20" s="165">
        <f t="shared" ref="U20" si="180">D20/D21-1</f>
        <v>0.00370000000000004</v>
      </c>
      <c r="V20" s="165">
        <f t="shared" ref="V20" si="181">E20/E21-1</f>
        <v>0.00629999999999997</v>
      </c>
      <c r="W20" s="174"/>
      <c r="X20" s="175">
        <f>ROUND(IF(项目基本情况!B8="出让",SUMPRODUCT(PRODUCT(1+N20:N$40)),SUMPRODUCT(PRODUCT(1+N20:N$39))),4)</f>
        <v>1.519</v>
      </c>
      <c r="Y20" s="175">
        <f>ROUND(IF(项目基本情况!B8="出让",SUMPRODUCT(PRODUCT(1+O20:O$40)),SUMPRODUCT(PRODUCT(1+O20:O$39))),4)</f>
        <v>1.3423</v>
      </c>
      <c r="Z20" s="175">
        <f t="shared" ref="Z20" si="182">Y20</f>
        <v>1.3423</v>
      </c>
      <c r="AA20" s="175">
        <f>ROUND(IF(项目基本情况!B8="出让",SUMPRODUCT(PRODUCT(1+P20:P$40)),SUMPRODUCT(PRODUCT(1+P20:P$39))),4)</f>
        <v>1.5782</v>
      </c>
      <c r="AB20" s="175">
        <f>ROUND(IF(项目基本情况!B8="出让",SUMPRODUCT(PRODUCT(1+Q20:Q$40)),SUMPRODUCT(PRODUCT(1+Q20:Q$39))),4)</f>
        <v>1.3405</v>
      </c>
      <c r="AC20" s="174"/>
      <c r="AD20" s="176">
        <f>ROUND(AVERAGE(I20:I$40)/100,4)</f>
        <v>0.0216</v>
      </c>
      <c r="AE20" s="176">
        <f>ROUND(AVERAGE(J20:J$40)/100,4)</f>
        <v>0.0153</v>
      </c>
      <c r="AF20" s="176">
        <f t="shared" ref="AF20" si="183">AE20</f>
        <v>0.0153</v>
      </c>
      <c r="AG20" s="176">
        <f>ROUND(AVERAGE(K20:K$40)/100,4)</f>
        <v>0.0237</v>
      </c>
      <c r="AH20" s="176">
        <f>ROUND(AVERAGE(L20:L$40)/100,4)</f>
        <v>0.0147</v>
      </c>
    </row>
    <row r="21" s="139" customFormat="1" spans="1:34">
      <c r="A21" s="166" t="s">
        <v>3083</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68">
        <v>2018</v>
      </c>
      <c r="H21" s="188">
        <v>4</v>
      </c>
      <c r="I21" s="189">
        <v>0.96</v>
      </c>
      <c r="J21" s="189">
        <v>1.03</v>
      </c>
      <c r="K21" s="189">
        <v>0.92</v>
      </c>
      <c r="L21" s="190">
        <v>1.29</v>
      </c>
      <c r="M21" s="144"/>
      <c r="N21" s="172">
        <f t="shared" si="145"/>
        <v>0.0096</v>
      </c>
      <c r="O21" s="165">
        <f t="shared" ref="O21" si="189">J21/100</f>
        <v>0.0103</v>
      </c>
      <c r="P21" s="165">
        <f t="shared" ref="P21" si="190">K21/100</f>
        <v>0.0092</v>
      </c>
      <c r="Q21" s="165">
        <f t="shared" ref="Q21" si="191">L21/100</f>
        <v>0.0129</v>
      </c>
      <c r="R21" s="173"/>
      <c r="S21" s="172"/>
      <c r="T21" s="165"/>
      <c r="U21" s="165"/>
      <c r="V21" s="165"/>
      <c r="W21" s="174"/>
      <c r="X21" s="175">
        <f>ROUND(SUMPRODUCT(PRODUCT(1+N21:N$39)),4)</f>
        <v>1.5099</v>
      </c>
      <c r="Y21" s="175">
        <f>ROUND(SUMPRODUCT(PRODUCT(1+O21:O$39)),4)</f>
        <v>1.3373</v>
      </c>
      <c r="Z21" s="175">
        <f t="shared" ref="Z21" si="192">Y21</f>
        <v>1.3373</v>
      </c>
      <c r="AA21" s="175">
        <f>ROUND(SUMPRODUCT(PRODUCT(1+P21:P$39)),4)</f>
        <v>1.5683</v>
      </c>
      <c r="AB21" s="175">
        <f>ROUND(SUMPRODUCT(PRODUCT(1+Q21:Q$39)),4)</f>
        <v>1.3256</v>
      </c>
      <c r="AC21" s="174"/>
      <c r="AD21" s="176">
        <f>ROUND(AVERAGE(I21:I$40)/100,4)</f>
        <v>0.0224</v>
      </c>
      <c r="AE21" s="176">
        <f>ROUND(AVERAGE(J21:J$40)/100,4)</f>
        <v>0.0158</v>
      </c>
      <c r="AF21" s="176">
        <f t="shared" ref="AF21" si="193">AE21</f>
        <v>0.0158</v>
      </c>
      <c r="AG21" s="176">
        <f>ROUND(AVERAGE(K21:K$40)/100,4)</f>
        <v>0.0245</v>
      </c>
      <c r="AH21" s="176">
        <f>ROUND(AVERAGE(L21:L$40)/100,4)</f>
        <v>0.0149</v>
      </c>
    </row>
    <row r="22" s="139" customFormat="1" ht="14.45" customHeight="1" spans="1:34">
      <c r="A22" s="166" t="s">
        <v>3084</v>
      </c>
      <c r="B22" s="167">
        <f t="shared" ref="B22" si="194">B23*(1+N22)</f>
        <v>459.95733971037</v>
      </c>
      <c r="C22" s="167">
        <f t="shared" ref="C22" si="195">C23*(1+O22)</f>
        <v>341.222210644224</v>
      </c>
      <c r="D22" s="167">
        <f t="shared" ref="D22" si="196">C22</f>
        <v>341.222210644224</v>
      </c>
      <c r="E22" s="167">
        <f t="shared" ref="E22" si="197">E23*(1+P22)</f>
        <v>657.191616637248</v>
      </c>
      <c r="F22" s="167">
        <f t="shared" ref="F22" si="198">F23*(1+Q22)</f>
        <v>300.878036444648</v>
      </c>
      <c r="G22" s="168"/>
      <c r="H22" s="169">
        <v>3</v>
      </c>
      <c r="I22" s="186">
        <v>1.51</v>
      </c>
      <c r="J22" s="186">
        <v>1.41</v>
      </c>
      <c r="K22" s="186">
        <v>1.52</v>
      </c>
      <c r="L22" s="187">
        <v>1.74</v>
      </c>
      <c r="M22" s="144"/>
      <c r="N22" s="172">
        <f t="shared" si="145"/>
        <v>0.0151</v>
      </c>
      <c r="O22" s="165">
        <f t="shared" ref="O22" si="199">J22/100</f>
        <v>0.0141</v>
      </c>
      <c r="P22" s="165">
        <f t="shared" ref="P22" si="200">K22/100</f>
        <v>0.0152</v>
      </c>
      <c r="Q22" s="165">
        <f t="shared" ref="Q22" si="201">L22/100</f>
        <v>0.0174</v>
      </c>
      <c r="R22" s="173"/>
      <c r="S22" s="172"/>
      <c r="T22" s="165"/>
      <c r="U22" s="165"/>
      <c r="V22" s="165"/>
      <c r="W22" s="174"/>
      <c r="X22" s="175">
        <f>ROUND(SUMPRODUCT(PRODUCT(1+N22:N$39)),4)</f>
        <v>1.4956</v>
      </c>
      <c r="Y22" s="175">
        <f>ROUND(SUMPRODUCT(PRODUCT(1+O22:O$39)),4)</f>
        <v>1.3237</v>
      </c>
      <c r="Z22" s="175">
        <f t="shared" ref="Z22" si="202">Y22</f>
        <v>1.3237</v>
      </c>
      <c r="AA22" s="175">
        <f>ROUND(SUMPRODUCT(PRODUCT(1+P22:P$39)),4)</f>
        <v>1.554</v>
      </c>
      <c r="AB22" s="175">
        <f>ROUND(SUMPRODUCT(PRODUCT(1+Q22:Q$39)),4)</f>
        <v>1.3087</v>
      </c>
      <c r="AC22" s="174"/>
      <c r="AD22" s="176">
        <f>ROUND(AVERAGE(I22:I$40)/100,4)</f>
        <v>0.0231</v>
      </c>
      <c r="AE22" s="176">
        <f>ROUND(AVERAGE(J22:J$40)/100,4)</f>
        <v>0.0161</v>
      </c>
      <c r="AF22" s="176">
        <f t="shared" ref="AF22" si="203">AE22</f>
        <v>0.0161</v>
      </c>
      <c r="AG22" s="176">
        <f>ROUND(AVERAGE(K22:K$40)/100,4)</f>
        <v>0.0253</v>
      </c>
      <c r="AH22" s="176">
        <f>ROUND(AVERAGE(L22:L$40)/100,4)</f>
        <v>0.015</v>
      </c>
    </row>
    <row r="23" s="139" customFormat="1" ht="14.45" customHeight="1" spans="1:34">
      <c r="A23" s="166" t="s">
        <v>3085</v>
      </c>
      <c r="B23" s="167">
        <f t="shared" ref="B23" si="204">B24*(1+N23)</f>
        <v>453.1152987</v>
      </c>
      <c r="C23" s="167">
        <f t="shared" ref="C23" si="205">C24*(1+O23)</f>
        <v>336.47787264</v>
      </c>
      <c r="D23" s="167">
        <f t="shared" ref="D23" si="206">C23</f>
        <v>336.47787264</v>
      </c>
      <c r="E23" s="167">
        <f t="shared" ref="E23" si="207">E24*(1+P23)</f>
        <v>647.35186824</v>
      </c>
      <c r="F23" s="167">
        <f t="shared" ref="F23" si="208">F24*(1+Q23)</f>
        <v>295.73229452</v>
      </c>
      <c r="G23" s="168"/>
      <c r="H23" s="193">
        <v>2</v>
      </c>
      <c r="I23" s="194">
        <v>1.49</v>
      </c>
      <c r="J23" s="194">
        <v>0.96</v>
      </c>
      <c r="K23" s="194">
        <v>1.58</v>
      </c>
      <c r="L23" s="195">
        <v>2.44</v>
      </c>
      <c r="M23" s="144"/>
      <c r="N23" s="172">
        <f t="shared" ref="N23" si="209">I23/100</f>
        <v>0.0149</v>
      </c>
      <c r="O23" s="165">
        <f t="shared" ref="O23" si="210">J23/100</f>
        <v>0.0096</v>
      </c>
      <c r="P23" s="165">
        <f t="shared" ref="P23" si="211">K23/100</f>
        <v>0.0158</v>
      </c>
      <c r="Q23" s="165">
        <f t="shared" ref="Q23" si="212">L23/100</f>
        <v>0.0244</v>
      </c>
      <c r="R23" s="173"/>
      <c r="S23" s="172"/>
      <c r="T23" s="165"/>
      <c r="U23" s="165"/>
      <c r="V23" s="165"/>
      <c r="W23" s="174"/>
      <c r="X23" s="175">
        <f>ROUND(SUMPRODUCT(PRODUCT(1+N23:N$39)),4)</f>
        <v>1.4733</v>
      </c>
      <c r="Y23" s="175">
        <f>ROUND(SUMPRODUCT(PRODUCT(1+O23:O$39)),4)</f>
        <v>1.3053</v>
      </c>
      <c r="Z23" s="175">
        <f t="shared" ref="Z23" si="213">Y23</f>
        <v>1.3053</v>
      </c>
      <c r="AA23" s="175">
        <f>ROUND(SUMPRODUCT(PRODUCT(1+P23:P$39)),4)</f>
        <v>1.5307</v>
      </c>
      <c r="AB23" s="175">
        <f>ROUND(SUMPRODUCT(PRODUCT(1+Q23:Q$39)),4)</f>
        <v>1.2863</v>
      </c>
      <c r="AC23" s="174"/>
      <c r="AD23" s="176">
        <f>ROUND(AVERAGE(I23:I$40)/100,4)</f>
        <v>0.0235</v>
      </c>
      <c r="AE23" s="176">
        <f>ROUND(AVERAGE(J23:J$40)/100,4)</f>
        <v>0.0162</v>
      </c>
      <c r="AF23" s="176">
        <f t="shared" ref="AF23" si="214">AE23</f>
        <v>0.0162</v>
      </c>
      <c r="AG23" s="176">
        <f>ROUND(AVERAGE(K23:K$40)/100,4)</f>
        <v>0.0259</v>
      </c>
      <c r="AH23" s="176">
        <f>ROUND(AVERAGE(L23:L$40)/100,4)</f>
        <v>0.0149</v>
      </c>
    </row>
    <row r="24" s="139" customFormat="1" ht="15" customHeight="1" spans="1:34">
      <c r="A24" s="166" t="s">
        <v>3086</v>
      </c>
      <c r="B24" s="167">
        <f t="shared" ref="B24" si="215">B25*(1+N24)</f>
        <v>446.463</v>
      </c>
      <c r="C24" s="167">
        <f t="shared" ref="C24" si="216">C25*(1+O24)</f>
        <v>333.2784</v>
      </c>
      <c r="D24" s="167">
        <f t="shared" ref="D24:D25" si="217">C24</f>
        <v>333.2784</v>
      </c>
      <c r="E24" s="167">
        <f t="shared" ref="E24" si="218">E25*(1+P24)</f>
        <v>637.2828</v>
      </c>
      <c r="F24" s="167">
        <f t="shared" ref="F24" si="219">F25*(1+Q24)</f>
        <v>288.6883</v>
      </c>
      <c r="G24" s="196"/>
      <c r="H24" s="169">
        <v>1</v>
      </c>
      <c r="I24" s="186">
        <v>1.7</v>
      </c>
      <c r="J24" s="186">
        <v>1.92</v>
      </c>
      <c r="K24" s="186">
        <v>1.64</v>
      </c>
      <c r="L24" s="187">
        <v>2.01</v>
      </c>
      <c r="M24" s="144"/>
      <c r="N24" s="172">
        <f t="shared" ref="N24:N29" si="220">I24/100</f>
        <v>0.017</v>
      </c>
      <c r="O24" s="165">
        <f t="shared" ref="O24" si="221">J24/100</f>
        <v>0.0192</v>
      </c>
      <c r="P24" s="165">
        <f t="shared" ref="P24" si="222">K24/100</f>
        <v>0.0164</v>
      </c>
      <c r="Q24" s="165">
        <f t="shared" ref="Q24" si="223">L24/100</f>
        <v>0.0201</v>
      </c>
      <c r="R24" s="173"/>
      <c r="S24" s="172">
        <f>B24/B25-1</f>
        <v>0.0169999999999999</v>
      </c>
      <c r="T24" s="165">
        <f t="shared" ref="T24" si="224">C24/C25-1</f>
        <v>0.0192000000000001</v>
      </c>
      <c r="U24" s="165">
        <f t="shared" ref="U24" si="225">D24/D25-1</f>
        <v>0.0192000000000001</v>
      </c>
      <c r="V24" s="165">
        <f t="shared" ref="V24" si="226">E24/E25-1</f>
        <v>0.0164</v>
      </c>
      <c r="W24" s="174"/>
      <c r="X24" s="175">
        <f>ROUND(SUMPRODUCT(PRODUCT(1+N24:N$39)),4)</f>
        <v>1.4517</v>
      </c>
      <c r="Y24" s="175">
        <f>ROUND(SUMPRODUCT(PRODUCT(1+O24:O$39)),4)</f>
        <v>1.2929</v>
      </c>
      <c r="Z24" s="175">
        <f t="shared" ref="Z24" si="227">Y24</f>
        <v>1.2929</v>
      </c>
      <c r="AA24" s="175">
        <f>ROUND(SUMPRODUCT(PRODUCT(1+P24:P$39)),4)</f>
        <v>1.5069</v>
      </c>
      <c r="AB24" s="175">
        <f>ROUND(SUMPRODUCT(PRODUCT(1+Q24:Q$39)),4)</f>
        <v>1.2557</v>
      </c>
      <c r="AC24" s="174"/>
      <c r="AD24" s="176">
        <f>ROUND(AVERAGE(I24:I$40)/100,4)</f>
        <v>0.024</v>
      </c>
      <c r="AE24" s="176">
        <f>ROUND(AVERAGE(J24:J$40)/100,4)</f>
        <v>0.0166</v>
      </c>
      <c r="AF24" s="176">
        <f t="shared" ref="AF24" si="228">AE24</f>
        <v>0.0166</v>
      </c>
      <c r="AG24" s="176">
        <f>ROUND(AVERAGE(K24:K$40)/100,4)</f>
        <v>0.0265</v>
      </c>
      <c r="AH24" s="176">
        <f>ROUND(AVERAGE(L24:L$40)/100,4)</f>
        <v>0.0143</v>
      </c>
    </row>
    <row r="25" spans="1:34">
      <c r="A25" s="166" t="s">
        <v>3087</v>
      </c>
      <c r="B25" s="197">
        <v>439</v>
      </c>
      <c r="C25" s="197">
        <v>327</v>
      </c>
      <c r="D25" s="197">
        <f t="shared" si="217"/>
        <v>327</v>
      </c>
      <c r="E25" s="197">
        <v>627</v>
      </c>
      <c r="F25" s="198">
        <v>283</v>
      </c>
      <c r="G25" s="199">
        <v>2017</v>
      </c>
      <c r="H25" s="188">
        <v>4</v>
      </c>
      <c r="I25" s="189">
        <v>1.71</v>
      </c>
      <c r="J25" s="189">
        <v>1.78</v>
      </c>
      <c r="K25" s="189">
        <v>1.71</v>
      </c>
      <c r="L25" s="190">
        <v>1.43</v>
      </c>
      <c r="N25" s="172">
        <f t="shared" si="220"/>
        <v>0.0171</v>
      </c>
      <c r="O25" s="165">
        <f t="shared" ref="O25" si="229">J25/100</f>
        <v>0.0178</v>
      </c>
      <c r="P25" s="165">
        <f t="shared" ref="P25" si="230">K25/100</f>
        <v>0.0171</v>
      </c>
      <c r="Q25" s="165">
        <f t="shared" ref="Q25" si="231">L25/100</f>
        <v>0.0143</v>
      </c>
      <c r="R25" s="173"/>
      <c r="S25" s="200"/>
      <c r="T25" s="201"/>
      <c r="U25" s="201"/>
      <c r="V25" s="201"/>
      <c r="X25" s="202">
        <f>ROUND(SUMPRODUCT(PRODUCT(1+N25:N$39)),4)</f>
        <v>1.4274</v>
      </c>
      <c r="Y25" s="202">
        <f>ROUND(SUMPRODUCT(PRODUCT(1+O25:O$39)),4)</f>
        <v>1.2685</v>
      </c>
      <c r="Z25" s="202">
        <f t="shared" si="0"/>
        <v>1.2685</v>
      </c>
      <c r="AA25" s="202">
        <f>ROUND(SUMPRODUCT(PRODUCT(1+P25:P$39)),4)</f>
        <v>1.4826</v>
      </c>
      <c r="AB25" s="202">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39" customFormat="1" ht="14.45" customHeight="1" spans="1:34">
      <c r="A26" s="166" t="s">
        <v>3088</v>
      </c>
      <c r="B26" s="167">
        <f t="shared" ref="B26:B28" si="232">B27*(1+N26)</f>
        <v>431.8073081168</v>
      </c>
      <c r="C26" s="167">
        <f t="shared" ref="C26:C28" si="233">C27*(1+O26)</f>
        <v>320.5788051648</v>
      </c>
      <c r="D26" s="167">
        <f t="shared" ref="D26:D29" si="234">C26</f>
        <v>320.5788051648</v>
      </c>
      <c r="E26" s="167">
        <f t="shared" ref="E26:E28" si="235">E27*(1+P26)</f>
        <v>615.961105531968</v>
      </c>
      <c r="F26" s="167">
        <f t="shared" ref="F26:F28" si="236">F27*(1+Q26)</f>
        <v>279.467773001088</v>
      </c>
      <c r="G26" s="168"/>
      <c r="H26" s="169">
        <v>3</v>
      </c>
      <c r="I26" s="186">
        <v>2.98</v>
      </c>
      <c r="J26" s="186">
        <v>2.11</v>
      </c>
      <c r="K26" s="186">
        <v>3.24</v>
      </c>
      <c r="L26" s="187">
        <v>1.72</v>
      </c>
      <c r="M26" s="144"/>
      <c r="N26" s="172">
        <f t="shared" si="220"/>
        <v>0.0298</v>
      </c>
      <c r="O26" s="165">
        <f t="shared" ref="O26" si="237">J26/100</f>
        <v>0.0211</v>
      </c>
      <c r="P26" s="165">
        <f t="shared" ref="P26" si="238">K26/100</f>
        <v>0.0324</v>
      </c>
      <c r="Q26" s="165">
        <f t="shared" ref="Q26" si="239">L26/100</f>
        <v>0.0172</v>
      </c>
      <c r="R26" s="173"/>
      <c r="S26" s="172"/>
      <c r="T26" s="165"/>
      <c r="U26" s="165"/>
      <c r="V26" s="165"/>
      <c r="W26" s="174"/>
      <c r="X26" s="175">
        <f>ROUND(SUMPRODUCT(PRODUCT(1+N26:N$39)),4)</f>
        <v>1.4034</v>
      </c>
      <c r="Y26" s="175">
        <f>ROUND(SUMPRODUCT(PRODUCT(1+O26:O$39)),4)</f>
        <v>1.2463</v>
      </c>
      <c r="Z26" s="175">
        <f t="shared" si="0"/>
        <v>1.2463</v>
      </c>
      <c r="AA26" s="175">
        <f>ROUND(SUMPRODUCT(PRODUCT(1+P26:P$39)),4)</f>
        <v>1.4577</v>
      </c>
      <c r="AB26" s="175">
        <f>ROUND(SUMPRODUCT(PRODUCT(1+Q26:Q$39)),4)</f>
        <v>1.2136</v>
      </c>
      <c r="AC26" s="174"/>
      <c r="AD26" s="176">
        <f>ROUND(AVERAGE(I26:I$40)/100,4)</f>
        <v>0.0249</v>
      </c>
      <c r="AE26" s="176">
        <f>ROUND(AVERAGE(J26:J$40)/100,4)</f>
        <v>0.0164</v>
      </c>
      <c r="AF26" s="176">
        <f t="shared" si="1"/>
        <v>0.0164</v>
      </c>
      <c r="AG26" s="176">
        <f>ROUND(AVERAGE(K26:K$40)/100,4)</f>
        <v>0.0278</v>
      </c>
      <c r="AH26" s="176">
        <f>ROUND(AVERAGE(L26:L$40)/100,4)</f>
        <v>0.0139</v>
      </c>
    </row>
    <row r="27" s="140" customFormat="1" ht="14.45" customHeight="1" spans="1:34">
      <c r="A27" s="166" t="s">
        <v>3089</v>
      </c>
      <c r="B27" s="167">
        <f t="shared" si="232"/>
        <v>419.311816</v>
      </c>
      <c r="C27" s="167">
        <f t="shared" si="233"/>
        <v>313.954368</v>
      </c>
      <c r="D27" s="167">
        <f t="shared" si="234"/>
        <v>313.954368</v>
      </c>
      <c r="E27" s="167">
        <f t="shared" si="235"/>
        <v>596.63028432</v>
      </c>
      <c r="F27" s="167">
        <f t="shared" si="236"/>
        <v>274.74220704</v>
      </c>
      <c r="G27" s="168"/>
      <c r="H27" s="193">
        <v>2</v>
      </c>
      <c r="I27" s="194">
        <v>3.4</v>
      </c>
      <c r="J27" s="194">
        <v>2</v>
      </c>
      <c r="K27" s="194">
        <v>3.82</v>
      </c>
      <c r="L27" s="195">
        <v>1.68</v>
      </c>
      <c r="M27" s="144"/>
      <c r="N27" s="172">
        <f t="shared" si="220"/>
        <v>0.034</v>
      </c>
      <c r="O27" s="165">
        <f t="shared" ref="O27" si="240">J27/100</f>
        <v>0.02</v>
      </c>
      <c r="P27" s="165">
        <f t="shared" ref="P27" si="241">K27/100</f>
        <v>0.0382</v>
      </c>
      <c r="Q27" s="165">
        <f t="shared" ref="Q27" si="242">L27/100</f>
        <v>0.0168</v>
      </c>
      <c r="R27" s="173"/>
      <c r="S27" s="200"/>
      <c r="T27" s="201"/>
      <c r="U27" s="201"/>
      <c r="V27" s="201"/>
      <c r="W27" s="138"/>
      <c r="X27" s="175">
        <f>ROUND(SUMPRODUCT(PRODUCT(1+N27:N$39)),4)</f>
        <v>1.3628</v>
      </c>
      <c r="Y27" s="175">
        <f>ROUND(SUMPRODUCT(PRODUCT(1+O27:O$39)),4)</f>
        <v>1.2206</v>
      </c>
      <c r="Z27" s="175">
        <f t="shared" si="0"/>
        <v>1.2206</v>
      </c>
      <c r="AA27" s="175">
        <f>ROUND(SUMPRODUCT(PRODUCT(1+P27:P$39)),4)</f>
        <v>1.4119</v>
      </c>
      <c r="AB27" s="175">
        <f>ROUND(SUMPRODUCT(PRODUCT(1+Q27:Q$39)),4)</f>
        <v>1.193</v>
      </c>
      <c r="AC27" s="138"/>
      <c r="AD27" s="176">
        <f>ROUND(AVERAGE(I27:I$40)/100,4)</f>
        <v>0.0246</v>
      </c>
      <c r="AE27" s="176">
        <f>ROUND(AVERAGE(J27:J$40)/100,4)</f>
        <v>0.016</v>
      </c>
      <c r="AF27" s="176">
        <f t="shared" si="1"/>
        <v>0.016</v>
      </c>
      <c r="AG27" s="176">
        <f>ROUND(AVERAGE(K27:K$40)/100,4)</f>
        <v>0.0275</v>
      </c>
      <c r="AH27" s="176">
        <f>ROUND(AVERAGE(L27:L$40)/100,4)</f>
        <v>0.0137</v>
      </c>
    </row>
    <row r="28" s="139" customFormat="1" ht="15" customHeight="1" spans="1:34">
      <c r="A28" s="166" t="s">
        <v>3090</v>
      </c>
      <c r="B28" s="167">
        <f t="shared" si="232"/>
        <v>405.524</v>
      </c>
      <c r="C28" s="167">
        <f t="shared" si="233"/>
        <v>307.7984</v>
      </c>
      <c r="D28" s="167">
        <f t="shared" si="234"/>
        <v>307.7984</v>
      </c>
      <c r="E28" s="167">
        <f t="shared" si="235"/>
        <v>574.6776</v>
      </c>
      <c r="F28" s="167">
        <f t="shared" si="236"/>
        <v>270.2028</v>
      </c>
      <c r="G28" s="196"/>
      <c r="H28" s="169">
        <v>1</v>
      </c>
      <c r="I28" s="186">
        <v>3.45</v>
      </c>
      <c r="J28" s="186">
        <v>1.92</v>
      </c>
      <c r="K28" s="186">
        <v>3.92</v>
      </c>
      <c r="L28" s="187">
        <v>1.58</v>
      </c>
      <c r="M28" s="144"/>
      <c r="N28" s="172">
        <f t="shared" si="220"/>
        <v>0.0345</v>
      </c>
      <c r="O28" s="165">
        <f t="shared" ref="O28:Q43" si="243">J28/100</f>
        <v>0.0192</v>
      </c>
      <c r="P28" s="165">
        <f t="shared" si="243"/>
        <v>0.0392</v>
      </c>
      <c r="Q28" s="165">
        <f t="shared" si="243"/>
        <v>0.0158</v>
      </c>
      <c r="R28" s="173"/>
      <c r="S28" s="172">
        <f>B28/B29-1</f>
        <v>0.0345</v>
      </c>
      <c r="T28" s="165">
        <f t="shared" ref="T28:V28" si="244">C28/C29-1</f>
        <v>0.0192000000000001</v>
      </c>
      <c r="U28" s="165">
        <f t="shared" si="244"/>
        <v>0.0192000000000001</v>
      </c>
      <c r="V28" s="165">
        <f t="shared" si="244"/>
        <v>0.0391999999999999</v>
      </c>
      <c r="W28" s="174"/>
      <c r="X28" s="175">
        <f>ROUND(SUMPRODUCT(PRODUCT(1+N28:N$39)),4)</f>
        <v>1.318</v>
      </c>
      <c r="Y28" s="175">
        <f>ROUND(SUMPRODUCT(PRODUCT(1+O28:O$39)),4)</f>
        <v>1.1966</v>
      </c>
      <c r="Z28" s="175">
        <f t="shared" si="0"/>
        <v>1.1966</v>
      </c>
      <c r="AA28" s="175">
        <f>ROUND(SUMPRODUCT(PRODUCT(1+P28:P$39)),4)</f>
        <v>1.36</v>
      </c>
      <c r="AB28" s="175">
        <f>ROUND(SUMPRODUCT(PRODUCT(1+Q28:Q$39)),4)</f>
        <v>1.1733</v>
      </c>
      <c r="AC28" s="174"/>
      <c r="AD28" s="176">
        <f>ROUND(AVERAGE(I28:I$40)/100,4)</f>
        <v>0.0239</v>
      </c>
      <c r="AE28" s="176">
        <f>ROUND(AVERAGE(J28:J$40)/100,4)</f>
        <v>0.0157</v>
      </c>
      <c r="AF28" s="176">
        <f t="shared" si="1"/>
        <v>0.0157</v>
      </c>
      <c r="AG28" s="176">
        <f>ROUND(AVERAGE(K28:K$40)/100,4)</f>
        <v>0.0266</v>
      </c>
      <c r="AH28" s="176">
        <f>ROUND(AVERAGE(L28:L$40)/100,4)</f>
        <v>0.0134</v>
      </c>
    </row>
    <row r="29" spans="1:34">
      <c r="A29" s="166" t="s">
        <v>3091</v>
      </c>
      <c r="B29" s="197">
        <v>392</v>
      </c>
      <c r="C29" s="197">
        <v>302</v>
      </c>
      <c r="D29" s="197">
        <f t="shared" si="234"/>
        <v>302</v>
      </c>
      <c r="E29" s="197">
        <v>553</v>
      </c>
      <c r="F29" s="198">
        <v>266</v>
      </c>
      <c r="G29" s="199">
        <v>2016</v>
      </c>
      <c r="H29" s="188">
        <v>4</v>
      </c>
      <c r="I29" s="189">
        <v>4.56</v>
      </c>
      <c r="J29" s="189">
        <v>2.15</v>
      </c>
      <c r="K29" s="189">
        <v>5.32</v>
      </c>
      <c r="L29" s="190">
        <v>1.57</v>
      </c>
      <c r="N29" s="172">
        <f t="shared" si="220"/>
        <v>0.0456</v>
      </c>
      <c r="O29" s="165">
        <f t="shared" si="243"/>
        <v>0.0215</v>
      </c>
      <c r="P29" s="165">
        <f t="shared" si="243"/>
        <v>0.0532</v>
      </c>
      <c r="Q29" s="165">
        <f t="shared" si="243"/>
        <v>0.0157</v>
      </c>
      <c r="R29" s="173"/>
      <c r="S29" s="200"/>
      <c r="T29" s="201"/>
      <c r="U29" s="201"/>
      <c r="V29" s="201"/>
      <c r="X29" s="202">
        <f>ROUND(SUMPRODUCT(PRODUCT(1+N29:N$39)),4)</f>
        <v>1.274</v>
      </c>
      <c r="Y29" s="202">
        <f>ROUND(SUMPRODUCT(PRODUCT(1+O29:O$39)),4)</f>
        <v>1.1741</v>
      </c>
      <c r="Z29" s="202">
        <f t="shared" si="0"/>
        <v>1.1741</v>
      </c>
      <c r="AA29" s="202">
        <f>ROUND(SUMPRODUCT(PRODUCT(1+P29:P$39)),4)</f>
        <v>1.3087</v>
      </c>
      <c r="AB29" s="202">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66" t="s">
        <v>3092</v>
      </c>
      <c r="B30" s="167">
        <f t="shared" ref="B30:C32" si="245">B29/(1+N29)</f>
        <v>374.904361132364</v>
      </c>
      <c r="C30" s="167">
        <f t="shared" si="245"/>
        <v>295.643661282428</v>
      </c>
      <c r="D30" s="167">
        <f t="shared" ref="D30:D89" si="246">C30</f>
        <v>295.643661282428</v>
      </c>
      <c r="E30" s="167">
        <f t="shared" ref="E30:F32" si="247">E29/(1+P29)</f>
        <v>525.066464109381</v>
      </c>
      <c r="F30" s="167">
        <f t="shared" si="247"/>
        <v>261.888352860096</v>
      </c>
      <c r="G30" s="168"/>
      <c r="H30" s="169">
        <v>3</v>
      </c>
      <c r="I30" s="186">
        <v>4.12</v>
      </c>
      <c r="J30" s="186">
        <v>2</v>
      </c>
      <c r="K30" s="186">
        <v>4.79</v>
      </c>
      <c r="L30" s="187">
        <v>1.97</v>
      </c>
      <c r="N30" s="172">
        <f t="shared" ref="N30:Q64" si="248">I30/100</f>
        <v>0.0412</v>
      </c>
      <c r="O30" s="165">
        <f t="shared" si="243"/>
        <v>0.02</v>
      </c>
      <c r="P30" s="165">
        <f t="shared" si="243"/>
        <v>0.0479</v>
      </c>
      <c r="Q30" s="165">
        <f t="shared" si="243"/>
        <v>0.0197</v>
      </c>
      <c r="R30" s="173"/>
      <c r="S30" s="172"/>
      <c r="T30" s="165"/>
      <c r="U30" s="165"/>
      <c r="V30" s="165"/>
      <c r="X30" s="202">
        <f>ROUND(SUMPRODUCT(PRODUCT(1+N30:N$39)),4)</f>
        <v>1.2185</v>
      </c>
      <c r="Y30" s="202">
        <f>ROUND(SUMPRODUCT(PRODUCT(1+O30:O$39)),4)</f>
        <v>1.1494</v>
      </c>
      <c r="Z30" s="202">
        <f t="shared" si="0"/>
        <v>1.1494</v>
      </c>
      <c r="AA30" s="202">
        <f>ROUND(SUMPRODUCT(PRODUCT(1+P30:P$39)),4)</f>
        <v>1.2426</v>
      </c>
      <c r="AB30" s="202">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66" t="s">
        <v>3093</v>
      </c>
      <c r="B31" s="167">
        <f t="shared" si="245"/>
        <v>360.069497822094</v>
      </c>
      <c r="C31" s="167">
        <f t="shared" si="245"/>
        <v>289.846726747478</v>
      </c>
      <c r="D31" s="167">
        <f t="shared" si="246"/>
        <v>289.846726747478</v>
      </c>
      <c r="E31" s="167">
        <f t="shared" si="247"/>
        <v>501.065430011815</v>
      </c>
      <c r="F31" s="167">
        <f t="shared" si="247"/>
        <v>256.82882500745</v>
      </c>
      <c r="G31" s="168"/>
      <c r="H31" s="193">
        <v>2</v>
      </c>
      <c r="I31" s="194">
        <v>3.85</v>
      </c>
      <c r="J31" s="194">
        <v>1.95</v>
      </c>
      <c r="K31" s="194">
        <v>4.48</v>
      </c>
      <c r="L31" s="195">
        <v>1.41</v>
      </c>
      <c r="N31" s="172">
        <f t="shared" si="248"/>
        <v>0.0385</v>
      </c>
      <c r="O31" s="165">
        <f t="shared" si="243"/>
        <v>0.0195</v>
      </c>
      <c r="P31" s="165">
        <f t="shared" si="243"/>
        <v>0.0448</v>
      </c>
      <c r="Q31" s="165">
        <f t="shared" si="243"/>
        <v>0.0141</v>
      </c>
      <c r="R31" s="173"/>
      <c r="S31" s="172"/>
      <c r="T31" s="165"/>
      <c r="U31" s="165"/>
      <c r="V31" s="165"/>
      <c r="X31" s="202">
        <f>ROUND(SUMPRODUCT(PRODUCT(1+N31:N$39)),4)</f>
        <v>1.1703</v>
      </c>
      <c r="Y31" s="202">
        <f>ROUND(SUMPRODUCT(PRODUCT(1+O31:O$39)),4)</f>
        <v>1.1269</v>
      </c>
      <c r="Z31" s="202">
        <f t="shared" si="0"/>
        <v>1.1269</v>
      </c>
      <c r="AA31" s="202">
        <f>ROUND(SUMPRODUCT(PRODUCT(1+P31:P$39)),4)</f>
        <v>1.1858</v>
      </c>
      <c r="AB31" s="202">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66" t="s">
        <v>3094</v>
      </c>
      <c r="B32" s="167">
        <f t="shared" si="245"/>
        <v>346.720748986128</v>
      </c>
      <c r="C32" s="167">
        <f t="shared" si="245"/>
        <v>284.302821723863</v>
      </c>
      <c r="D32" s="167">
        <f t="shared" si="246"/>
        <v>284.302821723863</v>
      </c>
      <c r="E32" s="167">
        <f t="shared" si="247"/>
        <v>479.580235463069</v>
      </c>
      <c r="F32" s="167">
        <f t="shared" si="247"/>
        <v>253.257888775712</v>
      </c>
      <c r="G32" s="203"/>
      <c r="H32" s="169">
        <v>1</v>
      </c>
      <c r="I32" s="186">
        <v>4.09</v>
      </c>
      <c r="J32" s="186">
        <v>2.93</v>
      </c>
      <c r="K32" s="186">
        <v>4.54</v>
      </c>
      <c r="L32" s="187">
        <v>1.48</v>
      </c>
      <c r="N32" s="172">
        <f t="shared" si="248"/>
        <v>0.0409</v>
      </c>
      <c r="O32" s="165">
        <f t="shared" si="243"/>
        <v>0.0293</v>
      </c>
      <c r="P32" s="165">
        <f t="shared" si="243"/>
        <v>0.0454</v>
      </c>
      <c r="Q32" s="165">
        <f t="shared" si="243"/>
        <v>0.0148</v>
      </c>
      <c r="R32" s="173"/>
      <c r="S32" s="204">
        <f>B32/B33-1</f>
        <v>0.0412034504087928</v>
      </c>
      <c r="T32" s="205">
        <f>C32/C33-1</f>
        <v>0.0263639773424651</v>
      </c>
      <c r="U32" s="205">
        <f>E32/E33-1</f>
        <v>0.0448371142986264</v>
      </c>
      <c r="V32" s="205">
        <f>F32/F33-1</f>
        <v>0.0170999549225386</v>
      </c>
      <c r="X32" s="202">
        <f>ROUND(SUMPRODUCT(PRODUCT(1+N32:N$39)),4)</f>
        <v>1.1269</v>
      </c>
      <c r="Y32" s="202">
        <f>ROUND(SUMPRODUCT(PRODUCT(1+O32:O$39)),4)</f>
        <v>1.1053</v>
      </c>
      <c r="Z32" s="202">
        <f t="shared" si="0"/>
        <v>1.1053</v>
      </c>
      <c r="AA32" s="202">
        <f>ROUND(SUMPRODUCT(PRODUCT(1+P32:P$39)),4)</f>
        <v>1.1349</v>
      </c>
      <c r="AB32" s="202">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66" t="s">
        <v>3095</v>
      </c>
      <c r="B33" s="197">
        <v>333</v>
      </c>
      <c r="C33" s="197">
        <v>277</v>
      </c>
      <c r="D33" s="197">
        <f t="shared" si="246"/>
        <v>277</v>
      </c>
      <c r="E33" s="197">
        <v>459</v>
      </c>
      <c r="F33" s="198">
        <v>249</v>
      </c>
      <c r="G33" s="206">
        <v>2015</v>
      </c>
      <c r="H33" s="207">
        <v>4</v>
      </c>
      <c r="I33" s="208">
        <v>1.63</v>
      </c>
      <c r="J33" s="208">
        <v>1.11</v>
      </c>
      <c r="K33" s="208">
        <v>1.77</v>
      </c>
      <c r="L33" s="209">
        <v>1.89</v>
      </c>
      <c r="N33" s="210">
        <f t="shared" si="248"/>
        <v>0.0163</v>
      </c>
      <c r="O33" s="211">
        <f t="shared" si="243"/>
        <v>0.0111</v>
      </c>
      <c r="P33" s="211">
        <f t="shared" si="243"/>
        <v>0.0177</v>
      </c>
      <c r="Q33" s="211">
        <f t="shared" si="243"/>
        <v>0.0189</v>
      </c>
      <c r="R33" s="173"/>
      <c r="X33" s="202">
        <f>ROUND(SUMPRODUCT(PRODUCT(1+N33:N$39)),4)</f>
        <v>1.0826</v>
      </c>
      <c r="Y33" s="202">
        <f>ROUND(SUMPRODUCT(PRODUCT(1+O33:O$39)),4)</f>
        <v>1.0738</v>
      </c>
      <c r="Z33" s="202">
        <f t="shared" si="0"/>
        <v>1.0738</v>
      </c>
      <c r="AA33" s="202">
        <f>ROUND(SUMPRODUCT(PRODUCT(1+P33:P$39)),4)</f>
        <v>1.0856</v>
      </c>
      <c r="AB33" s="202">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66" t="s">
        <v>3096</v>
      </c>
      <c r="B34" s="167">
        <f t="shared" ref="B34:C36" si="249">B33/(1+N33)</f>
        <v>327.659155761094</v>
      </c>
      <c r="C34" s="167">
        <f t="shared" si="249"/>
        <v>273.959054495104</v>
      </c>
      <c r="D34" s="167">
        <f t="shared" si="246"/>
        <v>273.959054495104</v>
      </c>
      <c r="E34" s="167">
        <f t="shared" ref="E34:F36" si="250">E33/(1+P33)</f>
        <v>451.016999115653</v>
      </c>
      <c r="F34" s="167">
        <f t="shared" si="250"/>
        <v>244.381195406811</v>
      </c>
      <c r="G34" s="168"/>
      <c r="H34" s="212">
        <v>3</v>
      </c>
      <c r="I34" s="213">
        <v>1.65</v>
      </c>
      <c r="J34" s="213">
        <v>0.92</v>
      </c>
      <c r="K34" s="213">
        <v>1.88</v>
      </c>
      <c r="L34" s="214">
        <v>1.26</v>
      </c>
      <c r="N34" s="172">
        <f t="shared" si="248"/>
        <v>0.0165</v>
      </c>
      <c r="O34" s="215">
        <f t="shared" si="243"/>
        <v>0.0092</v>
      </c>
      <c r="P34" s="215">
        <f t="shared" si="243"/>
        <v>0.0188</v>
      </c>
      <c r="Q34" s="215">
        <f t="shared" si="243"/>
        <v>0.0126</v>
      </c>
      <c r="R34" s="173"/>
      <c r="S34" s="172"/>
      <c r="T34" s="165"/>
      <c r="U34" s="165"/>
      <c r="V34" s="165"/>
      <c r="X34" s="202">
        <f>ROUND(SUMPRODUCT(PRODUCT(1+N34:N$39)),4)</f>
        <v>1.0652</v>
      </c>
      <c r="Y34" s="202">
        <f>ROUND(SUMPRODUCT(PRODUCT(1+O34:O$39)),4)</f>
        <v>1.0621</v>
      </c>
      <c r="Z34" s="202">
        <f t="shared" si="0"/>
        <v>1.0621</v>
      </c>
      <c r="AA34" s="202">
        <f>ROUND(SUMPRODUCT(PRODUCT(1+P34:P$39)),4)</f>
        <v>1.0668</v>
      </c>
      <c r="AB34" s="202">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66" t="s">
        <v>3097</v>
      </c>
      <c r="B35" s="167">
        <f t="shared" si="249"/>
        <v>322.340536902208</v>
      </c>
      <c r="C35" s="167">
        <f t="shared" si="249"/>
        <v>271.461607704225</v>
      </c>
      <c r="D35" s="167">
        <f t="shared" si="246"/>
        <v>271.461607704225</v>
      </c>
      <c r="E35" s="167">
        <f t="shared" si="250"/>
        <v>442.694345421725</v>
      </c>
      <c r="F35" s="167">
        <f t="shared" si="250"/>
        <v>241.340307531909</v>
      </c>
      <c r="G35" s="168"/>
      <c r="H35" s="193">
        <v>2</v>
      </c>
      <c r="I35" s="194">
        <v>0.77</v>
      </c>
      <c r="J35" s="194">
        <v>0.69</v>
      </c>
      <c r="K35" s="194">
        <v>0.8</v>
      </c>
      <c r="L35" s="195">
        <v>0.88</v>
      </c>
      <c r="N35" s="172">
        <f t="shared" si="248"/>
        <v>0.0077</v>
      </c>
      <c r="O35" s="215">
        <f t="shared" si="243"/>
        <v>0.0069</v>
      </c>
      <c r="P35" s="215">
        <f t="shared" si="243"/>
        <v>0.008</v>
      </c>
      <c r="Q35" s="215">
        <f t="shared" si="243"/>
        <v>0.0088</v>
      </c>
      <c r="R35" s="173"/>
      <c r="S35" s="172"/>
      <c r="T35" s="165"/>
      <c r="U35" s="165"/>
      <c r="V35" s="165"/>
      <c r="X35" s="202">
        <f>ROUND(SUMPRODUCT(PRODUCT(1+N35:N$39)),4)</f>
        <v>1.048</v>
      </c>
      <c r="Y35" s="202">
        <f>ROUND(SUMPRODUCT(PRODUCT(1+O35:O$39)),4)</f>
        <v>1.0524</v>
      </c>
      <c r="Z35" s="202">
        <f t="shared" si="0"/>
        <v>1.0524</v>
      </c>
      <c r="AA35" s="202">
        <f>ROUND(SUMPRODUCT(PRODUCT(1+P35:P$39)),4)</f>
        <v>1.0471</v>
      </c>
      <c r="AB35" s="202">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66" t="s">
        <v>3098</v>
      </c>
      <c r="B36" s="167">
        <f t="shared" si="249"/>
        <v>319.877480303868</v>
      </c>
      <c r="C36" s="167">
        <f t="shared" si="249"/>
        <v>269.601358331736</v>
      </c>
      <c r="D36" s="167">
        <f t="shared" si="246"/>
        <v>269.601358331736</v>
      </c>
      <c r="E36" s="167">
        <f t="shared" si="250"/>
        <v>439.180898235838</v>
      </c>
      <c r="F36" s="167">
        <f t="shared" si="250"/>
        <v>239.235039187063</v>
      </c>
      <c r="G36" s="203"/>
      <c r="H36" s="169">
        <v>1</v>
      </c>
      <c r="I36" s="186">
        <v>0.51</v>
      </c>
      <c r="J36" s="186">
        <v>0.54</v>
      </c>
      <c r="K36" s="186">
        <v>0.48</v>
      </c>
      <c r="L36" s="187">
        <v>0.93</v>
      </c>
      <c r="N36" s="204">
        <f t="shared" si="248"/>
        <v>0.0051</v>
      </c>
      <c r="O36" s="205">
        <f t="shared" si="243"/>
        <v>0.0054</v>
      </c>
      <c r="P36" s="205">
        <f t="shared" si="243"/>
        <v>0.0048</v>
      </c>
      <c r="Q36" s="205">
        <f t="shared" si="243"/>
        <v>0.0093</v>
      </c>
      <c r="R36" s="173"/>
      <c r="S36" s="204">
        <f>B36/B37-1</f>
        <v>0.00590402611279228</v>
      </c>
      <c r="T36" s="205">
        <f>C36/C37-1</f>
        <v>0.00597521765573328</v>
      </c>
      <c r="U36" s="205">
        <f>E36/E37-1</f>
        <v>0.00499061381198596</v>
      </c>
      <c r="V36" s="205">
        <f>F36/F37-1</f>
        <v>0.00943054509309338</v>
      </c>
      <c r="X36" s="202">
        <f>ROUND(SUMPRODUCT(PRODUCT(1+N36:N$39)),4)</f>
        <v>1.0399</v>
      </c>
      <c r="Y36" s="202">
        <f>ROUND(SUMPRODUCT(PRODUCT(1+O36:O$39)),4)</f>
        <v>1.0452</v>
      </c>
      <c r="Z36" s="202">
        <f t="shared" si="0"/>
        <v>1.0452</v>
      </c>
      <c r="AA36" s="202">
        <f>ROUND(SUMPRODUCT(PRODUCT(1+P36:P$39)),4)</f>
        <v>1.0388</v>
      </c>
      <c r="AB36" s="202">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66" t="s">
        <v>3099</v>
      </c>
      <c r="B37" s="216">
        <v>318</v>
      </c>
      <c r="C37" s="216">
        <v>268</v>
      </c>
      <c r="D37" s="216">
        <f t="shared" si="246"/>
        <v>268</v>
      </c>
      <c r="E37" s="216">
        <v>437</v>
      </c>
      <c r="F37" s="217">
        <v>237</v>
      </c>
      <c r="G37" s="206">
        <v>2014</v>
      </c>
      <c r="H37" s="207">
        <v>4</v>
      </c>
      <c r="I37" s="208">
        <v>0.21</v>
      </c>
      <c r="J37" s="208">
        <v>0.41</v>
      </c>
      <c r="K37" s="208">
        <v>0.12</v>
      </c>
      <c r="L37" s="209">
        <v>0.89</v>
      </c>
      <c r="N37" s="172">
        <f t="shared" si="248"/>
        <v>0.0021</v>
      </c>
      <c r="O37" s="165">
        <f t="shared" si="243"/>
        <v>0.0041</v>
      </c>
      <c r="P37" s="165">
        <f t="shared" si="243"/>
        <v>0.0012</v>
      </c>
      <c r="Q37" s="165">
        <f t="shared" si="243"/>
        <v>0.0089</v>
      </c>
      <c r="R37" s="173"/>
      <c r="S37" s="200"/>
      <c r="T37" s="201"/>
      <c r="U37" s="201"/>
      <c r="V37" s="201"/>
      <c r="X37" s="202">
        <f>ROUND(SUMPRODUCT(PRODUCT(1+N37:N$39)),4)</f>
        <v>1.0347</v>
      </c>
      <c r="Y37" s="202">
        <f>ROUND(SUMPRODUCT(PRODUCT(1+O37:O$39)),4)</f>
        <v>1.0395</v>
      </c>
      <c r="Z37" s="202">
        <f t="shared" si="0"/>
        <v>1.0395</v>
      </c>
      <c r="AA37" s="202">
        <f>ROUND(SUMPRODUCT(PRODUCT(1+P37:P$39)),4)</f>
        <v>1.0338</v>
      </c>
      <c r="AB37" s="202">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66" t="s">
        <v>3100</v>
      </c>
      <c r="B38" s="167">
        <f t="shared" ref="B38:C40" si="251">B37/(1+N37)</f>
        <v>317.333599441174</v>
      </c>
      <c r="C38" s="167">
        <f t="shared" si="251"/>
        <v>266.905686684593</v>
      </c>
      <c r="D38" s="167">
        <f t="shared" si="246"/>
        <v>266.905686684593</v>
      </c>
      <c r="E38" s="167">
        <f t="shared" ref="E38:F40" si="252">E37/(1+P37)</f>
        <v>436.476228525769</v>
      </c>
      <c r="F38" s="167">
        <f t="shared" si="252"/>
        <v>234.909307166221</v>
      </c>
      <c r="G38" s="168"/>
      <c r="H38" s="218">
        <v>3</v>
      </c>
      <c r="I38" s="219">
        <v>0.83</v>
      </c>
      <c r="J38" s="219">
        <v>1.47</v>
      </c>
      <c r="K38" s="219">
        <v>0.65</v>
      </c>
      <c r="L38" s="220">
        <v>0.72</v>
      </c>
      <c r="N38" s="172">
        <f t="shared" si="248"/>
        <v>0.0083</v>
      </c>
      <c r="O38" s="165">
        <f t="shared" si="243"/>
        <v>0.0147</v>
      </c>
      <c r="P38" s="165">
        <f t="shared" si="243"/>
        <v>0.0065</v>
      </c>
      <c r="Q38" s="165">
        <f t="shared" si="243"/>
        <v>0.0072</v>
      </c>
      <c r="R38" s="173"/>
      <c r="S38" s="172"/>
      <c r="T38" s="165"/>
      <c r="U38" s="165"/>
      <c r="V38" s="165"/>
      <c r="X38" s="202">
        <f>ROUND(SUMPRODUCT(PRODUCT(1+N38:N$39)),4)</f>
        <v>1.0325</v>
      </c>
      <c r="Y38" s="202">
        <f>ROUND(SUMPRODUCT(PRODUCT(1+O38:O$39)),4)</f>
        <v>1.0353</v>
      </c>
      <c r="Z38" s="202">
        <f t="shared" ref="Z38:Z39" si="253">Y38</f>
        <v>1.0353</v>
      </c>
      <c r="AA38" s="202">
        <f>ROUND(SUMPRODUCT(PRODUCT(1+P38:P$39)),4)</f>
        <v>1.0326</v>
      </c>
      <c r="AB38" s="202">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66" t="s">
        <v>3101</v>
      </c>
      <c r="B39" s="167">
        <f t="shared" si="251"/>
        <v>314.721411723865</v>
      </c>
      <c r="C39" s="167">
        <f t="shared" si="251"/>
        <v>263.03901319069</v>
      </c>
      <c r="D39" s="167">
        <f t="shared" si="246"/>
        <v>263.03901319069</v>
      </c>
      <c r="E39" s="167">
        <f t="shared" si="252"/>
        <v>433.657455067828</v>
      </c>
      <c r="F39" s="167">
        <f t="shared" si="252"/>
        <v>233.230050800457</v>
      </c>
      <c r="G39" s="168"/>
      <c r="H39" s="207">
        <v>2</v>
      </c>
      <c r="I39" s="208">
        <v>2.4</v>
      </c>
      <c r="J39" s="208">
        <v>2.03</v>
      </c>
      <c r="K39" s="208">
        <v>2.59</v>
      </c>
      <c r="L39" s="209">
        <v>1.52</v>
      </c>
      <c r="N39" s="172">
        <f t="shared" si="248"/>
        <v>0.024</v>
      </c>
      <c r="O39" s="165">
        <f t="shared" si="243"/>
        <v>0.0203</v>
      </c>
      <c r="P39" s="165">
        <f t="shared" si="243"/>
        <v>0.0259</v>
      </c>
      <c r="Q39" s="165">
        <f t="shared" si="243"/>
        <v>0.0152</v>
      </c>
      <c r="R39" s="173"/>
      <c r="S39" s="172"/>
      <c r="T39" s="165"/>
      <c r="U39" s="165"/>
      <c r="V39" s="165"/>
      <c r="X39" s="202">
        <f>1+N39</f>
        <v>1.024</v>
      </c>
      <c r="Y39" s="202">
        <f>1+O39</f>
        <v>1.0203</v>
      </c>
      <c r="Z39" s="202">
        <f t="shared" si="253"/>
        <v>1.0203</v>
      </c>
      <c r="AA39" s="202">
        <f>1+P39</f>
        <v>1.0259</v>
      </c>
      <c r="AB39" s="202">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41" customFormat="1" ht="13.5" spans="1:34">
      <c r="A40" s="221" t="s">
        <v>3102</v>
      </c>
      <c r="B40" s="222">
        <f t="shared" si="251"/>
        <v>307.345128636587</v>
      </c>
      <c r="C40" s="222">
        <f t="shared" si="251"/>
        <v>257.80556031627</v>
      </c>
      <c r="D40" s="222">
        <f t="shared" si="246"/>
        <v>257.80556031627</v>
      </c>
      <c r="E40" s="222">
        <f t="shared" si="252"/>
        <v>422.709284596772</v>
      </c>
      <c r="F40" s="222">
        <f t="shared" si="252"/>
        <v>229.738032703366</v>
      </c>
      <c r="G40" s="203"/>
      <c r="H40" s="223">
        <v>1</v>
      </c>
      <c r="I40" s="224">
        <v>2.97</v>
      </c>
      <c r="J40" s="224">
        <v>2.34</v>
      </c>
      <c r="K40" s="224">
        <v>3.28</v>
      </c>
      <c r="L40" s="225">
        <v>1.36</v>
      </c>
      <c r="N40" s="226">
        <f t="shared" si="248"/>
        <v>0.0297</v>
      </c>
      <c r="O40" s="227">
        <f t="shared" si="243"/>
        <v>0.0234</v>
      </c>
      <c r="P40" s="227">
        <f t="shared" si="243"/>
        <v>0.0328</v>
      </c>
      <c r="Q40" s="227">
        <f t="shared" si="243"/>
        <v>0.0136</v>
      </c>
      <c r="R40" s="228"/>
      <c r="S40" s="229">
        <f>B40/B41-1</f>
        <v>0.0279101292193555</v>
      </c>
      <c r="T40" s="230">
        <f>C40/C41-1</f>
        <v>0.0230379377629752</v>
      </c>
      <c r="U40" s="230">
        <f>E40/E41-1</f>
        <v>0.0335190332439408</v>
      </c>
      <c r="V40" s="230">
        <f>F40/F41-1</f>
        <v>0.0120618180765029</v>
      </c>
      <c r="W40" s="231" t="s">
        <v>3103</v>
      </c>
      <c r="X40" s="232">
        <v>1</v>
      </c>
      <c r="Y40" s="232">
        <v>1</v>
      </c>
      <c r="Z40" s="232">
        <v>1</v>
      </c>
      <c r="AA40" s="232">
        <v>1</v>
      </c>
      <c r="AB40" s="232">
        <v>1</v>
      </c>
      <c r="AD40" s="227">
        <f>I40/100</f>
        <v>0.0297</v>
      </c>
      <c r="AE40" s="227">
        <f>J40/100</f>
        <v>0.0234</v>
      </c>
      <c r="AF40" s="227">
        <f t="shared" si="254"/>
        <v>0.0234</v>
      </c>
      <c r="AG40" s="227">
        <f>K40/100</f>
        <v>0.0328</v>
      </c>
      <c r="AH40" s="227">
        <f>L40/100</f>
        <v>0.0136</v>
      </c>
    </row>
    <row r="41" ht="13.5" spans="1:34">
      <c r="A41" s="166" t="s">
        <v>3104</v>
      </c>
      <c r="B41" s="197">
        <v>299</v>
      </c>
      <c r="C41" s="197">
        <v>252</v>
      </c>
      <c r="D41" s="197">
        <f t="shared" si="246"/>
        <v>252</v>
      </c>
      <c r="E41" s="197">
        <v>409</v>
      </c>
      <c r="F41" s="198">
        <v>227</v>
      </c>
      <c r="G41" s="233">
        <v>2013</v>
      </c>
      <c r="H41" s="234">
        <v>4</v>
      </c>
      <c r="I41" s="235">
        <v>1.83</v>
      </c>
      <c r="J41" s="235">
        <v>1.68</v>
      </c>
      <c r="K41" s="235">
        <v>1.97</v>
      </c>
      <c r="L41" s="236">
        <v>0.87</v>
      </c>
      <c r="N41" s="210">
        <f t="shared" si="248"/>
        <v>0.0183</v>
      </c>
      <c r="O41" s="211">
        <f t="shared" si="243"/>
        <v>0.0168</v>
      </c>
      <c r="P41" s="211">
        <f t="shared" si="243"/>
        <v>0.0197</v>
      </c>
      <c r="Q41" s="211">
        <f t="shared" si="243"/>
        <v>0.0087</v>
      </c>
      <c r="R41" s="173"/>
      <c r="S41" s="200"/>
      <c r="T41" s="201"/>
      <c r="U41" s="201"/>
      <c r="V41" s="201"/>
      <c r="X41" s="201"/>
      <c r="Y41" s="201"/>
      <c r="Z41" s="201"/>
    </row>
    <row r="42" spans="1:34">
      <c r="A42" s="166" t="s">
        <v>3105</v>
      </c>
      <c r="B42" s="167">
        <f t="shared" ref="B42:C44" si="255">B41/(1+N41)</f>
        <v>293.626632622999</v>
      </c>
      <c r="C42" s="167">
        <f t="shared" si="255"/>
        <v>247.836349331235</v>
      </c>
      <c r="D42" s="167">
        <f t="shared" si="246"/>
        <v>247.836349331235</v>
      </c>
      <c r="E42" s="167">
        <f t="shared" ref="E42:F44" si="256">E41/(1+P41)</f>
        <v>401.098362263411</v>
      </c>
      <c r="F42" s="167">
        <f t="shared" si="256"/>
        <v>225.04213343908</v>
      </c>
      <c r="G42" s="237"/>
      <c r="H42" s="212">
        <v>3</v>
      </c>
      <c r="I42" s="213">
        <v>1.86</v>
      </c>
      <c r="J42" s="213">
        <v>1.72</v>
      </c>
      <c r="K42" s="213">
        <v>1.98</v>
      </c>
      <c r="L42" s="214">
        <v>0.88</v>
      </c>
      <c r="N42" s="172">
        <f t="shared" si="248"/>
        <v>0.0186</v>
      </c>
      <c r="O42" s="215">
        <f t="shared" si="243"/>
        <v>0.0172</v>
      </c>
      <c r="P42" s="215">
        <f t="shared" si="243"/>
        <v>0.0198</v>
      </c>
      <c r="Q42" s="215">
        <f t="shared" si="243"/>
        <v>0.0088</v>
      </c>
      <c r="R42" s="173"/>
      <c r="S42" s="172"/>
      <c r="T42" s="165"/>
      <c r="U42" s="165"/>
      <c r="V42" s="165"/>
    </row>
    <row r="43" spans="1:34">
      <c r="A43" s="166" t="s">
        <v>3106</v>
      </c>
      <c r="B43" s="167">
        <f t="shared" si="255"/>
        <v>288.264905382878</v>
      </c>
      <c r="C43" s="167">
        <f t="shared" si="255"/>
        <v>243.645644250133</v>
      </c>
      <c r="D43" s="167">
        <f t="shared" si="246"/>
        <v>243.645644250133</v>
      </c>
      <c r="E43" s="167">
        <f t="shared" si="256"/>
        <v>393.310808259865</v>
      </c>
      <c r="F43" s="167">
        <f t="shared" si="256"/>
        <v>223.079037905512</v>
      </c>
      <c r="G43" s="237"/>
      <c r="H43" s="193">
        <v>2</v>
      </c>
      <c r="I43" s="194">
        <v>2.04</v>
      </c>
      <c r="J43" s="194">
        <v>2.33</v>
      </c>
      <c r="K43" s="194">
        <v>2.07</v>
      </c>
      <c r="L43" s="195">
        <v>0.69</v>
      </c>
      <c r="N43" s="172">
        <f t="shared" si="248"/>
        <v>0.0204</v>
      </c>
      <c r="O43" s="215">
        <f t="shared" si="243"/>
        <v>0.0233</v>
      </c>
      <c r="P43" s="215">
        <f t="shared" si="243"/>
        <v>0.0207</v>
      </c>
      <c r="Q43" s="215">
        <f t="shared" si="243"/>
        <v>0.0069</v>
      </c>
      <c r="R43" s="173"/>
      <c r="S43" s="172"/>
      <c r="T43" s="165"/>
      <c r="U43" s="165"/>
      <c r="V43" s="165"/>
      <c r="X43" s="238"/>
      <c r="Y43" s="239"/>
    </row>
    <row r="44" spans="1:34">
      <c r="A44" s="166" t="s">
        <v>3107</v>
      </c>
      <c r="B44" s="167">
        <f t="shared" si="255"/>
        <v>282.501867290158</v>
      </c>
      <c r="C44" s="167">
        <f t="shared" si="255"/>
        <v>238.097961741555</v>
      </c>
      <c r="D44" s="167">
        <f t="shared" si="246"/>
        <v>238.097961741555</v>
      </c>
      <c r="E44" s="167">
        <f t="shared" si="256"/>
        <v>385.334386460141</v>
      </c>
      <c r="F44" s="167">
        <f t="shared" si="256"/>
        <v>221.550340555677</v>
      </c>
      <c r="G44" s="240"/>
      <c r="H44" s="169">
        <v>1</v>
      </c>
      <c r="I44" s="186">
        <v>1.67</v>
      </c>
      <c r="J44" s="186">
        <v>1.31</v>
      </c>
      <c r="K44" s="186">
        <v>1.85</v>
      </c>
      <c r="L44" s="187">
        <v>0.96</v>
      </c>
      <c r="N44" s="204">
        <f t="shared" si="248"/>
        <v>0.0167</v>
      </c>
      <c r="O44" s="205">
        <f t="shared" si="248"/>
        <v>0.0131</v>
      </c>
      <c r="P44" s="205">
        <f t="shared" si="248"/>
        <v>0.0185</v>
      </c>
      <c r="Q44" s="205">
        <f t="shared" si="248"/>
        <v>0.0096</v>
      </c>
      <c r="R44" s="173"/>
      <c r="S44" s="204">
        <f>B44/B45-1</f>
        <v>0.0161937672307855</v>
      </c>
      <c r="T44" s="205">
        <f>C44/C45-1</f>
        <v>0.0175126570151909</v>
      </c>
      <c r="U44" s="205">
        <f>E44/E45-1</f>
        <v>0.016713420739157</v>
      </c>
      <c r="V44" s="205">
        <f>F44/F45-1</f>
        <v>0.00704700252580626</v>
      </c>
      <c r="Y44" s="165"/>
      <c r="Z44" s="165"/>
    </row>
    <row r="45" ht="13.5" spans="1:34">
      <c r="A45" s="166" t="s">
        <v>3108</v>
      </c>
      <c r="B45" s="241">
        <v>278</v>
      </c>
      <c r="C45" s="241">
        <v>234</v>
      </c>
      <c r="D45" s="241">
        <f t="shared" si="246"/>
        <v>234</v>
      </c>
      <c r="E45" s="241">
        <v>379</v>
      </c>
      <c r="F45" s="242">
        <v>220</v>
      </c>
      <c r="G45" s="206">
        <v>2012</v>
      </c>
      <c r="H45" s="207">
        <v>4</v>
      </c>
      <c r="I45" s="208">
        <v>0.91</v>
      </c>
      <c r="J45" s="208">
        <v>0.68</v>
      </c>
      <c r="K45" s="208">
        <v>0.98</v>
      </c>
      <c r="L45" s="209">
        <v>0.9</v>
      </c>
      <c r="N45" s="172">
        <f t="shared" si="248"/>
        <v>0.0091</v>
      </c>
      <c r="O45" s="165">
        <f t="shared" si="248"/>
        <v>0.0068</v>
      </c>
      <c r="P45" s="165">
        <f t="shared" si="248"/>
        <v>0.0098</v>
      </c>
      <c r="Q45" s="165">
        <f t="shared" si="248"/>
        <v>0.009</v>
      </c>
      <c r="R45" s="173"/>
      <c r="S45" s="200"/>
      <c r="T45" s="201"/>
      <c r="U45" s="201"/>
      <c r="V45" s="201"/>
      <c r="X45" s="201"/>
      <c r="Y45" s="201"/>
      <c r="Z45" s="201"/>
    </row>
    <row r="46" spans="1:34">
      <c r="A46" s="166" t="s">
        <v>3109</v>
      </c>
      <c r="B46" s="167">
        <f>B45/(1+N45)</f>
        <v>275.493013576454</v>
      </c>
      <c r="C46" s="167">
        <f>C45/(1+O45)</f>
        <v>232.419547079857</v>
      </c>
      <c r="D46" s="167">
        <f t="shared" si="246"/>
        <v>232.419547079857</v>
      </c>
      <c r="E46" s="167">
        <f t="shared" ref="E46:F48" si="257">E45/(1+P45)</f>
        <v>375.321845910081</v>
      </c>
      <c r="F46" s="167">
        <f t="shared" si="257"/>
        <v>218.037661050545</v>
      </c>
      <c r="G46" s="168"/>
      <c r="H46" s="212">
        <v>3</v>
      </c>
      <c r="I46" s="213">
        <v>0.09</v>
      </c>
      <c r="J46" s="213">
        <v>0.29</v>
      </c>
      <c r="K46" s="213">
        <v>-0.01</v>
      </c>
      <c r="L46" s="214">
        <v>0.58</v>
      </c>
      <c r="N46" s="172">
        <f t="shared" si="248"/>
        <v>0.0009</v>
      </c>
      <c r="O46" s="165">
        <f t="shared" si="248"/>
        <v>0.0029</v>
      </c>
      <c r="P46" s="165">
        <f t="shared" si="248"/>
        <v>-0.0001</v>
      </c>
      <c r="Q46" s="165">
        <f t="shared" si="248"/>
        <v>0.0058</v>
      </c>
      <c r="R46" s="173"/>
      <c r="S46" s="172"/>
      <c r="T46" s="165"/>
      <c r="U46" s="165"/>
      <c r="V46" s="165"/>
    </row>
    <row r="47" spans="1:34">
      <c r="A47" s="166" t="s">
        <v>3110</v>
      </c>
      <c r="B47" s="167">
        <f>B46/(1+N46)</f>
        <v>275.245292812923</v>
      </c>
      <c r="C47" s="167">
        <f>C46/(1+O46)</f>
        <v>231.747479389627</v>
      </c>
      <c r="D47" s="167">
        <f t="shared" si="246"/>
        <v>231.747479389627</v>
      </c>
      <c r="E47" s="167">
        <f t="shared" si="257"/>
        <v>375.359381848266</v>
      </c>
      <c r="F47" s="167">
        <f t="shared" si="257"/>
        <v>216.780335106925</v>
      </c>
      <c r="G47" s="168"/>
      <c r="H47" s="193">
        <v>2</v>
      </c>
      <c r="I47" s="194">
        <v>0.02</v>
      </c>
      <c r="J47" s="194">
        <v>0.12</v>
      </c>
      <c r="K47" s="194">
        <v>-0.08</v>
      </c>
      <c r="L47" s="195">
        <v>1.24</v>
      </c>
      <c r="N47" s="172">
        <f t="shared" si="248"/>
        <v>0.0002</v>
      </c>
      <c r="O47" s="165">
        <f t="shared" si="248"/>
        <v>0.0012</v>
      </c>
      <c r="P47" s="165">
        <f t="shared" si="248"/>
        <v>-0.0008</v>
      </c>
      <c r="Q47" s="165">
        <f t="shared" si="248"/>
        <v>0.0124</v>
      </c>
      <c r="R47" s="173"/>
      <c r="S47" s="172"/>
      <c r="T47" s="165"/>
      <c r="U47" s="165"/>
      <c r="V47" s="165"/>
    </row>
    <row r="48" ht="13.5" spans="1:34">
      <c r="A48" s="166" t="s">
        <v>3111</v>
      </c>
      <c r="B48" s="167">
        <f>B47/(1+N47)</f>
        <v>275.19025476197</v>
      </c>
      <c r="C48" s="243">
        <v>232</v>
      </c>
      <c r="D48" s="243">
        <f t="shared" si="246"/>
        <v>232</v>
      </c>
      <c r="E48" s="167">
        <f t="shared" si="257"/>
        <v>375.659909776087</v>
      </c>
      <c r="F48" s="167">
        <f t="shared" si="257"/>
        <v>214.125182839713</v>
      </c>
      <c r="G48" s="203"/>
      <c r="H48" s="169">
        <v>1</v>
      </c>
      <c r="I48" s="186">
        <v>0.02</v>
      </c>
      <c r="J48" s="186">
        <v>0.13</v>
      </c>
      <c r="K48" s="186">
        <v>-0.04</v>
      </c>
      <c r="L48" s="187">
        <v>0.46</v>
      </c>
      <c r="N48" s="172">
        <f t="shared" si="248"/>
        <v>0.0002</v>
      </c>
      <c r="O48" s="165">
        <f t="shared" si="248"/>
        <v>0.0013</v>
      </c>
      <c r="P48" s="165">
        <f t="shared" si="248"/>
        <v>-0.0004</v>
      </c>
      <c r="Q48" s="165">
        <f t="shared" si="248"/>
        <v>0.0046</v>
      </c>
      <c r="R48" s="173"/>
      <c r="S48" s="204">
        <f>B48/B49-1</f>
        <v>0.000691835498073612</v>
      </c>
      <c r="T48" s="205">
        <f>C48/C49-1</f>
        <v>0</v>
      </c>
      <c r="U48" s="205">
        <f>E48/E49-1</f>
        <v>-0.000904495276364603</v>
      </c>
      <c r="V48" s="205">
        <f>F48/F49-1</f>
        <v>0.00528254854325128</v>
      </c>
      <c r="X48" s="165"/>
      <c r="Y48" s="165"/>
      <c r="Z48" s="165"/>
    </row>
    <row r="49" ht="13.5" spans="1:26">
      <c r="A49" s="166" t="s">
        <v>3112</v>
      </c>
      <c r="B49" s="197">
        <v>275</v>
      </c>
      <c r="C49" s="197">
        <v>232</v>
      </c>
      <c r="D49" s="197">
        <f t="shared" si="246"/>
        <v>232</v>
      </c>
      <c r="E49" s="197">
        <v>376</v>
      </c>
      <c r="F49" s="198">
        <v>213</v>
      </c>
      <c r="G49" s="206">
        <v>2011</v>
      </c>
      <c r="H49" s="207">
        <v>4</v>
      </c>
      <c r="I49" s="208">
        <v>-0.2</v>
      </c>
      <c r="J49" s="208">
        <v>0.04</v>
      </c>
      <c r="K49" s="208">
        <v>-0.34</v>
      </c>
      <c r="L49" s="209">
        <v>0.46</v>
      </c>
      <c r="N49" s="210">
        <f t="shared" si="248"/>
        <v>-0.002</v>
      </c>
      <c r="O49" s="211">
        <f t="shared" si="248"/>
        <v>0.0004</v>
      </c>
      <c r="P49" s="211">
        <f t="shared" si="248"/>
        <v>-0.0034</v>
      </c>
      <c r="Q49" s="211">
        <f t="shared" si="248"/>
        <v>0.0046</v>
      </c>
      <c r="R49" s="173"/>
      <c r="S49" s="200"/>
      <c r="T49" s="201"/>
      <c r="U49" s="201"/>
      <c r="V49" s="201"/>
      <c r="X49" s="201"/>
      <c r="Y49" s="201"/>
      <c r="Z49" s="201"/>
    </row>
    <row r="50" spans="1:26">
      <c r="A50" s="166" t="s">
        <v>3113</v>
      </c>
      <c r="B50" s="167">
        <f t="shared" ref="B50:C52" si="258">B49/(1+N49)</f>
        <v>275.551102204409</v>
      </c>
      <c r="C50" s="167">
        <f t="shared" si="258"/>
        <v>231.907237105158</v>
      </c>
      <c r="D50" s="167">
        <f t="shared" si="246"/>
        <v>231.907237105158</v>
      </c>
      <c r="E50" s="167">
        <f t="shared" ref="E50:F52" si="259">E49/(1+P49)</f>
        <v>377.282761388722</v>
      </c>
      <c r="F50" s="167">
        <f t="shared" si="259"/>
        <v>212.024686442365</v>
      </c>
      <c r="G50" s="168">
        <v>2011</v>
      </c>
      <c r="H50" s="212">
        <v>3</v>
      </c>
      <c r="I50" s="213">
        <v>0.13</v>
      </c>
      <c r="J50" s="213">
        <v>0.75</v>
      </c>
      <c r="K50" s="213">
        <v>-0.08</v>
      </c>
      <c r="L50" s="214">
        <v>0.53</v>
      </c>
      <c r="N50" s="172">
        <f t="shared" si="248"/>
        <v>0.0013</v>
      </c>
      <c r="O50" s="215">
        <f t="shared" si="248"/>
        <v>0.0075</v>
      </c>
      <c r="P50" s="215">
        <f t="shared" si="248"/>
        <v>-0.0008</v>
      </c>
      <c r="Q50" s="215">
        <f t="shared" si="248"/>
        <v>0.0053</v>
      </c>
      <c r="R50" s="173"/>
      <c r="S50" s="172"/>
      <c r="T50" s="165"/>
      <c r="U50" s="165"/>
      <c r="V50" s="165"/>
    </row>
    <row r="51" spans="1:26">
      <c r="A51" s="166" t="s">
        <v>3114</v>
      </c>
      <c r="B51" s="167">
        <f t="shared" si="258"/>
        <v>275.193350848306</v>
      </c>
      <c r="C51" s="167">
        <f t="shared" si="258"/>
        <v>230.180880501397</v>
      </c>
      <c r="D51" s="167">
        <f t="shared" si="246"/>
        <v>230.180880501397</v>
      </c>
      <c r="E51" s="167">
        <f t="shared" si="259"/>
        <v>377.584829252123</v>
      </c>
      <c r="F51" s="167">
        <f t="shared" si="259"/>
        <v>210.906879978479</v>
      </c>
      <c r="G51" s="168">
        <v>2011</v>
      </c>
      <c r="H51" s="193">
        <v>2</v>
      </c>
      <c r="I51" s="194">
        <v>-0.4</v>
      </c>
      <c r="J51" s="194">
        <v>0.17</v>
      </c>
      <c r="K51" s="194">
        <v>-0.58</v>
      </c>
      <c r="L51" s="195">
        <v>-0.2</v>
      </c>
      <c r="N51" s="172">
        <f t="shared" si="248"/>
        <v>-0.004</v>
      </c>
      <c r="O51" s="215">
        <f t="shared" si="248"/>
        <v>0.0017</v>
      </c>
      <c r="P51" s="215">
        <f t="shared" si="248"/>
        <v>-0.0058</v>
      </c>
      <c r="Q51" s="215">
        <f t="shared" si="248"/>
        <v>-0.002</v>
      </c>
      <c r="R51" s="173"/>
      <c r="S51" s="172"/>
      <c r="T51" s="165"/>
      <c r="U51" s="165"/>
      <c r="V51" s="165"/>
    </row>
    <row r="52" ht="13.5" spans="1:26">
      <c r="A52" s="166" t="s">
        <v>3115</v>
      </c>
      <c r="B52" s="167">
        <f t="shared" si="258"/>
        <v>276.29854502842</v>
      </c>
      <c r="C52" s="167">
        <f t="shared" si="258"/>
        <v>229.79023709833</v>
      </c>
      <c r="D52" s="167">
        <f t="shared" si="246"/>
        <v>229.79023709833</v>
      </c>
      <c r="E52" s="167">
        <f t="shared" si="259"/>
        <v>379.787597316559</v>
      </c>
      <c r="F52" s="167">
        <f t="shared" si="259"/>
        <v>211.329539056592</v>
      </c>
      <c r="G52" s="203">
        <v>2011</v>
      </c>
      <c r="H52" s="169">
        <v>1</v>
      </c>
      <c r="I52" s="186">
        <v>2.65</v>
      </c>
      <c r="J52" s="186">
        <v>3.76</v>
      </c>
      <c r="K52" s="186">
        <v>1.89</v>
      </c>
      <c r="L52" s="187">
        <v>7.95</v>
      </c>
      <c r="N52" s="204">
        <f t="shared" si="248"/>
        <v>0.0265</v>
      </c>
      <c r="O52" s="205">
        <f t="shared" si="248"/>
        <v>0.0376</v>
      </c>
      <c r="P52" s="205">
        <f t="shared" si="248"/>
        <v>0.0189</v>
      </c>
      <c r="Q52" s="205">
        <f t="shared" si="248"/>
        <v>0.0795</v>
      </c>
      <c r="R52" s="173"/>
      <c r="S52" s="204">
        <f>B52/B53-1</f>
        <v>0.0271321376521179</v>
      </c>
      <c r="T52" s="205">
        <f>C52/C53-1</f>
        <v>0.0397748284992319</v>
      </c>
      <c r="U52" s="205">
        <f>E52/E53-1</f>
        <v>0.0181973118406418</v>
      </c>
      <c r="V52" s="205">
        <f>F52/F53-1</f>
        <v>0.0782119339622058</v>
      </c>
      <c r="X52" s="165"/>
      <c r="Y52" s="165"/>
      <c r="Z52" s="165"/>
    </row>
    <row r="53" ht="13.5" spans="1:26">
      <c r="A53" s="166" t="s">
        <v>3116</v>
      </c>
      <c r="B53" s="197">
        <v>269</v>
      </c>
      <c r="C53" s="197">
        <v>221</v>
      </c>
      <c r="D53" s="197">
        <f t="shared" si="246"/>
        <v>221</v>
      </c>
      <c r="E53" s="197">
        <v>373</v>
      </c>
      <c r="F53" s="198">
        <v>196</v>
      </c>
      <c r="G53" s="206">
        <v>2010</v>
      </c>
      <c r="H53" s="207">
        <v>4</v>
      </c>
      <c r="I53" s="208">
        <v>5.72</v>
      </c>
      <c r="J53" s="208">
        <v>6.57</v>
      </c>
      <c r="K53" s="208">
        <v>5.72</v>
      </c>
      <c r="L53" s="209">
        <v>2.72</v>
      </c>
      <c r="N53" s="172">
        <f t="shared" si="248"/>
        <v>0.0572</v>
      </c>
      <c r="O53" s="165">
        <f t="shared" si="248"/>
        <v>0.0657</v>
      </c>
      <c r="P53" s="165">
        <f t="shared" si="248"/>
        <v>0.0572</v>
      </c>
      <c r="Q53" s="165">
        <f t="shared" si="248"/>
        <v>0.0272</v>
      </c>
      <c r="R53" s="173"/>
      <c r="S53" s="200"/>
      <c r="T53" s="201"/>
      <c r="U53" s="201"/>
      <c r="V53" s="201"/>
      <c r="X53" s="201"/>
      <c r="Y53" s="201"/>
      <c r="Z53" s="201"/>
    </row>
    <row r="54" spans="1:26">
      <c r="A54" s="166" t="s">
        <v>3117</v>
      </c>
      <c r="B54" s="167">
        <f t="shared" ref="B54:C56" si="260">B53/(1+N53)</f>
        <v>254.445705637533</v>
      </c>
      <c r="C54" s="167">
        <f t="shared" si="260"/>
        <v>207.375433987051</v>
      </c>
      <c r="D54" s="167">
        <f t="shared" si="246"/>
        <v>207.375433987051</v>
      </c>
      <c r="E54" s="167">
        <f t="shared" ref="E54:F56" si="261">E53/(1+P53)</f>
        <v>352.818766553159</v>
      </c>
      <c r="F54" s="167">
        <f t="shared" si="261"/>
        <v>190.809968847352</v>
      </c>
      <c r="G54" s="168">
        <v>2010</v>
      </c>
      <c r="H54" s="212">
        <v>3</v>
      </c>
      <c r="I54" s="213">
        <v>4.73</v>
      </c>
      <c r="J54" s="213">
        <v>3.9</v>
      </c>
      <c r="K54" s="213">
        <v>5.03</v>
      </c>
      <c r="L54" s="214">
        <v>4.21</v>
      </c>
      <c r="N54" s="172">
        <f t="shared" si="248"/>
        <v>0.0473</v>
      </c>
      <c r="O54" s="165">
        <f t="shared" si="248"/>
        <v>0.039</v>
      </c>
      <c r="P54" s="165">
        <f t="shared" si="248"/>
        <v>0.0503</v>
      </c>
      <c r="Q54" s="165">
        <f t="shared" si="248"/>
        <v>0.0421</v>
      </c>
      <c r="R54" s="173"/>
      <c r="S54" s="172"/>
      <c r="T54" s="165"/>
      <c r="U54" s="165"/>
      <c r="V54" s="165"/>
    </row>
    <row r="55" spans="1:26">
      <c r="A55" s="166" t="s">
        <v>3118</v>
      </c>
      <c r="B55" s="167">
        <f t="shared" si="260"/>
        <v>242.953982275884</v>
      </c>
      <c r="C55" s="167">
        <f t="shared" si="260"/>
        <v>199.591370536141</v>
      </c>
      <c r="D55" s="167">
        <f t="shared" si="246"/>
        <v>199.591370536141</v>
      </c>
      <c r="E55" s="167">
        <f t="shared" si="261"/>
        <v>335.921895223421</v>
      </c>
      <c r="F55" s="167">
        <f t="shared" si="261"/>
        <v>183.101399911095</v>
      </c>
      <c r="G55" s="168">
        <v>2010</v>
      </c>
      <c r="H55" s="193">
        <v>2</v>
      </c>
      <c r="I55" s="194">
        <v>4.69</v>
      </c>
      <c r="J55" s="194">
        <v>3.55</v>
      </c>
      <c r="K55" s="194">
        <v>5.07</v>
      </c>
      <c r="L55" s="195">
        <v>4.23</v>
      </c>
      <c r="N55" s="172">
        <f t="shared" si="248"/>
        <v>0.0469</v>
      </c>
      <c r="O55" s="165">
        <f t="shared" si="248"/>
        <v>0.0355</v>
      </c>
      <c r="P55" s="165">
        <f t="shared" si="248"/>
        <v>0.0507</v>
      </c>
      <c r="Q55" s="165">
        <f t="shared" si="248"/>
        <v>0.0423</v>
      </c>
      <c r="R55" s="173"/>
      <c r="S55" s="172"/>
      <c r="T55" s="165"/>
      <c r="U55" s="165"/>
      <c r="V55" s="165"/>
    </row>
    <row r="56" ht="13.5" spans="1:26">
      <c r="A56" s="166" t="s">
        <v>3119</v>
      </c>
      <c r="B56" s="167">
        <f t="shared" si="260"/>
        <v>232.069903788216</v>
      </c>
      <c r="C56" s="167">
        <f t="shared" si="260"/>
        <v>192.748788542869</v>
      </c>
      <c r="D56" s="167">
        <f t="shared" si="246"/>
        <v>192.748788542869</v>
      </c>
      <c r="E56" s="167">
        <f t="shared" si="261"/>
        <v>319.71247284993</v>
      </c>
      <c r="F56" s="167">
        <f t="shared" si="261"/>
        <v>175.670536228624</v>
      </c>
      <c r="G56" s="203">
        <v>2010</v>
      </c>
      <c r="H56" s="169">
        <v>1</v>
      </c>
      <c r="I56" s="186">
        <v>5.4</v>
      </c>
      <c r="J56" s="186">
        <v>3.2</v>
      </c>
      <c r="K56" s="186">
        <v>6.16</v>
      </c>
      <c r="L56" s="187">
        <v>4.51</v>
      </c>
      <c r="N56" s="172">
        <f t="shared" si="248"/>
        <v>0.054</v>
      </c>
      <c r="O56" s="165">
        <f t="shared" si="248"/>
        <v>0.032</v>
      </c>
      <c r="P56" s="165">
        <f t="shared" si="248"/>
        <v>0.0616</v>
      </c>
      <c r="Q56" s="165">
        <f t="shared" si="248"/>
        <v>0.0451</v>
      </c>
      <c r="R56" s="173"/>
      <c r="S56" s="204">
        <f>B56/B57-1</f>
        <v>0.0548631990373476</v>
      </c>
      <c r="T56" s="205">
        <f>C56/C57-1</f>
        <v>0.0307421847212266</v>
      </c>
      <c r="U56" s="205">
        <f>E56/E57-1</f>
        <v>0.0621676838868102</v>
      </c>
      <c r="V56" s="205">
        <f>F56/F57-1</f>
        <v>0.04565795374181</v>
      </c>
      <c r="X56" s="165"/>
      <c r="Y56" s="165"/>
      <c r="Z56" s="165"/>
    </row>
    <row r="57" ht="13.5" spans="1:26">
      <c r="A57" s="166" t="s">
        <v>3120</v>
      </c>
      <c r="B57" s="197">
        <v>220</v>
      </c>
      <c r="C57" s="197">
        <v>187</v>
      </c>
      <c r="D57" s="197">
        <f t="shared" si="246"/>
        <v>187</v>
      </c>
      <c r="E57" s="197">
        <v>301</v>
      </c>
      <c r="F57" s="198">
        <v>168</v>
      </c>
      <c r="G57" s="206">
        <v>2009</v>
      </c>
      <c r="H57" s="207">
        <v>4</v>
      </c>
      <c r="I57" s="208">
        <v>2.3</v>
      </c>
      <c r="J57" s="208">
        <v>1.04</v>
      </c>
      <c r="K57" s="208">
        <v>2.84</v>
      </c>
      <c r="L57" s="209">
        <v>0.67</v>
      </c>
      <c r="N57" s="210">
        <f t="shared" si="248"/>
        <v>0.023</v>
      </c>
      <c r="O57" s="211">
        <f t="shared" si="248"/>
        <v>0.0104</v>
      </c>
      <c r="P57" s="211">
        <f t="shared" si="248"/>
        <v>0.0284</v>
      </c>
      <c r="Q57" s="211">
        <f t="shared" si="248"/>
        <v>0.0067</v>
      </c>
      <c r="R57" s="173"/>
      <c r="S57" s="200"/>
      <c r="T57" s="201"/>
      <c r="U57" s="201"/>
      <c r="V57" s="201"/>
      <c r="X57" s="201"/>
      <c r="Y57" s="201"/>
      <c r="Z57" s="201"/>
    </row>
    <row r="58" spans="1:26">
      <c r="A58" s="166" t="s">
        <v>3121</v>
      </c>
      <c r="B58" s="167">
        <f t="shared" ref="B58:C60" si="262">B57/(1+N57)</f>
        <v>215.05376344086</v>
      </c>
      <c r="C58" s="167">
        <f t="shared" si="262"/>
        <v>185.07521773555</v>
      </c>
      <c r="D58" s="167">
        <f t="shared" si="246"/>
        <v>185.07521773555</v>
      </c>
      <c r="E58" s="167">
        <f t="shared" ref="E58:F60" si="263">E57/(1+P57)</f>
        <v>292.68767016725</v>
      </c>
      <c r="F58" s="167">
        <f t="shared" si="263"/>
        <v>166.881891328102</v>
      </c>
      <c r="G58" s="168">
        <v>2009</v>
      </c>
      <c r="H58" s="212">
        <v>3</v>
      </c>
      <c r="I58" s="213">
        <v>2.1</v>
      </c>
      <c r="J58" s="213">
        <v>1.86</v>
      </c>
      <c r="K58" s="213">
        <v>2.29</v>
      </c>
      <c r="L58" s="214">
        <v>0.85</v>
      </c>
      <c r="N58" s="172">
        <f t="shared" si="248"/>
        <v>0.021</v>
      </c>
      <c r="O58" s="215">
        <f t="shared" si="248"/>
        <v>0.0186</v>
      </c>
      <c r="P58" s="215">
        <f t="shared" si="248"/>
        <v>0.0229</v>
      </c>
      <c r="Q58" s="215">
        <f t="shared" si="248"/>
        <v>0.0085</v>
      </c>
      <c r="R58" s="173"/>
      <c r="S58" s="172"/>
      <c r="T58" s="165"/>
      <c r="U58" s="165"/>
      <c r="V58" s="165"/>
    </row>
    <row r="59" spans="1:26">
      <c r="A59" s="166" t="s">
        <v>3122</v>
      </c>
      <c r="B59" s="167">
        <f t="shared" si="262"/>
        <v>210.630522469011</v>
      </c>
      <c r="C59" s="167">
        <f t="shared" si="262"/>
        <v>181.695678122472</v>
      </c>
      <c r="D59" s="167">
        <f t="shared" si="246"/>
        <v>181.695678122472</v>
      </c>
      <c r="E59" s="167">
        <f t="shared" si="263"/>
        <v>286.135174667367</v>
      </c>
      <c r="F59" s="167">
        <f t="shared" si="263"/>
        <v>165.475350845911</v>
      </c>
      <c r="G59" s="168">
        <v>2009</v>
      </c>
      <c r="H59" s="193">
        <v>2</v>
      </c>
      <c r="I59" s="194">
        <v>0.86</v>
      </c>
      <c r="J59" s="194">
        <v>-1.13</v>
      </c>
      <c r="K59" s="194">
        <v>1.79</v>
      </c>
      <c r="L59" s="195">
        <v>-2.07</v>
      </c>
      <c r="N59" s="172">
        <f t="shared" si="248"/>
        <v>0.0086</v>
      </c>
      <c r="O59" s="215">
        <f t="shared" si="248"/>
        <v>-0.0113</v>
      </c>
      <c r="P59" s="215">
        <f t="shared" si="248"/>
        <v>0.0179</v>
      </c>
      <c r="Q59" s="215">
        <f t="shared" si="248"/>
        <v>-0.0207</v>
      </c>
      <c r="R59" s="173"/>
      <c r="S59" s="172"/>
      <c r="T59" s="165"/>
      <c r="U59" s="165"/>
      <c r="V59" s="165"/>
    </row>
    <row r="60" spans="1:26">
      <c r="A60" s="166" t="s">
        <v>3123</v>
      </c>
      <c r="B60" s="167">
        <f t="shared" si="262"/>
        <v>208.834545378754</v>
      </c>
      <c r="C60" s="167">
        <f t="shared" si="262"/>
        <v>183.772305170904</v>
      </c>
      <c r="D60" s="167">
        <f t="shared" si="246"/>
        <v>183.772305170904</v>
      </c>
      <c r="E60" s="167">
        <f t="shared" si="263"/>
        <v>281.103423388709</v>
      </c>
      <c r="F60" s="167">
        <f t="shared" si="263"/>
        <v>168.973093889423</v>
      </c>
      <c r="G60" s="203">
        <v>2009</v>
      </c>
      <c r="H60" s="169">
        <v>1</v>
      </c>
      <c r="I60" s="186">
        <v>-2.64</v>
      </c>
      <c r="J60" s="186">
        <v>-2.53</v>
      </c>
      <c r="K60" s="186">
        <v>-3.02</v>
      </c>
      <c r="L60" s="187">
        <v>1.52</v>
      </c>
      <c r="N60" s="204">
        <f t="shared" si="248"/>
        <v>-0.0264</v>
      </c>
      <c r="O60" s="205">
        <f t="shared" si="248"/>
        <v>-0.0253</v>
      </c>
      <c r="P60" s="205">
        <f t="shared" si="248"/>
        <v>-0.0302</v>
      </c>
      <c r="Q60" s="205">
        <f t="shared" si="248"/>
        <v>0.0152</v>
      </c>
      <c r="R60" s="173"/>
      <c r="S60" s="204">
        <f>B60/B61-1</f>
        <v>-0.0241376384170388</v>
      </c>
      <c r="T60" s="205">
        <f>C60/C61-1</f>
        <v>-0.022487738452641</v>
      </c>
      <c r="U60" s="205">
        <f>E60/E61-1</f>
        <v>-0.0273237945027354</v>
      </c>
      <c r="V60" s="205">
        <f>F60/F61-1</f>
        <v>0.017910204153148</v>
      </c>
      <c r="X60" s="165"/>
      <c r="Y60" s="165"/>
      <c r="Z60" s="165"/>
    </row>
    <row r="61" ht="13.5" spans="1:26">
      <c r="A61" s="166" t="s">
        <v>3124</v>
      </c>
      <c r="B61" s="241">
        <v>214</v>
      </c>
      <c r="C61" s="241">
        <v>188</v>
      </c>
      <c r="D61" s="241">
        <f t="shared" si="246"/>
        <v>188</v>
      </c>
      <c r="E61" s="241">
        <v>289</v>
      </c>
      <c r="F61" s="242">
        <v>166</v>
      </c>
      <c r="G61" s="206">
        <v>2008</v>
      </c>
      <c r="H61" s="207">
        <v>4</v>
      </c>
      <c r="I61" s="208">
        <v>1.73</v>
      </c>
      <c r="J61" s="208">
        <v>0.03</v>
      </c>
      <c r="K61" s="208">
        <v>2.59</v>
      </c>
      <c r="L61" s="209">
        <v>-1.66</v>
      </c>
      <c r="N61" s="172">
        <f t="shared" si="248"/>
        <v>0.0173</v>
      </c>
      <c r="O61" s="165">
        <f t="shared" si="248"/>
        <v>0.0003</v>
      </c>
      <c r="P61" s="165">
        <f t="shared" si="248"/>
        <v>0.0259</v>
      </c>
      <c r="Q61" s="165">
        <f t="shared" si="248"/>
        <v>-0.0166</v>
      </c>
      <c r="R61" s="173"/>
      <c r="S61" s="200"/>
      <c r="T61" s="201"/>
      <c r="U61" s="201"/>
      <c r="V61" s="201"/>
      <c r="X61" s="201"/>
      <c r="Y61" s="201"/>
      <c r="Z61" s="201"/>
    </row>
    <row r="62" spans="1:26">
      <c r="A62" s="166" t="s">
        <v>3125</v>
      </c>
      <c r="B62" s="167">
        <f t="shared" ref="B62:C64" si="264">B61/(1+N61)</f>
        <v>210.360758871523</v>
      </c>
      <c r="C62" s="167">
        <f t="shared" si="264"/>
        <v>187.943616914926</v>
      </c>
      <c r="D62" s="167">
        <f t="shared" si="246"/>
        <v>187.943616914926</v>
      </c>
      <c r="E62" s="167">
        <f t="shared" ref="E62:F64" si="265">E61/(1+P61)</f>
        <v>281.703869772882</v>
      </c>
      <c r="F62" s="167">
        <f t="shared" si="265"/>
        <v>168.80211511084</v>
      </c>
      <c r="G62" s="168">
        <v>2008</v>
      </c>
      <c r="H62" s="212">
        <v>3</v>
      </c>
      <c r="I62" s="213">
        <v>1.96</v>
      </c>
      <c r="J62" s="213">
        <v>2.36</v>
      </c>
      <c r="K62" s="213">
        <v>1.82</v>
      </c>
      <c r="L62" s="214">
        <v>2.22</v>
      </c>
      <c r="N62" s="172">
        <f t="shared" si="248"/>
        <v>0.0196</v>
      </c>
      <c r="O62" s="165">
        <f t="shared" si="248"/>
        <v>0.0236</v>
      </c>
      <c r="P62" s="165">
        <f t="shared" si="248"/>
        <v>0.0182</v>
      </c>
      <c r="Q62" s="165">
        <f t="shared" si="248"/>
        <v>0.0222</v>
      </c>
      <c r="R62" s="173"/>
      <c r="S62" s="172"/>
      <c r="T62" s="165"/>
      <c r="U62" s="165"/>
      <c r="V62" s="165"/>
    </row>
    <row r="63" spans="1:26">
      <c r="A63" s="166" t="s">
        <v>3126</v>
      </c>
      <c r="B63" s="167">
        <f t="shared" si="264"/>
        <v>206.316946715891</v>
      </c>
      <c r="C63" s="167">
        <f t="shared" si="264"/>
        <v>183.610411210361</v>
      </c>
      <c r="D63" s="167">
        <f t="shared" si="246"/>
        <v>183.610411210361</v>
      </c>
      <c r="E63" s="167">
        <f t="shared" si="265"/>
        <v>276.668503017956</v>
      </c>
      <c r="F63" s="167">
        <f t="shared" si="265"/>
        <v>165.136093827861</v>
      </c>
      <c r="G63" s="168">
        <v>2008</v>
      </c>
      <c r="H63" s="193">
        <v>2</v>
      </c>
      <c r="I63" s="194">
        <v>4.93</v>
      </c>
      <c r="J63" s="194">
        <v>7.38</v>
      </c>
      <c r="K63" s="194">
        <v>3.98</v>
      </c>
      <c r="L63" s="195">
        <v>6.86</v>
      </c>
      <c r="N63" s="172">
        <f t="shared" si="248"/>
        <v>0.0493</v>
      </c>
      <c r="O63" s="165">
        <f t="shared" si="248"/>
        <v>0.0738</v>
      </c>
      <c r="P63" s="165">
        <f t="shared" si="248"/>
        <v>0.0398</v>
      </c>
      <c r="Q63" s="165">
        <f t="shared" si="248"/>
        <v>0.0686</v>
      </c>
      <c r="R63" s="173"/>
      <c r="S63" s="172"/>
      <c r="T63" s="165"/>
      <c r="U63" s="165"/>
      <c r="V63" s="165"/>
    </row>
    <row r="64" s="142" customFormat="1" ht="13.5" spans="1:26">
      <c r="A64" s="166" t="s">
        <v>3127</v>
      </c>
      <c r="B64" s="244">
        <f t="shared" si="264"/>
        <v>196.623412480598</v>
      </c>
      <c r="C64" s="244">
        <f t="shared" si="264"/>
        <v>170.99125648199</v>
      </c>
      <c r="D64" s="244">
        <f t="shared" si="246"/>
        <v>170.99125648199</v>
      </c>
      <c r="E64" s="244">
        <f t="shared" si="265"/>
        <v>266.078575704901</v>
      </c>
      <c r="F64" s="244">
        <f t="shared" si="265"/>
        <v>154.534993288285</v>
      </c>
      <c r="G64" s="203">
        <v>2008</v>
      </c>
      <c r="H64" s="245">
        <v>1</v>
      </c>
      <c r="I64" s="246">
        <v>4.14</v>
      </c>
      <c r="J64" s="246">
        <v>3.45</v>
      </c>
      <c r="K64" s="246">
        <v>4.95</v>
      </c>
      <c r="L64" s="247">
        <v>4.82</v>
      </c>
      <c r="N64" s="248">
        <f t="shared" si="248"/>
        <v>0.0414</v>
      </c>
      <c r="O64" s="249">
        <f t="shared" si="248"/>
        <v>0.0345</v>
      </c>
      <c r="P64" s="249">
        <f t="shared" si="248"/>
        <v>0.0495</v>
      </c>
      <c r="Q64" s="249">
        <f t="shared" si="248"/>
        <v>0.0482</v>
      </c>
      <c r="R64" s="250"/>
      <c r="S64" s="248">
        <f>B64/B65-1</f>
        <v>0.0458692153223283</v>
      </c>
      <c r="T64" s="249">
        <f>C64/C65-1</f>
        <v>0.0363106453453947</v>
      </c>
      <c r="U64" s="249">
        <f>E64/E65-1</f>
        <v>0.0475534476570887</v>
      </c>
      <c r="V64" s="249">
        <f>F64/F65-1</f>
        <v>0.0441553600559801</v>
      </c>
      <c r="X64" s="249"/>
      <c r="Y64" s="249"/>
      <c r="Z64" s="249"/>
    </row>
    <row r="65" ht="13.5" spans="1:26">
      <c r="A65" s="166" t="s">
        <v>3128</v>
      </c>
      <c r="B65" s="197">
        <v>188</v>
      </c>
      <c r="C65" s="197">
        <v>165</v>
      </c>
      <c r="D65" s="197">
        <f t="shared" si="246"/>
        <v>165</v>
      </c>
      <c r="E65" s="197">
        <v>254</v>
      </c>
      <c r="F65" s="198">
        <v>148</v>
      </c>
      <c r="G65" s="206">
        <v>2007</v>
      </c>
      <c r="H65" s="251">
        <v>4</v>
      </c>
      <c r="I65" s="252">
        <v>5.51</v>
      </c>
      <c r="J65" s="252">
        <v>4.89</v>
      </c>
      <c r="K65" s="252">
        <v>6.43</v>
      </c>
      <c r="L65" s="253">
        <v>5.36</v>
      </c>
      <c r="N65" s="254">
        <f t="shared" ref="N65:O68" si="266">B65/B66-1</f>
        <v>0.0413397183652455</v>
      </c>
      <c r="O65" s="255">
        <f t="shared" si="266"/>
        <v>0.040324492593776</v>
      </c>
      <c r="P65" s="255">
        <f t="shared" ref="P65:Q68" si="267">E65/E66-1</f>
        <v>0.061625555347991</v>
      </c>
      <c r="Q65" s="255">
        <f t="shared" si="267"/>
        <v>0.0467575692505906</v>
      </c>
      <c r="R65" s="173"/>
      <c r="S65" s="200"/>
      <c r="T65" s="201"/>
      <c r="U65" s="201"/>
      <c r="V65" s="201"/>
      <c r="X65" s="201"/>
      <c r="Y65" s="201"/>
      <c r="Z65" s="201"/>
    </row>
    <row r="66" spans="1:26">
      <c r="A66" s="166" t="s">
        <v>3129</v>
      </c>
      <c r="B66" s="167">
        <f t="shared" ref="B66:C68" si="268">B67+(B$65-B$69)*I66/SUM(I$65:I$68)</f>
        <v>180.536665109762</v>
      </c>
      <c r="C66" s="167">
        <f t="shared" si="268"/>
        <v>158.604359673025</v>
      </c>
      <c r="D66" s="167">
        <f t="shared" si="246"/>
        <v>158.604359673025</v>
      </c>
      <c r="E66" s="167">
        <f t="shared" ref="E66:F68" si="269">E67+(E$65-E$69)*K66/SUM(K$65:K$68)</f>
        <v>239.255732607851</v>
      </c>
      <c r="F66" s="167">
        <f t="shared" si="269"/>
        <v>141.3889943074</v>
      </c>
      <c r="G66" s="168">
        <v>2007</v>
      </c>
      <c r="H66" s="212">
        <v>3</v>
      </c>
      <c r="I66" s="213">
        <v>8.65</v>
      </c>
      <c r="J66" s="213">
        <v>8.06</v>
      </c>
      <c r="K66" s="213">
        <v>9.94</v>
      </c>
      <c r="L66" s="214">
        <v>5.8</v>
      </c>
      <c r="N66" s="254">
        <f t="shared" si="266"/>
        <v>0.0694021757174001</v>
      </c>
      <c r="O66" s="255">
        <f t="shared" si="266"/>
        <v>0.0711974824711534</v>
      </c>
      <c r="P66" s="255">
        <f t="shared" si="267"/>
        <v>0.105296799225796</v>
      </c>
      <c r="Q66" s="255">
        <f t="shared" si="267"/>
        <v>0.0532922450595121</v>
      </c>
      <c r="R66" s="173"/>
      <c r="S66" s="172"/>
      <c r="T66" s="165"/>
      <c r="U66" s="165"/>
      <c r="V66" s="165"/>
      <c r="X66" s="256"/>
      <c r="Y66" s="256"/>
      <c r="Z66" s="256"/>
    </row>
    <row r="67" spans="1:26">
      <c r="A67" s="166" t="s">
        <v>3130</v>
      </c>
      <c r="B67" s="167">
        <f t="shared" si="268"/>
        <v>168.820177487156</v>
      </c>
      <c r="C67" s="167">
        <f t="shared" si="268"/>
        <v>148.062670299728</v>
      </c>
      <c r="D67" s="167">
        <f t="shared" si="246"/>
        <v>148.062670299728</v>
      </c>
      <c r="E67" s="167">
        <f t="shared" si="269"/>
        <v>216.462883793237</v>
      </c>
      <c r="F67" s="167">
        <f t="shared" si="269"/>
        <v>134.235294117647</v>
      </c>
      <c r="G67" s="168">
        <v>2007</v>
      </c>
      <c r="H67" s="193">
        <v>2</v>
      </c>
      <c r="I67" s="194">
        <v>3.67</v>
      </c>
      <c r="J67" s="194">
        <v>2.32</v>
      </c>
      <c r="K67" s="194">
        <v>5.02</v>
      </c>
      <c r="L67" s="195">
        <v>6.71</v>
      </c>
      <c r="N67" s="254">
        <f t="shared" si="266"/>
        <v>0.030339138143848</v>
      </c>
      <c r="O67" s="255">
        <f t="shared" si="266"/>
        <v>0.0209223415887905</v>
      </c>
      <c r="P67" s="255">
        <f t="shared" si="267"/>
        <v>0.056164796592717</v>
      </c>
      <c r="Q67" s="255">
        <f t="shared" si="267"/>
        <v>0.0657045367238873</v>
      </c>
      <c r="R67" s="173"/>
      <c r="S67" s="172"/>
      <c r="T67" s="165"/>
      <c r="U67" s="165"/>
      <c r="V67" s="165"/>
      <c r="X67" s="256"/>
      <c r="Y67" s="256"/>
      <c r="Z67" s="256"/>
    </row>
    <row r="68" spans="1:26">
      <c r="A68" s="166" t="s">
        <v>3131</v>
      </c>
      <c r="B68" s="167">
        <f t="shared" si="268"/>
        <v>163.849135917795</v>
      </c>
      <c r="C68" s="167">
        <f t="shared" si="268"/>
        <v>145.028337874659</v>
      </c>
      <c r="D68" s="167">
        <f t="shared" si="246"/>
        <v>145.028337874659</v>
      </c>
      <c r="E68" s="167">
        <f t="shared" si="269"/>
        <v>204.951807228916</v>
      </c>
      <c r="F68" s="167">
        <f t="shared" si="269"/>
        <v>125.959203036053</v>
      </c>
      <c r="G68" s="203">
        <v>2007</v>
      </c>
      <c r="H68" s="169">
        <v>1</v>
      </c>
      <c r="I68" s="186">
        <v>3.58</v>
      </c>
      <c r="J68" s="186">
        <v>3.08</v>
      </c>
      <c r="K68" s="186">
        <v>4.34</v>
      </c>
      <c r="L68" s="187">
        <v>3.21</v>
      </c>
      <c r="N68" s="257">
        <f t="shared" si="266"/>
        <v>0.0304977101748141</v>
      </c>
      <c r="O68" s="258">
        <f t="shared" si="266"/>
        <v>0.028569772160705</v>
      </c>
      <c r="P68" s="258">
        <f t="shared" si="267"/>
        <v>0.0510349088662343</v>
      </c>
      <c r="Q68" s="258">
        <f t="shared" si="267"/>
        <v>0.0324524839020748</v>
      </c>
      <c r="R68" s="173"/>
      <c r="S68" s="204">
        <f>B68/B69-1</f>
        <v>0.0304977101748141</v>
      </c>
      <c r="T68" s="205">
        <f>C68/C69-1</f>
        <v>0.028569772160705</v>
      </c>
      <c r="U68" s="205">
        <f>E68/E69-1</f>
        <v>0.0510349088662343</v>
      </c>
      <c r="V68" s="205">
        <f>F68/F69-1</f>
        <v>0.0324524839020748</v>
      </c>
      <c r="X68" s="256"/>
      <c r="Y68" s="256"/>
      <c r="Z68" s="256"/>
    </row>
    <row r="69" ht="13.5" spans="1:26">
      <c r="A69" s="166" t="s">
        <v>3132</v>
      </c>
      <c r="B69" s="216">
        <v>159</v>
      </c>
      <c r="C69" s="216">
        <v>141</v>
      </c>
      <c r="D69" s="216">
        <f t="shared" si="246"/>
        <v>141</v>
      </c>
      <c r="E69" s="216">
        <v>195</v>
      </c>
      <c r="F69" s="217">
        <v>122</v>
      </c>
      <c r="G69" s="206">
        <v>2006</v>
      </c>
      <c r="H69" s="207">
        <v>4</v>
      </c>
      <c r="I69" s="208">
        <v>3.79</v>
      </c>
      <c r="J69" s="208">
        <v>2.21</v>
      </c>
      <c r="K69" s="208">
        <v>5.65</v>
      </c>
      <c r="L69" s="209">
        <v>5.41</v>
      </c>
      <c r="N69" s="254">
        <f t="shared" ref="N69:O72" si="270">I69/SUM(I$69:I$72)*(B$69/B$73-1)</f>
        <v>0.0724546646274853</v>
      </c>
      <c r="O69" s="255">
        <f t="shared" si="270"/>
        <v>0.0232372300380628</v>
      </c>
      <c r="P69" s="255">
        <f t="shared" ref="P69:Q72" si="271">K69/SUM(K$69:K$72)*(E$69/E$73-1)</f>
        <v>0.161468938663237</v>
      </c>
      <c r="Q69" s="255">
        <f t="shared" si="271"/>
        <v>0.0507552303217938</v>
      </c>
      <c r="R69" s="173"/>
      <c r="S69" s="200"/>
      <c r="T69" s="201"/>
      <c r="U69" s="201"/>
      <c r="V69" s="201"/>
      <c r="X69" s="256"/>
      <c r="Y69" s="256"/>
      <c r="Z69" s="256"/>
    </row>
    <row r="70" spans="1:26">
      <c r="A70" s="166" t="s">
        <v>3133</v>
      </c>
      <c r="B70" s="167">
        <f t="shared" ref="B70:C72" si="272">B71+(B$69-B$73)*I70/SUM(I$69:I$72)</f>
        <v>149.001256281407</v>
      </c>
      <c r="C70" s="167">
        <f t="shared" si="272"/>
        <v>137.955922865014</v>
      </c>
      <c r="D70" s="167">
        <f t="shared" si="246"/>
        <v>137.955922865014</v>
      </c>
      <c r="E70" s="167">
        <f t="shared" ref="E70:F72" si="273">E71+(E$69-E$73)*K70/SUM(K$69:K$72)</f>
        <v>169.972314507198</v>
      </c>
      <c r="F70" s="167">
        <f t="shared" si="273"/>
        <v>116.213903743316</v>
      </c>
      <c r="G70" s="168">
        <v>2006</v>
      </c>
      <c r="H70" s="212">
        <v>3</v>
      </c>
      <c r="I70" s="213">
        <v>0.92</v>
      </c>
      <c r="J70" s="213">
        <v>1.08</v>
      </c>
      <c r="K70" s="213">
        <v>0.73</v>
      </c>
      <c r="L70" s="214">
        <v>1.08</v>
      </c>
      <c r="N70" s="254">
        <f t="shared" si="270"/>
        <v>0.0175879396984925</v>
      </c>
      <c r="O70" s="255">
        <f t="shared" si="270"/>
        <v>0.0113557504258406</v>
      </c>
      <c r="P70" s="255">
        <f t="shared" si="271"/>
        <v>0.0208623584467545</v>
      </c>
      <c r="Q70" s="255">
        <f t="shared" si="271"/>
        <v>0.010132282578103</v>
      </c>
      <c r="R70" s="173"/>
      <c r="S70" s="172"/>
      <c r="T70" s="165"/>
      <c r="U70" s="165"/>
      <c r="V70" s="165"/>
      <c r="X70" s="256"/>
      <c r="Y70" s="256"/>
      <c r="Z70" s="256"/>
    </row>
    <row r="71" spans="1:26">
      <c r="A71" s="166" t="s">
        <v>3134</v>
      </c>
      <c r="B71" s="167">
        <f t="shared" si="272"/>
        <v>146.574120603015</v>
      </c>
      <c r="C71" s="167">
        <f t="shared" si="272"/>
        <v>136.468319559229</v>
      </c>
      <c r="D71" s="167">
        <f t="shared" si="246"/>
        <v>136.468319559229</v>
      </c>
      <c r="E71" s="167">
        <f t="shared" si="273"/>
        <v>166.738648947951</v>
      </c>
      <c r="F71" s="167">
        <f t="shared" si="273"/>
        <v>115.058823529412</v>
      </c>
      <c r="G71" s="168">
        <v>2006</v>
      </c>
      <c r="H71" s="193">
        <v>2</v>
      </c>
      <c r="I71" s="194">
        <v>0.96</v>
      </c>
      <c r="J71" s="194">
        <v>0.25</v>
      </c>
      <c r="K71" s="194">
        <v>1.9</v>
      </c>
      <c r="L71" s="195">
        <v>0.95</v>
      </c>
      <c r="N71" s="254">
        <f t="shared" si="270"/>
        <v>0.0183526327288617</v>
      </c>
      <c r="O71" s="255">
        <f t="shared" si="270"/>
        <v>0.00262864593190755</v>
      </c>
      <c r="P71" s="255">
        <f t="shared" si="271"/>
        <v>0.0542992891079913</v>
      </c>
      <c r="Q71" s="255">
        <f t="shared" si="271"/>
        <v>0.0089126559714795</v>
      </c>
      <c r="R71" s="173"/>
      <c r="S71" s="172"/>
      <c r="T71" s="165"/>
      <c r="U71" s="165"/>
      <c r="V71" s="165"/>
      <c r="X71" s="256"/>
      <c r="Y71" s="256"/>
      <c r="Z71" s="256"/>
    </row>
    <row r="72" spans="1:26">
      <c r="A72" s="166" t="s">
        <v>3135</v>
      </c>
      <c r="B72" s="167">
        <f t="shared" si="272"/>
        <v>144.041457286432</v>
      </c>
      <c r="C72" s="167">
        <f t="shared" si="272"/>
        <v>136.123966942149</v>
      </c>
      <c r="D72" s="167">
        <f t="shared" si="246"/>
        <v>136.123966942149</v>
      </c>
      <c r="E72" s="167">
        <f t="shared" si="273"/>
        <v>158.322259136213</v>
      </c>
      <c r="F72" s="167">
        <f t="shared" si="273"/>
        <v>114.042780748663</v>
      </c>
      <c r="G72" s="203">
        <v>2006</v>
      </c>
      <c r="H72" s="169">
        <v>1</v>
      </c>
      <c r="I72" s="186">
        <v>2.29</v>
      </c>
      <c r="J72" s="186">
        <v>3.72</v>
      </c>
      <c r="K72" s="186">
        <v>0.75</v>
      </c>
      <c r="L72" s="187">
        <v>0.04</v>
      </c>
      <c r="N72" s="257">
        <f t="shared" si="270"/>
        <v>0.0437786759886388</v>
      </c>
      <c r="O72" s="258">
        <f t="shared" si="270"/>
        <v>0.0391142514667844</v>
      </c>
      <c r="P72" s="258">
        <f t="shared" si="271"/>
        <v>0.0214339299110492</v>
      </c>
      <c r="Q72" s="258">
        <f t="shared" si="271"/>
        <v>0.000375269725114926</v>
      </c>
      <c r="R72" s="173"/>
      <c r="S72" s="204">
        <f>B72/B73-1</f>
        <v>0.0437786759886387</v>
      </c>
      <c r="T72" s="205">
        <f>C72/C73-1</f>
        <v>0.0391142514667846</v>
      </c>
      <c r="U72" s="205">
        <f>E72/E73-1</f>
        <v>0.0214339299110493</v>
      </c>
      <c r="V72" s="205">
        <f>F72/F73-1</f>
        <v>0.000375269725114924</v>
      </c>
      <c r="X72" s="256"/>
      <c r="Y72" s="256"/>
      <c r="Z72" s="256"/>
    </row>
    <row r="73" ht="13.5" spans="1:26">
      <c r="A73" s="166" t="s">
        <v>3136</v>
      </c>
      <c r="B73" s="216">
        <v>138</v>
      </c>
      <c r="C73" s="216">
        <v>131</v>
      </c>
      <c r="D73" s="216">
        <f t="shared" si="246"/>
        <v>131</v>
      </c>
      <c r="E73" s="216">
        <v>155</v>
      </c>
      <c r="F73" s="217">
        <v>114</v>
      </c>
      <c r="G73" s="206">
        <v>2005</v>
      </c>
      <c r="H73" s="207">
        <v>4</v>
      </c>
      <c r="I73" s="208">
        <v>3.29</v>
      </c>
      <c r="J73" s="208">
        <v>1.44</v>
      </c>
      <c r="K73" s="208">
        <v>0.66</v>
      </c>
      <c r="L73" s="209">
        <v>7.78</v>
      </c>
      <c r="N73" s="254">
        <f t="shared" ref="N73:O76" si="274">I73/SUM(I$73:I$76)*(B$73/B$77-1)</f>
        <v>0.0994046032169199</v>
      </c>
      <c r="O73" s="255">
        <f t="shared" si="274"/>
        <v>0.0476365507608616</v>
      </c>
      <c r="P73" s="255">
        <f t="shared" ref="P73:Q76" si="275">K73/SUM(K$73:K$76)*(E$73/E$77-1)</f>
        <v>0.083756345177665</v>
      </c>
      <c r="Q73" s="255">
        <f t="shared" si="275"/>
        <v>0.0521487666615596</v>
      </c>
      <c r="R73" s="173"/>
      <c r="S73" s="200"/>
      <c r="T73" s="201"/>
      <c r="U73" s="201"/>
      <c r="V73" s="201"/>
      <c r="X73" s="256"/>
      <c r="Y73" s="256"/>
      <c r="Z73" s="256"/>
    </row>
    <row r="74" spans="1:26">
      <c r="A74" s="166" t="s">
        <v>3137</v>
      </c>
      <c r="B74" s="167">
        <f t="shared" ref="B74:C76" si="276">B75+(B$73-B$77)*I74/SUM(I$73:I$76)</f>
        <v>125.972043010753</v>
      </c>
      <c r="C74" s="167">
        <f t="shared" si="276"/>
        <v>125.188340807175</v>
      </c>
      <c r="D74" s="167">
        <f t="shared" si="246"/>
        <v>125.188340807175</v>
      </c>
      <c r="E74" s="167">
        <f t="shared" ref="E74:F76" si="277">E75+(E$73-E$77)*K74/SUM(K$73:K$76)</f>
        <v>144.61421319797</v>
      </c>
      <c r="F74" s="167">
        <f t="shared" si="277"/>
        <v>108.420081967213</v>
      </c>
      <c r="G74" s="168">
        <v>2005</v>
      </c>
      <c r="H74" s="212">
        <v>3</v>
      </c>
      <c r="I74" s="213">
        <v>0.46</v>
      </c>
      <c r="J74" s="213">
        <v>0.32</v>
      </c>
      <c r="K74" s="213">
        <v>0.42</v>
      </c>
      <c r="L74" s="214">
        <v>0.64</v>
      </c>
      <c r="N74" s="254">
        <f t="shared" si="274"/>
        <v>0.0138985159513019</v>
      </c>
      <c r="O74" s="255">
        <f t="shared" si="274"/>
        <v>0.0105859001690803</v>
      </c>
      <c r="P74" s="255">
        <f t="shared" si="275"/>
        <v>0.0532994923857868</v>
      </c>
      <c r="Q74" s="255">
        <f t="shared" si="275"/>
        <v>0.00428987283591236</v>
      </c>
      <c r="R74" s="173"/>
      <c r="S74" s="172"/>
      <c r="T74" s="165"/>
      <c r="U74" s="165"/>
      <c r="V74" s="165"/>
      <c r="X74" s="256"/>
      <c r="Y74" s="256"/>
      <c r="Z74" s="256"/>
    </row>
    <row r="75" spans="1:26">
      <c r="A75" s="166" t="s">
        <v>3138</v>
      </c>
      <c r="B75" s="167">
        <f t="shared" si="276"/>
        <v>124.290322580645</v>
      </c>
      <c r="C75" s="167">
        <f t="shared" si="276"/>
        <v>123.896860986547</v>
      </c>
      <c r="D75" s="167">
        <f t="shared" si="246"/>
        <v>123.896860986547</v>
      </c>
      <c r="E75" s="167">
        <f t="shared" si="277"/>
        <v>138.005076142132</v>
      </c>
      <c r="F75" s="167">
        <f t="shared" si="277"/>
        <v>107.96106557377</v>
      </c>
      <c r="G75" s="168">
        <v>2005</v>
      </c>
      <c r="H75" s="193">
        <v>2</v>
      </c>
      <c r="I75" s="194">
        <v>0.47</v>
      </c>
      <c r="J75" s="194">
        <v>0.1</v>
      </c>
      <c r="K75" s="194">
        <v>0.52</v>
      </c>
      <c r="L75" s="195">
        <v>0.79</v>
      </c>
      <c r="N75" s="254">
        <f t="shared" si="274"/>
        <v>0.0142006576024171</v>
      </c>
      <c r="O75" s="255">
        <f t="shared" si="274"/>
        <v>0.00330809380283761</v>
      </c>
      <c r="P75" s="255">
        <f t="shared" si="275"/>
        <v>0.065989847715736</v>
      </c>
      <c r="Q75" s="255">
        <f t="shared" si="275"/>
        <v>0.00529531178182932</v>
      </c>
      <c r="R75" s="173"/>
      <c r="S75" s="172"/>
      <c r="T75" s="165"/>
      <c r="U75" s="165"/>
      <c r="V75" s="165"/>
      <c r="X75" s="256"/>
      <c r="Y75" s="256"/>
      <c r="Z75" s="256"/>
    </row>
    <row r="76" spans="1:26">
      <c r="A76" s="166" t="s">
        <v>3139</v>
      </c>
      <c r="B76" s="167">
        <f t="shared" si="276"/>
        <v>122.572043010753</v>
      </c>
      <c r="C76" s="167">
        <f t="shared" si="276"/>
        <v>123.493273542601</v>
      </c>
      <c r="D76" s="167">
        <f t="shared" si="246"/>
        <v>123.493273542601</v>
      </c>
      <c r="E76" s="167">
        <f t="shared" si="277"/>
        <v>129.822335025381</v>
      </c>
      <c r="F76" s="167">
        <f t="shared" si="277"/>
        <v>107.394467213115</v>
      </c>
      <c r="G76" s="203">
        <v>2005</v>
      </c>
      <c r="H76" s="169">
        <v>1</v>
      </c>
      <c r="I76" s="186">
        <v>0.43</v>
      </c>
      <c r="J76" s="186">
        <v>0.37</v>
      </c>
      <c r="K76" s="186">
        <v>0.37</v>
      </c>
      <c r="L76" s="187">
        <v>0.55</v>
      </c>
      <c r="N76" s="257">
        <f t="shared" si="274"/>
        <v>0.0129920909979561</v>
      </c>
      <c r="O76" s="258">
        <f t="shared" si="274"/>
        <v>0.0122399470704992</v>
      </c>
      <c r="P76" s="258">
        <f t="shared" si="275"/>
        <v>0.0469543147208122</v>
      </c>
      <c r="Q76" s="258">
        <f t="shared" si="275"/>
        <v>0.00368660946836218</v>
      </c>
      <c r="R76" s="173"/>
      <c r="S76" s="204">
        <f>B76/B77-1</f>
        <v>0.0129920909979562</v>
      </c>
      <c r="T76" s="205">
        <f>C76/C77-1</f>
        <v>0.0122399470704992</v>
      </c>
      <c r="U76" s="205">
        <f>E76/E77-1</f>
        <v>0.0469543147208122</v>
      </c>
      <c r="V76" s="205">
        <f>F76/F77-1</f>
        <v>0.00368660946836208</v>
      </c>
      <c r="X76" s="256"/>
      <c r="Y76" s="256"/>
      <c r="Z76" s="256"/>
    </row>
    <row r="77" ht="13.5" spans="1:26">
      <c r="A77" s="166" t="s">
        <v>3140</v>
      </c>
      <c r="B77" s="241">
        <v>121</v>
      </c>
      <c r="C77" s="241">
        <v>122</v>
      </c>
      <c r="D77" s="241">
        <f t="shared" si="246"/>
        <v>122</v>
      </c>
      <c r="E77" s="241">
        <v>124</v>
      </c>
      <c r="F77" s="242">
        <v>107</v>
      </c>
      <c r="G77" s="206">
        <v>2004</v>
      </c>
      <c r="H77" s="207">
        <v>4</v>
      </c>
      <c r="I77" s="208">
        <v>0.33</v>
      </c>
      <c r="J77" s="208">
        <v>0.5</v>
      </c>
      <c r="K77" s="208">
        <v>0.5</v>
      </c>
      <c r="L77" s="209">
        <v>0</v>
      </c>
      <c r="N77" s="254">
        <f t="shared" ref="N77:O80" si="278">I77/SUM(I$77:I$80)*(B$77/B$81-1)</f>
        <v>0.0133917701485269</v>
      </c>
      <c r="O77" s="255">
        <f t="shared" si="278"/>
        <v>0.0106326422115896</v>
      </c>
      <c r="P77" s="255">
        <f t="shared" ref="P77:Q80" si="279">K77/SUM(K$77:K$80)*(E$77/E$81-1)</f>
        <v>0.0222444666889111</v>
      </c>
      <c r="Q77" s="255">
        <f t="shared" si="279"/>
        <v>0</v>
      </c>
      <c r="R77" s="173"/>
      <c r="S77" s="200"/>
      <c r="T77" s="201"/>
      <c r="U77" s="201"/>
      <c r="V77" s="201"/>
      <c r="X77" s="256"/>
      <c r="Y77" s="256"/>
      <c r="Z77" s="256"/>
    </row>
    <row r="78" spans="1:26">
      <c r="A78" s="166" t="s">
        <v>3141</v>
      </c>
      <c r="B78" s="167">
        <f t="shared" ref="B78:C80" si="280">B79+(B$77-B$81)*I78/SUM(I$77:I$80)</f>
        <v>119.513513513514</v>
      </c>
      <c r="C78" s="167">
        <f t="shared" si="280"/>
        <v>120.787878787879</v>
      </c>
      <c r="D78" s="167">
        <f t="shared" si="246"/>
        <v>120.787878787879</v>
      </c>
      <c r="E78" s="167">
        <f t="shared" ref="E78:F80" si="281">E79+(E$77-E$81)*K78/SUM(K$77:K$80)</f>
        <v>121.597597597598</v>
      </c>
      <c r="F78" s="167">
        <f t="shared" si="281"/>
        <v>107</v>
      </c>
      <c r="G78" s="168">
        <v>2004</v>
      </c>
      <c r="H78" s="212">
        <v>3</v>
      </c>
      <c r="I78" s="213">
        <v>0.56</v>
      </c>
      <c r="J78" s="213">
        <v>0.8</v>
      </c>
      <c r="K78" s="213">
        <v>0.83</v>
      </c>
      <c r="L78" s="214">
        <v>0.06</v>
      </c>
      <c r="N78" s="254">
        <f t="shared" si="278"/>
        <v>0.0227254281308335</v>
      </c>
      <c r="O78" s="255">
        <f t="shared" si="278"/>
        <v>0.0170122275385433</v>
      </c>
      <c r="P78" s="255">
        <f t="shared" si="279"/>
        <v>0.0369258147035925</v>
      </c>
      <c r="Q78" s="255">
        <f t="shared" si="279"/>
        <v>0.0288461538461537</v>
      </c>
      <c r="R78" s="173"/>
      <c r="S78" s="172"/>
      <c r="T78" s="165"/>
      <c r="U78" s="165"/>
      <c r="V78" s="165"/>
      <c r="X78" s="256"/>
      <c r="Y78" s="256"/>
      <c r="Z78" s="256"/>
    </row>
    <row r="79" spans="1:26">
      <c r="A79" s="166" t="s">
        <v>3142</v>
      </c>
      <c r="B79" s="167">
        <f t="shared" si="280"/>
        <v>116.990990990991</v>
      </c>
      <c r="C79" s="167">
        <f t="shared" si="280"/>
        <v>118.848484848485</v>
      </c>
      <c r="D79" s="167">
        <f t="shared" si="246"/>
        <v>118.848484848485</v>
      </c>
      <c r="E79" s="167">
        <f t="shared" si="281"/>
        <v>117.60960960961</v>
      </c>
      <c r="F79" s="167">
        <f t="shared" si="281"/>
        <v>104</v>
      </c>
      <c r="G79" s="168">
        <v>2004</v>
      </c>
      <c r="H79" s="193">
        <v>2</v>
      </c>
      <c r="I79" s="194">
        <v>1</v>
      </c>
      <c r="J79" s="194">
        <v>1.5</v>
      </c>
      <c r="K79" s="194">
        <v>1.5</v>
      </c>
      <c r="L79" s="195">
        <v>0</v>
      </c>
      <c r="N79" s="254">
        <f t="shared" si="278"/>
        <v>0.0405811216622027</v>
      </c>
      <c r="O79" s="255">
        <f t="shared" si="278"/>
        <v>0.0318979266347687</v>
      </c>
      <c r="P79" s="255">
        <f t="shared" si="279"/>
        <v>0.0667334000667334</v>
      </c>
      <c r="Q79" s="255">
        <f t="shared" si="279"/>
        <v>0</v>
      </c>
      <c r="R79" s="173"/>
      <c r="S79" s="172"/>
      <c r="T79" s="165"/>
      <c r="U79" s="165"/>
      <c r="V79" s="165"/>
      <c r="X79" s="256"/>
      <c r="Y79" s="256"/>
      <c r="Z79" s="256"/>
    </row>
    <row r="80" s="142" customFormat="1" ht="13.5" spans="1:26">
      <c r="A80" s="166" t="s">
        <v>3143</v>
      </c>
      <c r="B80" s="244">
        <f t="shared" si="280"/>
        <v>112.486486486486</v>
      </c>
      <c r="C80" s="244">
        <f t="shared" si="280"/>
        <v>115.212121212121</v>
      </c>
      <c r="D80" s="244">
        <f t="shared" si="246"/>
        <v>115.212121212121</v>
      </c>
      <c r="E80" s="244">
        <f t="shared" si="281"/>
        <v>110.402402402402</v>
      </c>
      <c r="F80" s="244">
        <f t="shared" si="281"/>
        <v>104</v>
      </c>
      <c r="G80" s="203">
        <v>2004</v>
      </c>
      <c r="H80" s="245">
        <v>1</v>
      </c>
      <c r="I80" s="246">
        <v>0.33</v>
      </c>
      <c r="J80" s="246">
        <v>0.5</v>
      </c>
      <c r="K80" s="246">
        <v>0.5</v>
      </c>
      <c r="L80" s="247">
        <v>0</v>
      </c>
      <c r="N80" s="259">
        <f t="shared" si="278"/>
        <v>0.0133917701485269</v>
      </c>
      <c r="O80" s="260">
        <f t="shared" si="278"/>
        <v>0.0106326422115896</v>
      </c>
      <c r="P80" s="260">
        <f t="shared" si="279"/>
        <v>0.0222444666889111</v>
      </c>
      <c r="Q80" s="260">
        <f t="shared" si="279"/>
        <v>0</v>
      </c>
      <c r="R80" s="250"/>
      <c r="S80" s="248">
        <f>B80/B81-1</f>
        <v>0.0133917701485269</v>
      </c>
      <c r="T80" s="249">
        <f>C80/C81-1</f>
        <v>0.0106326422115897</v>
      </c>
      <c r="U80" s="249">
        <f>E80/E81-1</f>
        <v>0.0222444666889112</v>
      </c>
      <c r="V80" s="249">
        <f>F80/F81-1</f>
        <v>0</v>
      </c>
      <c r="X80" s="261"/>
      <c r="Y80" s="261"/>
      <c r="Z80" s="261"/>
    </row>
    <row r="81" ht="13.5" spans="1:26">
      <c r="A81" s="166" t="s">
        <v>3144</v>
      </c>
      <c r="B81" s="262">
        <v>111</v>
      </c>
      <c r="C81" s="262">
        <v>114</v>
      </c>
      <c r="D81" s="262">
        <f t="shared" si="246"/>
        <v>114</v>
      </c>
      <c r="E81" s="262">
        <v>108</v>
      </c>
      <c r="F81" s="263">
        <v>104</v>
      </c>
      <c r="G81" s="206">
        <v>2003</v>
      </c>
      <c r="H81" s="251">
        <v>4</v>
      </c>
      <c r="I81" s="264"/>
      <c r="J81" s="264"/>
      <c r="K81" s="264"/>
      <c r="L81" s="264"/>
      <c r="N81" s="265"/>
      <c r="O81" s="264"/>
      <c r="P81" s="264"/>
      <c r="Q81" s="264"/>
      <c r="S81" s="265"/>
      <c r="T81" s="264"/>
      <c r="U81" s="264"/>
      <c r="V81" s="264"/>
      <c r="X81" s="256"/>
      <c r="Y81" s="256"/>
      <c r="Z81" s="256"/>
    </row>
    <row r="82" spans="1:26">
      <c r="A82" s="166" t="s">
        <v>3145</v>
      </c>
      <c r="B82" s="266">
        <f t="shared" ref="B82:C84" si="282">B83+(B$81-B$85)/4</f>
        <v>109.75</v>
      </c>
      <c r="C82" s="266">
        <f t="shared" si="282"/>
        <v>112.25</v>
      </c>
      <c r="D82" s="266">
        <f t="shared" si="246"/>
        <v>112.25</v>
      </c>
      <c r="E82" s="266">
        <f t="shared" ref="E82:F84" si="283">E83+(E$81-E$85)/4</f>
        <v>107.25</v>
      </c>
      <c r="F82" s="266">
        <f t="shared" si="283"/>
        <v>103.5</v>
      </c>
      <c r="G82" s="168">
        <v>2003</v>
      </c>
      <c r="H82" s="212">
        <v>3</v>
      </c>
      <c r="I82" s="264"/>
      <c r="J82" s="264"/>
      <c r="K82" s="264"/>
      <c r="L82" s="264"/>
      <c r="X82" s="256"/>
      <c r="Y82" s="256"/>
      <c r="Z82" s="256"/>
    </row>
    <row r="83" spans="1:26">
      <c r="A83" s="166" t="s">
        <v>3146</v>
      </c>
      <c r="B83" s="266">
        <f t="shared" si="282"/>
        <v>108.5</v>
      </c>
      <c r="C83" s="266">
        <f t="shared" si="282"/>
        <v>110.5</v>
      </c>
      <c r="D83" s="266">
        <f t="shared" si="246"/>
        <v>110.5</v>
      </c>
      <c r="E83" s="266">
        <f t="shared" si="283"/>
        <v>106.5</v>
      </c>
      <c r="F83" s="266">
        <f t="shared" si="283"/>
        <v>103</v>
      </c>
      <c r="G83" s="168">
        <v>2003</v>
      </c>
      <c r="H83" s="193">
        <v>2</v>
      </c>
      <c r="I83" s="264"/>
      <c r="J83" s="264"/>
      <c r="K83" s="264"/>
      <c r="L83" s="264"/>
      <c r="X83" s="256"/>
      <c r="Y83" s="256"/>
      <c r="Z83" s="256"/>
    </row>
    <row r="84" ht="13.5" spans="1:26">
      <c r="A84" s="166" t="s">
        <v>3147</v>
      </c>
      <c r="B84" s="266">
        <f t="shared" si="282"/>
        <v>107.25</v>
      </c>
      <c r="C84" s="266">
        <f t="shared" si="282"/>
        <v>108.75</v>
      </c>
      <c r="D84" s="266">
        <f t="shared" si="246"/>
        <v>108.75</v>
      </c>
      <c r="E84" s="266">
        <f t="shared" si="283"/>
        <v>105.75</v>
      </c>
      <c r="F84" s="266">
        <f t="shared" si="283"/>
        <v>102.5</v>
      </c>
      <c r="G84" s="203">
        <v>2003</v>
      </c>
      <c r="H84" s="267">
        <v>1</v>
      </c>
      <c r="I84" s="264"/>
      <c r="J84" s="264"/>
      <c r="K84" s="264"/>
      <c r="L84" s="264"/>
      <c r="S84" s="172"/>
      <c r="T84" s="165"/>
      <c r="U84" s="165"/>
      <c r="X84" s="256"/>
      <c r="Y84" s="256"/>
      <c r="Z84" s="256"/>
    </row>
    <row r="85" ht="13.5" spans="1:26">
      <c r="A85" s="166" t="s">
        <v>3148</v>
      </c>
      <c r="B85" s="268">
        <v>106</v>
      </c>
      <c r="C85" s="268">
        <v>107</v>
      </c>
      <c r="D85" s="268">
        <f t="shared" si="246"/>
        <v>107</v>
      </c>
      <c r="E85" s="268">
        <v>105</v>
      </c>
      <c r="F85" s="269">
        <v>102</v>
      </c>
      <c r="G85" s="206">
        <v>2002</v>
      </c>
      <c r="H85" s="207">
        <v>4</v>
      </c>
      <c r="I85" s="264"/>
      <c r="J85" s="264"/>
      <c r="K85" s="264"/>
      <c r="L85" s="264"/>
      <c r="N85" s="265"/>
      <c r="O85" s="264"/>
      <c r="P85" s="264"/>
      <c r="Q85" s="264"/>
      <c r="S85" s="265"/>
      <c r="T85" s="264"/>
      <c r="U85" s="264"/>
      <c r="V85" s="264"/>
      <c r="X85" s="256"/>
      <c r="Y85" s="256"/>
      <c r="Z85" s="256"/>
    </row>
    <row r="86" spans="1:26">
      <c r="A86" s="166" t="s">
        <v>3149</v>
      </c>
      <c r="B86" s="266">
        <f t="shared" ref="B86:C88" si="284">B87+(B$85-B$89)/4</f>
        <v>105</v>
      </c>
      <c r="C86" s="266">
        <f t="shared" si="284"/>
        <v>106</v>
      </c>
      <c r="D86" s="266">
        <f t="shared" si="246"/>
        <v>106</v>
      </c>
      <c r="E86" s="266">
        <f t="shared" ref="E86:F88" si="285">E87+(E$85-E$89)/4</f>
        <v>104.5</v>
      </c>
      <c r="F86" s="266">
        <f t="shared" si="285"/>
        <v>101.5</v>
      </c>
      <c r="G86" s="168">
        <v>2002</v>
      </c>
      <c r="H86" s="212">
        <v>3</v>
      </c>
      <c r="I86" s="264"/>
      <c r="J86" s="264"/>
      <c r="K86" s="264"/>
      <c r="L86" s="264"/>
      <c r="X86" s="256"/>
      <c r="Y86" s="256"/>
      <c r="Z86" s="256"/>
    </row>
    <row r="87" spans="1:26">
      <c r="A87" s="166" t="s">
        <v>3150</v>
      </c>
      <c r="B87" s="266">
        <f t="shared" si="284"/>
        <v>104</v>
      </c>
      <c r="C87" s="266">
        <f t="shared" si="284"/>
        <v>105</v>
      </c>
      <c r="D87" s="266">
        <f t="shared" si="246"/>
        <v>105</v>
      </c>
      <c r="E87" s="266">
        <f t="shared" si="285"/>
        <v>104</v>
      </c>
      <c r="F87" s="266">
        <f t="shared" si="285"/>
        <v>101</v>
      </c>
      <c r="G87" s="168">
        <v>2002</v>
      </c>
      <c r="H87" s="193">
        <v>2</v>
      </c>
      <c r="I87" s="264"/>
      <c r="J87" s="264"/>
      <c r="K87" s="264"/>
      <c r="L87" s="264"/>
      <c r="X87" s="256"/>
      <c r="Y87" s="256"/>
      <c r="Z87" s="256"/>
    </row>
    <row r="88" s="141" customFormat="1" ht="13.5" spans="1:26">
      <c r="A88" s="221" t="s">
        <v>3151</v>
      </c>
      <c r="B88" s="228">
        <f t="shared" si="284"/>
        <v>103</v>
      </c>
      <c r="C88" s="228">
        <f t="shared" si="284"/>
        <v>104</v>
      </c>
      <c r="D88" s="228">
        <f t="shared" si="246"/>
        <v>104</v>
      </c>
      <c r="E88" s="228">
        <f t="shared" si="285"/>
        <v>103.5</v>
      </c>
      <c r="F88" s="228">
        <f t="shared" si="285"/>
        <v>100.5</v>
      </c>
      <c r="G88" s="203">
        <v>2002</v>
      </c>
      <c r="H88" s="270">
        <v>1</v>
      </c>
      <c r="I88" s="271"/>
      <c r="J88" s="271"/>
      <c r="K88" s="271"/>
      <c r="L88" s="271"/>
      <c r="N88" s="272"/>
      <c r="S88" s="272"/>
      <c r="X88" s="273"/>
      <c r="Y88" s="273"/>
      <c r="Z88" s="273"/>
    </row>
    <row r="89" ht="13.5" spans="1:26">
      <c r="B89" s="274">
        <v>102</v>
      </c>
      <c r="C89" s="275">
        <v>103</v>
      </c>
      <c r="D89" s="275">
        <f t="shared" si="246"/>
        <v>103</v>
      </c>
      <c r="E89" s="275">
        <v>103</v>
      </c>
      <c r="F89" s="276">
        <v>100</v>
      </c>
      <c r="I89" s="264"/>
      <c r="J89" s="264"/>
      <c r="K89" s="264"/>
      <c r="L89" s="264"/>
      <c r="N89" s="265"/>
      <c r="O89" s="264"/>
      <c r="P89" s="264"/>
      <c r="Q89" s="264"/>
      <c r="S89" s="265"/>
      <c r="T89" s="264"/>
      <c r="U89" s="264"/>
      <c r="V89" s="264"/>
      <c r="X89" s="201"/>
      <c r="Y89" s="201"/>
      <c r="Z89" s="201"/>
    </row>
    <row r="91" s="143" customFormat="1" spans="1:26">
      <c r="A91" s="277" t="s">
        <v>3152</v>
      </c>
      <c r="G91" s="278"/>
      <c r="N91" s="278"/>
      <c r="S91" s="278"/>
    </row>
    <row r="92" s="143" customFormat="1" spans="1:26">
      <c r="A92" s="143" t="s">
        <v>3153</v>
      </c>
      <c r="G92" s="278"/>
      <c r="N92" s="278"/>
      <c r="S92" s="278"/>
    </row>
    <row r="93" s="143" customFormat="1" spans="1:26">
      <c r="A93" s="143" t="s">
        <v>3154</v>
      </c>
      <c r="G93" s="278"/>
      <c r="I93" s="279"/>
      <c r="J93" s="279"/>
      <c r="K93" s="279"/>
      <c r="L93" s="279"/>
      <c r="N93" s="280"/>
      <c r="O93" s="279"/>
      <c r="P93" s="279"/>
      <c r="Q93" s="279"/>
      <c r="S93" s="280"/>
      <c r="T93" s="279"/>
      <c r="U93" s="279"/>
      <c r="V93" s="279"/>
    </row>
    <row r="94" s="143" customFormat="1" spans="1:26">
      <c r="A94" s="143" t="s">
        <v>3155</v>
      </c>
      <c r="G94" s="278"/>
      <c r="N94" s="278"/>
      <c r="S94" s="278"/>
    </row>
    <row r="101" ht="13.5"/>
    <row r="102" spans="7:22">
      <c r="G102" s="144"/>
      <c r="S102" s="281" t="s">
        <v>3156</v>
      </c>
      <c r="T102" s="282" t="s">
        <v>3157</v>
      </c>
      <c r="U102" s="282" t="s">
        <v>3158</v>
      </c>
      <c r="V102" s="282" t="s">
        <v>3159</v>
      </c>
    </row>
    <row r="103" spans="7:22">
      <c r="G103" s="144"/>
      <c r="N103" s="200"/>
      <c r="O103" s="201"/>
      <c r="P103" s="201"/>
      <c r="Q103" s="201"/>
      <c r="S103" s="283">
        <v>2006</v>
      </c>
      <c r="T103" s="284">
        <v>15.1</v>
      </c>
      <c r="U103" s="284">
        <v>7.43</v>
      </c>
      <c r="V103" s="284">
        <v>26.26</v>
      </c>
    </row>
    <row r="104" spans="7:22">
      <c r="G104" s="144"/>
      <c r="N104" s="200"/>
      <c r="O104" s="201"/>
      <c r="P104" s="201"/>
      <c r="Q104" s="201"/>
      <c r="S104" s="285">
        <v>2005</v>
      </c>
      <c r="T104" s="286">
        <v>13.9</v>
      </c>
      <c r="U104" s="286">
        <v>7.49</v>
      </c>
      <c r="V104" s="286">
        <v>24.92</v>
      </c>
    </row>
    <row r="105" spans="7:22">
      <c r="G105" s="144"/>
      <c r="N105" s="200"/>
      <c r="O105" s="201"/>
      <c r="P105" s="201"/>
      <c r="Q105" s="201"/>
      <c r="S105" s="283">
        <v>2004</v>
      </c>
      <c r="T105" s="284">
        <v>9.48</v>
      </c>
      <c r="U105" s="284">
        <v>7.2</v>
      </c>
      <c r="V105" s="284">
        <v>14.68</v>
      </c>
    </row>
    <row r="106" spans="7:22">
      <c r="G106" s="144"/>
      <c r="N106" s="200"/>
      <c r="O106" s="201"/>
      <c r="P106" s="201"/>
      <c r="Q106" s="201"/>
      <c r="S106" s="285">
        <v>2003</v>
      </c>
      <c r="T106" s="286">
        <v>4.5</v>
      </c>
      <c r="U106" s="286">
        <v>6.12</v>
      </c>
      <c r="V106" s="286">
        <v>2.34</v>
      </c>
    </row>
    <row r="107" ht="13.5" spans="7:22">
      <c r="G107" s="144"/>
      <c r="N107" s="200"/>
      <c r="O107" s="201"/>
      <c r="P107" s="201"/>
      <c r="Q107" s="201"/>
      <c r="S107" s="287">
        <v>2002</v>
      </c>
      <c r="T107" s="288">
        <v>3.59</v>
      </c>
      <c r="U107" s="288">
        <v>4.54</v>
      </c>
      <c r="V107" s="288">
        <v>2.55</v>
      </c>
    </row>
    <row r="108" spans="7:22">
      <c r="G108" s="144"/>
      <c r="N108" s="200"/>
      <c r="O108" s="201"/>
      <c r="P108" s="201"/>
      <c r="Q108" s="201"/>
    </row>
    <row r="109" spans="7:22">
      <c r="G109" s="144"/>
      <c r="N109" s="200"/>
      <c r="O109" s="201"/>
      <c r="P109" s="201"/>
      <c r="Q109" s="201"/>
    </row>
    <row r="110" spans="7:22">
      <c r="G110" s="144"/>
      <c r="N110" s="200"/>
      <c r="O110" s="201"/>
      <c r="P110" s="201"/>
      <c r="Q110" s="201"/>
    </row>
    <row r="111" spans="7:22">
      <c r="G111" s="144"/>
      <c r="N111" s="200"/>
      <c r="O111" s="201"/>
      <c r="P111" s="201"/>
      <c r="Q111" s="201"/>
    </row>
    <row r="112" spans="7:22">
      <c r="G112" s="144"/>
      <c r="N112" s="200"/>
      <c r="O112" s="201"/>
      <c r="P112" s="201"/>
      <c r="Q112" s="201"/>
    </row>
    <row r="113" spans="7:19">
      <c r="G113" s="144"/>
      <c r="N113" s="200"/>
      <c r="O113" s="201"/>
      <c r="P113" s="201"/>
      <c r="Q113" s="201"/>
    </row>
    <row r="114" spans="7:19">
      <c r="G114" s="144"/>
      <c r="N114" s="200"/>
      <c r="O114" s="201"/>
      <c r="P114" s="201"/>
      <c r="Q114" s="201"/>
    </row>
    <row r="115" spans="7:19">
      <c r="G115" s="144"/>
      <c r="N115" s="200"/>
      <c r="O115" s="201"/>
      <c r="P115" s="201"/>
      <c r="Q115" s="201"/>
    </row>
    <row r="116" spans="7:19">
      <c r="G116" s="144"/>
      <c r="N116" s="200"/>
      <c r="O116" s="201"/>
      <c r="P116" s="201"/>
      <c r="Q116" s="201"/>
    </row>
    <row r="117" spans="7:19">
      <c r="G117" s="144"/>
      <c r="N117" s="200"/>
      <c r="O117" s="201"/>
      <c r="P117" s="201"/>
      <c r="Q117" s="201"/>
    </row>
    <row r="118" spans="7:19">
      <c r="G118" s="144"/>
      <c r="N118" s="200"/>
      <c r="O118" s="201"/>
      <c r="P118" s="201"/>
      <c r="Q118" s="201"/>
      <c r="S118" s="144"/>
    </row>
    <row r="119" spans="7:19">
      <c r="G119" s="144"/>
      <c r="N119" s="200"/>
      <c r="O119" s="201"/>
      <c r="P119" s="201"/>
      <c r="Q119" s="201"/>
      <c r="S119" s="144"/>
    </row>
    <row r="120" spans="7:19">
      <c r="G120" s="144"/>
      <c r="N120" s="200"/>
      <c r="O120" s="201"/>
      <c r="P120" s="201"/>
      <c r="Q120" s="201"/>
      <c r="S120" s="144"/>
    </row>
    <row r="121" spans="7:19">
      <c r="G121" s="144"/>
      <c r="N121" s="200"/>
      <c r="O121" s="201"/>
      <c r="P121" s="201"/>
      <c r="Q121" s="201"/>
      <c r="S121" s="144"/>
    </row>
    <row r="122" spans="7:19">
      <c r="G122" s="144"/>
      <c r="N122" s="200"/>
      <c r="O122" s="201"/>
      <c r="P122" s="201"/>
      <c r="Q122" s="201"/>
      <c r="S122" s="144"/>
    </row>
    <row r="123" spans="7:19">
      <c r="G123" s="144"/>
      <c r="N123" s="200"/>
      <c r="O123" s="201"/>
      <c r="P123" s="201"/>
      <c r="Q123" s="201"/>
      <c r="S123" s="14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98" customWidth="1"/>
    <col min="2" max="2" width="18.625" style="98" customWidth="1"/>
    <col min="3" max="6" width="10.25" style="98" customWidth="1"/>
    <col min="7" max="7" width="10.5" style="98" customWidth="1"/>
    <col min="8" max="8" width="8.875" style="97"/>
    <col min="9" max="9" width="13.375" style="97" customWidth="1"/>
    <col min="10" max="13" width="13.375" style="98" customWidth="1"/>
    <col min="14" max="14" width="18.25" style="98" customWidth="1"/>
    <col min="15" max="17" width="15.125" style="98" customWidth="1"/>
    <col min="18" max="20" width="11.5" style="98" customWidth="1"/>
    <col min="21" max="16384" width="8.875" style="98"/>
  </cols>
  <sheetData>
    <row r="1" ht="12" spans="1:20">
      <c r="A1" s="99" t="s">
        <v>3160</v>
      </c>
      <c r="B1" s="99"/>
      <c r="C1" s="99"/>
      <c r="D1" s="99"/>
      <c r="E1" s="99"/>
      <c r="F1" s="99"/>
      <c r="G1" s="100"/>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104" t="s">
        <v>3161</v>
      </c>
      <c r="B2" s="104"/>
      <c r="C2" s="104"/>
      <c r="D2" s="104"/>
      <c r="E2" s="104"/>
      <c r="F2" s="104"/>
      <c r="G2" s="105" t="s">
        <v>3162</v>
      </c>
      <c r="I2" s="106" t="s">
        <v>2651</v>
      </c>
      <c r="J2" s="106" t="s">
        <v>2656</v>
      </c>
      <c r="K2" s="106" t="s">
        <v>2676</v>
      </c>
      <c r="L2" s="106" t="s">
        <v>2701</v>
      </c>
      <c r="M2" s="106" t="s">
        <v>2733</v>
      </c>
      <c r="N2" s="106" t="s">
        <v>2773</v>
      </c>
      <c r="O2" s="106" t="s">
        <v>2835</v>
      </c>
      <c r="P2" s="106" t="s">
        <v>2879</v>
      </c>
      <c r="Q2" s="106" t="s">
        <v>2922</v>
      </c>
      <c r="R2" s="106" t="s">
        <v>2972</v>
      </c>
      <c r="S2" s="106" t="s">
        <v>3003</v>
      </c>
      <c r="T2" s="106" t="s">
        <v>3023</v>
      </c>
    </row>
    <row r="3" s="96" customFormat="1" spans="1:20">
      <c r="A3" s="107" t="s">
        <v>2649</v>
      </c>
      <c r="B3" s="108"/>
      <c r="C3" s="109" t="s">
        <v>229</v>
      </c>
      <c r="D3" s="109" t="s">
        <v>230</v>
      </c>
      <c r="E3" s="109" t="s">
        <v>232</v>
      </c>
      <c r="F3" s="109" t="s">
        <v>233</v>
      </c>
      <c r="G3" s="109" t="s">
        <v>231</v>
      </c>
      <c r="H3" s="110"/>
      <c r="I3" s="111" t="s">
        <v>2652</v>
      </c>
      <c r="J3" s="112" t="s">
        <v>2657</v>
      </c>
      <c r="K3" s="112" t="s">
        <v>2677</v>
      </c>
      <c r="L3" s="111" t="s">
        <v>2702</v>
      </c>
      <c r="M3" s="111" t="s">
        <v>2734</v>
      </c>
      <c r="N3" s="111" t="s">
        <v>2774</v>
      </c>
      <c r="O3" s="111" t="s">
        <v>2836</v>
      </c>
      <c r="P3" s="111" t="s">
        <v>2880</v>
      </c>
      <c r="Q3" s="111" t="s">
        <v>2923</v>
      </c>
      <c r="R3" s="111" t="s">
        <v>2973</v>
      </c>
      <c r="S3" s="111" t="s">
        <v>3004</v>
      </c>
      <c r="T3" s="111" t="s">
        <v>3024</v>
      </c>
    </row>
    <row r="4" s="96" customFormat="1" ht="12" spans="1:20">
      <c r="A4" s="113"/>
      <c r="B4" s="114" t="s">
        <v>2650</v>
      </c>
      <c r="C4" s="114" t="s">
        <v>3163</v>
      </c>
      <c r="D4" s="114" t="s">
        <v>3163</v>
      </c>
      <c r="E4" s="114" t="s">
        <v>3163</v>
      </c>
      <c r="F4" s="115" t="s">
        <v>3163</v>
      </c>
      <c r="G4" s="115" t="s">
        <v>3163</v>
      </c>
      <c r="H4" s="110"/>
      <c r="I4" s="112" t="s">
        <v>2653</v>
      </c>
      <c r="J4" s="112" t="s">
        <v>2658</v>
      </c>
      <c r="K4" s="112" t="s">
        <v>2678</v>
      </c>
      <c r="L4" s="111" t="s">
        <v>2703</v>
      </c>
      <c r="M4" s="111" t="s">
        <v>2735</v>
      </c>
      <c r="N4" s="111" t="s">
        <v>2775</v>
      </c>
      <c r="O4" s="111" t="s">
        <v>2837</v>
      </c>
      <c r="P4" s="111" t="s">
        <v>2881</v>
      </c>
      <c r="Q4" s="111" t="s">
        <v>2924</v>
      </c>
      <c r="R4" s="111" t="s">
        <v>2974</v>
      </c>
      <c r="S4" s="111" t="s">
        <v>3005</v>
      </c>
      <c r="T4" s="111" t="s">
        <v>3025</v>
      </c>
    </row>
    <row r="5" spans="1:20">
      <c r="A5" s="116" t="s">
        <v>235</v>
      </c>
      <c r="B5" s="106" t="s">
        <v>2651</v>
      </c>
      <c r="C5" s="117">
        <v>34550</v>
      </c>
      <c r="D5" s="117">
        <v>34470</v>
      </c>
      <c r="E5" s="117">
        <v>34330</v>
      </c>
      <c r="F5" s="117">
        <v>13400</v>
      </c>
      <c r="G5" s="117">
        <v>25450</v>
      </c>
      <c r="H5" s="110"/>
      <c r="I5" s="111" t="s">
        <v>2654</v>
      </c>
      <c r="J5" s="112" t="s">
        <v>2659</v>
      </c>
      <c r="K5" s="112" t="s">
        <v>2679</v>
      </c>
      <c r="L5" s="111" t="s">
        <v>2704</v>
      </c>
      <c r="M5" s="111" t="s">
        <v>2736</v>
      </c>
      <c r="N5" s="111" t="s">
        <v>2776</v>
      </c>
      <c r="O5" s="111" t="s">
        <v>2838</v>
      </c>
      <c r="P5" s="111" t="s">
        <v>2882</v>
      </c>
      <c r="Q5" s="111" t="s">
        <v>2925</v>
      </c>
      <c r="R5" s="111" t="s">
        <v>2975</v>
      </c>
      <c r="S5" s="111" t="s">
        <v>3006</v>
      </c>
      <c r="T5" s="111" t="s">
        <v>3026</v>
      </c>
    </row>
    <row r="6" ht="12" spans="1:20">
      <c r="A6" s="111" t="s">
        <v>235</v>
      </c>
      <c r="B6" s="111" t="s">
        <v>2652</v>
      </c>
      <c r="C6" s="118">
        <v>36990</v>
      </c>
      <c r="D6" s="118">
        <v>36850</v>
      </c>
      <c r="E6" s="118">
        <v>36700</v>
      </c>
      <c r="F6" s="118">
        <v>14590</v>
      </c>
      <c r="G6" s="118">
        <v>27450</v>
      </c>
      <c r="H6" s="110"/>
      <c r="I6" s="119" t="s">
        <v>2655</v>
      </c>
      <c r="J6" s="112" t="s">
        <v>2660</v>
      </c>
      <c r="K6" s="112" t="s">
        <v>2680</v>
      </c>
      <c r="L6" s="111" t="s">
        <v>2705</v>
      </c>
      <c r="M6" s="111" t="s">
        <v>2737</v>
      </c>
      <c r="N6" s="111" t="s">
        <v>2777</v>
      </c>
      <c r="O6" s="111" t="s">
        <v>2839</v>
      </c>
      <c r="P6" s="111" t="s">
        <v>2883</v>
      </c>
      <c r="Q6" s="111" t="s">
        <v>2926</v>
      </c>
      <c r="R6" s="111" t="s">
        <v>2976</v>
      </c>
      <c r="S6" s="111" t="s">
        <v>3007</v>
      </c>
      <c r="T6" s="111" t="s">
        <v>3027</v>
      </c>
    </row>
    <row r="7" spans="1:20">
      <c r="A7" s="111" t="s">
        <v>235</v>
      </c>
      <c r="B7" s="112" t="s">
        <v>2653</v>
      </c>
      <c r="C7" s="118">
        <v>34850</v>
      </c>
      <c r="D7" s="118">
        <v>34690</v>
      </c>
      <c r="E7" s="118">
        <v>34550</v>
      </c>
      <c r="F7" s="118">
        <v>14360</v>
      </c>
      <c r="G7" s="118">
        <v>25620</v>
      </c>
      <c r="H7" s="110"/>
      <c r="J7" s="112" t="s">
        <v>2661</v>
      </c>
      <c r="K7" s="112" t="s">
        <v>2681</v>
      </c>
      <c r="L7" s="111" t="s">
        <v>2706</v>
      </c>
      <c r="M7" s="111" t="s">
        <v>2738</v>
      </c>
      <c r="N7" s="111" t="s">
        <v>2778</v>
      </c>
      <c r="O7" s="111" t="s">
        <v>2840</v>
      </c>
      <c r="P7" s="111" t="s">
        <v>2884</v>
      </c>
      <c r="Q7" s="111" t="s">
        <v>2927</v>
      </c>
      <c r="R7" s="111" t="s">
        <v>2977</v>
      </c>
      <c r="S7" s="111" t="s">
        <v>3008</v>
      </c>
      <c r="T7" s="111" t="s">
        <v>3028</v>
      </c>
    </row>
    <row r="8" ht="12" spans="1:20">
      <c r="A8" s="111" t="s">
        <v>235</v>
      </c>
      <c r="B8" s="111" t="s">
        <v>2654</v>
      </c>
      <c r="C8" s="118">
        <v>32630</v>
      </c>
      <c r="D8" s="118">
        <v>32510</v>
      </c>
      <c r="E8" s="118">
        <v>32420</v>
      </c>
      <c r="F8" s="118">
        <v>13300</v>
      </c>
      <c r="G8" s="118">
        <v>24010</v>
      </c>
      <c r="H8" s="110"/>
      <c r="J8" s="112" t="s">
        <v>2662</v>
      </c>
      <c r="K8" s="112" t="s">
        <v>2682</v>
      </c>
      <c r="L8" s="111" t="s">
        <v>2707</v>
      </c>
      <c r="M8" s="111" t="s">
        <v>2739</v>
      </c>
      <c r="N8" s="111" t="s">
        <v>2779</v>
      </c>
      <c r="O8" s="111" t="s">
        <v>2841</v>
      </c>
      <c r="P8" s="111" t="s">
        <v>2885</v>
      </c>
      <c r="Q8" s="111" t="s">
        <v>2928</v>
      </c>
      <c r="R8" s="111" t="s">
        <v>2978</v>
      </c>
      <c r="S8" s="111" t="s">
        <v>3009</v>
      </c>
      <c r="T8" s="120" t="s">
        <v>3029</v>
      </c>
    </row>
    <row r="9" ht="12" spans="1:20">
      <c r="A9" s="121" t="s">
        <v>235</v>
      </c>
      <c r="B9" s="119" t="s">
        <v>2655</v>
      </c>
      <c r="C9" s="122">
        <v>36370</v>
      </c>
      <c r="D9" s="122">
        <v>36210</v>
      </c>
      <c r="E9" s="122">
        <v>36050</v>
      </c>
      <c r="F9" s="122"/>
      <c r="G9" s="122">
        <v>26740</v>
      </c>
      <c r="H9" s="110"/>
      <c r="J9" s="112" t="s">
        <v>2663</v>
      </c>
      <c r="K9" s="112" t="s">
        <v>2683</v>
      </c>
      <c r="L9" s="111" t="s">
        <v>2708</v>
      </c>
      <c r="M9" s="111" t="s">
        <v>2740</v>
      </c>
      <c r="N9" s="111" t="s">
        <v>2780</v>
      </c>
      <c r="O9" s="111" t="s">
        <v>2842</v>
      </c>
      <c r="P9" s="111" t="s">
        <v>2886</v>
      </c>
      <c r="Q9" s="111" t="s">
        <v>2929</v>
      </c>
      <c r="R9" s="111" t="s">
        <v>2979</v>
      </c>
      <c r="S9" s="111" t="s">
        <v>3010</v>
      </c>
    </row>
    <row r="10" spans="1:20">
      <c r="A10" s="116" t="s">
        <v>251</v>
      </c>
      <c r="B10" s="106" t="s">
        <v>2656</v>
      </c>
      <c r="C10" s="118">
        <v>32350</v>
      </c>
      <c r="D10" s="118">
        <v>31430</v>
      </c>
      <c r="E10" s="118">
        <v>31320</v>
      </c>
      <c r="F10" s="118">
        <v>10850</v>
      </c>
      <c r="G10" s="118">
        <v>22860</v>
      </c>
      <c r="H10" s="110"/>
      <c r="J10" s="112" t="s">
        <v>2664</v>
      </c>
      <c r="K10" s="112" t="s">
        <v>2684</v>
      </c>
      <c r="L10" s="111" t="s">
        <v>2709</v>
      </c>
      <c r="M10" s="111" t="s">
        <v>2741</v>
      </c>
      <c r="N10" s="111" t="s">
        <v>2781</v>
      </c>
      <c r="O10" s="111" t="s">
        <v>2843</v>
      </c>
      <c r="P10" s="111" t="s">
        <v>2887</v>
      </c>
      <c r="Q10" s="111" t="s">
        <v>2930</v>
      </c>
      <c r="R10" s="111" t="s">
        <v>2980</v>
      </c>
      <c r="S10" s="111" t="s">
        <v>3011</v>
      </c>
    </row>
    <row r="11" spans="1:20">
      <c r="A11" s="111" t="s">
        <v>251</v>
      </c>
      <c r="B11" s="112" t="s">
        <v>2657</v>
      </c>
      <c r="C11" s="118">
        <v>31590</v>
      </c>
      <c r="D11" s="118">
        <v>29490</v>
      </c>
      <c r="E11" s="118">
        <v>28700</v>
      </c>
      <c r="F11" s="118">
        <v>10410</v>
      </c>
      <c r="G11" s="118">
        <v>21460</v>
      </c>
      <c r="H11" s="110"/>
      <c r="J11" s="112" t="s">
        <v>2665</v>
      </c>
      <c r="K11" s="112" t="s">
        <v>2685</v>
      </c>
      <c r="L11" s="111" t="s">
        <v>2710</v>
      </c>
      <c r="M11" s="111" t="s">
        <v>2742</v>
      </c>
      <c r="N11" s="111" t="s">
        <v>2782</v>
      </c>
      <c r="O11" s="111" t="s">
        <v>2844</v>
      </c>
      <c r="P11" s="111" t="s">
        <v>2888</v>
      </c>
      <c r="Q11" s="111" t="s">
        <v>2931</v>
      </c>
      <c r="R11" s="111" t="s">
        <v>2981</v>
      </c>
      <c r="S11" s="111" t="s">
        <v>3012</v>
      </c>
    </row>
    <row r="12" spans="1:20">
      <c r="A12" s="111" t="s">
        <v>251</v>
      </c>
      <c r="B12" s="112" t="s">
        <v>2658</v>
      </c>
      <c r="C12" s="118">
        <v>29640</v>
      </c>
      <c r="D12" s="118">
        <v>27550</v>
      </c>
      <c r="E12" s="118">
        <v>28010</v>
      </c>
      <c r="F12" s="118">
        <v>8730</v>
      </c>
      <c r="G12" s="118">
        <v>20050</v>
      </c>
      <c r="H12" s="110"/>
      <c r="J12" s="112" t="s">
        <v>2666</v>
      </c>
      <c r="K12" s="112" t="s">
        <v>2686</v>
      </c>
      <c r="L12" s="111" t="s">
        <v>2711</v>
      </c>
      <c r="M12" s="111" t="s">
        <v>2743</v>
      </c>
      <c r="N12" s="111" t="s">
        <v>2783</v>
      </c>
      <c r="O12" s="111" t="s">
        <v>2845</v>
      </c>
      <c r="P12" s="111" t="s">
        <v>2889</v>
      </c>
      <c r="Q12" s="111" t="s">
        <v>2932</v>
      </c>
      <c r="R12" s="111" t="s">
        <v>2982</v>
      </c>
      <c r="S12" s="111" t="s">
        <v>3013</v>
      </c>
    </row>
    <row r="13" spans="1:20">
      <c r="A13" s="111" t="s">
        <v>251</v>
      </c>
      <c r="B13" s="112" t="s">
        <v>2659</v>
      </c>
      <c r="C13" s="118">
        <v>29680</v>
      </c>
      <c r="D13" s="118">
        <v>27660</v>
      </c>
      <c r="E13" s="118">
        <v>28210</v>
      </c>
      <c r="F13" s="118">
        <v>9590</v>
      </c>
      <c r="G13" s="118">
        <v>20120</v>
      </c>
      <c r="H13" s="110"/>
      <c r="J13" s="112" t="s">
        <v>2667</v>
      </c>
      <c r="K13" s="112" t="s">
        <v>2687</v>
      </c>
      <c r="L13" s="111" t="s">
        <v>2712</v>
      </c>
      <c r="M13" s="111" t="s">
        <v>2744</v>
      </c>
      <c r="N13" s="111" t="s">
        <v>2784</v>
      </c>
      <c r="O13" s="111" t="s">
        <v>2846</v>
      </c>
      <c r="P13" s="111" t="s">
        <v>2890</v>
      </c>
      <c r="Q13" s="111" t="s">
        <v>2933</v>
      </c>
      <c r="R13" s="111" t="s">
        <v>2983</v>
      </c>
      <c r="S13" s="111" t="s">
        <v>3014</v>
      </c>
    </row>
    <row r="14" spans="1:20">
      <c r="A14" s="111" t="s">
        <v>251</v>
      </c>
      <c r="B14" s="112" t="s">
        <v>2660</v>
      </c>
      <c r="C14" s="118">
        <v>30520</v>
      </c>
      <c r="D14" s="118">
        <v>29510</v>
      </c>
      <c r="E14" s="118">
        <v>29400</v>
      </c>
      <c r="F14" s="118">
        <v>9630</v>
      </c>
      <c r="G14" s="118">
        <v>21480</v>
      </c>
      <c r="H14" s="110"/>
      <c r="J14" s="112" t="s">
        <v>2668</v>
      </c>
      <c r="K14" s="112" t="s">
        <v>2688</v>
      </c>
      <c r="L14" s="111" t="s">
        <v>2713</v>
      </c>
      <c r="M14" s="111" t="s">
        <v>2745</v>
      </c>
      <c r="N14" s="111" t="s">
        <v>2785</v>
      </c>
      <c r="O14" s="111" t="s">
        <v>2847</v>
      </c>
      <c r="P14" s="111" t="s">
        <v>2891</v>
      </c>
      <c r="Q14" s="111" t="s">
        <v>2934</v>
      </c>
      <c r="R14" s="111" t="s">
        <v>2984</v>
      </c>
      <c r="S14" s="111" t="s">
        <v>3015</v>
      </c>
    </row>
    <row r="15" spans="1:20">
      <c r="A15" s="111" t="s">
        <v>251</v>
      </c>
      <c r="B15" s="112" t="s">
        <v>2661</v>
      </c>
      <c r="C15" s="118">
        <v>29090</v>
      </c>
      <c r="D15" s="118">
        <v>27590</v>
      </c>
      <c r="E15" s="118">
        <v>28120</v>
      </c>
      <c r="F15" s="118">
        <v>9110</v>
      </c>
      <c r="G15" s="118">
        <v>20070</v>
      </c>
      <c r="H15" s="110"/>
      <c r="J15" s="112" t="s">
        <v>2669</v>
      </c>
      <c r="K15" s="112" t="s">
        <v>2689</v>
      </c>
      <c r="L15" s="111" t="s">
        <v>2714</v>
      </c>
      <c r="M15" s="111" t="s">
        <v>2746</v>
      </c>
      <c r="N15" s="111" t="s">
        <v>2786</v>
      </c>
      <c r="O15" s="111" t="s">
        <v>2848</v>
      </c>
      <c r="P15" s="111" t="s">
        <v>2892</v>
      </c>
      <c r="Q15" s="111" t="s">
        <v>2935</v>
      </c>
      <c r="R15" s="111" t="s">
        <v>2985</v>
      </c>
      <c r="S15" s="111" t="s">
        <v>3016</v>
      </c>
    </row>
    <row r="16" spans="1:20">
      <c r="A16" s="111" t="s">
        <v>251</v>
      </c>
      <c r="B16" s="112" t="s">
        <v>2662</v>
      </c>
      <c r="C16" s="118">
        <v>26790</v>
      </c>
      <c r="D16" s="118">
        <v>30370</v>
      </c>
      <c r="E16" s="118">
        <v>30240</v>
      </c>
      <c r="F16" s="118">
        <v>11590</v>
      </c>
      <c r="G16" s="118">
        <v>22090</v>
      </c>
      <c r="H16" s="110"/>
      <c r="J16" s="112" t="s">
        <v>2670</v>
      </c>
      <c r="K16" s="112" t="s">
        <v>2690</v>
      </c>
      <c r="L16" s="111" t="s">
        <v>2715</v>
      </c>
      <c r="M16" s="111" t="s">
        <v>2747</v>
      </c>
      <c r="N16" s="111" t="s">
        <v>2787</v>
      </c>
      <c r="O16" s="111" t="s">
        <v>2849</v>
      </c>
      <c r="P16" s="111" t="s">
        <v>2893</v>
      </c>
      <c r="Q16" s="111" t="s">
        <v>2936</v>
      </c>
      <c r="R16" s="111" t="s">
        <v>2986</v>
      </c>
      <c r="S16" s="111" t="s">
        <v>3017</v>
      </c>
    </row>
    <row r="17" ht="14.25" customHeight="1" spans="1:19">
      <c r="A17" s="111" t="s">
        <v>251</v>
      </c>
      <c r="B17" s="112" t="s">
        <v>2663</v>
      </c>
      <c r="C17" s="118">
        <v>29180</v>
      </c>
      <c r="D17" s="118">
        <v>27620</v>
      </c>
      <c r="E17" s="118">
        <v>28180</v>
      </c>
      <c r="F17" s="118">
        <v>10790</v>
      </c>
      <c r="G17" s="118">
        <v>20090</v>
      </c>
      <c r="H17" s="110"/>
      <c r="J17" s="112" t="s">
        <v>2671</v>
      </c>
      <c r="K17" s="112" t="s">
        <v>2691</v>
      </c>
      <c r="L17" s="111" t="s">
        <v>2716</v>
      </c>
      <c r="M17" s="111" t="s">
        <v>2748</v>
      </c>
      <c r="N17" s="111" t="s">
        <v>2788</v>
      </c>
      <c r="O17" s="111" t="s">
        <v>2850</v>
      </c>
      <c r="P17" s="111" t="s">
        <v>2894</v>
      </c>
      <c r="Q17" s="111" t="s">
        <v>2937</v>
      </c>
      <c r="R17" s="111" t="s">
        <v>2987</v>
      </c>
      <c r="S17" s="111" t="s">
        <v>3018</v>
      </c>
    </row>
    <row r="18" ht="14.25" customHeight="1" spans="1:19">
      <c r="A18" s="111" t="s">
        <v>251</v>
      </c>
      <c r="B18" s="112" t="s">
        <v>2664</v>
      </c>
      <c r="C18" s="118">
        <v>26840</v>
      </c>
      <c r="D18" s="118">
        <v>28930</v>
      </c>
      <c r="E18" s="118">
        <v>28820</v>
      </c>
      <c r="F18" s="118"/>
      <c r="G18" s="118">
        <v>21050</v>
      </c>
      <c r="H18" s="110"/>
      <c r="J18" s="112" t="s">
        <v>2672</v>
      </c>
      <c r="K18" s="112" t="s">
        <v>2692</v>
      </c>
      <c r="L18" s="111" t="s">
        <v>2717</v>
      </c>
      <c r="M18" s="111" t="s">
        <v>2749</v>
      </c>
      <c r="N18" s="111" t="s">
        <v>2789</v>
      </c>
      <c r="O18" s="111" t="s">
        <v>2851</v>
      </c>
      <c r="P18" s="111" t="s">
        <v>2895</v>
      </c>
      <c r="Q18" s="111" t="s">
        <v>2938</v>
      </c>
      <c r="R18" s="111" t="s">
        <v>2988</v>
      </c>
      <c r="S18" s="111" t="s">
        <v>3019</v>
      </c>
    </row>
    <row r="19" ht="14.25" customHeight="1" spans="1:19">
      <c r="A19" s="111" t="s">
        <v>251</v>
      </c>
      <c r="B19" s="112" t="s">
        <v>2665</v>
      </c>
      <c r="C19" s="118">
        <v>27750</v>
      </c>
      <c r="D19" s="118">
        <v>26680</v>
      </c>
      <c r="E19" s="118">
        <v>26590</v>
      </c>
      <c r="F19" s="118"/>
      <c r="G19" s="118">
        <v>19420</v>
      </c>
      <c r="H19" s="110"/>
      <c r="J19" s="112" t="s">
        <v>2673</v>
      </c>
      <c r="K19" s="112" t="s">
        <v>2693</v>
      </c>
      <c r="L19" s="111" t="s">
        <v>2718</v>
      </c>
      <c r="M19" s="111" t="s">
        <v>2750</v>
      </c>
      <c r="N19" s="111" t="s">
        <v>2790</v>
      </c>
      <c r="O19" s="111" t="s">
        <v>2852</v>
      </c>
      <c r="P19" s="111" t="s">
        <v>2896</v>
      </c>
      <c r="Q19" s="111" t="s">
        <v>2939</v>
      </c>
      <c r="R19" s="111" t="s">
        <v>2989</v>
      </c>
      <c r="S19" s="111" t="s">
        <v>3020</v>
      </c>
    </row>
    <row r="20" ht="14.25" customHeight="1" spans="1:19">
      <c r="A20" s="111" t="s">
        <v>251</v>
      </c>
      <c r="B20" s="112" t="s">
        <v>2666</v>
      </c>
      <c r="C20" s="118">
        <v>27050</v>
      </c>
      <c r="D20" s="118">
        <v>29010</v>
      </c>
      <c r="E20" s="118">
        <v>28910</v>
      </c>
      <c r="F20" s="118"/>
      <c r="G20" s="118">
        <v>21110</v>
      </c>
      <c r="J20" s="112" t="s">
        <v>2674</v>
      </c>
      <c r="K20" s="112" t="s">
        <v>2694</v>
      </c>
      <c r="L20" s="111" t="s">
        <v>2719</v>
      </c>
      <c r="M20" s="111" t="s">
        <v>2751</v>
      </c>
      <c r="N20" s="111" t="s">
        <v>2791</v>
      </c>
      <c r="O20" s="111" t="s">
        <v>2853</v>
      </c>
      <c r="P20" s="111" t="s">
        <v>2897</v>
      </c>
      <c r="Q20" s="111" t="s">
        <v>2940</v>
      </c>
      <c r="R20" s="111" t="s">
        <v>2990</v>
      </c>
      <c r="S20" s="111" t="s">
        <v>3021</v>
      </c>
    </row>
    <row r="21" ht="14.25" customHeight="1" spans="1:19">
      <c r="A21" s="111" t="s">
        <v>251</v>
      </c>
      <c r="B21" s="112" t="s">
        <v>2667</v>
      </c>
      <c r="C21" s="118">
        <v>32370</v>
      </c>
      <c r="D21" s="118">
        <v>26730</v>
      </c>
      <c r="E21" s="118">
        <v>26640</v>
      </c>
      <c r="F21" s="118"/>
      <c r="G21" s="118">
        <v>19440</v>
      </c>
      <c r="J21" s="120" t="s">
        <v>2675</v>
      </c>
      <c r="K21" s="112" t="s">
        <v>2695</v>
      </c>
      <c r="L21" s="111" t="s">
        <v>2720</v>
      </c>
      <c r="M21" s="111" t="s">
        <v>2752</v>
      </c>
      <c r="N21" s="111" t="s">
        <v>2792</v>
      </c>
      <c r="O21" s="111" t="s">
        <v>2854</v>
      </c>
      <c r="P21" s="111" t="s">
        <v>2898</v>
      </c>
      <c r="Q21" s="111" t="s">
        <v>2941</v>
      </c>
      <c r="R21" s="111" t="s">
        <v>2991</v>
      </c>
      <c r="S21" s="120" t="s">
        <v>3022</v>
      </c>
    </row>
    <row r="22" ht="14.25" customHeight="1" spans="1:19">
      <c r="A22" s="111" t="s">
        <v>251</v>
      </c>
      <c r="B22" s="112" t="s">
        <v>2668</v>
      </c>
      <c r="C22" s="118">
        <v>29830</v>
      </c>
      <c r="D22" s="118">
        <v>27600</v>
      </c>
      <c r="E22" s="118">
        <v>28150</v>
      </c>
      <c r="F22" s="118"/>
      <c r="G22" s="118">
        <v>20080</v>
      </c>
      <c r="K22" s="112" t="s">
        <v>2696</v>
      </c>
      <c r="L22" s="111" t="s">
        <v>2721</v>
      </c>
      <c r="M22" s="111" t="s">
        <v>2753</v>
      </c>
      <c r="N22" s="111" t="s">
        <v>2793</v>
      </c>
      <c r="O22" s="111" t="s">
        <v>2855</v>
      </c>
      <c r="P22" s="111" t="s">
        <v>2899</v>
      </c>
      <c r="Q22" s="111" t="s">
        <v>2942</v>
      </c>
      <c r="R22" s="111" t="s">
        <v>2992</v>
      </c>
    </row>
    <row r="23" ht="14.25" customHeight="1" spans="1:19">
      <c r="A23" s="111" t="s">
        <v>251</v>
      </c>
      <c r="B23" s="112" t="s">
        <v>2669</v>
      </c>
      <c r="C23" s="118">
        <v>27800</v>
      </c>
      <c r="D23" s="118">
        <v>26900</v>
      </c>
      <c r="E23" s="118">
        <v>27170</v>
      </c>
      <c r="F23" s="118"/>
      <c r="G23" s="118">
        <v>19570</v>
      </c>
      <c r="K23" s="112" t="s">
        <v>2697</v>
      </c>
      <c r="L23" s="111" t="s">
        <v>2722</v>
      </c>
      <c r="M23" s="111" t="s">
        <v>2754</v>
      </c>
      <c r="N23" s="111" t="s">
        <v>2794</v>
      </c>
      <c r="O23" s="111" t="s">
        <v>2856</v>
      </c>
      <c r="P23" s="111" t="s">
        <v>2900</v>
      </c>
      <c r="Q23" s="111" t="s">
        <v>2943</v>
      </c>
      <c r="R23" s="111" t="s">
        <v>2993</v>
      </c>
    </row>
    <row r="24" ht="14.25" customHeight="1" spans="1:19">
      <c r="A24" s="111" t="s">
        <v>251</v>
      </c>
      <c r="B24" s="112" t="s">
        <v>2670</v>
      </c>
      <c r="C24" s="118">
        <v>27930</v>
      </c>
      <c r="D24" s="118">
        <v>32260</v>
      </c>
      <c r="E24" s="118">
        <v>32120</v>
      </c>
      <c r="F24" s="118"/>
      <c r="G24" s="118">
        <v>23470</v>
      </c>
      <c r="K24" s="112" t="s">
        <v>2698</v>
      </c>
      <c r="L24" s="111" t="s">
        <v>2723</v>
      </c>
      <c r="M24" s="111" t="s">
        <v>2755</v>
      </c>
      <c r="N24" s="111" t="s">
        <v>2795</v>
      </c>
      <c r="O24" s="111" t="s">
        <v>2857</v>
      </c>
      <c r="P24" s="111" t="s">
        <v>2901</v>
      </c>
      <c r="Q24" s="123" t="s">
        <v>2944</v>
      </c>
      <c r="R24" s="111" t="s">
        <v>2994</v>
      </c>
    </row>
    <row r="25" ht="14.25" customHeight="1" spans="1:19">
      <c r="A25" s="111" t="s">
        <v>251</v>
      </c>
      <c r="B25" s="112" t="s">
        <v>2671</v>
      </c>
      <c r="C25" s="118">
        <v>32230</v>
      </c>
      <c r="D25" s="118">
        <v>29640</v>
      </c>
      <c r="E25" s="118">
        <v>29510</v>
      </c>
      <c r="F25" s="118"/>
      <c r="G25" s="118">
        <v>21560</v>
      </c>
      <c r="K25" s="112" t="s">
        <v>2699</v>
      </c>
      <c r="L25" s="111" t="s">
        <v>2724</v>
      </c>
      <c r="M25" s="111" t="s">
        <v>2756</v>
      </c>
      <c r="N25" s="111" t="s">
        <v>2796</v>
      </c>
      <c r="O25" s="111" t="s">
        <v>2858</v>
      </c>
      <c r="P25" s="111" t="s">
        <v>2902</v>
      </c>
      <c r="Q25" s="123" t="s">
        <v>2945</v>
      </c>
      <c r="R25" s="111" t="s">
        <v>2995</v>
      </c>
    </row>
    <row r="26" ht="14.25" customHeight="1" spans="1:19">
      <c r="A26" s="111" t="s">
        <v>251</v>
      </c>
      <c r="B26" s="112" t="s">
        <v>2672</v>
      </c>
      <c r="C26" s="118">
        <v>31690</v>
      </c>
      <c r="D26" s="118">
        <v>27650</v>
      </c>
      <c r="E26" s="118">
        <v>28200</v>
      </c>
      <c r="F26" s="118"/>
      <c r="G26" s="118">
        <v>20110</v>
      </c>
      <c r="K26" s="119" t="s">
        <v>2700</v>
      </c>
      <c r="L26" s="111" t="s">
        <v>2725</v>
      </c>
      <c r="M26" s="111" t="s">
        <v>2757</v>
      </c>
      <c r="N26" s="111" t="s">
        <v>2797</v>
      </c>
      <c r="O26" s="111" t="s">
        <v>2859</v>
      </c>
      <c r="P26" s="111" t="s">
        <v>2903</v>
      </c>
      <c r="Q26" s="123" t="s">
        <v>2946</v>
      </c>
      <c r="R26" s="111" t="s">
        <v>2996</v>
      </c>
    </row>
    <row r="27" ht="14.25" customHeight="1" spans="1:19">
      <c r="A27" s="111" t="s">
        <v>251</v>
      </c>
      <c r="B27" s="112" t="s">
        <v>2673</v>
      </c>
      <c r="C27" s="118">
        <v>29610</v>
      </c>
      <c r="D27" s="118">
        <v>27770</v>
      </c>
      <c r="E27" s="118">
        <v>28300</v>
      </c>
      <c r="F27" s="118"/>
      <c r="G27" s="118">
        <v>20210</v>
      </c>
      <c r="L27" s="111" t="s">
        <v>2726</v>
      </c>
      <c r="M27" s="111" t="s">
        <v>2758</v>
      </c>
      <c r="N27" s="111" t="s">
        <v>2798</v>
      </c>
      <c r="O27" s="111" t="s">
        <v>2860</v>
      </c>
      <c r="P27" s="111" t="s">
        <v>2904</v>
      </c>
      <c r="Q27" s="111" t="s">
        <v>2947</v>
      </c>
      <c r="R27" s="111" t="s">
        <v>2997</v>
      </c>
    </row>
    <row r="28" ht="14.25" customHeight="1" spans="1:19">
      <c r="A28" s="111" t="s">
        <v>251</v>
      </c>
      <c r="B28" s="112" t="s">
        <v>2674</v>
      </c>
      <c r="C28" s="118"/>
      <c r="D28" s="118">
        <v>31520</v>
      </c>
      <c r="E28" s="118">
        <v>31410</v>
      </c>
      <c r="F28" s="118"/>
      <c r="G28" s="118">
        <v>22940</v>
      </c>
      <c r="L28" s="111" t="s">
        <v>2727</v>
      </c>
      <c r="M28" s="111" t="s">
        <v>2759</v>
      </c>
      <c r="N28" s="111" t="s">
        <v>2799</v>
      </c>
      <c r="O28" s="111" t="s">
        <v>2861</v>
      </c>
      <c r="P28" s="111" t="s">
        <v>2905</v>
      </c>
      <c r="Q28" s="111" t="s">
        <v>2948</v>
      </c>
      <c r="R28" s="111" t="s">
        <v>2998</v>
      </c>
    </row>
    <row r="29" ht="14.25" customHeight="1" spans="1:19">
      <c r="A29" s="121" t="s">
        <v>251</v>
      </c>
      <c r="B29" s="124" t="s">
        <v>2675</v>
      </c>
      <c r="C29" s="125"/>
      <c r="D29" s="125">
        <v>29460</v>
      </c>
      <c r="E29" s="125">
        <v>28640</v>
      </c>
      <c r="F29" s="125"/>
      <c r="G29" s="125">
        <v>21430</v>
      </c>
      <c r="L29" s="111" t="s">
        <v>2728</v>
      </c>
      <c r="M29" s="111" t="s">
        <v>2760</v>
      </c>
      <c r="N29" s="111" t="s">
        <v>2800</v>
      </c>
      <c r="O29" s="111" t="s">
        <v>2862</v>
      </c>
      <c r="P29" s="111" t="s">
        <v>2906</v>
      </c>
      <c r="Q29" s="111" t="s">
        <v>2949</v>
      </c>
      <c r="R29" s="111" t="s">
        <v>2999</v>
      </c>
    </row>
    <row r="30" ht="14.25" customHeight="1" spans="1:19">
      <c r="A30" s="116" t="s">
        <v>264</v>
      </c>
      <c r="B30" s="106" t="s">
        <v>2676</v>
      </c>
      <c r="C30" s="117">
        <v>26890</v>
      </c>
      <c r="D30" s="117">
        <v>26770</v>
      </c>
      <c r="E30" s="117">
        <v>25700</v>
      </c>
      <c r="F30" s="117">
        <v>8180</v>
      </c>
      <c r="G30" s="126">
        <v>18740</v>
      </c>
      <c r="L30" s="111" t="s">
        <v>2729</v>
      </c>
      <c r="M30" s="111" t="s">
        <v>2761</v>
      </c>
      <c r="N30" s="111" t="s">
        <v>2801</v>
      </c>
      <c r="O30" s="111" t="s">
        <v>2863</v>
      </c>
      <c r="P30" s="111" t="s">
        <v>2907</v>
      </c>
      <c r="Q30" s="111" t="s">
        <v>2950</v>
      </c>
      <c r="R30" s="111" t="s">
        <v>3000</v>
      </c>
    </row>
    <row r="31" ht="14.25" customHeight="1" spans="1:19">
      <c r="A31" s="111" t="s">
        <v>264</v>
      </c>
      <c r="B31" s="112" t="s">
        <v>2677</v>
      </c>
      <c r="C31" s="118">
        <v>24550</v>
      </c>
      <c r="D31" s="118">
        <v>23990</v>
      </c>
      <c r="E31" s="118">
        <v>22930</v>
      </c>
      <c r="F31" s="118">
        <v>7470</v>
      </c>
      <c r="G31" s="127">
        <v>16790</v>
      </c>
      <c r="L31" s="111" t="s">
        <v>2730</v>
      </c>
      <c r="M31" s="111" t="s">
        <v>2762</v>
      </c>
      <c r="N31" s="111" t="s">
        <v>2802</v>
      </c>
      <c r="O31" s="111" t="s">
        <v>2864</v>
      </c>
      <c r="P31" s="111" t="s">
        <v>2908</v>
      </c>
      <c r="Q31" s="111" t="s">
        <v>2951</v>
      </c>
      <c r="R31" s="111" t="s">
        <v>3001</v>
      </c>
    </row>
    <row r="32" ht="14.25" customHeight="1" spans="1:19">
      <c r="A32" s="111" t="s">
        <v>264</v>
      </c>
      <c r="B32" s="112" t="s">
        <v>2678</v>
      </c>
      <c r="C32" s="118">
        <v>27210</v>
      </c>
      <c r="D32" s="118">
        <v>23240</v>
      </c>
      <c r="E32" s="118">
        <v>23260</v>
      </c>
      <c r="F32" s="118">
        <v>7130</v>
      </c>
      <c r="G32" s="127">
        <v>16270</v>
      </c>
      <c r="L32" s="111" t="s">
        <v>2731</v>
      </c>
      <c r="M32" s="111" t="s">
        <v>2763</v>
      </c>
      <c r="N32" s="111" t="s">
        <v>2803</v>
      </c>
      <c r="O32" s="111" t="s">
        <v>2865</v>
      </c>
      <c r="P32" s="111" t="s">
        <v>2909</v>
      </c>
      <c r="Q32" s="111" t="s">
        <v>2952</v>
      </c>
      <c r="R32" s="120" t="s">
        <v>3002</v>
      </c>
    </row>
    <row r="33" ht="14.25" customHeight="1" spans="1:17">
      <c r="A33" s="111" t="s">
        <v>264</v>
      </c>
      <c r="B33" s="112" t="s">
        <v>2679</v>
      </c>
      <c r="C33" s="118">
        <v>27300</v>
      </c>
      <c r="D33" s="118">
        <v>22980</v>
      </c>
      <c r="E33" s="118">
        <v>24260</v>
      </c>
      <c r="F33" s="118">
        <v>5860</v>
      </c>
      <c r="G33" s="127">
        <v>16090</v>
      </c>
      <c r="L33" s="120" t="s">
        <v>2732</v>
      </c>
      <c r="M33" s="111" t="s">
        <v>2764</v>
      </c>
      <c r="N33" s="111" t="s">
        <v>2804</v>
      </c>
      <c r="O33" s="111" t="s">
        <v>2866</v>
      </c>
      <c r="P33" s="111" t="s">
        <v>2910</v>
      </c>
      <c r="Q33" s="111" t="s">
        <v>2953</v>
      </c>
    </row>
    <row r="34" ht="14.25" customHeight="1" spans="1:17">
      <c r="A34" s="111" t="s">
        <v>264</v>
      </c>
      <c r="B34" s="112" t="s">
        <v>2680</v>
      </c>
      <c r="C34" s="118">
        <v>23090</v>
      </c>
      <c r="D34" s="118">
        <v>23390</v>
      </c>
      <c r="E34" s="118">
        <v>23510</v>
      </c>
      <c r="F34" s="118">
        <v>6700</v>
      </c>
      <c r="G34" s="127">
        <v>16370</v>
      </c>
      <c r="M34" s="111" t="s">
        <v>2765</v>
      </c>
      <c r="N34" s="111" t="s">
        <v>2805</v>
      </c>
      <c r="O34" s="111" t="s">
        <v>2867</v>
      </c>
      <c r="P34" s="111" t="s">
        <v>2911</v>
      </c>
      <c r="Q34" s="111" t="s">
        <v>2954</v>
      </c>
    </row>
    <row r="35" ht="14.25" customHeight="1" spans="1:17">
      <c r="A35" s="111" t="s">
        <v>264</v>
      </c>
      <c r="B35" s="112" t="s">
        <v>2681</v>
      </c>
      <c r="C35" s="118">
        <v>27270</v>
      </c>
      <c r="D35" s="118">
        <v>24270</v>
      </c>
      <c r="E35" s="118">
        <v>24950</v>
      </c>
      <c r="F35" s="118">
        <v>6600</v>
      </c>
      <c r="G35" s="127">
        <v>16990</v>
      </c>
      <c r="M35" s="111" t="s">
        <v>2766</v>
      </c>
      <c r="N35" s="111" t="s">
        <v>2806</v>
      </c>
      <c r="O35" s="111" t="s">
        <v>2868</v>
      </c>
      <c r="P35" s="111" t="s">
        <v>2912</v>
      </c>
      <c r="Q35" s="111" t="s">
        <v>2955</v>
      </c>
    </row>
    <row r="36" ht="14.25" customHeight="1" spans="1:17">
      <c r="A36" s="111" t="s">
        <v>264</v>
      </c>
      <c r="B36" s="112" t="s">
        <v>2682</v>
      </c>
      <c r="C36" s="118">
        <v>23490</v>
      </c>
      <c r="D36" s="118">
        <v>23020</v>
      </c>
      <c r="E36" s="118">
        <v>25230</v>
      </c>
      <c r="F36" s="118">
        <v>6780</v>
      </c>
      <c r="G36" s="127">
        <v>16120</v>
      </c>
      <c r="M36" s="111" t="s">
        <v>2767</v>
      </c>
      <c r="N36" s="111" t="s">
        <v>2807</v>
      </c>
      <c r="O36" s="111" t="s">
        <v>2869</v>
      </c>
      <c r="P36" s="111" t="s">
        <v>2913</v>
      </c>
      <c r="Q36" s="111" t="s">
        <v>2956</v>
      </c>
    </row>
    <row r="37" ht="14.25" customHeight="1" spans="1:17">
      <c r="A37" s="111" t="s">
        <v>264</v>
      </c>
      <c r="B37" s="112" t="s">
        <v>2683</v>
      </c>
      <c r="C37" s="118">
        <v>24380</v>
      </c>
      <c r="D37" s="118">
        <v>22240</v>
      </c>
      <c r="E37" s="118">
        <v>25980</v>
      </c>
      <c r="F37" s="118">
        <v>8160</v>
      </c>
      <c r="G37" s="127">
        <v>15570</v>
      </c>
      <c r="M37" s="111" t="s">
        <v>2768</v>
      </c>
      <c r="N37" s="111" t="s">
        <v>2808</v>
      </c>
      <c r="O37" s="111" t="s">
        <v>2870</v>
      </c>
      <c r="P37" s="111" t="s">
        <v>2914</v>
      </c>
      <c r="Q37" s="111" t="s">
        <v>2957</v>
      </c>
    </row>
    <row r="38" ht="14.25" customHeight="1" spans="1:17">
      <c r="A38" s="111" t="s">
        <v>264</v>
      </c>
      <c r="B38" s="112" t="s">
        <v>2684</v>
      </c>
      <c r="C38" s="118">
        <v>23120</v>
      </c>
      <c r="D38" s="118">
        <v>24630</v>
      </c>
      <c r="E38" s="118">
        <v>25030</v>
      </c>
      <c r="F38" s="118">
        <v>7710</v>
      </c>
      <c r="G38" s="127">
        <v>17240</v>
      </c>
      <c r="M38" s="111" t="s">
        <v>2769</v>
      </c>
      <c r="N38" s="111" t="s">
        <v>2809</v>
      </c>
      <c r="O38" s="111" t="s">
        <v>2871</v>
      </c>
      <c r="P38" s="111" t="s">
        <v>2915</v>
      </c>
      <c r="Q38" s="111" t="s">
        <v>2958</v>
      </c>
    </row>
    <row r="39" ht="14.25" customHeight="1" spans="1:17">
      <c r="A39" s="111" t="s">
        <v>264</v>
      </c>
      <c r="B39" s="112" t="s">
        <v>2685</v>
      </c>
      <c r="C39" s="118">
        <v>22330</v>
      </c>
      <c r="D39" s="118">
        <v>21140</v>
      </c>
      <c r="E39" s="118">
        <v>23970</v>
      </c>
      <c r="F39" s="118">
        <v>7940</v>
      </c>
      <c r="G39" s="127">
        <v>14790</v>
      </c>
      <c r="M39" s="111" t="s">
        <v>2770</v>
      </c>
      <c r="N39" s="111" t="s">
        <v>2810</v>
      </c>
      <c r="O39" s="111" t="s">
        <v>3164</v>
      </c>
      <c r="P39" s="111" t="s">
        <v>2916</v>
      </c>
      <c r="Q39" s="111" t="s">
        <v>2959</v>
      </c>
    </row>
    <row r="40" ht="14.25" customHeight="1" spans="1:17">
      <c r="A40" s="111" t="s">
        <v>264</v>
      </c>
      <c r="B40" s="112" t="s">
        <v>2686</v>
      </c>
      <c r="C40" s="118">
        <v>24740</v>
      </c>
      <c r="D40" s="118">
        <v>24690</v>
      </c>
      <c r="E40" s="118">
        <v>22610</v>
      </c>
      <c r="F40" s="118"/>
      <c r="G40" s="127">
        <v>17280</v>
      </c>
      <c r="M40" s="111" t="s">
        <v>2771</v>
      </c>
      <c r="N40" s="111" t="s">
        <v>2811</v>
      </c>
      <c r="O40" s="111" t="s">
        <v>3165</v>
      </c>
      <c r="P40" s="111" t="s">
        <v>2917</v>
      </c>
      <c r="Q40" s="111" t="s">
        <v>2960</v>
      </c>
    </row>
    <row r="41" ht="14.25" customHeight="1" spans="1:17">
      <c r="A41" s="111" t="s">
        <v>264</v>
      </c>
      <c r="B41" s="112" t="s">
        <v>2687</v>
      </c>
      <c r="C41" s="118">
        <v>21220</v>
      </c>
      <c r="D41" s="118">
        <v>21120</v>
      </c>
      <c r="E41" s="118">
        <v>22590</v>
      </c>
      <c r="F41" s="118"/>
      <c r="G41" s="127">
        <v>14780</v>
      </c>
      <c r="M41" s="120" t="s">
        <v>2772</v>
      </c>
      <c r="N41" s="111" t="s">
        <v>2812</v>
      </c>
      <c r="O41" s="111" t="s">
        <v>3166</v>
      </c>
      <c r="P41" s="111" t="s">
        <v>2918</v>
      </c>
      <c r="Q41" s="111" t="s">
        <v>2961</v>
      </c>
    </row>
    <row r="42" ht="14.25" customHeight="1" spans="1:17">
      <c r="A42" s="111" t="s">
        <v>264</v>
      </c>
      <c r="B42" s="112" t="s">
        <v>2688</v>
      </c>
      <c r="C42" s="118">
        <v>24800</v>
      </c>
      <c r="D42" s="118">
        <v>22280</v>
      </c>
      <c r="E42" s="118">
        <v>24350</v>
      </c>
      <c r="F42" s="118"/>
      <c r="G42" s="127">
        <v>15590</v>
      </c>
      <c r="N42" s="111" t="s">
        <v>2813</v>
      </c>
      <c r="O42" s="111" t="s">
        <v>2875</v>
      </c>
      <c r="P42" s="111" t="s">
        <v>2919</v>
      </c>
      <c r="Q42" s="111" t="s">
        <v>2962</v>
      </c>
    </row>
    <row r="43" ht="14.25" customHeight="1" spans="1:17">
      <c r="A43" s="111" t="s">
        <v>264</v>
      </c>
      <c r="B43" s="112" t="s">
        <v>2689</v>
      </c>
      <c r="C43" s="118">
        <v>21210</v>
      </c>
      <c r="D43" s="118">
        <v>21160</v>
      </c>
      <c r="E43" s="118">
        <v>22650</v>
      </c>
      <c r="F43" s="118"/>
      <c r="G43" s="127">
        <v>14800</v>
      </c>
      <c r="N43" s="111" t="s">
        <v>2814</v>
      </c>
      <c r="O43" s="111" t="s">
        <v>2876</v>
      </c>
      <c r="P43" s="111" t="s">
        <v>2920</v>
      </c>
      <c r="Q43" s="111" t="s">
        <v>2963</v>
      </c>
    </row>
    <row r="44" ht="14.25" customHeight="1" spans="1:17">
      <c r="A44" s="111" t="s">
        <v>264</v>
      </c>
      <c r="B44" s="112" t="s">
        <v>2690</v>
      </c>
      <c r="C44" s="118">
        <v>22370</v>
      </c>
      <c r="D44" s="118">
        <v>23140</v>
      </c>
      <c r="E44" s="118">
        <v>25090</v>
      </c>
      <c r="F44" s="118"/>
      <c r="G44" s="127">
        <v>16190</v>
      </c>
      <c r="N44" s="111" t="s">
        <v>2815</v>
      </c>
      <c r="O44" s="111" t="s">
        <v>3167</v>
      </c>
      <c r="P44" s="120" t="s">
        <v>2921</v>
      </c>
      <c r="Q44" s="111" t="s">
        <v>2964</v>
      </c>
    </row>
    <row r="45" ht="14.25" customHeight="1" spans="1:17">
      <c r="A45" s="111" t="s">
        <v>264</v>
      </c>
      <c r="B45" s="112" t="s">
        <v>2691</v>
      </c>
      <c r="C45" s="118">
        <v>21240</v>
      </c>
      <c r="D45" s="118">
        <v>27050</v>
      </c>
      <c r="E45" s="118">
        <v>28000</v>
      </c>
      <c r="F45" s="118"/>
      <c r="G45" s="127">
        <v>18940</v>
      </c>
      <c r="N45" s="111" t="s">
        <v>2816</v>
      </c>
      <c r="O45" s="120" t="s">
        <v>2878</v>
      </c>
      <c r="Q45" s="111" t="s">
        <v>2965</v>
      </c>
    </row>
    <row r="46" ht="14.25" customHeight="1" spans="1:17">
      <c r="A46" s="111" t="s">
        <v>264</v>
      </c>
      <c r="B46" s="112" t="s">
        <v>2692</v>
      </c>
      <c r="C46" s="118">
        <v>23240</v>
      </c>
      <c r="D46" s="118">
        <v>23000</v>
      </c>
      <c r="E46" s="118">
        <v>24980</v>
      </c>
      <c r="F46" s="118"/>
      <c r="G46" s="127">
        <v>16100</v>
      </c>
      <c r="N46" s="111" t="s">
        <v>2817</v>
      </c>
      <c r="Q46" s="111" t="s">
        <v>2966</v>
      </c>
    </row>
    <row r="47" ht="14.25" customHeight="1" spans="1:17">
      <c r="A47" s="111" t="s">
        <v>264</v>
      </c>
      <c r="B47" s="112" t="s">
        <v>2693</v>
      </c>
      <c r="C47" s="118">
        <v>27150</v>
      </c>
      <c r="D47" s="118">
        <v>23310</v>
      </c>
      <c r="E47" s="118">
        <v>25150</v>
      </c>
      <c r="F47" s="118"/>
      <c r="G47" s="127">
        <v>16310</v>
      </c>
      <c r="N47" s="111" t="s">
        <v>2818</v>
      </c>
      <c r="Q47" s="111" t="s">
        <v>2967</v>
      </c>
    </row>
    <row r="48" ht="14.25" customHeight="1" spans="1:17">
      <c r="A48" s="111" t="s">
        <v>264</v>
      </c>
      <c r="B48" s="112" t="s">
        <v>2694</v>
      </c>
      <c r="C48" s="118">
        <v>23100</v>
      </c>
      <c r="D48" s="118">
        <v>21110</v>
      </c>
      <c r="E48" s="118">
        <v>23080</v>
      </c>
      <c r="F48" s="118"/>
      <c r="G48" s="127">
        <v>14780</v>
      </c>
      <c r="N48" s="111" t="s">
        <v>2819</v>
      </c>
      <c r="Q48" s="111" t="s">
        <v>2968</v>
      </c>
    </row>
    <row r="49" ht="14.25" customHeight="1" spans="1:17">
      <c r="A49" s="111" t="s">
        <v>264</v>
      </c>
      <c r="B49" s="112" t="s">
        <v>2695</v>
      </c>
      <c r="C49" s="118">
        <v>23400</v>
      </c>
      <c r="D49" s="118">
        <v>22920</v>
      </c>
      <c r="E49" s="118">
        <v>24900</v>
      </c>
      <c r="F49" s="118"/>
      <c r="G49" s="127">
        <v>16040</v>
      </c>
      <c r="N49" s="111" t="s">
        <v>2820</v>
      </c>
      <c r="Q49" s="111" t="s">
        <v>2969</v>
      </c>
    </row>
    <row r="50" ht="14.25" customHeight="1" spans="1:17">
      <c r="A50" s="111" t="s">
        <v>264</v>
      </c>
      <c r="B50" s="112" t="s">
        <v>2696</v>
      </c>
      <c r="C50" s="118">
        <v>21200</v>
      </c>
      <c r="D50" s="118">
        <v>26540</v>
      </c>
      <c r="E50" s="118">
        <v>23200</v>
      </c>
      <c r="F50" s="118"/>
      <c r="G50" s="127">
        <v>18580</v>
      </c>
      <c r="N50" s="111" t="s">
        <v>2821</v>
      </c>
      <c r="Q50" s="112" t="s">
        <v>2970</v>
      </c>
    </row>
    <row r="51" ht="14.25" customHeight="1" spans="1:17">
      <c r="A51" s="111" t="s">
        <v>264</v>
      </c>
      <c r="B51" s="112" t="s">
        <v>2697</v>
      </c>
      <c r="C51" s="118">
        <v>23000</v>
      </c>
      <c r="D51" s="118">
        <v>23460</v>
      </c>
      <c r="E51" s="118">
        <v>25290</v>
      </c>
      <c r="F51" s="118"/>
      <c r="G51" s="127">
        <v>16420</v>
      </c>
      <c r="N51" s="111" t="s">
        <v>2822</v>
      </c>
      <c r="Q51" s="120" t="s">
        <v>2971</v>
      </c>
    </row>
    <row r="52" ht="14.25" customHeight="1" spans="1:17">
      <c r="A52" s="111" t="s">
        <v>264</v>
      </c>
      <c r="B52" s="112" t="s">
        <v>2698</v>
      </c>
      <c r="C52" s="118">
        <v>26660</v>
      </c>
      <c r="D52" s="118">
        <v>22350</v>
      </c>
      <c r="E52" s="118">
        <v>22920</v>
      </c>
      <c r="F52" s="118"/>
      <c r="G52" s="127">
        <v>15640</v>
      </c>
      <c r="N52" s="111" t="s">
        <v>2823</v>
      </c>
    </row>
    <row r="53" ht="14.25" customHeight="1" spans="1:17">
      <c r="A53" s="111" t="s">
        <v>264</v>
      </c>
      <c r="B53" s="112" t="s">
        <v>2699</v>
      </c>
      <c r="C53" s="118">
        <v>23580</v>
      </c>
      <c r="D53" s="118"/>
      <c r="E53" s="118">
        <v>24280</v>
      </c>
      <c r="F53" s="118"/>
      <c r="G53" s="127"/>
      <c r="N53" s="111" t="s">
        <v>2824</v>
      </c>
    </row>
    <row r="54" ht="14.25" customHeight="1" spans="1:17">
      <c r="A54" s="128" t="s">
        <v>264</v>
      </c>
      <c r="B54" s="119" t="s">
        <v>2700</v>
      </c>
      <c r="C54" s="122">
        <v>22460</v>
      </c>
      <c r="D54" s="122"/>
      <c r="E54" s="122"/>
      <c r="F54" s="122"/>
      <c r="G54" s="129"/>
      <c r="N54" s="111" t="s">
        <v>2825</v>
      </c>
    </row>
    <row r="55" ht="14.25" customHeight="1" spans="1:17">
      <c r="A55" s="116" t="s">
        <v>275</v>
      </c>
      <c r="B55" s="106" t="s">
        <v>2701</v>
      </c>
      <c r="C55" s="118">
        <v>21970</v>
      </c>
      <c r="D55" s="118">
        <v>20370</v>
      </c>
      <c r="E55" s="118">
        <v>20180</v>
      </c>
      <c r="F55" s="118">
        <v>5730</v>
      </c>
      <c r="G55" s="118">
        <v>13820</v>
      </c>
      <c r="N55" s="111" t="s">
        <v>2826</v>
      </c>
    </row>
    <row r="56" ht="14.25" customHeight="1" spans="1:17">
      <c r="A56" s="111" t="s">
        <v>275</v>
      </c>
      <c r="B56" s="111" t="s">
        <v>2702</v>
      </c>
      <c r="C56" s="118">
        <v>20470</v>
      </c>
      <c r="D56" s="118">
        <v>20700</v>
      </c>
      <c r="E56" s="118">
        <v>20380</v>
      </c>
      <c r="F56" s="118">
        <v>4760</v>
      </c>
      <c r="G56" s="118">
        <v>14050</v>
      </c>
      <c r="N56" s="111" t="s">
        <v>2827</v>
      </c>
    </row>
    <row r="57" ht="14.25" customHeight="1" spans="1:17">
      <c r="A57" s="111" t="s">
        <v>275</v>
      </c>
      <c r="B57" s="111" t="s">
        <v>2703</v>
      </c>
      <c r="C57" s="118">
        <v>20790</v>
      </c>
      <c r="D57" s="118">
        <v>21370</v>
      </c>
      <c r="E57" s="118">
        <v>20890</v>
      </c>
      <c r="F57" s="118">
        <v>4910</v>
      </c>
      <c r="G57" s="118">
        <v>14510</v>
      </c>
      <c r="N57" s="111" t="s">
        <v>2828</v>
      </c>
    </row>
    <row r="58" ht="14.25" customHeight="1" spans="1:17">
      <c r="A58" s="111" t="s">
        <v>275</v>
      </c>
      <c r="B58" s="111" t="s">
        <v>2704</v>
      </c>
      <c r="C58" s="118">
        <v>21460</v>
      </c>
      <c r="D58" s="118">
        <v>20920</v>
      </c>
      <c r="E58" s="118">
        <v>23410</v>
      </c>
      <c r="F58" s="118">
        <v>5100</v>
      </c>
      <c r="G58" s="118">
        <v>14200</v>
      </c>
      <c r="N58" s="111" t="s">
        <v>2829</v>
      </c>
    </row>
    <row r="59" ht="14.25" customHeight="1" spans="1:17">
      <c r="A59" s="111" t="s">
        <v>275</v>
      </c>
      <c r="B59" s="111" t="s">
        <v>2705</v>
      </c>
      <c r="C59" s="118">
        <v>21000</v>
      </c>
      <c r="D59" s="118">
        <v>21550</v>
      </c>
      <c r="E59" s="118">
        <v>21150</v>
      </c>
      <c r="F59" s="118">
        <v>5250</v>
      </c>
      <c r="G59" s="118">
        <v>14630</v>
      </c>
      <c r="N59" s="111" t="s">
        <v>2830</v>
      </c>
    </row>
    <row r="60" ht="14.25" customHeight="1" spans="1:17">
      <c r="A60" s="111" t="s">
        <v>275</v>
      </c>
      <c r="B60" s="111" t="s">
        <v>2706</v>
      </c>
      <c r="C60" s="118">
        <v>21640</v>
      </c>
      <c r="D60" s="118">
        <v>21260</v>
      </c>
      <c r="E60" s="118">
        <v>24040</v>
      </c>
      <c r="F60" s="118">
        <v>4470</v>
      </c>
      <c r="G60" s="118">
        <v>14430</v>
      </c>
      <c r="N60" s="111" t="s">
        <v>2831</v>
      </c>
    </row>
    <row r="61" ht="14.25" customHeight="1" spans="1:17">
      <c r="A61" s="111" t="s">
        <v>275</v>
      </c>
      <c r="B61" s="111" t="s">
        <v>2707</v>
      </c>
      <c r="C61" s="118">
        <v>21330</v>
      </c>
      <c r="D61" s="118">
        <v>18640</v>
      </c>
      <c r="E61" s="118">
        <v>21190</v>
      </c>
      <c r="F61" s="118">
        <v>4180</v>
      </c>
      <c r="G61" s="118">
        <v>12650</v>
      </c>
      <c r="N61" s="111" t="s">
        <v>2832</v>
      </c>
    </row>
    <row r="62" ht="14.25" customHeight="1" spans="1:17">
      <c r="A62" s="111" t="s">
        <v>275</v>
      </c>
      <c r="B62" s="111" t="s">
        <v>2708</v>
      </c>
      <c r="C62" s="118">
        <v>18710</v>
      </c>
      <c r="D62" s="118">
        <v>19400</v>
      </c>
      <c r="E62" s="118">
        <v>23750</v>
      </c>
      <c r="F62" s="118">
        <v>4860</v>
      </c>
      <c r="G62" s="118">
        <v>13170</v>
      </c>
      <c r="N62" s="111" t="s">
        <v>2833</v>
      </c>
    </row>
    <row r="63" ht="14.25" customHeight="1" spans="1:17">
      <c r="A63" s="111" t="s">
        <v>275</v>
      </c>
      <c r="B63" s="111" t="s">
        <v>2709</v>
      </c>
      <c r="C63" s="118">
        <v>19480</v>
      </c>
      <c r="D63" s="118">
        <v>16830</v>
      </c>
      <c r="E63" s="118">
        <v>21590</v>
      </c>
      <c r="F63" s="118">
        <v>4560</v>
      </c>
      <c r="G63" s="118">
        <v>11420</v>
      </c>
      <c r="N63" s="111" t="s">
        <v>582</v>
      </c>
    </row>
    <row r="64" ht="14.25" customHeight="1" spans="1:17">
      <c r="A64" s="111" t="s">
        <v>275</v>
      </c>
      <c r="B64" s="111" t="s">
        <v>2710</v>
      </c>
      <c r="C64" s="118">
        <v>16920</v>
      </c>
      <c r="D64" s="118">
        <v>19190</v>
      </c>
      <c r="E64" s="118">
        <v>22200</v>
      </c>
      <c r="F64" s="118">
        <v>4390</v>
      </c>
      <c r="G64" s="118">
        <v>13030</v>
      </c>
      <c r="N64" s="120" t="s">
        <v>2834</v>
      </c>
    </row>
    <row r="65" s="97" customFormat="1" ht="14.25" customHeight="1" spans="1:7">
      <c r="A65" s="111" t="s">
        <v>275</v>
      </c>
      <c r="B65" s="111" t="s">
        <v>2711</v>
      </c>
      <c r="C65" s="118">
        <v>19290</v>
      </c>
      <c r="D65" s="118">
        <v>17020</v>
      </c>
      <c r="E65" s="118">
        <v>19880</v>
      </c>
      <c r="F65" s="118">
        <v>4070</v>
      </c>
      <c r="G65" s="118">
        <v>11550</v>
      </c>
    </row>
    <row r="66" s="97" customFormat="1" ht="14.25" customHeight="1" spans="1:7">
      <c r="A66" s="111" t="s">
        <v>275</v>
      </c>
      <c r="B66" s="111" t="s">
        <v>2712</v>
      </c>
      <c r="C66" s="118">
        <v>17090</v>
      </c>
      <c r="D66" s="118">
        <v>18340</v>
      </c>
      <c r="E66" s="118">
        <v>21830</v>
      </c>
      <c r="F66" s="118">
        <v>4690</v>
      </c>
      <c r="G66" s="118">
        <v>12450</v>
      </c>
    </row>
    <row r="67" s="97" customFormat="1" ht="14.25" customHeight="1" spans="1:7">
      <c r="A67" s="111" t="s">
        <v>275</v>
      </c>
      <c r="B67" s="111" t="s">
        <v>2713</v>
      </c>
      <c r="C67" s="118">
        <v>18420</v>
      </c>
      <c r="D67" s="118">
        <v>16360</v>
      </c>
      <c r="E67" s="118">
        <v>20020</v>
      </c>
      <c r="F67" s="118">
        <v>5150</v>
      </c>
      <c r="G67" s="118">
        <v>11110</v>
      </c>
    </row>
    <row r="68" s="97" customFormat="1" ht="14.25" customHeight="1" spans="1:7">
      <c r="A68" s="111" t="s">
        <v>275</v>
      </c>
      <c r="B68" s="111" t="s">
        <v>2714</v>
      </c>
      <c r="C68" s="118">
        <v>16450</v>
      </c>
      <c r="D68" s="118">
        <v>18430</v>
      </c>
      <c r="E68" s="118">
        <v>21010</v>
      </c>
      <c r="F68" s="118">
        <v>4720</v>
      </c>
      <c r="G68" s="118">
        <v>12510</v>
      </c>
    </row>
    <row r="69" s="97" customFormat="1" ht="14.25" customHeight="1" spans="1:7">
      <c r="A69" s="111" t="s">
        <v>275</v>
      </c>
      <c r="B69" s="111" t="s">
        <v>2715</v>
      </c>
      <c r="C69" s="118">
        <v>18510</v>
      </c>
      <c r="D69" s="118">
        <v>16300</v>
      </c>
      <c r="E69" s="118">
        <v>18830</v>
      </c>
      <c r="F69" s="118">
        <v>5400</v>
      </c>
      <c r="G69" s="118">
        <v>11070</v>
      </c>
    </row>
    <row r="70" s="97" customFormat="1" ht="14.25" customHeight="1" spans="1:7">
      <c r="A70" s="111" t="s">
        <v>275</v>
      </c>
      <c r="B70" s="111" t="s">
        <v>2716</v>
      </c>
      <c r="C70" s="118">
        <v>16370</v>
      </c>
      <c r="D70" s="118">
        <v>18620</v>
      </c>
      <c r="E70" s="118">
        <v>21100</v>
      </c>
      <c r="F70" s="118">
        <v>5700</v>
      </c>
      <c r="G70" s="118">
        <v>12640</v>
      </c>
    </row>
    <row r="71" s="97" customFormat="1" ht="14.25" customHeight="1" spans="1:7">
      <c r="A71" s="111" t="s">
        <v>275</v>
      </c>
      <c r="B71" s="111" t="s">
        <v>2717</v>
      </c>
      <c r="C71" s="118">
        <v>18700</v>
      </c>
      <c r="D71" s="118">
        <v>16290</v>
      </c>
      <c r="E71" s="118">
        <v>18760</v>
      </c>
      <c r="F71" s="118">
        <v>4780</v>
      </c>
      <c r="G71" s="118">
        <v>11050</v>
      </c>
    </row>
    <row r="72" s="97" customFormat="1" ht="14.25" customHeight="1" spans="1:7">
      <c r="A72" s="111" t="s">
        <v>275</v>
      </c>
      <c r="B72" s="111" t="s">
        <v>2718</v>
      </c>
      <c r="C72" s="118">
        <v>16340</v>
      </c>
      <c r="D72" s="118">
        <v>17520</v>
      </c>
      <c r="E72" s="118">
        <v>21170</v>
      </c>
      <c r="F72" s="118"/>
      <c r="G72" s="118">
        <v>11900</v>
      </c>
    </row>
    <row r="73" s="97" customFormat="1" ht="14.25" customHeight="1" spans="1:7">
      <c r="A73" s="111" t="s">
        <v>275</v>
      </c>
      <c r="B73" s="111" t="s">
        <v>2719</v>
      </c>
      <c r="C73" s="118">
        <v>17610</v>
      </c>
      <c r="D73" s="118">
        <v>18520</v>
      </c>
      <c r="E73" s="118">
        <v>18720</v>
      </c>
      <c r="F73" s="118"/>
      <c r="G73" s="118">
        <v>12570</v>
      </c>
    </row>
    <row r="74" s="97" customFormat="1" ht="14.25" customHeight="1" spans="1:7">
      <c r="A74" s="111" t="s">
        <v>275</v>
      </c>
      <c r="B74" s="111" t="s">
        <v>2720</v>
      </c>
      <c r="C74" s="118">
        <v>18600</v>
      </c>
      <c r="D74" s="118">
        <v>16480</v>
      </c>
      <c r="E74" s="118">
        <v>20100</v>
      </c>
      <c r="F74" s="118"/>
      <c r="G74" s="118">
        <v>11190</v>
      </c>
    </row>
    <row r="75" s="97" customFormat="1" ht="14.25" customHeight="1" spans="1:7">
      <c r="A75" s="111" t="s">
        <v>275</v>
      </c>
      <c r="B75" s="111" t="s">
        <v>2721</v>
      </c>
      <c r="C75" s="118">
        <v>16570</v>
      </c>
      <c r="D75" s="118">
        <v>17530</v>
      </c>
      <c r="E75" s="118">
        <v>21030</v>
      </c>
      <c r="F75" s="118"/>
      <c r="G75" s="118">
        <v>11900</v>
      </c>
    </row>
    <row r="76" s="97" customFormat="1" ht="14.25" customHeight="1" spans="1:7">
      <c r="A76" s="111" t="s">
        <v>275</v>
      </c>
      <c r="B76" s="111" t="s">
        <v>2722</v>
      </c>
      <c r="C76" s="118">
        <v>17610</v>
      </c>
      <c r="D76" s="118">
        <v>20800</v>
      </c>
      <c r="E76" s="118">
        <v>18920</v>
      </c>
      <c r="F76" s="118"/>
      <c r="G76" s="118">
        <v>14120</v>
      </c>
    </row>
    <row r="77" s="97" customFormat="1" ht="14.25" customHeight="1" spans="1:7">
      <c r="A77" s="111" t="s">
        <v>275</v>
      </c>
      <c r="B77" s="111" t="s">
        <v>2723</v>
      </c>
      <c r="C77" s="118">
        <v>20890</v>
      </c>
      <c r="D77" s="118">
        <v>19740</v>
      </c>
      <c r="E77" s="118">
        <v>20110</v>
      </c>
      <c r="F77" s="118"/>
      <c r="G77" s="118">
        <v>13400</v>
      </c>
    </row>
    <row r="78" s="97" customFormat="1" ht="14.25" customHeight="1" spans="1:7">
      <c r="A78" s="111" t="s">
        <v>275</v>
      </c>
      <c r="B78" s="111" t="s">
        <v>2724</v>
      </c>
      <c r="C78" s="118">
        <v>19820</v>
      </c>
      <c r="D78" s="118">
        <v>19780</v>
      </c>
      <c r="E78" s="118">
        <v>18560</v>
      </c>
      <c r="F78" s="118"/>
      <c r="G78" s="118">
        <v>13430</v>
      </c>
    </row>
    <row r="79" s="97" customFormat="1" ht="14.25" customHeight="1" spans="1:7">
      <c r="A79" s="111" t="s">
        <v>275</v>
      </c>
      <c r="B79" s="111" t="s">
        <v>2725</v>
      </c>
      <c r="C79" s="118">
        <v>21660</v>
      </c>
      <c r="D79" s="118">
        <v>18000</v>
      </c>
      <c r="E79" s="118">
        <v>22570</v>
      </c>
      <c r="F79" s="118"/>
      <c r="G79" s="118">
        <v>12220</v>
      </c>
    </row>
    <row r="80" s="97" customFormat="1" ht="14.25" customHeight="1" spans="1:7">
      <c r="A80" s="111" t="s">
        <v>275</v>
      </c>
      <c r="B80" s="111" t="s">
        <v>2726</v>
      </c>
      <c r="C80" s="118">
        <v>19850</v>
      </c>
      <c r="D80" s="118"/>
      <c r="E80" s="118">
        <v>21700</v>
      </c>
      <c r="F80" s="118"/>
      <c r="G80" s="118"/>
    </row>
    <row r="81" s="97" customFormat="1" ht="14.25" customHeight="1" spans="1:7">
      <c r="A81" s="111" t="s">
        <v>275</v>
      </c>
      <c r="B81" s="111" t="s">
        <v>2727</v>
      </c>
      <c r="C81" s="118">
        <v>18080</v>
      </c>
      <c r="D81" s="118"/>
      <c r="E81" s="118">
        <v>20900</v>
      </c>
      <c r="F81" s="118"/>
      <c r="G81" s="118"/>
    </row>
    <row r="82" s="97" customFormat="1" ht="14.25" customHeight="1" spans="1:7">
      <c r="A82" s="111" t="s">
        <v>275</v>
      </c>
      <c r="B82" s="111" t="s">
        <v>2728</v>
      </c>
      <c r="C82" s="118"/>
      <c r="D82" s="118"/>
      <c r="E82" s="118">
        <v>20840</v>
      </c>
      <c r="F82" s="118"/>
      <c r="G82" s="118"/>
    </row>
    <row r="83" s="97" customFormat="1" ht="14.25" customHeight="1" spans="1:7">
      <c r="A83" s="111" t="s">
        <v>275</v>
      </c>
      <c r="B83" s="111" t="s">
        <v>2729</v>
      </c>
      <c r="C83" s="118"/>
      <c r="D83" s="118"/>
      <c r="E83" s="118"/>
      <c r="F83" s="118">
        <v>4770</v>
      </c>
      <c r="G83" s="118"/>
    </row>
    <row r="84" s="97" customFormat="1" ht="14.25" customHeight="1" spans="1:7">
      <c r="A84" s="111" t="s">
        <v>275</v>
      </c>
      <c r="B84" s="111" t="s">
        <v>2730</v>
      </c>
      <c r="C84" s="118"/>
      <c r="D84" s="118"/>
      <c r="E84" s="118"/>
      <c r="F84" s="118">
        <v>4600</v>
      </c>
      <c r="G84" s="118"/>
    </row>
    <row r="85" s="97" customFormat="1" ht="14.25" customHeight="1" spans="1:7">
      <c r="A85" s="111" t="s">
        <v>275</v>
      </c>
      <c r="B85" s="111" t="s">
        <v>2731</v>
      </c>
      <c r="C85" s="118"/>
      <c r="D85" s="118"/>
      <c r="E85" s="118"/>
      <c r="F85" s="118">
        <v>4680</v>
      </c>
      <c r="G85" s="118"/>
    </row>
    <row r="86" s="97" customFormat="1" ht="14.25" customHeight="1" spans="1:7">
      <c r="A86" s="121" t="s">
        <v>275</v>
      </c>
      <c r="B86" s="124" t="s">
        <v>2732</v>
      </c>
      <c r="C86" s="125">
        <v>16610</v>
      </c>
      <c r="D86" s="125">
        <v>16540</v>
      </c>
      <c r="E86" s="125">
        <v>18850</v>
      </c>
      <c r="F86" s="125"/>
      <c r="G86" s="125">
        <v>11220</v>
      </c>
    </row>
    <row r="87" s="97" customFormat="1" ht="14.25" customHeight="1" spans="1:7">
      <c r="A87" s="116" t="s">
        <v>286</v>
      </c>
      <c r="B87" s="106" t="s">
        <v>2733</v>
      </c>
      <c r="C87" s="117">
        <v>15240</v>
      </c>
      <c r="D87" s="117">
        <v>15170</v>
      </c>
      <c r="E87" s="117">
        <v>18260</v>
      </c>
      <c r="F87" s="117">
        <v>3830</v>
      </c>
      <c r="G87" s="126">
        <v>10020</v>
      </c>
    </row>
    <row r="88" s="97" customFormat="1" ht="14.25" customHeight="1" spans="1:7">
      <c r="A88" s="111" t="s">
        <v>286</v>
      </c>
      <c r="B88" s="111" t="s">
        <v>2734</v>
      </c>
      <c r="C88" s="118">
        <v>17310</v>
      </c>
      <c r="D88" s="118">
        <v>17220</v>
      </c>
      <c r="E88" s="118">
        <v>18610</v>
      </c>
      <c r="F88" s="118">
        <v>3990</v>
      </c>
      <c r="G88" s="127">
        <v>11380</v>
      </c>
    </row>
    <row r="89" s="97" customFormat="1" ht="14.25" customHeight="1" spans="1:7">
      <c r="A89" s="111" t="s">
        <v>286</v>
      </c>
      <c r="B89" s="111" t="s">
        <v>2735</v>
      </c>
      <c r="C89" s="118">
        <v>15600</v>
      </c>
      <c r="D89" s="118">
        <v>15550</v>
      </c>
      <c r="E89" s="118">
        <v>19200</v>
      </c>
      <c r="F89" s="118">
        <v>4110</v>
      </c>
      <c r="G89" s="127">
        <v>10270</v>
      </c>
    </row>
    <row r="90" s="97" customFormat="1" ht="14.25" customHeight="1" spans="1:7">
      <c r="A90" s="111" t="s">
        <v>286</v>
      </c>
      <c r="B90" s="111" t="s">
        <v>2736</v>
      </c>
      <c r="C90" s="118">
        <v>17330</v>
      </c>
      <c r="D90" s="118">
        <v>17240</v>
      </c>
      <c r="E90" s="118">
        <v>18570</v>
      </c>
      <c r="F90" s="118">
        <v>4070</v>
      </c>
      <c r="G90" s="127">
        <v>11390</v>
      </c>
    </row>
    <row r="91" s="97" customFormat="1" ht="14.25" customHeight="1" spans="1:7">
      <c r="A91" s="111" t="s">
        <v>286</v>
      </c>
      <c r="B91" s="111" t="s">
        <v>2737</v>
      </c>
      <c r="C91" s="118">
        <v>16330</v>
      </c>
      <c r="D91" s="118">
        <v>16260</v>
      </c>
      <c r="E91" s="118">
        <v>16800</v>
      </c>
      <c r="F91" s="118">
        <v>3410</v>
      </c>
      <c r="G91" s="127">
        <v>10740</v>
      </c>
    </row>
    <row r="92" s="97" customFormat="1" ht="14.25" customHeight="1" spans="1:7">
      <c r="A92" s="111" t="s">
        <v>286</v>
      </c>
      <c r="B92" s="111" t="s">
        <v>2738</v>
      </c>
      <c r="C92" s="118">
        <v>15570</v>
      </c>
      <c r="D92" s="118">
        <v>15500</v>
      </c>
      <c r="E92" s="118">
        <v>17360</v>
      </c>
      <c r="F92" s="118">
        <v>3510</v>
      </c>
      <c r="G92" s="127">
        <v>10240</v>
      </c>
    </row>
    <row r="93" s="97" customFormat="1" ht="14.25" customHeight="1" spans="1:7">
      <c r="A93" s="111" t="s">
        <v>286</v>
      </c>
      <c r="B93" s="111" t="s">
        <v>2739</v>
      </c>
      <c r="C93" s="118">
        <v>14000</v>
      </c>
      <c r="D93" s="118">
        <v>13930</v>
      </c>
      <c r="E93" s="118">
        <v>18200</v>
      </c>
      <c r="F93" s="118">
        <v>3640</v>
      </c>
      <c r="G93" s="127">
        <v>9210</v>
      </c>
    </row>
    <row r="94" s="97" customFormat="1" ht="14.25" customHeight="1" spans="1:7">
      <c r="A94" s="111" t="s">
        <v>286</v>
      </c>
      <c r="B94" s="111" t="s">
        <v>2740</v>
      </c>
      <c r="C94" s="118">
        <v>14530</v>
      </c>
      <c r="D94" s="118">
        <v>14470</v>
      </c>
      <c r="E94" s="118">
        <v>18240</v>
      </c>
      <c r="F94" s="118">
        <v>3180</v>
      </c>
      <c r="G94" s="127">
        <v>9560</v>
      </c>
    </row>
    <row r="95" s="97" customFormat="1" ht="14.25" customHeight="1" spans="1:7">
      <c r="A95" s="111" t="s">
        <v>286</v>
      </c>
      <c r="B95" s="111" t="s">
        <v>2741</v>
      </c>
      <c r="C95" s="118">
        <v>17330</v>
      </c>
      <c r="D95" s="118">
        <v>17260</v>
      </c>
      <c r="E95" s="118">
        <v>18420</v>
      </c>
      <c r="F95" s="118">
        <v>3060</v>
      </c>
      <c r="G95" s="127">
        <v>11410</v>
      </c>
    </row>
    <row r="96" s="97" customFormat="1" ht="14.25" customHeight="1" spans="1:7">
      <c r="A96" s="111" t="s">
        <v>286</v>
      </c>
      <c r="B96" s="111" t="s">
        <v>2742</v>
      </c>
      <c r="C96" s="118">
        <v>15030</v>
      </c>
      <c r="D96" s="118">
        <v>14970</v>
      </c>
      <c r="E96" s="118">
        <v>17580</v>
      </c>
      <c r="F96" s="118">
        <v>2970</v>
      </c>
      <c r="G96" s="127">
        <v>9890</v>
      </c>
    </row>
    <row r="97" s="97" customFormat="1" ht="14.25" customHeight="1" spans="1:7">
      <c r="A97" s="111" t="s">
        <v>286</v>
      </c>
      <c r="B97" s="111" t="s">
        <v>2743</v>
      </c>
      <c r="C97" s="118">
        <v>17400</v>
      </c>
      <c r="D97" s="118">
        <v>17330</v>
      </c>
      <c r="E97" s="118">
        <v>16430</v>
      </c>
      <c r="F97" s="118">
        <v>2950</v>
      </c>
      <c r="G97" s="127">
        <v>11450</v>
      </c>
    </row>
    <row r="98" s="97" customFormat="1" ht="14.25" customHeight="1" spans="1:7">
      <c r="A98" s="111" t="s">
        <v>286</v>
      </c>
      <c r="B98" s="111" t="s">
        <v>2744</v>
      </c>
      <c r="C98" s="118">
        <v>15200</v>
      </c>
      <c r="D98" s="118">
        <v>15120</v>
      </c>
      <c r="E98" s="118">
        <v>17550</v>
      </c>
      <c r="F98" s="118">
        <v>3080</v>
      </c>
      <c r="G98" s="127">
        <v>9990</v>
      </c>
    </row>
    <row r="99" s="97" customFormat="1" ht="14.25" customHeight="1" spans="1:7">
      <c r="A99" s="111" t="s">
        <v>286</v>
      </c>
      <c r="B99" s="111" t="s">
        <v>2745</v>
      </c>
      <c r="C99" s="118">
        <v>17520</v>
      </c>
      <c r="D99" s="118">
        <v>17430</v>
      </c>
      <c r="E99" s="118">
        <v>16350</v>
      </c>
      <c r="F99" s="118">
        <v>3260</v>
      </c>
      <c r="G99" s="127">
        <v>11510</v>
      </c>
    </row>
    <row r="100" s="97" customFormat="1" ht="14.25" customHeight="1" spans="1:7">
      <c r="A100" s="111" t="s">
        <v>286</v>
      </c>
      <c r="B100" s="111" t="s">
        <v>2746</v>
      </c>
      <c r="C100" s="118">
        <v>15340</v>
      </c>
      <c r="D100" s="118">
        <v>15260</v>
      </c>
      <c r="E100" s="118">
        <v>15930</v>
      </c>
      <c r="F100" s="118">
        <v>2740</v>
      </c>
      <c r="G100" s="127">
        <v>10080</v>
      </c>
    </row>
    <row r="101" s="97" customFormat="1" ht="14.25" customHeight="1" spans="1:7">
      <c r="A101" s="111" t="s">
        <v>286</v>
      </c>
      <c r="B101" s="111" t="s">
        <v>2747</v>
      </c>
      <c r="C101" s="118">
        <v>14620</v>
      </c>
      <c r="D101" s="118">
        <v>14560</v>
      </c>
      <c r="E101" s="118">
        <v>15570</v>
      </c>
      <c r="F101" s="118">
        <v>3500</v>
      </c>
      <c r="G101" s="127">
        <v>9630</v>
      </c>
    </row>
    <row r="102" s="97" customFormat="1" ht="14.25" customHeight="1" spans="1:7">
      <c r="A102" s="111" t="s">
        <v>286</v>
      </c>
      <c r="B102" s="111" t="s">
        <v>2748</v>
      </c>
      <c r="C102" s="118">
        <v>13680</v>
      </c>
      <c r="D102" s="118">
        <v>13610</v>
      </c>
      <c r="E102" s="118">
        <v>15690</v>
      </c>
      <c r="F102" s="118">
        <v>2870</v>
      </c>
      <c r="G102" s="127">
        <v>8990</v>
      </c>
    </row>
    <row r="103" s="97" customFormat="1" ht="14.25" customHeight="1" spans="1:7">
      <c r="A103" s="111" t="s">
        <v>286</v>
      </c>
      <c r="B103" s="111" t="s">
        <v>2749</v>
      </c>
      <c r="C103" s="118">
        <v>14620</v>
      </c>
      <c r="D103" s="118">
        <v>14540</v>
      </c>
      <c r="E103" s="118">
        <v>15240</v>
      </c>
      <c r="F103" s="118">
        <v>2840</v>
      </c>
      <c r="G103" s="127">
        <v>9610</v>
      </c>
    </row>
    <row r="104" s="97" customFormat="1" ht="14.25" customHeight="1" spans="1:7">
      <c r="A104" s="111" t="s">
        <v>286</v>
      </c>
      <c r="B104" s="111" t="s">
        <v>2750</v>
      </c>
      <c r="C104" s="118">
        <v>13610</v>
      </c>
      <c r="D104" s="118">
        <v>13540</v>
      </c>
      <c r="E104" s="118">
        <v>15750</v>
      </c>
      <c r="F104" s="118">
        <v>2770</v>
      </c>
      <c r="G104" s="127">
        <v>8940</v>
      </c>
    </row>
    <row r="105" s="97" customFormat="1" ht="14.25" customHeight="1" spans="1:7">
      <c r="A105" s="111" t="s">
        <v>286</v>
      </c>
      <c r="B105" s="111" t="s">
        <v>2751</v>
      </c>
      <c r="C105" s="118">
        <v>13310</v>
      </c>
      <c r="D105" s="118">
        <v>13240</v>
      </c>
      <c r="E105" s="118">
        <v>16280</v>
      </c>
      <c r="F105" s="118">
        <v>3210</v>
      </c>
      <c r="G105" s="127">
        <v>8750</v>
      </c>
    </row>
    <row r="106" s="97" customFormat="1" ht="14.25" customHeight="1" spans="1:7">
      <c r="A106" s="111" t="s">
        <v>286</v>
      </c>
      <c r="B106" s="111" t="s">
        <v>2752</v>
      </c>
      <c r="C106" s="118">
        <v>13010</v>
      </c>
      <c r="D106" s="118">
        <v>12930</v>
      </c>
      <c r="E106" s="118">
        <v>14960</v>
      </c>
      <c r="F106" s="118">
        <v>3530</v>
      </c>
      <c r="G106" s="127">
        <v>8550</v>
      </c>
    </row>
    <row r="107" s="97" customFormat="1" ht="14.25" customHeight="1" spans="1:7">
      <c r="A107" s="111" t="s">
        <v>286</v>
      </c>
      <c r="B107" s="111" t="s">
        <v>2753</v>
      </c>
      <c r="C107" s="118">
        <v>13070</v>
      </c>
      <c r="D107" s="118">
        <v>13000</v>
      </c>
      <c r="E107" s="118">
        <v>15910</v>
      </c>
      <c r="F107" s="118">
        <v>3990</v>
      </c>
      <c r="G107" s="127">
        <v>8580</v>
      </c>
    </row>
    <row r="108" s="97" customFormat="1" ht="14.25" customHeight="1" spans="1:7">
      <c r="A108" s="111" t="s">
        <v>286</v>
      </c>
      <c r="B108" s="111" t="s">
        <v>2754</v>
      </c>
      <c r="C108" s="118">
        <v>12640</v>
      </c>
      <c r="D108" s="118">
        <v>12580</v>
      </c>
      <c r="E108" s="118">
        <v>15730</v>
      </c>
      <c r="F108" s="118"/>
      <c r="G108" s="127">
        <v>8310</v>
      </c>
    </row>
    <row r="109" s="97" customFormat="1" ht="14.25" customHeight="1" spans="1:7">
      <c r="A109" s="111" t="s">
        <v>286</v>
      </c>
      <c r="B109" s="111" t="s">
        <v>2755</v>
      </c>
      <c r="C109" s="118">
        <v>13130</v>
      </c>
      <c r="D109" s="118">
        <v>13070</v>
      </c>
      <c r="E109" s="118">
        <v>15000</v>
      </c>
      <c r="F109" s="118"/>
      <c r="G109" s="127">
        <v>8630</v>
      </c>
    </row>
    <row r="110" s="97" customFormat="1" ht="14.25" customHeight="1" spans="1:7">
      <c r="A110" s="111" t="s">
        <v>286</v>
      </c>
      <c r="B110" s="111" t="s">
        <v>2756</v>
      </c>
      <c r="C110" s="118">
        <v>13560</v>
      </c>
      <c r="D110" s="118">
        <v>13490</v>
      </c>
      <c r="E110" s="118">
        <v>16300</v>
      </c>
      <c r="F110" s="118"/>
      <c r="G110" s="127">
        <v>8920</v>
      </c>
    </row>
    <row r="111" s="97" customFormat="1" ht="14.25" customHeight="1" spans="1:7">
      <c r="A111" s="111" t="s">
        <v>286</v>
      </c>
      <c r="B111" s="111" t="s">
        <v>2757</v>
      </c>
      <c r="C111" s="118">
        <v>12440</v>
      </c>
      <c r="D111" s="118">
        <v>12380</v>
      </c>
      <c r="E111" s="118">
        <v>17850</v>
      </c>
      <c r="F111" s="118"/>
      <c r="G111" s="127">
        <v>8180</v>
      </c>
    </row>
    <row r="112" s="97" customFormat="1" ht="14.25" customHeight="1" spans="1:7">
      <c r="A112" s="111" t="s">
        <v>286</v>
      </c>
      <c r="B112" s="111" t="s">
        <v>2758</v>
      </c>
      <c r="C112" s="118">
        <v>13260</v>
      </c>
      <c r="D112" s="118">
        <v>13180</v>
      </c>
      <c r="E112" s="118">
        <v>19740</v>
      </c>
      <c r="F112" s="118"/>
      <c r="G112" s="127">
        <v>8710</v>
      </c>
    </row>
    <row r="113" s="97" customFormat="1" ht="14.25" customHeight="1" spans="1:7">
      <c r="A113" s="111" t="s">
        <v>286</v>
      </c>
      <c r="B113" s="111" t="s">
        <v>2759</v>
      </c>
      <c r="C113" s="118">
        <v>15520</v>
      </c>
      <c r="D113" s="118">
        <v>15450</v>
      </c>
      <c r="E113" s="118"/>
      <c r="F113" s="118"/>
      <c r="G113" s="127">
        <v>10210</v>
      </c>
    </row>
    <row r="114" s="97" customFormat="1" ht="14.25" customHeight="1" spans="1:7">
      <c r="A114" s="111" t="s">
        <v>286</v>
      </c>
      <c r="B114" s="111" t="s">
        <v>2760</v>
      </c>
      <c r="C114" s="118">
        <v>13110</v>
      </c>
      <c r="D114" s="118">
        <v>13050</v>
      </c>
      <c r="E114" s="118"/>
      <c r="F114" s="118"/>
      <c r="G114" s="127">
        <v>8620</v>
      </c>
    </row>
    <row r="115" s="97" customFormat="1" ht="14.25" customHeight="1" spans="1:7">
      <c r="A115" s="111" t="s">
        <v>286</v>
      </c>
      <c r="B115" s="111" t="s">
        <v>2761</v>
      </c>
      <c r="C115" s="118">
        <v>12460</v>
      </c>
      <c r="D115" s="118">
        <v>12390</v>
      </c>
      <c r="E115" s="118"/>
      <c r="F115" s="118"/>
      <c r="G115" s="127">
        <v>8190</v>
      </c>
    </row>
    <row r="116" s="97" customFormat="1" ht="14.25" customHeight="1" spans="1:7">
      <c r="A116" s="111" t="s">
        <v>286</v>
      </c>
      <c r="B116" s="111" t="s">
        <v>2762</v>
      </c>
      <c r="C116" s="118">
        <v>13580</v>
      </c>
      <c r="D116" s="118">
        <v>13520</v>
      </c>
      <c r="E116" s="118"/>
      <c r="F116" s="118"/>
      <c r="G116" s="127">
        <v>8930</v>
      </c>
    </row>
    <row r="117" s="97" customFormat="1" ht="14.25" customHeight="1" spans="1:7">
      <c r="A117" s="111" t="s">
        <v>286</v>
      </c>
      <c r="B117" s="111" t="s">
        <v>2763</v>
      </c>
      <c r="C117" s="118">
        <v>17120</v>
      </c>
      <c r="D117" s="118">
        <v>17040</v>
      </c>
      <c r="E117" s="118"/>
      <c r="F117" s="118"/>
      <c r="G117" s="127">
        <v>11260</v>
      </c>
    </row>
    <row r="118" s="97" customFormat="1" ht="14.25" customHeight="1" spans="1:7">
      <c r="A118" s="111" t="s">
        <v>286</v>
      </c>
      <c r="B118" s="111" t="s">
        <v>2764</v>
      </c>
      <c r="C118" s="118">
        <v>14860</v>
      </c>
      <c r="D118" s="118">
        <v>14790</v>
      </c>
      <c r="E118" s="118"/>
      <c r="F118" s="118"/>
      <c r="G118" s="127">
        <v>9780</v>
      </c>
    </row>
    <row r="119" s="97" customFormat="1" ht="14.25" customHeight="1" spans="1:7">
      <c r="A119" s="111" t="s">
        <v>286</v>
      </c>
      <c r="B119" s="111" t="s">
        <v>2765</v>
      </c>
      <c r="C119" s="118">
        <v>16470</v>
      </c>
      <c r="D119" s="118">
        <v>16400</v>
      </c>
      <c r="E119" s="118"/>
      <c r="F119" s="118"/>
      <c r="G119" s="127">
        <v>10840</v>
      </c>
    </row>
    <row r="120" s="97" customFormat="1" ht="14.25" customHeight="1" spans="1:7">
      <c r="A120" s="111" t="s">
        <v>286</v>
      </c>
      <c r="B120" s="111" t="s">
        <v>2766</v>
      </c>
      <c r="C120" s="118"/>
      <c r="D120" s="118"/>
      <c r="E120" s="118"/>
      <c r="F120" s="118">
        <v>4160</v>
      </c>
      <c r="G120" s="127"/>
    </row>
    <row r="121" s="97" customFormat="1" ht="14.25" customHeight="1" spans="1:7">
      <c r="A121" s="111" t="s">
        <v>286</v>
      </c>
      <c r="B121" s="111" t="s">
        <v>2767</v>
      </c>
      <c r="C121" s="118"/>
      <c r="D121" s="118"/>
      <c r="E121" s="118"/>
      <c r="F121" s="118">
        <v>3880</v>
      </c>
      <c r="G121" s="127"/>
    </row>
    <row r="122" s="97" customFormat="1" ht="14.25" customHeight="1" spans="1:7">
      <c r="A122" s="111" t="s">
        <v>286</v>
      </c>
      <c r="B122" s="111" t="s">
        <v>2768</v>
      </c>
      <c r="C122" s="118">
        <v>13750</v>
      </c>
      <c r="D122" s="118">
        <v>13680</v>
      </c>
      <c r="E122" s="118">
        <v>16460</v>
      </c>
      <c r="F122" s="118">
        <v>2880</v>
      </c>
      <c r="G122" s="127">
        <v>9040</v>
      </c>
    </row>
    <row r="123" s="97" customFormat="1" ht="14.25" customHeight="1" spans="1:7">
      <c r="A123" s="111" t="s">
        <v>286</v>
      </c>
      <c r="B123" s="111" t="s">
        <v>2769</v>
      </c>
      <c r="C123" s="118">
        <v>13590</v>
      </c>
      <c r="D123" s="118">
        <v>13520</v>
      </c>
      <c r="E123" s="118">
        <v>16290</v>
      </c>
      <c r="F123" s="118">
        <v>2790</v>
      </c>
      <c r="G123" s="127">
        <v>8930</v>
      </c>
    </row>
    <row r="124" s="97" customFormat="1" ht="14.25" customHeight="1" spans="1:7">
      <c r="A124" s="111" t="s">
        <v>286</v>
      </c>
      <c r="B124" s="111" t="s">
        <v>2770</v>
      </c>
      <c r="C124" s="118">
        <v>13400</v>
      </c>
      <c r="D124" s="118">
        <v>13320</v>
      </c>
      <c r="E124" s="118">
        <v>16100</v>
      </c>
      <c r="F124" s="118">
        <v>2320</v>
      </c>
      <c r="G124" s="127">
        <v>8800</v>
      </c>
    </row>
    <row r="125" s="97" customFormat="1" ht="14.25" customHeight="1" spans="1:7">
      <c r="A125" s="111" t="s">
        <v>286</v>
      </c>
      <c r="B125" s="111" t="s">
        <v>2771</v>
      </c>
      <c r="C125" s="118">
        <v>12860</v>
      </c>
      <c r="D125" s="118">
        <v>12790</v>
      </c>
      <c r="E125" s="118">
        <v>15370</v>
      </c>
      <c r="F125" s="118">
        <v>2280</v>
      </c>
      <c r="G125" s="127">
        <v>8450</v>
      </c>
    </row>
    <row r="126" s="97" customFormat="1" ht="14.25" customHeight="1" spans="1:7">
      <c r="A126" s="128" t="s">
        <v>286</v>
      </c>
      <c r="B126" s="120" t="s">
        <v>2772</v>
      </c>
      <c r="C126" s="122">
        <v>12960</v>
      </c>
      <c r="D126" s="122">
        <v>12890</v>
      </c>
      <c r="E126" s="122">
        <v>15530</v>
      </c>
      <c r="F126" s="122">
        <v>2910</v>
      </c>
      <c r="G126" s="129">
        <v>8520</v>
      </c>
    </row>
    <row r="127" s="97" customFormat="1" ht="14.25" customHeight="1" spans="1:7">
      <c r="A127" s="116" t="s">
        <v>295</v>
      </c>
      <c r="B127" s="106" t="s">
        <v>2773</v>
      </c>
      <c r="C127" s="118">
        <v>12280</v>
      </c>
      <c r="D127" s="118">
        <v>12250</v>
      </c>
      <c r="E127" s="118">
        <v>15130</v>
      </c>
      <c r="F127" s="118">
        <v>2710</v>
      </c>
      <c r="G127" s="118">
        <v>7870</v>
      </c>
    </row>
    <row r="128" s="97" customFormat="1" ht="14.25" customHeight="1" spans="1:7">
      <c r="A128" s="111" t="s">
        <v>295</v>
      </c>
      <c r="B128" s="111" t="s">
        <v>2774</v>
      </c>
      <c r="C128" s="118">
        <v>13180</v>
      </c>
      <c r="D128" s="118">
        <v>13150</v>
      </c>
      <c r="E128" s="118">
        <v>16190</v>
      </c>
      <c r="F128" s="118">
        <v>2820</v>
      </c>
      <c r="G128" s="118">
        <v>8460</v>
      </c>
    </row>
    <row r="129" s="97" customFormat="1" ht="14.25" customHeight="1" spans="1:7">
      <c r="A129" s="111" t="s">
        <v>295</v>
      </c>
      <c r="B129" s="111" t="s">
        <v>2775</v>
      </c>
      <c r="C129" s="118">
        <v>10950</v>
      </c>
      <c r="D129" s="118">
        <v>10920</v>
      </c>
      <c r="E129" s="118">
        <v>13820</v>
      </c>
      <c r="F129" s="118">
        <v>2500</v>
      </c>
      <c r="G129" s="118">
        <v>7020</v>
      </c>
    </row>
    <row r="130" s="97" customFormat="1" ht="14.25" customHeight="1" spans="1:7">
      <c r="A130" s="111" t="s">
        <v>295</v>
      </c>
      <c r="B130" s="111" t="s">
        <v>2776</v>
      </c>
      <c r="C130" s="118">
        <v>10910</v>
      </c>
      <c r="D130" s="118">
        <v>10860</v>
      </c>
      <c r="E130" s="118">
        <v>13730</v>
      </c>
      <c r="F130" s="118">
        <v>2760</v>
      </c>
      <c r="G130" s="118">
        <v>6990</v>
      </c>
    </row>
    <row r="131" s="97" customFormat="1" ht="14.25" customHeight="1" spans="1:7">
      <c r="A131" s="111" t="s">
        <v>295</v>
      </c>
      <c r="B131" s="111" t="s">
        <v>2777</v>
      </c>
      <c r="C131" s="118">
        <v>12910</v>
      </c>
      <c r="D131" s="118">
        <v>12870</v>
      </c>
      <c r="E131" s="118">
        <v>15720</v>
      </c>
      <c r="F131" s="118">
        <v>2750</v>
      </c>
      <c r="G131" s="118">
        <v>8280</v>
      </c>
    </row>
    <row r="132" s="97" customFormat="1" ht="14.25" customHeight="1" spans="1:7">
      <c r="A132" s="111" t="s">
        <v>295</v>
      </c>
      <c r="B132" s="111" t="s">
        <v>2778</v>
      </c>
      <c r="C132" s="118">
        <v>11910</v>
      </c>
      <c r="D132" s="118">
        <v>11860</v>
      </c>
      <c r="E132" s="118">
        <v>14730</v>
      </c>
      <c r="F132" s="118">
        <v>2360</v>
      </c>
      <c r="G132" s="118">
        <v>7630</v>
      </c>
    </row>
    <row r="133" s="97" customFormat="1" ht="14.25" customHeight="1" spans="1:7">
      <c r="A133" s="111" t="s">
        <v>295</v>
      </c>
      <c r="B133" s="111" t="s">
        <v>2779</v>
      </c>
      <c r="C133" s="118">
        <v>12270</v>
      </c>
      <c r="D133" s="118">
        <v>12210</v>
      </c>
      <c r="E133" s="118">
        <v>15010</v>
      </c>
      <c r="F133" s="118">
        <v>2580</v>
      </c>
      <c r="G133" s="118">
        <v>7860</v>
      </c>
    </row>
    <row r="134" s="97" customFormat="1" ht="14.25" customHeight="1" spans="1:7">
      <c r="A134" s="111" t="s">
        <v>295</v>
      </c>
      <c r="B134" s="111" t="s">
        <v>2780</v>
      </c>
      <c r="C134" s="118">
        <v>10800</v>
      </c>
      <c r="D134" s="118">
        <v>10780</v>
      </c>
      <c r="E134" s="118">
        <v>13640</v>
      </c>
      <c r="F134" s="118">
        <v>2110</v>
      </c>
      <c r="G134" s="118">
        <v>6930</v>
      </c>
    </row>
    <row r="135" s="97" customFormat="1" ht="14.25" customHeight="1" spans="1:7">
      <c r="A135" s="111" t="s">
        <v>295</v>
      </c>
      <c r="B135" s="111" t="s">
        <v>2781</v>
      </c>
      <c r="C135" s="118">
        <v>10430</v>
      </c>
      <c r="D135" s="118">
        <v>10390</v>
      </c>
      <c r="E135" s="118">
        <v>13140</v>
      </c>
      <c r="F135" s="118">
        <v>2240</v>
      </c>
      <c r="G135" s="118">
        <v>6680</v>
      </c>
    </row>
    <row r="136" s="97" customFormat="1" ht="14.25" customHeight="1" spans="1:7">
      <c r="A136" s="111" t="s">
        <v>295</v>
      </c>
      <c r="B136" s="111" t="s">
        <v>2782</v>
      </c>
      <c r="C136" s="118">
        <v>11930</v>
      </c>
      <c r="D136" s="118">
        <v>11880</v>
      </c>
      <c r="E136" s="118">
        <v>14770</v>
      </c>
      <c r="F136" s="118">
        <v>1970</v>
      </c>
      <c r="G136" s="118">
        <v>7640</v>
      </c>
    </row>
    <row r="137" s="97" customFormat="1" ht="14.25" customHeight="1" spans="1:7">
      <c r="A137" s="111" t="s">
        <v>295</v>
      </c>
      <c r="B137" s="111" t="s">
        <v>2783</v>
      </c>
      <c r="C137" s="118">
        <v>10470</v>
      </c>
      <c r="D137" s="118">
        <v>10430</v>
      </c>
      <c r="E137" s="118">
        <v>13190</v>
      </c>
      <c r="F137" s="118">
        <v>1990</v>
      </c>
      <c r="G137" s="118">
        <v>6710</v>
      </c>
    </row>
    <row r="138" s="97" customFormat="1" ht="14.25" customHeight="1" spans="1:7">
      <c r="A138" s="111" t="s">
        <v>295</v>
      </c>
      <c r="B138" s="111" t="s">
        <v>2784</v>
      </c>
      <c r="C138" s="118">
        <v>10410</v>
      </c>
      <c r="D138" s="118">
        <v>10380</v>
      </c>
      <c r="E138" s="118">
        <v>13130</v>
      </c>
      <c r="F138" s="118">
        <v>2030</v>
      </c>
      <c r="G138" s="118">
        <v>6680</v>
      </c>
    </row>
    <row r="139" s="97" customFormat="1" ht="14.25" customHeight="1" spans="1:7">
      <c r="A139" s="111" t="s">
        <v>295</v>
      </c>
      <c r="B139" s="111" t="s">
        <v>2785</v>
      </c>
      <c r="C139" s="118">
        <v>9460</v>
      </c>
      <c r="D139" s="118">
        <v>9410</v>
      </c>
      <c r="E139" s="118">
        <v>12050</v>
      </c>
      <c r="F139" s="118">
        <v>2140</v>
      </c>
      <c r="G139" s="118">
        <v>6050</v>
      </c>
    </row>
    <row r="140" s="97" customFormat="1" ht="14.25" customHeight="1" spans="1:7">
      <c r="A140" s="111" t="s">
        <v>295</v>
      </c>
      <c r="B140" s="111" t="s">
        <v>2786</v>
      </c>
      <c r="C140" s="118">
        <v>11030</v>
      </c>
      <c r="D140" s="118">
        <v>10980</v>
      </c>
      <c r="E140" s="118">
        <v>13880</v>
      </c>
      <c r="F140" s="118">
        <v>2210</v>
      </c>
      <c r="G140" s="118">
        <v>7060</v>
      </c>
    </row>
    <row r="141" s="97" customFormat="1" ht="14.25" customHeight="1" spans="1:7">
      <c r="A141" s="111" t="s">
        <v>295</v>
      </c>
      <c r="B141" s="111" t="s">
        <v>2787</v>
      </c>
      <c r="C141" s="118">
        <v>11200</v>
      </c>
      <c r="D141" s="118">
        <v>11150</v>
      </c>
      <c r="E141" s="118">
        <v>14100</v>
      </c>
      <c r="F141" s="118">
        <v>2470</v>
      </c>
      <c r="G141" s="118">
        <v>7170</v>
      </c>
    </row>
    <row r="142" s="97" customFormat="1" ht="14.25" customHeight="1" spans="1:7">
      <c r="A142" s="111" t="s">
        <v>295</v>
      </c>
      <c r="B142" s="111" t="s">
        <v>2788</v>
      </c>
      <c r="C142" s="118">
        <v>10780</v>
      </c>
      <c r="D142" s="118">
        <v>10730</v>
      </c>
      <c r="E142" s="118">
        <v>13540</v>
      </c>
      <c r="F142" s="118">
        <v>2280</v>
      </c>
      <c r="G142" s="118">
        <v>6900</v>
      </c>
    </row>
    <row r="143" s="97" customFormat="1" ht="14.25" customHeight="1" spans="1:7">
      <c r="A143" s="111" t="s">
        <v>295</v>
      </c>
      <c r="B143" s="111" t="s">
        <v>2789</v>
      </c>
      <c r="C143" s="118">
        <v>11550</v>
      </c>
      <c r="D143" s="118">
        <v>11490</v>
      </c>
      <c r="E143" s="118">
        <v>14480</v>
      </c>
      <c r="F143" s="118">
        <v>2070</v>
      </c>
      <c r="G143" s="118">
        <v>7390</v>
      </c>
    </row>
    <row r="144" s="97" customFormat="1" ht="14.25" customHeight="1" spans="1:7">
      <c r="A144" s="111" t="s">
        <v>295</v>
      </c>
      <c r="B144" s="111" t="s">
        <v>2790</v>
      </c>
      <c r="C144" s="118">
        <v>10720</v>
      </c>
      <c r="D144" s="118">
        <v>10680</v>
      </c>
      <c r="E144" s="118">
        <v>13480</v>
      </c>
      <c r="F144" s="118">
        <v>2440</v>
      </c>
      <c r="G144" s="118">
        <v>6870</v>
      </c>
    </row>
    <row r="145" s="97" customFormat="1" ht="14.25" customHeight="1" spans="1:7">
      <c r="A145" s="111" t="s">
        <v>295</v>
      </c>
      <c r="B145" s="111" t="s">
        <v>2791</v>
      </c>
      <c r="C145" s="118">
        <v>10340</v>
      </c>
      <c r="D145" s="118">
        <v>10290</v>
      </c>
      <c r="E145" s="118">
        <v>12880</v>
      </c>
      <c r="F145" s="118">
        <v>2650</v>
      </c>
      <c r="G145" s="118">
        <v>6620</v>
      </c>
    </row>
    <row r="146" s="97" customFormat="1" ht="14.25" customHeight="1" spans="1:7">
      <c r="A146" s="111" t="s">
        <v>295</v>
      </c>
      <c r="B146" s="111" t="s">
        <v>2792</v>
      </c>
      <c r="C146" s="118">
        <v>11890</v>
      </c>
      <c r="D146" s="118">
        <v>11830</v>
      </c>
      <c r="E146" s="118">
        <v>14670</v>
      </c>
      <c r="F146" s="118"/>
      <c r="G146" s="118">
        <v>7610</v>
      </c>
    </row>
    <row r="147" s="97" customFormat="1" ht="14.25" customHeight="1" spans="1:7">
      <c r="A147" s="111" t="s">
        <v>295</v>
      </c>
      <c r="B147" s="111" t="s">
        <v>2793</v>
      </c>
      <c r="C147" s="118">
        <v>12650</v>
      </c>
      <c r="D147" s="118">
        <v>12600</v>
      </c>
      <c r="E147" s="118">
        <v>15440</v>
      </c>
      <c r="F147" s="118"/>
      <c r="G147" s="118">
        <v>8110</v>
      </c>
    </row>
    <row r="148" s="97" customFormat="1" ht="14.25" customHeight="1" spans="1:7">
      <c r="A148" s="111" t="s">
        <v>295</v>
      </c>
      <c r="B148" s="111" t="s">
        <v>2794</v>
      </c>
      <c r="C148" s="118">
        <v>10370</v>
      </c>
      <c r="D148" s="118">
        <v>10310</v>
      </c>
      <c r="E148" s="118">
        <v>12970</v>
      </c>
      <c r="F148" s="118"/>
      <c r="G148" s="118">
        <v>6630</v>
      </c>
    </row>
    <row r="149" s="97" customFormat="1" ht="14.25" customHeight="1" spans="1:7">
      <c r="A149" s="111" t="s">
        <v>295</v>
      </c>
      <c r="B149" s="111" t="s">
        <v>2795</v>
      </c>
      <c r="C149" s="118">
        <v>11600</v>
      </c>
      <c r="D149" s="118">
        <v>11560</v>
      </c>
      <c r="E149" s="118">
        <v>14540</v>
      </c>
      <c r="F149" s="118">
        <v>2390</v>
      </c>
      <c r="G149" s="118">
        <v>7430</v>
      </c>
    </row>
    <row r="150" s="97" customFormat="1" ht="14.25" customHeight="1" spans="1:7">
      <c r="A150" s="111" t="s">
        <v>295</v>
      </c>
      <c r="B150" s="111" t="s">
        <v>2796</v>
      </c>
      <c r="C150" s="118">
        <v>9950</v>
      </c>
      <c r="D150" s="118">
        <v>9890</v>
      </c>
      <c r="E150" s="118">
        <v>12590</v>
      </c>
      <c r="F150" s="118">
        <v>1970</v>
      </c>
      <c r="G150" s="118">
        <v>6360</v>
      </c>
    </row>
    <row r="151" s="97" customFormat="1" ht="14.25" customHeight="1" spans="1:7">
      <c r="A151" s="111" t="s">
        <v>295</v>
      </c>
      <c r="B151" s="111" t="s">
        <v>2797</v>
      </c>
      <c r="C151" s="118">
        <v>10700</v>
      </c>
      <c r="D151" s="118">
        <v>10650</v>
      </c>
      <c r="E151" s="118">
        <v>13420</v>
      </c>
      <c r="F151" s="118">
        <v>2020</v>
      </c>
      <c r="G151" s="118">
        <v>6850</v>
      </c>
    </row>
    <row r="152" s="97" customFormat="1" ht="14.25" customHeight="1" spans="1:7">
      <c r="A152" s="111" t="s">
        <v>295</v>
      </c>
      <c r="B152" s="111" t="s">
        <v>2798</v>
      </c>
      <c r="C152" s="118">
        <v>10310</v>
      </c>
      <c r="D152" s="118">
        <v>10260</v>
      </c>
      <c r="E152" s="118">
        <v>12820</v>
      </c>
      <c r="F152" s="118">
        <v>1980</v>
      </c>
      <c r="G152" s="118">
        <v>6600</v>
      </c>
    </row>
    <row r="153" s="97" customFormat="1" ht="14.25" customHeight="1" spans="1:7">
      <c r="A153" s="111" t="s">
        <v>295</v>
      </c>
      <c r="B153" s="111" t="s">
        <v>2799</v>
      </c>
      <c r="C153" s="118">
        <v>10880</v>
      </c>
      <c r="D153" s="118">
        <v>10820</v>
      </c>
      <c r="E153" s="118">
        <v>13660</v>
      </c>
      <c r="F153" s="118">
        <v>2260</v>
      </c>
      <c r="G153" s="118">
        <v>6970</v>
      </c>
    </row>
    <row r="154" s="97" customFormat="1" ht="14.25" customHeight="1" spans="1:7">
      <c r="A154" s="111" t="s">
        <v>295</v>
      </c>
      <c r="B154" s="111" t="s">
        <v>2800</v>
      </c>
      <c r="C154" s="118">
        <v>11220</v>
      </c>
      <c r="D154" s="118">
        <v>11160</v>
      </c>
      <c r="E154" s="118">
        <v>14130</v>
      </c>
      <c r="F154" s="118">
        <v>2230</v>
      </c>
      <c r="G154" s="118">
        <v>7180</v>
      </c>
    </row>
    <row r="155" s="97" customFormat="1" ht="14.25" customHeight="1" spans="1:7">
      <c r="A155" s="111" t="s">
        <v>295</v>
      </c>
      <c r="B155" s="111" t="s">
        <v>2801</v>
      </c>
      <c r="C155" s="118">
        <v>10430</v>
      </c>
      <c r="D155" s="118">
        <v>10380</v>
      </c>
      <c r="E155" s="118">
        <v>13140</v>
      </c>
      <c r="F155" s="118">
        <v>2080</v>
      </c>
      <c r="G155" s="118">
        <v>6650</v>
      </c>
    </row>
    <row r="156" s="97" customFormat="1" ht="14.25" customHeight="1" spans="1:7">
      <c r="A156" s="111" t="s">
        <v>295</v>
      </c>
      <c r="B156" s="111" t="s">
        <v>2802</v>
      </c>
      <c r="C156" s="118">
        <v>10440</v>
      </c>
      <c r="D156" s="118">
        <v>10400</v>
      </c>
      <c r="E156" s="118">
        <v>13150</v>
      </c>
      <c r="F156" s="118">
        <v>2490</v>
      </c>
      <c r="G156" s="118">
        <v>6690</v>
      </c>
    </row>
    <row r="157" s="97" customFormat="1" ht="14.25" customHeight="1" spans="1:7">
      <c r="A157" s="111" t="s">
        <v>295</v>
      </c>
      <c r="B157" s="111" t="s">
        <v>2803</v>
      </c>
      <c r="C157" s="118">
        <v>10970</v>
      </c>
      <c r="D157" s="118">
        <v>10920</v>
      </c>
      <c r="E157" s="118">
        <v>13840</v>
      </c>
      <c r="F157" s="118">
        <v>2420</v>
      </c>
      <c r="G157" s="118">
        <v>7020</v>
      </c>
    </row>
    <row r="158" s="97" customFormat="1" ht="14.25" customHeight="1" spans="1:7">
      <c r="A158" s="111" t="s">
        <v>295</v>
      </c>
      <c r="B158" s="111" t="s">
        <v>2804</v>
      </c>
      <c r="C158" s="118">
        <v>9590</v>
      </c>
      <c r="D158" s="118">
        <v>9540</v>
      </c>
      <c r="E158" s="118">
        <v>12210</v>
      </c>
      <c r="F158" s="118">
        <v>2100</v>
      </c>
      <c r="G158" s="118">
        <v>6130</v>
      </c>
    </row>
    <row r="159" s="97" customFormat="1" ht="14.25" customHeight="1" spans="1:7">
      <c r="A159" s="111" t="s">
        <v>295</v>
      </c>
      <c r="B159" s="111" t="s">
        <v>2805</v>
      </c>
      <c r="C159" s="118">
        <v>11190</v>
      </c>
      <c r="D159" s="118">
        <v>11140</v>
      </c>
      <c r="E159" s="118">
        <v>14090</v>
      </c>
      <c r="F159" s="118">
        <v>2470</v>
      </c>
      <c r="G159" s="118">
        <v>7170</v>
      </c>
    </row>
    <row r="160" s="97" customFormat="1" ht="14.25" customHeight="1" spans="1:7">
      <c r="A160" s="111" t="s">
        <v>295</v>
      </c>
      <c r="B160" s="111" t="s">
        <v>2806</v>
      </c>
      <c r="C160" s="118">
        <v>11180</v>
      </c>
      <c r="D160" s="118">
        <v>11140</v>
      </c>
      <c r="E160" s="118">
        <v>14050</v>
      </c>
      <c r="F160" s="118">
        <v>2270</v>
      </c>
      <c r="G160" s="118">
        <v>7170</v>
      </c>
    </row>
    <row r="161" s="97" customFormat="1" ht="14.25" customHeight="1" spans="1:7">
      <c r="A161" s="111" t="s">
        <v>295</v>
      </c>
      <c r="B161" s="111" t="s">
        <v>2807</v>
      </c>
      <c r="C161" s="118">
        <v>11160</v>
      </c>
      <c r="D161" s="118">
        <v>11120</v>
      </c>
      <c r="E161" s="118">
        <v>14020</v>
      </c>
      <c r="F161" s="118">
        <v>2150</v>
      </c>
      <c r="G161" s="118">
        <v>7160</v>
      </c>
    </row>
    <row r="162" s="97" customFormat="1" ht="14.25" customHeight="1" spans="1:7">
      <c r="A162" s="111" t="s">
        <v>295</v>
      </c>
      <c r="B162" s="111" t="s">
        <v>2808</v>
      </c>
      <c r="C162" s="118">
        <v>9620</v>
      </c>
      <c r="D162" s="118">
        <v>9570</v>
      </c>
      <c r="E162" s="118">
        <v>12320</v>
      </c>
      <c r="F162" s="118">
        <v>2010</v>
      </c>
      <c r="G162" s="118">
        <v>6160</v>
      </c>
    </row>
    <row r="163" s="97" customFormat="1" ht="14.25" customHeight="1" spans="1:7">
      <c r="A163" s="111" t="s">
        <v>295</v>
      </c>
      <c r="B163" s="111" t="s">
        <v>2809</v>
      </c>
      <c r="C163" s="118">
        <v>9320</v>
      </c>
      <c r="D163" s="118">
        <v>9270</v>
      </c>
      <c r="E163" s="118">
        <v>11790</v>
      </c>
      <c r="F163" s="118">
        <v>1920</v>
      </c>
      <c r="G163" s="118">
        <v>5960</v>
      </c>
    </row>
    <row r="164" s="97" customFormat="1" ht="14.25" customHeight="1" spans="1:7">
      <c r="A164" s="111" t="s">
        <v>295</v>
      </c>
      <c r="B164" s="111" t="s">
        <v>2810</v>
      </c>
      <c r="C164" s="118"/>
      <c r="D164" s="118"/>
      <c r="E164" s="118"/>
      <c r="F164" s="118">
        <v>1980</v>
      </c>
      <c r="G164" s="118"/>
    </row>
    <row r="165" s="97" customFormat="1" ht="14.25" customHeight="1" spans="1:7">
      <c r="A165" s="111" t="s">
        <v>295</v>
      </c>
      <c r="B165" s="111" t="s">
        <v>2811</v>
      </c>
      <c r="C165" s="118">
        <v>11060</v>
      </c>
      <c r="D165" s="118">
        <v>11030</v>
      </c>
      <c r="E165" s="118">
        <v>13850</v>
      </c>
      <c r="F165" s="118">
        <v>2170</v>
      </c>
      <c r="G165" s="118">
        <v>7090</v>
      </c>
    </row>
    <row r="166" s="97" customFormat="1" ht="14.25" customHeight="1" spans="1:7">
      <c r="A166" s="111" t="s">
        <v>295</v>
      </c>
      <c r="B166" s="111" t="s">
        <v>2812</v>
      </c>
      <c r="C166" s="118">
        <v>11050</v>
      </c>
      <c r="D166" s="118">
        <v>11010</v>
      </c>
      <c r="E166" s="118">
        <v>13920</v>
      </c>
      <c r="F166" s="118">
        <v>2140</v>
      </c>
      <c r="G166" s="118">
        <v>7080</v>
      </c>
    </row>
    <row r="167" s="97" customFormat="1" ht="14.25" customHeight="1" spans="1:7">
      <c r="A167" s="111" t="s">
        <v>295</v>
      </c>
      <c r="B167" s="111" t="s">
        <v>2813</v>
      </c>
      <c r="C167" s="118">
        <v>10930</v>
      </c>
      <c r="D167" s="118">
        <v>10890</v>
      </c>
      <c r="E167" s="118">
        <v>13790</v>
      </c>
      <c r="F167" s="118">
        <v>2010</v>
      </c>
      <c r="G167" s="118">
        <v>7000</v>
      </c>
    </row>
    <row r="168" s="97" customFormat="1" ht="14.25" customHeight="1" spans="1:7">
      <c r="A168" s="111" t="s">
        <v>295</v>
      </c>
      <c r="B168" s="111" t="s">
        <v>2814</v>
      </c>
      <c r="C168" s="118">
        <v>9420</v>
      </c>
      <c r="D168" s="118">
        <v>9380</v>
      </c>
      <c r="E168" s="118">
        <v>11970</v>
      </c>
      <c r="F168" s="118"/>
      <c r="G168" s="118">
        <v>6040</v>
      </c>
    </row>
    <row r="169" s="97" customFormat="1" ht="14.25" customHeight="1" spans="1:7">
      <c r="A169" s="111" t="s">
        <v>295</v>
      </c>
      <c r="B169" s="111" t="s">
        <v>2815</v>
      </c>
      <c r="C169" s="118"/>
      <c r="D169" s="118"/>
      <c r="E169" s="118"/>
      <c r="F169" s="118">
        <v>2880</v>
      </c>
      <c r="G169" s="118"/>
    </row>
    <row r="170" s="97" customFormat="1" ht="14.25" customHeight="1" spans="1:7">
      <c r="A170" s="111" t="s">
        <v>295</v>
      </c>
      <c r="B170" s="111" t="s">
        <v>2816</v>
      </c>
      <c r="C170" s="118"/>
      <c r="D170" s="118"/>
      <c r="E170" s="118"/>
      <c r="F170" s="118">
        <v>2880</v>
      </c>
      <c r="G170" s="118"/>
    </row>
    <row r="171" s="97" customFormat="1" ht="14.25" customHeight="1" spans="1:7">
      <c r="A171" s="111" t="s">
        <v>295</v>
      </c>
      <c r="B171" s="111" t="s">
        <v>2817</v>
      </c>
      <c r="C171" s="118"/>
      <c r="D171" s="118"/>
      <c r="E171" s="118"/>
      <c r="F171" s="118">
        <v>2880</v>
      </c>
      <c r="G171" s="118"/>
    </row>
    <row r="172" s="97" customFormat="1" ht="14.25" customHeight="1" spans="1:7">
      <c r="A172" s="111" t="s">
        <v>295</v>
      </c>
      <c r="B172" s="111" t="s">
        <v>2818</v>
      </c>
      <c r="C172" s="118"/>
      <c r="D172" s="118"/>
      <c r="E172" s="118"/>
      <c r="F172" s="118">
        <v>2880</v>
      </c>
      <c r="G172" s="118"/>
    </row>
    <row r="173" s="97" customFormat="1" ht="14.25" customHeight="1" spans="1:7">
      <c r="A173" s="111" t="s">
        <v>295</v>
      </c>
      <c r="B173" s="111" t="s">
        <v>2819</v>
      </c>
      <c r="C173" s="118"/>
      <c r="D173" s="118"/>
      <c r="E173" s="118"/>
      <c r="F173" s="118">
        <v>2150</v>
      </c>
      <c r="G173" s="118"/>
    </row>
    <row r="174" s="97" customFormat="1" ht="14.25" customHeight="1" spans="1:7">
      <c r="A174" s="111" t="s">
        <v>295</v>
      </c>
      <c r="B174" s="111" t="s">
        <v>2820</v>
      </c>
      <c r="C174" s="118"/>
      <c r="D174" s="118"/>
      <c r="E174" s="118"/>
      <c r="F174" s="118">
        <v>2030</v>
      </c>
      <c r="G174" s="118"/>
    </row>
    <row r="175" s="97" customFormat="1" ht="14.25" customHeight="1" spans="1:7">
      <c r="A175" s="111" t="s">
        <v>295</v>
      </c>
      <c r="B175" s="111" t="s">
        <v>2821</v>
      </c>
      <c r="C175" s="118"/>
      <c r="D175" s="118"/>
      <c r="E175" s="118"/>
      <c r="F175" s="118">
        <v>2780</v>
      </c>
      <c r="G175" s="118"/>
    </row>
    <row r="176" s="97" customFormat="1" ht="14.25" customHeight="1" spans="1:7">
      <c r="A176" s="111" t="s">
        <v>295</v>
      </c>
      <c r="B176" s="111" t="s">
        <v>2822</v>
      </c>
      <c r="C176" s="118"/>
      <c r="D176" s="118"/>
      <c r="E176" s="118"/>
      <c r="F176" s="118">
        <v>2780</v>
      </c>
      <c r="G176" s="118"/>
    </row>
    <row r="177" s="97" customFormat="1" ht="14.25" customHeight="1" spans="1:7">
      <c r="A177" s="111" t="s">
        <v>295</v>
      </c>
      <c r="B177" s="111" t="s">
        <v>2823</v>
      </c>
      <c r="C177" s="118"/>
      <c r="D177" s="118"/>
      <c r="E177" s="118"/>
      <c r="F177" s="118">
        <v>2780</v>
      </c>
      <c r="G177" s="118"/>
    </row>
    <row r="178" s="97" customFormat="1" ht="14.25" customHeight="1" spans="1:7">
      <c r="A178" s="111" t="s">
        <v>295</v>
      </c>
      <c r="B178" s="111" t="s">
        <v>2824</v>
      </c>
      <c r="C178" s="118"/>
      <c r="D178" s="118"/>
      <c r="E178" s="118"/>
      <c r="F178" s="118">
        <v>2060</v>
      </c>
      <c r="G178" s="118"/>
    </row>
    <row r="179" s="97" customFormat="1" ht="14.25" customHeight="1" spans="1:7">
      <c r="A179" s="111" t="s">
        <v>295</v>
      </c>
      <c r="B179" s="111" t="s">
        <v>2825</v>
      </c>
      <c r="C179" s="118"/>
      <c r="D179" s="118"/>
      <c r="E179" s="118"/>
      <c r="F179" s="118">
        <v>2120</v>
      </c>
      <c r="G179" s="118"/>
    </row>
    <row r="180" s="97" customFormat="1" ht="14.25" customHeight="1" spans="1:7">
      <c r="A180" s="111" t="s">
        <v>295</v>
      </c>
      <c r="B180" s="111" t="s">
        <v>2826</v>
      </c>
      <c r="C180" s="118"/>
      <c r="D180" s="118"/>
      <c r="E180" s="118"/>
      <c r="F180" s="118">
        <v>2340</v>
      </c>
      <c r="G180" s="118"/>
    </row>
    <row r="181" s="97" customFormat="1" ht="14.25" customHeight="1" spans="1:7">
      <c r="A181" s="111" t="s">
        <v>295</v>
      </c>
      <c r="B181" s="111" t="s">
        <v>2827</v>
      </c>
      <c r="C181" s="118"/>
      <c r="D181" s="118"/>
      <c r="E181" s="118"/>
      <c r="F181" s="118">
        <v>2340</v>
      </c>
      <c r="G181" s="118"/>
    </row>
    <row r="182" s="97" customFormat="1" ht="14.25" customHeight="1" spans="1:7">
      <c r="A182" s="111" t="s">
        <v>295</v>
      </c>
      <c r="B182" s="111" t="s">
        <v>2828</v>
      </c>
      <c r="C182" s="118"/>
      <c r="D182" s="118"/>
      <c r="E182" s="118"/>
      <c r="F182" s="118">
        <v>2340</v>
      </c>
      <c r="G182" s="118"/>
    </row>
    <row r="183" s="97" customFormat="1" ht="14.25" customHeight="1" spans="1:7">
      <c r="A183" s="111" t="s">
        <v>295</v>
      </c>
      <c r="B183" s="111" t="s">
        <v>2829</v>
      </c>
      <c r="C183" s="118"/>
      <c r="D183" s="118"/>
      <c r="E183" s="118"/>
      <c r="F183" s="118">
        <v>2340</v>
      </c>
      <c r="G183" s="118"/>
    </row>
    <row r="184" s="97" customFormat="1" ht="14.25" customHeight="1" spans="1:7">
      <c r="A184" s="111" t="s">
        <v>295</v>
      </c>
      <c r="B184" s="111" t="s">
        <v>2830</v>
      </c>
      <c r="C184" s="118"/>
      <c r="D184" s="118"/>
      <c r="E184" s="118"/>
      <c r="F184" s="118">
        <v>2340</v>
      </c>
      <c r="G184" s="118"/>
    </row>
    <row r="185" s="97" customFormat="1" ht="14.25" customHeight="1" spans="1:7">
      <c r="A185" s="111" t="s">
        <v>295</v>
      </c>
      <c r="B185" s="111" t="s">
        <v>2831</v>
      </c>
      <c r="C185" s="118"/>
      <c r="D185" s="118"/>
      <c r="E185" s="118"/>
      <c r="F185" s="118">
        <v>2530</v>
      </c>
      <c r="G185" s="118"/>
    </row>
    <row r="186" s="97" customFormat="1" ht="14.25" customHeight="1" spans="1:7">
      <c r="A186" s="111" t="s">
        <v>295</v>
      </c>
      <c r="B186" s="111" t="s">
        <v>2832</v>
      </c>
      <c r="C186" s="118"/>
      <c r="D186" s="118"/>
      <c r="E186" s="118"/>
      <c r="F186" s="118">
        <v>2550</v>
      </c>
      <c r="G186" s="118"/>
    </row>
    <row r="187" s="97" customFormat="1" ht="14.25" customHeight="1" spans="1:7">
      <c r="A187" s="111" t="s">
        <v>295</v>
      </c>
      <c r="B187" s="111" t="s">
        <v>2833</v>
      </c>
      <c r="C187" s="118"/>
      <c r="D187" s="118"/>
      <c r="E187" s="118"/>
      <c r="F187" s="118">
        <v>2070</v>
      </c>
      <c r="G187" s="118"/>
    </row>
    <row r="188" s="97" customFormat="1" ht="14.25" customHeight="1" spans="1:7">
      <c r="A188" s="111" t="s">
        <v>295</v>
      </c>
      <c r="B188" s="111" t="s">
        <v>582</v>
      </c>
      <c r="C188" s="118"/>
      <c r="D188" s="118"/>
      <c r="E188" s="118"/>
      <c r="F188" s="118">
        <v>2340</v>
      </c>
      <c r="G188" s="118"/>
    </row>
    <row r="189" s="97" customFormat="1" ht="14.25" customHeight="1" spans="1:7">
      <c r="A189" s="121" t="s">
        <v>295</v>
      </c>
      <c r="B189" s="130" t="s">
        <v>2834</v>
      </c>
      <c r="C189" s="125"/>
      <c r="D189" s="125"/>
      <c r="E189" s="125"/>
      <c r="F189" s="125">
        <v>2050</v>
      </c>
      <c r="G189" s="125"/>
    </row>
    <row r="190" s="97" customFormat="1" ht="14.25" customHeight="1" spans="1:7">
      <c r="A190" s="116" t="s">
        <v>303</v>
      </c>
      <c r="B190" s="106" t="s">
        <v>2835</v>
      </c>
      <c r="C190" s="117">
        <v>8830</v>
      </c>
      <c r="D190" s="117">
        <v>8790</v>
      </c>
      <c r="E190" s="117">
        <v>11630</v>
      </c>
      <c r="F190" s="117">
        <v>1790</v>
      </c>
      <c r="G190" s="126">
        <v>5550</v>
      </c>
    </row>
    <row r="191" s="97" customFormat="1" ht="14.25" customHeight="1" spans="1:7">
      <c r="A191" s="111" t="s">
        <v>303</v>
      </c>
      <c r="B191" s="111" t="s">
        <v>2836</v>
      </c>
      <c r="C191" s="118">
        <v>9780</v>
      </c>
      <c r="D191" s="118">
        <v>9710</v>
      </c>
      <c r="E191" s="118">
        <v>12550</v>
      </c>
      <c r="F191" s="118">
        <v>1980</v>
      </c>
      <c r="G191" s="127">
        <v>6130</v>
      </c>
    </row>
    <row r="192" s="97" customFormat="1" ht="14.25" customHeight="1" spans="1:7">
      <c r="A192" s="111" t="s">
        <v>303</v>
      </c>
      <c r="B192" s="111" t="s">
        <v>2837</v>
      </c>
      <c r="C192" s="118">
        <v>8180</v>
      </c>
      <c r="D192" s="118">
        <v>8140</v>
      </c>
      <c r="E192" s="118">
        <v>10870</v>
      </c>
      <c r="F192" s="118">
        <v>1690</v>
      </c>
      <c r="G192" s="127">
        <v>5140</v>
      </c>
    </row>
    <row r="193" s="97" customFormat="1" ht="14.25" customHeight="1" spans="1:7">
      <c r="A193" s="111" t="s">
        <v>303</v>
      </c>
      <c r="B193" s="111" t="s">
        <v>2838</v>
      </c>
      <c r="C193" s="118">
        <v>8440</v>
      </c>
      <c r="D193" s="118">
        <v>8390</v>
      </c>
      <c r="E193" s="118">
        <v>11210</v>
      </c>
      <c r="F193" s="118">
        <v>1600</v>
      </c>
      <c r="G193" s="127">
        <v>5300</v>
      </c>
    </row>
    <row r="194" s="97" customFormat="1" ht="14.25" customHeight="1" spans="1:7">
      <c r="A194" s="111" t="s">
        <v>303</v>
      </c>
      <c r="B194" s="111" t="s">
        <v>2839</v>
      </c>
      <c r="C194" s="118">
        <v>8780</v>
      </c>
      <c r="D194" s="118">
        <v>8730</v>
      </c>
      <c r="E194" s="118">
        <v>11550</v>
      </c>
      <c r="F194" s="118">
        <v>1660</v>
      </c>
      <c r="G194" s="127">
        <v>5520</v>
      </c>
    </row>
    <row r="195" s="97" customFormat="1" ht="14.25" customHeight="1" spans="1:7">
      <c r="A195" s="111" t="s">
        <v>303</v>
      </c>
      <c r="B195" s="111" t="s">
        <v>2840</v>
      </c>
      <c r="C195" s="118">
        <v>8720</v>
      </c>
      <c r="D195" s="118">
        <v>8670</v>
      </c>
      <c r="E195" s="118">
        <v>11450</v>
      </c>
      <c r="F195" s="118">
        <v>1720</v>
      </c>
      <c r="G195" s="127">
        <v>5480</v>
      </c>
    </row>
    <row r="196" s="97" customFormat="1" ht="14.25" customHeight="1" spans="1:7">
      <c r="A196" s="111" t="s">
        <v>303</v>
      </c>
      <c r="B196" s="111" t="s">
        <v>2841</v>
      </c>
      <c r="C196" s="118">
        <v>8460</v>
      </c>
      <c r="D196" s="118">
        <v>8410</v>
      </c>
      <c r="E196" s="118">
        <v>11230</v>
      </c>
      <c r="F196" s="118">
        <v>1730</v>
      </c>
      <c r="G196" s="127">
        <v>5310</v>
      </c>
    </row>
    <row r="197" s="97" customFormat="1" ht="14.25" customHeight="1" spans="1:7">
      <c r="A197" s="111" t="s">
        <v>303</v>
      </c>
      <c r="B197" s="111" t="s">
        <v>2842</v>
      </c>
      <c r="C197" s="118">
        <v>8790</v>
      </c>
      <c r="D197" s="118">
        <v>8730</v>
      </c>
      <c r="E197" s="118">
        <v>11560</v>
      </c>
      <c r="F197" s="118">
        <v>1750</v>
      </c>
      <c r="G197" s="127">
        <v>5520</v>
      </c>
    </row>
    <row r="198" s="97" customFormat="1" ht="14.25" customHeight="1" spans="1:7">
      <c r="A198" s="111" t="s">
        <v>303</v>
      </c>
      <c r="B198" s="111" t="s">
        <v>2843</v>
      </c>
      <c r="C198" s="118">
        <v>8720</v>
      </c>
      <c r="D198" s="118">
        <v>8680</v>
      </c>
      <c r="E198" s="118">
        <v>11470</v>
      </c>
      <c r="F198" s="118"/>
      <c r="G198" s="127">
        <v>5480</v>
      </c>
    </row>
    <row r="199" s="97" customFormat="1" ht="14.25" customHeight="1" spans="1:7">
      <c r="A199" s="111" t="s">
        <v>303</v>
      </c>
      <c r="B199" s="111" t="s">
        <v>2844</v>
      </c>
      <c r="C199" s="118">
        <v>8690</v>
      </c>
      <c r="D199" s="118">
        <v>8630</v>
      </c>
      <c r="E199" s="118">
        <v>11350</v>
      </c>
      <c r="F199" s="118">
        <v>1600</v>
      </c>
      <c r="G199" s="127">
        <v>5450</v>
      </c>
    </row>
    <row r="200" s="97" customFormat="1" ht="14.25" customHeight="1" spans="1:7">
      <c r="A200" s="111" t="s">
        <v>303</v>
      </c>
      <c r="B200" s="111" t="s">
        <v>2845</v>
      </c>
      <c r="C200" s="118"/>
      <c r="D200" s="118"/>
      <c r="E200" s="118"/>
      <c r="F200" s="118">
        <v>1510</v>
      </c>
      <c r="G200" s="127"/>
    </row>
    <row r="201" s="97" customFormat="1" ht="14.25" customHeight="1" spans="1:7">
      <c r="A201" s="111" t="s">
        <v>303</v>
      </c>
      <c r="B201" s="111" t="s">
        <v>2846</v>
      </c>
      <c r="C201" s="118">
        <v>8440</v>
      </c>
      <c r="D201" s="118">
        <v>8390</v>
      </c>
      <c r="E201" s="118">
        <v>10930</v>
      </c>
      <c r="F201" s="118">
        <v>1500</v>
      </c>
      <c r="G201" s="127">
        <v>5300</v>
      </c>
    </row>
    <row r="202" s="97" customFormat="1" ht="14.25" customHeight="1" spans="1:7">
      <c r="A202" s="111" t="s">
        <v>303</v>
      </c>
      <c r="B202" s="111" t="s">
        <v>2847</v>
      </c>
      <c r="C202" s="118">
        <v>8530</v>
      </c>
      <c r="D202" s="118">
        <v>8490</v>
      </c>
      <c r="E202" s="118">
        <v>11160</v>
      </c>
      <c r="F202" s="118">
        <v>1580</v>
      </c>
      <c r="G202" s="127">
        <v>5360</v>
      </c>
    </row>
    <row r="203" s="97" customFormat="1" ht="14.25" customHeight="1" spans="1:7">
      <c r="A203" s="111" t="s">
        <v>303</v>
      </c>
      <c r="B203" s="111" t="s">
        <v>2848</v>
      </c>
      <c r="C203" s="118">
        <v>8130</v>
      </c>
      <c r="D203" s="118">
        <v>8070</v>
      </c>
      <c r="E203" s="118">
        <v>10820</v>
      </c>
      <c r="F203" s="118">
        <v>1690</v>
      </c>
      <c r="G203" s="127">
        <v>5100</v>
      </c>
    </row>
    <row r="204" s="97" customFormat="1" ht="14.25" customHeight="1" spans="1:7">
      <c r="A204" s="111" t="s">
        <v>303</v>
      </c>
      <c r="B204" s="111" t="s">
        <v>2849</v>
      </c>
      <c r="C204" s="118">
        <v>8350</v>
      </c>
      <c r="D204" s="118">
        <v>8290</v>
      </c>
      <c r="E204" s="118">
        <v>11080</v>
      </c>
      <c r="F204" s="118">
        <v>1450</v>
      </c>
      <c r="G204" s="127">
        <v>5240</v>
      </c>
    </row>
    <row r="205" s="97" customFormat="1" ht="14.25" customHeight="1" spans="1:7">
      <c r="A205" s="111" t="s">
        <v>303</v>
      </c>
      <c r="B205" s="111" t="s">
        <v>2850</v>
      </c>
      <c r="C205" s="118">
        <v>7190</v>
      </c>
      <c r="D205" s="118">
        <v>7130</v>
      </c>
      <c r="E205" s="118">
        <v>9490</v>
      </c>
      <c r="F205" s="118">
        <v>1470</v>
      </c>
      <c r="G205" s="127">
        <v>4510</v>
      </c>
    </row>
    <row r="206" s="97" customFormat="1" ht="14.25" customHeight="1" spans="1:7">
      <c r="A206" s="111" t="s">
        <v>303</v>
      </c>
      <c r="B206" s="111" t="s">
        <v>2851</v>
      </c>
      <c r="C206" s="118">
        <v>7000</v>
      </c>
      <c r="D206" s="118">
        <v>6950</v>
      </c>
      <c r="E206" s="118">
        <v>9170</v>
      </c>
      <c r="F206" s="118">
        <v>1400</v>
      </c>
      <c r="G206" s="127">
        <v>4380</v>
      </c>
    </row>
    <row r="207" s="97" customFormat="1" ht="14.25" customHeight="1" spans="1:7">
      <c r="A207" s="111" t="s">
        <v>303</v>
      </c>
      <c r="B207" s="111" t="s">
        <v>2852</v>
      </c>
      <c r="C207" s="118">
        <v>6950</v>
      </c>
      <c r="D207" s="118">
        <v>6900</v>
      </c>
      <c r="E207" s="118">
        <v>9110</v>
      </c>
      <c r="F207" s="118">
        <v>1790</v>
      </c>
      <c r="G207" s="127">
        <v>4360</v>
      </c>
    </row>
    <row r="208" s="97" customFormat="1" ht="14.25" customHeight="1" spans="1:7">
      <c r="A208" s="111" t="s">
        <v>303</v>
      </c>
      <c r="B208" s="111" t="s">
        <v>2853</v>
      </c>
      <c r="C208" s="118">
        <v>9470</v>
      </c>
      <c r="D208" s="118">
        <v>9410</v>
      </c>
      <c r="E208" s="118">
        <v>12330</v>
      </c>
      <c r="F208" s="118">
        <v>1770</v>
      </c>
      <c r="G208" s="127">
        <v>5940</v>
      </c>
    </row>
    <row r="209" s="97" customFormat="1" ht="14.25" customHeight="1" spans="1:7">
      <c r="A209" s="111" t="s">
        <v>303</v>
      </c>
      <c r="B209" s="111" t="s">
        <v>2854</v>
      </c>
      <c r="C209" s="118">
        <v>8740</v>
      </c>
      <c r="D209" s="118">
        <v>8700</v>
      </c>
      <c r="E209" s="118">
        <v>11500</v>
      </c>
      <c r="F209" s="118">
        <v>1730</v>
      </c>
      <c r="G209" s="127">
        <v>5490</v>
      </c>
    </row>
    <row r="210" s="97" customFormat="1" ht="14.25" customHeight="1" spans="1:7">
      <c r="A210" s="111" t="s">
        <v>303</v>
      </c>
      <c r="B210" s="111" t="s">
        <v>2855</v>
      </c>
      <c r="C210" s="118">
        <v>8710</v>
      </c>
      <c r="D210" s="118">
        <v>8660</v>
      </c>
      <c r="E210" s="118">
        <v>11440</v>
      </c>
      <c r="F210" s="118">
        <v>1740</v>
      </c>
      <c r="G210" s="127">
        <v>5470</v>
      </c>
    </row>
    <row r="211" s="97" customFormat="1" ht="14.25" customHeight="1" spans="1:7">
      <c r="A211" s="111" t="s">
        <v>303</v>
      </c>
      <c r="B211" s="111" t="s">
        <v>2856</v>
      </c>
      <c r="C211" s="118">
        <v>9480</v>
      </c>
      <c r="D211" s="118">
        <v>9430</v>
      </c>
      <c r="E211" s="118">
        <v>12360</v>
      </c>
      <c r="F211" s="118">
        <v>1820</v>
      </c>
      <c r="G211" s="127">
        <v>5950</v>
      </c>
    </row>
    <row r="212" s="97" customFormat="1" ht="14.25" customHeight="1" spans="1:7">
      <c r="A212" s="111" t="s">
        <v>303</v>
      </c>
      <c r="B212" s="111" t="s">
        <v>2857</v>
      </c>
      <c r="C212" s="118">
        <v>9070</v>
      </c>
      <c r="D212" s="118">
        <v>9020</v>
      </c>
      <c r="E212" s="118">
        <v>11720</v>
      </c>
      <c r="F212" s="118">
        <v>1850</v>
      </c>
      <c r="G212" s="127">
        <v>5700</v>
      </c>
    </row>
    <row r="213" s="97" customFormat="1" ht="14.25" customHeight="1" spans="1:7">
      <c r="A213" s="111" t="s">
        <v>303</v>
      </c>
      <c r="B213" s="111" t="s">
        <v>2858</v>
      </c>
      <c r="C213" s="118">
        <v>9030</v>
      </c>
      <c r="D213" s="118">
        <v>8980</v>
      </c>
      <c r="E213" s="118">
        <v>11670</v>
      </c>
      <c r="F213" s="118">
        <v>1690</v>
      </c>
      <c r="G213" s="127">
        <v>5670</v>
      </c>
    </row>
    <row r="214" s="97" customFormat="1" ht="14.25" customHeight="1" spans="1:7">
      <c r="A214" s="111" t="s">
        <v>303</v>
      </c>
      <c r="B214" s="111" t="s">
        <v>2859</v>
      </c>
      <c r="C214" s="118">
        <v>8090</v>
      </c>
      <c r="D214" s="118">
        <v>8030</v>
      </c>
      <c r="E214" s="118">
        <v>10780</v>
      </c>
      <c r="F214" s="118">
        <v>1570</v>
      </c>
      <c r="G214" s="127">
        <v>5070</v>
      </c>
    </row>
    <row r="215" s="97" customFormat="1" ht="14.25" customHeight="1" spans="1:7">
      <c r="A215" s="111" t="s">
        <v>303</v>
      </c>
      <c r="B215" s="111" t="s">
        <v>2860</v>
      </c>
      <c r="C215" s="118">
        <v>7950</v>
      </c>
      <c r="D215" s="118">
        <v>7900</v>
      </c>
      <c r="E215" s="118">
        <v>10560</v>
      </c>
      <c r="F215" s="118">
        <v>1630</v>
      </c>
      <c r="G215" s="127">
        <v>4990</v>
      </c>
    </row>
    <row r="216" s="97" customFormat="1" ht="14.25" customHeight="1" spans="1:7">
      <c r="A216" s="111" t="s">
        <v>303</v>
      </c>
      <c r="B216" s="111" t="s">
        <v>2861</v>
      </c>
      <c r="C216" s="118">
        <v>8490</v>
      </c>
      <c r="D216" s="118">
        <v>8440</v>
      </c>
      <c r="E216" s="118">
        <v>11260</v>
      </c>
      <c r="F216" s="118">
        <v>1690</v>
      </c>
      <c r="G216" s="127">
        <v>5330</v>
      </c>
    </row>
    <row r="217" s="97" customFormat="1" ht="14.25" customHeight="1" spans="1:7">
      <c r="A217" s="111" t="s">
        <v>303</v>
      </c>
      <c r="B217" s="111" t="s">
        <v>2862</v>
      </c>
      <c r="C217" s="118">
        <v>8200</v>
      </c>
      <c r="D217" s="118">
        <v>8150</v>
      </c>
      <c r="E217" s="118">
        <v>10910</v>
      </c>
      <c r="F217" s="118">
        <v>1670</v>
      </c>
      <c r="G217" s="127">
        <v>5150</v>
      </c>
    </row>
    <row r="218" s="97" customFormat="1" ht="14.25" customHeight="1" spans="1:7">
      <c r="A218" s="111" t="s">
        <v>303</v>
      </c>
      <c r="B218" s="111" t="s">
        <v>2863</v>
      </c>
      <c r="C218" s="118"/>
      <c r="D218" s="118"/>
      <c r="E218" s="118"/>
      <c r="F218" s="118">
        <v>2040</v>
      </c>
      <c r="G218" s="127"/>
    </row>
    <row r="219" s="97" customFormat="1" ht="14.25" customHeight="1" spans="1:7">
      <c r="A219" s="111" t="s">
        <v>303</v>
      </c>
      <c r="B219" s="111" t="s">
        <v>2864</v>
      </c>
      <c r="C219" s="118"/>
      <c r="D219" s="118"/>
      <c r="E219" s="118"/>
      <c r="F219" s="118">
        <v>2040</v>
      </c>
      <c r="G219" s="127"/>
    </row>
    <row r="220" s="97" customFormat="1" ht="14.25" customHeight="1" spans="1:7">
      <c r="A220" s="111" t="s">
        <v>303</v>
      </c>
      <c r="B220" s="111" t="s">
        <v>2865</v>
      </c>
      <c r="C220" s="118"/>
      <c r="D220" s="118"/>
      <c r="E220" s="118"/>
      <c r="F220" s="118">
        <v>2040</v>
      </c>
      <c r="G220" s="127"/>
    </row>
    <row r="221" s="97" customFormat="1" ht="14.25" customHeight="1" spans="1:7">
      <c r="A221" s="111" t="s">
        <v>303</v>
      </c>
      <c r="B221" s="111" t="s">
        <v>2866</v>
      </c>
      <c r="C221" s="118"/>
      <c r="D221" s="118"/>
      <c r="E221" s="118"/>
      <c r="F221" s="118">
        <v>2040</v>
      </c>
      <c r="G221" s="127"/>
    </row>
    <row r="222" s="97" customFormat="1" ht="14.25" customHeight="1" spans="1:7">
      <c r="A222" s="111" t="s">
        <v>303</v>
      </c>
      <c r="B222" s="111" t="s">
        <v>2867</v>
      </c>
      <c r="C222" s="118"/>
      <c r="D222" s="118"/>
      <c r="E222" s="118"/>
      <c r="F222" s="118">
        <v>2040</v>
      </c>
      <c r="G222" s="127"/>
    </row>
    <row r="223" s="97" customFormat="1" ht="14.25" customHeight="1" spans="1:7">
      <c r="A223" s="111" t="s">
        <v>303</v>
      </c>
      <c r="B223" s="111" t="s">
        <v>2868</v>
      </c>
      <c r="C223" s="118"/>
      <c r="D223" s="118"/>
      <c r="E223" s="118"/>
      <c r="F223" s="118">
        <v>1930</v>
      </c>
      <c r="G223" s="127"/>
    </row>
    <row r="224" s="97" customFormat="1" ht="14.25" customHeight="1" spans="1:7">
      <c r="A224" s="111" t="s">
        <v>303</v>
      </c>
      <c r="B224" s="111" t="s">
        <v>2869</v>
      </c>
      <c r="C224" s="118"/>
      <c r="D224" s="118"/>
      <c r="E224" s="118"/>
      <c r="F224" s="118">
        <v>1930</v>
      </c>
      <c r="G224" s="127"/>
    </row>
    <row r="225" s="97" customFormat="1" ht="14.25" customHeight="1" spans="1:7">
      <c r="A225" s="111" t="s">
        <v>303</v>
      </c>
      <c r="B225" s="111" t="s">
        <v>2870</v>
      </c>
      <c r="C225" s="118"/>
      <c r="D225" s="118"/>
      <c r="E225" s="118"/>
      <c r="F225" s="118">
        <v>1930</v>
      </c>
      <c r="G225" s="127"/>
    </row>
    <row r="226" s="97" customFormat="1" ht="14.25" customHeight="1" spans="1:7">
      <c r="A226" s="111" t="s">
        <v>303</v>
      </c>
      <c r="B226" s="111" t="s">
        <v>2871</v>
      </c>
      <c r="C226" s="118"/>
      <c r="D226" s="118"/>
      <c r="E226" s="118"/>
      <c r="F226" s="118">
        <v>1700</v>
      </c>
      <c r="G226" s="127"/>
    </row>
    <row r="227" s="97" customFormat="1" ht="14.25" customHeight="1" spans="1:7">
      <c r="A227" s="111" t="s">
        <v>303</v>
      </c>
      <c r="B227" s="111" t="s">
        <v>3164</v>
      </c>
      <c r="C227" s="118"/>
      <c r="D227" s="118"/>
      <c r="E227" s="118"/>
      <c r="F227" s="118">
        <v>1520</v>
      </c>
      <c r="G227" s="127"/>
    </row>
    <row r="228" s="97" customFormat="1" ht="14.25" customHeight="1" spans="1:7">
      <c r="A228" s="111" t="s">
        <v>303</v>
      </c>
      <c r="B228" s="111" t="s">
        <v>3165</v>
      </c>
      <c r="C228" s="118"/>
      <c r="D228" s="118"/>
      <c r="E228" s="118"/>
      <c r="F228" s="118">
        <v>1520</v>
      </c>
      <c r="G228" s="127"/>
    </row>
    <row r="229" s="97" customFormat="1" ht="14.25" customHeight="1" spans="1:7">
      <c r="A229" s="111" t="s">
        <v>303</v>
      </c>
      <c r="B229" s="111" t="s">
        <v>3166</v>
      </c>
      <c r="C229" s="118"/>
      <c r="D229" s="118"/>
      <c r="E229" s="118"/>
      <c r="F229" s="118">
        <v>1520</v>
      </c>
      <c r="G229" s="127"/>
    </row>
    <row r="230" s="97" customFormat="1" ht="14.25" customHeight="1" spans="1:7">
      <c r="A230" s="111" t="s">
        <v>303</v>
      </c>
      <c r="B230" s="111" t="s">
        <v>2875</v>
      </c>
      <c r="C230" s="118"/>
      <c r="D230" s="118"/>
      <c r="E230" s="118"/>
      <c r="F230" s="118">
        <v>1820</v>
      </c>
      <c r="G230" s="127"/>
    </row>
    <row r="231" s="97" customFormat="1" ht="14.25" customHeight="1" spans="1:7">
      <c r="A231" s="111" t="s">
        <v>303</v>
      </c>
      <c r="B231" s="111" t="s">
        <v>2876</v>
      </c>
      <c r="C231" s="118"/>
      <c r="D231" s="118"/>
      <c r="E231" s="118"/>
      <c r="F231" s="118">
        <v>1760</v>
      </c>
      <c r="G231" s="127"/>
    </row>
    <row r="232" s="97" customFormat="1" ht="14.25" customHeight="1" spans="1:7">
      <c r="A232" s="111" t="s">
        <v>303</v>
      </c>
      <c r="B232" s="111" t="s">
        <v>3167</v>
      </c>
      <c r="C232" s="118"/>
      <c r="D232" s="118"/>
      <c r="E232" s="118"/>
      <c r="F232" s="118">
        <v>1840</v>
      </c>
      <c r="G232" s="127"/>
    </row>
    <row r="233" s="97" customFormat="1" ht="14.25" customHeight="1" spans="1:7">
      <c r="A233" s="128" t="s">
        <v>303</v>
      </c>
      <c r="B233" s="120" t="s">
        <v>2878</v>
      </c>
      <c r="C233" s="122"/>
      <c r="D233" s="122"/>
      <c r="E233" s="122"/>
      <c r="F233" s="122">
        <v>1770</v>
      </c>
      <c r="G233" s="129"/>
    </row>
    <row r="234" s="97" customFormat="1" ht="14.25" customHeight="1" spans="1:7">
      <c r="A234" s="116" t="s">
        <v>311</v>
      </c>
      <c r="B234" s="106" t="s">
        <v>2879</v>
      </c>
      <c r="C234" s="118">
        <v>6980</v>
      </c>
      <c r="D234" s="118">
        <v>6970</v>
      </c>
      <c r="E234" s="118">
        <v>8720</v>
      </c>
      <c r="F234" s="118">
        <v>1350</v>
      </c>
      <c r="G234" s="118">
        <v>4280</v>
      </c>
    </row>
    <row r="235" s="97" customFormat="1" ht="14.25" customHeight="1" spans="1:7">
      <c r="A235" s="111" t="s">
        <v>311</v>
      </c>
      <c r="B235" s="111" t="s">
        <v>2880</v>
      </c>
      <c r="C235" s="118">
        <v>7620</v>
      </c>
      <c r="D235" s="118">
        <v>7580</v>
      </c>
      <c r="E235" s="118">
        <v>9360</v>
      </c>
      <c r="F235" s="118">
        <v>1490</v>
      </c>
      <c r="G235" s="118">
        <v>4650</v>
      </c>
    </row>
    <row r="236" s="97" customFormat="1" ht="14.25" customHeight="1" spans="1:7">
      <c r="A236" s="111" t="s">
        <v>311</v>
      </c>
      <c r="B236" s="111" t="s">
        <v>2881</v>
      </c>
      <c r="C236" s="118">
        <v>6650</v>
      </c>
      <c r="D236" s="118">
        <v>6630</v>
      </c>
      <c r="E236" s="118">
        <v>8330</v>
      </c>
      <c r="F236" s="118">
        <v>1250</v>
      </c>
      <c r="G236" s="118">
        <v>4070</v>
      </c>
    </row>
    <row r="237" s="97" customFormat="1" ht="14.25" customHeight="1" spans="1:7">
      <c r="A237" s="111" t="s">
        <v>311</v>
      </c>
      <c r="B237" s="111" t="s">
        <v>2882</v>
      </c>
      <c r="C237" s="118">
        <v>5850</v>
      </c>
      <c r="D237" s="118">
        <v>5820</v>
      </c>
      <c r="E237" s="118">
        <v>7260</v>
      </c>
      <c r="F237" s="118">
        <v>1140</v>
      </c>
      <c r="G237" s="118">
        <v>3570</v>
      </c>
    </row>
    <row r="238" s="97" customFormat="1" ht="14.25" customHeight="1" spans="1:7">
      <c r="A238" s="111" t="s">
        <v>311</v>
      </c>
      <c r="B238" s="111" t="s">
        <v>2883</v>
      </c>
      <c r="C238" s="118">
        <v>6920</v>
      </c>
      <c r="D238" s="118">
        <v>6890</v>
      </c>
      <c r="E238" s="118">
        <v>8640</v>
      </c>
      <c r="F238" s="118">
        <v>1310</v>
      </c>
      <c r="G238" s="118">
        <v>4230</v>
      </c>
    </row>
    <row r="239" s="97" customFormat="1" ht="14.25" customHeight="1" spans="1:7">
      <c r="A239" s="111" t="s">
        <v>311</v>
      </c>
      <c r="B239" s="111" t="s">
        <v>2884</v>
      </c>
      <c r="C239" s="118">
        <v>6780</v>
      </c>
      <c r="D239" s="118">
        <v>6750</v>
      </c>
      <c r="E239" s="118">
        <v>8440</v>
      </c>
      <c r="F239" s="118">
        <v>1160</v>
      </c>
      <c r="G239" s="118">
        <v>4140</v>
      </c>
    </row>
    <row r="240" s="97" customFormat="1" ht="14.25" customHeight="1" spans="1:7">
      <c r="A240" s="111" t="s">
        <v>311</v>
      </c>
      <c r="B240" s="111" t="s">
        <v>2885</v>
      </c>
      <c r="C240" s="118">
        <v>5420</v>
      </c>
      <c r="D240" s="118">
        <v>5380</v>
      </c>
      <c r="E240" s="118">
        <v>6640</v>
      </c>
      <c r="F240" s="118">
        <v>1020</v>
      </c>
      <c r="G240" s="118">
        <v>3300</v>
      </c>
    </row>
    <row r="241" s="97" customFormat="1" ht="14.25" customHeight="1" spans="1:7">
      <c r="A241" s="111" t="s">
        <v>311</v>
      </c>
      <c r="B241" s="111" t="s">
        <v>2886</v>
      </c>
      <c r="C241" s="118">
        <v>6660</v>
      </c>
      <c r="D241" s="118">
        <v>6640</v>
      </c>
      <c r="E241" s="118">
        <v>8340</v>
      </c>
      <c r="F241" s="118">
        <v>1130</v>
      </c>
      <c r="G241" s="118">
        <v>4080</v>
      </c>
    </row>
    <row r="242" s="97" customFormat="1" ht="14.25" customHeight="1" spans="1:7">
      <c r="A242" s="111" t="s">
        <v>311</v>
      </c>
      <c r="B242" s="111" t="s">
        <v>2887</v>
      </c>
      <c r="C242" s="118">
        <v>6580</v>
      </c>
      <c r="D242" s="118">
        <v>6550</v>
      </c>
      <c r="E242" s="118">
        <v>8090</v>
      </c>
      <c r="F242" s="118">
        <v>1240</v>
      </c>
      <c r="G242" s="118">
        <v>4020</v>
      </c>
    </row>
    <row r="243" s="97" customFormat="1" ht="14.25" customHeight="1" spans="1:7">
      <c r="A243" s="111" t="s">
        <v>311</v>
      </c>
      <c r="B243" s="111" t="s">
        <v>2888</v>
      </c>
      <c r="C243" s="118">
        <v>6000</v>
      </c>
      <c r="D243" s="118">
        <v>5970</v>
      </c>
      <c r="E243" s="118">
        <v>7370</v>
      </c>
      <c r="F243" s="118">
        <v>1070</v>
      </c>
      <c r="G243" s="118">
        <v>3670</v>
      </c>
    </row>
    <row r="244" s="97" customFormat="1" ht="14.25" customHeight="1" spans="1:7">
      <c r="A244" s="111" t="s">
        <v>311</v>
      </c>
      <c r="B244" s="111" t="s">
        <v>2889</v>
      </c>
      <c r="C244" s="118">
        <v>5840</v>
      </c>
      <c r="D244" s="118">
        <v>5810</v>
      </c>
      <c r="E244" s="118">
        <v>7240</v>
      </c>
      <c r="F244" s="118">
        <v>1100</v>
      </c>
      <c r="G244" s="118">
        <v>3560</v>
      </c>
    </row>
    <row r="245" s="97" customFormat="1" ht="14.25" customHeight="1" spans="1:7">
      <c r="A245" s="111" t="s">
        <v>311</v>
      </c>
      <c r="B245" s="111" t="s">
        <v>2890</v>
      </c>
      <c r="C245" s="118">
        <v>6040</v>
      </c>
      <c r="D245" s="118">
        <v>6000</v>
      </c>
      <c r="E245" s="118">
        <v>7420</v>
      </c>
      <c r="F245" s="118">
        <v>1140</v>
      </c>
      <c r="G245" s="118">
        <v>3690</v>
      </c>
    </row>
    <row r="246" s="97" customFormat="1" ht="14.25" customHeight="1" spans="1:7">
      <c r="A246" s="111" t="s">
        <v>311</v>
      </c>
      <c r="B246" s="111" t="s">
        <v>2891</v>
      </c>
      <c r="C246" s="118">
        <v>5890</v>
      </c>
      <c r="D246" s="118">
        <v>5860</v>
      </c>
      <c r="E246" s="118">
        <v>7300</v>
      </c>
      <c r="F246" s="118">
        <v>1110</v>
      </c>
      <c r="G246" s="118">
        <v>3590</v>
      </c>
    </row>
    <row r="247" s="97" customFormat="1" ht="14.25" customHeight="1" spans="1:7">
      <c r="A247" s="111" t="s">
        <v>311</v>
      </c>
      <c r="B247" s="111" t="s">
        <v>2892</v>
      </c>
      <c r="C247" s="118">
        <v>6480</v>
      </c>
      <c r="D247" s="118">
        <v>6450</v>
      </c>
      <c r="E247" s="118">
        <v>8010</v>
      </c>
      <c r="F247" s="118">
        <v>1170</v>
      </c>
      <c r="G247" s="118">
        <v>3960</v>
      </c>
    </row>
    <row r="248" s="97" customFormat="1" ht="14.25" customHeight="1" spans="1:7">
      <c r="A248" s="111" t="s">
        <v>311</v>
      </c>
      <c r="B248" s="111" t="s">
        <v>2893</v>
      </c>
      <c r="C248" s="118">
        <v>6860</v>
      </c>
      <c r="D248" s="118">
        <v>6840</v>
      </c>
      <c r="E248" s="118">
        <v>8520</v>
      </c>
      <c r="F248" s="118">
        <v>1240</v>
      </c>
      <c r="G248" s="118">
        <v>4200</v>
      </c>
    </row>
    <row r="249" s="97" customFormat="1" ht="14.25" customHeight="1" spans="1:7">
      <c r="A249" s="111" t="s">
        <v>311</v>
      </c>
      <c r="B249" s="111" t="s">
        <v>2894</v>
      </c>
      <c r="C249" s="118">
        <v>7180</v>
      </c>
      <c r="D249" s="118">
        <v>7140</v>
      </c>
      <c r="E249" s="118">
        <v>8900</v>
      </c>
      <c r="F249" s="118">
        <v>1350</v>
      </c>
      <c r="G249" s="118">
        <v>4380</v>
      </c>
    </row>
    <row r="250" s="97" customFormat="1" ht="14.25" customHeight="1" spans="1:7">
      <c r="A250" s="111" t="s">
        <v>311</v>
      </c>
      <c r="B250" s="111" t="s">
        <v>2895</v>
      </c>
      <c r="C250" s="118">
        <v>6880</v>
      </c>
      <c r="D250" s="118">
        <v>6860</v>
      </c>
      <c r="E250" s="118">
        <v>8550</v>
      </c>
      <c r="F250" s="118">
        <v>1220</v>
      </c>
      <c r="G250" s="118">
        <v>4210</v>
      </c>
    </row>
    <row r="251" s="97" customFormat="1" ht="14.25" customHeight="1" spans="1:7">
      <c r="A251" s="111" t="s">
        <v>311</v>
      </c>
      <c r="B251" s="111" t="s">
        <v>2896</v>
      </c>
      <c r="C251" s="118"/>
      <c r="D251" s="118"/>
      <c r="E251" s="118"/>
      <c r="F251" s="118">
        <v>1100</v>
      </c>
      <c r="G251" s="118"/>
    </row>
    <row r="252" s="97" customFormat="1" ht="14.25" customHeight="1" spans="1:7">
      <c r="A252" s="111" t="s">
        <v>311</v>
      </c>
      <c r="B252" s="111" t="s">
        <v>2897</v>
      </c>
      <c r="C252" s="118">
        <v>7240</v>
      </c>
      <c r="D252" s="118">
        <v>7200</v>
      </c>
      <c r="E252" s="118">
        <v>9040</v>
      </c>
      <c r="F252" s="118">
        <v>1380</v>
      </c>
      <c r="G252" s="118">
        <v>4420</v>
      </c>
    </row>
    <row r="253" s="97" customFormat="1" ht="14.25" customHeight="1" spans="1:7">
      <c r="A253" s="111" t="s">
        <v>311</v>
      </c>
      <c r="B253" s="111" t="s">
        <v>2898</v>
      </c>
      <c r="C253" s="118">
        <v>6670</v>
      </c>
      <c r="D253" s="118">
        <v>6650</v>
      </c>
      <c r="E253" s="118">
        <v>8350</v>
      </c>
      <c r="F253" s="118">
        <v>1260</v>
      </c>
      <c r="G253" s="118">
        <v>4080</v>
      </c>
    </row>
    <row r="254" s="97" customFormat="1" ht="14.25" customHeight="1" spans="1:7">
      <c r="A254" s="111" t="s">
        <v>311</v>
      </c>
      <c r="B254" s="111" t="s">
        <v>2899</v>
      </c>
      <c r="C254" s="118">
        <v>7630</v>
      </c>
      <c r="D254" s="118">
        <v>7590</v>
      </c>
      <c r="E254" s="118">
        <v>9380</v>
      </c>
      <c r="F254" s="118">
        <v>1320</v>
      </c>
      <c r="G254" s="118">
        <v>4660</v>
      </c>
    </row>
    <row r="255" s="97" customFormat="1" ht="14.25" customHeight="1" spans="1:7">
      <c r="A255" s="111" t="s">
        <v>311</v>
      </c>
      <c r="B255" s="111" t="s">
        <v>2900</v>
      </c>
      <c r="C255" s="118">
        <v>6940</v>
      </c>
      <c r="D255" s="118">
        <v>6890</v>
      </c>
      <c r="E255" s="118">
        <v>8650</v>
      </c>
      <c r="F255" s="118">
        <v>1210</v>
      </c>
      <c r="G255" s="118">
        <v>4230</v>
      </c>
    </row>
    <row r="256" s="97" customFormat="1" ht="14.25" customHeight="1" spans="1:7">
      <c r="A256" s="111" t="s">
        <v>311</v>
      </c>
      <c r="B256" s="111" t="s">
        <v>2901</v>
      </c>
      <c r="C256" s="118">
        <v>7520</v>
      </c>
      <c r="D256" s="118">
        <v>7490</v>
      </c>
      <c r="E256" s="118">
        <v>9240</v>
      </c>
      <c r="F256" s="118">
        <v>1270</v>
      </c>
      <c r="G256" s="118">
        <v>4590</v>
      </c>
    </row>
    <row r="257" s="97" customFormat="1" ht="14.25" customHeight="1" spans="1:7">
      <c r="A257" s="111" t="s">
        <v>311</v>
      </c>
      <c r="B257" s="111" t="s">
        <v>2902</v>
      </c>
      <c r="C257" s="118">
        <v>6280</v>
      </c>
      <c r="D257" s="118">
        <v>6230</v>
      </c>
      <c r="E257" s="118">
        <v>7740</v>
      </c>
      <c r="F257" s="118">
        <v>1080</v>
      </c>
      <c r="G257" s="118">
        <v>3830</v>
      </c>
    </row>
    <row r="258" s="97" customFormat="1" ht="14.25" customHeight="1" spans="1:7">
      <c r="A258" s="111" t="s">
        <v>311</v>
      </c>
      <c r="B258" s="111" t="s">
        <v>2903</v>
      </c>
      <c r="C258" s="118">
        <v>6190</v>
      </c>
      <c r="D258" s="118">
        <v>6160</v>
      </c>
      <c r="E258" s="118">
        <v>7680</v>
      </c>
      <c r="F258" s="118">
        <v>1170</v>
      </c>
      <c r="G258" s="118">
        <v>3780</v>
      </c>
    </row>
    <row r="259" s="97" customFormat="1" ht="14.25" customHeight="1" spans="1:7">
      <c r="A259" s="111" t="s">
        <v>311</v>
      </c>
      <c r="B259" s="111" t="s">
        <v>2904</v>
      </c>
      <c r="C259" s="118">
        <v>7610</v>
      </c>
      <c r="D259" s="118">
        <v>7570</v>
      </c>
      <c r="E259" s="118">
        <v>9350</v>
      </c>
      <c r="F259" s="118">
        <v>1350</v>
      </c>
      <c r="G259" s="118">
        <v>4650</v>
      </c>
    </row>
    <row r="260" s="97" customFormat="1" ht="14.25" customHeight="1" spans="1:7">
      <c r="A260" s="111" t="s">
        <v>311</v>
      </c>
      <c r="B260" s="111" t="s">
        <v>2905</v>
      </c>
      <c r="C260" s="118">
        <v>6920</v>
      </c>
      <c r="D260" s="118">
        <v>6880</v>
      </c>
      <c r="E260" s="118">
        <v>8380</v>
      </c>
      <c r="F260" s="118">
        <v>1160</v>
      </c>
      <c r="G260" s="118">
        <v>4220</v>
      </c>
    </row>
    <row r="261" s="97" customFormat="1" ht="14.25" customHeight="1" spans="1:7">
      <c r="A261" s="111" t="s">
        <v>311</v>
      </c>
      <c r="B261" s="111" t="s">
        <v>2906</v>
      </c>
      <c r="C261" s="118">
        <v>6850</v>
      </c>
      <c r="D261" s="118">
        <v>6810</v>
      </c>
      <c r="E261" s="118">
        <v>8290</v>
      </c>
      <c r="F261" s="118">
        <v>1130</v>
      </c>
      <c r="G261" s="118">
        <v>4180</v>
      </c>
    </row>
    <row r="262" s="97" customFormat="1" ht="14.25" customHeight="1" spans="1:7">
      <c r="A262" s="111" t="s">
        <v>311</v>
      </c>
      <c r="B262" s="111" t="s">
        <v>2907</v>
      </c>
      <c r="C262" s="118">
        <v>5860</v>
      </c>
      <c r="D262" s="118">
        <v>5820</v>
      </c>
      <c r="E262" s="118">
        <v>7640</v>
      </c>
      <c r="F262" s="118">
        <v>1070</v>
      </c>
      <c r="G262" s="118">
        <v>3570</v>
      </c>
    </row>
    <row r="263" s="97" customFormat="1" ht="14.25" customHeight="1" spans="1:7">
      <c r="A263" s="111" t="s">
        <v>311</v>
      </c>
      <c r="B263" s="111" t="s">
        <v>2908</v>
      </c>
      <c r="C263" s="118">
        <v>5870</v>
      </c>
      <c r="D263" s="118">
        <v>5840</v>
      </c>
      <c r="E263" s="118">
        <v>7270</v>
      </c>
      <c r="F263" s="118">
        <v>1190</v>
      </c>
      <c r="G263" s="118">
        <v>3580</v>
      </c>
    </row>
    <row r="264" s="97" customFormat="1" ht="14.25" customHeight="1" spans="1:7">
      <c r="A264" s="111" t="s">
        <v>311</v>
      </c>
      <c r="B264" s="111" t="s">
        <v>2909</v>
      </c>
      <c r="C264" s="118">
        <v>6190</v>
      </c>
      <c r="D264" s="118">
        <v>6150</v>
      </c>
      <c r="E264" s="118">
        <v>7660</v>
      </c>
      <c r="F264" s="118">
        <v>1160</v>
      </c>
      <c r="G264" s="118">
        <v>3770</v>
      </c>
    </row>
    <row r="265" s="97" customFormat="1" ht="14.25" customHeight="1" spans="1:7">
      <c r="A265" s="111" t="s">
        <v>311</v>
      </c>
      <c r="B265" s="111" t="s">
        <v>2910</v>
      </c>
      <c r="C265" s="118"/>
      <c r="D265" s="118"/>
      <c r="E265" s="118"/>
      <c r="F265" s="118">
        <v>1500</v>
      </c>
      <c r="G265" s="118"/>
    </row>
    <row r="266" s="97" customFormat="1" ht="14.25" customHeight="1" spans="1:7">
      <c r="A266" s="111" t="s">
        <v>311</v>
      </c>
      <c r="B266" s="111" t="s">
        <v>2911</v>
      </c>
      <c r="C266" s="118"/>
      <c r="D266" s="118"/>
      <c r="E266" s="118"/>
      <c r="F266" s="118">
        <v>1500</v>
      </c>
      <c r="G266" s="118"/>
    </row>
    <row r="267" s="97" customFormat="1" ht="14.25" customHeight="1" spans="1:7">
      <c r="A267" s="111" t="s">
        <v>311</v>
      </c>
      <c r="B267" s="111" t="s">
        <v>2912</v>
      </c>
      <c r="C267" s="118"/>
      <c r="D267" s="118"/>
      <c r="E267" s="118"/>
      <c r="F267" s="118">
        <v>1500</v>
      </c>
      <c r="G267" s="118"/>
    </row>
    <row r="268" s="97" customFormat="1" ht="14.25" customHeight="1" spans="1:7">
      <c r="A268" s="111" t="s">
        <v>311</v>
      </c>
      <c r="B268" s="111" t="s">
        <v>2913</v>
      </c>
      <c r="C268" s="118"/>
      <c r="D268" s="118"/>
      <c r="E268" s="118"/>
      <c r="F268" s="118">
        <v>1290</v>
      </c>
      <c r="G268" s="118"/>
    </row>
    <row r="269" s="97" customFormat="1" ht="14.25" customHeight="1" spans="1:7">
      <c r="A269" s="111" t="s">
        <v>311</v>
      </c>
      <c r="B269" s="111" t="s">
        <v>2914</v>
      </c>
      <c r="C269" s="118"/>
      <c r="D269" s="118"/>
      <c r="E269" s="118"/>
      <c r="F269" s="118">
        <v>1150</v>
      </c>
      <c r="G269" s="118"/>
    </row>
    <row r="270" s="97" customFormat="1" ht="14.25" customHeight="1" spans="1:7">
      <c r="A270" s="111" t="s">
        <v>311</v>
      </c>
      <c r="B270" s="111" t="s">
        <v>2915</v>
      </c>
      <c r="C270" s="118"/>
      <c r="D270" s="118"/>
      <c r="E270" s="118"/>
      <c r="F270" s="118">
        <v>1380</v>
      </c>
      <c r="G270" s="118"/>
    </row>
    <row r="271" s="97" customFormat="1" ht="14.25" customHeight="1" spans="1:7">
      <c r="A271" s="111" t="s">
        <v>311</v>
      </c>
      <c r="B271" s="111" t="s">
        <v>2916</v>
      </c>
      <c r="C271" s="118"/>
      <c r="D271" s="118"/>
      <c r="E271" s="118"/>
      <c r="F271" s="118">
        <v>1460</v>
      </c>
      <c r="G271" s="118"/>
    </row>
    <row r="272" s="97" customFormat="1" ht="14.25" customHeight="1" spans="1:7">
      <c r="A272" s="111" t="s">
        <v>311</v>
      </c>
      <c r="B272" s="111" t="s">
        <v>2917</v>
      </c>
      <c r="C272" s="118"/>
      <c r="D272" s="118"/>
      <c r="E272" s="118"/>
      <c r="F272" s="118">
        <v>1460</v>
      </c>
      <c r="G272" s="118"/>
    </row>
    <row r="273" s="97" customFormat="1" ht="14.25" customHeight="1" spans="1:7">
      <c r="A273" s="111" t="s">
        <v>311</v>
      </c>
      <c r="B273" s="111" t="s">
        <v>2918</v>
      </c>
      <c r="C273" s="118"/>
      <c r="D273" s="118"/>
      <c r="E273" s="118"/>
      <c r="F273" s="118">
        <v>1490</v>
      </c>
      <c r="G273" s="118"/>
    </row>
    <row r="274" s="97" customFormat="1" ht="14.25" customHeight="1" spans="1:7">
      <c r="A274" s="111" t="s">
        <v>311</v>
      </c>
      <c r="B274" s="111" t="s">
        <v>2919</v>
      </c>
      <c r="C274" s="118"/>
      <c r="D274" s="118"/>
      <c r="E274" s="118"/>
      <c r="F274" s="118">
        <v>1490</v>
      </c>
      <c r="G274" s="118"/>
    </row>
    <row r="275" s="97" customFormat="1" ht="14.25" customHeight="1" spans="1:7">
      <c r="A275" s="111" t="s">
        <v>311</v>
      </c>
      <c r="B275" s="111" t="s">
        <v>2920</v>
      </c>
      <c r="C275" s="118"/>
      <c r="D275" s="118"/>
      <c r="E275" s="118"/>
      <c r="F275" s="118">
        <v>1220</v>
      </c>
      <c r="G275" s="118"/>
    </row>
    <row r="276" s="97" customFormat="1" ht="14.25" customHeight="1" spans="1:7">
      <c r="A276" s="121" t="s">
        <v>311</v>
      </c>
      <c r="B276" s="124" t="s">
        <v>2921</v>
      </c>
      <c r="C276" s="125"/>
      <c r="D276" s="125"/>
      <c r="E276" s="125"/>
      <c r="F276" s="125">
        <v>1380</v>
      </c>
      <c r="G276" s="125"/>
    </row>
    <row r="277" s="97" customFormat="1" ht="14.25" customHeight="1" spans="1:7">
      <c r="A277" s="116" t="s">
        <v>318</v>
      </c>
      <c r="B277" s="106" t="s">
        <v>2922</v>
      </c>
      <c r="C277" s="117">
        <v>5790</v>
      </c>
      <c r="D277" s="117">
        <v>5740</v>
      </c>
      <c r="E277" s="117">
        <v>6730</v>
      </c>
      <c r="F277" s="117">
        <v>1110</v>
      </c>
      <c r="G277" s="126">
        <v>3460</v>
      </c>
    </row>
    <row r="278" s="97" customFormat="1" ht="14.25" customHeight="1" spans="1:7">
      <c r="A278" s="111" t="s">
        <v>318</v>
      </c>
      <c r="B278" s="111" t="s">
        <v>2923</v>
      </c>
      <c r="C278" s="118">
        <v>5740</v>
      </c>
      <c r="D278" s="118">
        <v>5670</v>
      </c>
      <c r="E278" s="118">
        <v>6680</v>
      </c>
      <c r="F278" s="118">
        <v>1070</v>
      </c>
      <c r="G278" s="127">
        <v>3420</v>
      </c>
    </row>
    <row r="279" s="97" customFormat="1" ht="14.25" customHeight="1" spans="1:7">
      <c r="A279" s="111" t="s">
        <v>318</v>
      </c>
      <c r="B279" s="111" t="s">
        <v>2924</v>
      </c>
      <c r="C279" s="118">
        <v>4760</v>
      </c>
      <c r="D279" s="118">
        <v>4720</v>
      </c>
      <c r="E279" s="118">
        <v>5540</v>
      </c>
      <c r="F279" s="118">
        <v>810</v>
      </c>
      <c r="G279" s="127">
        <v>2850</v>
      </c>
    </row>
    <row r="280" s="97" customFormat="1" ht="14.25" customHeight="1" spans="1:7">
      <c r="A280" s="111" t="s">
        <v>318</v>
      </c>
      <c r="B280" s="111" t="s">
        <v>2925</v>
      </c>
      <c r="C280" s="118">
        <v>4010</v>
      </c>
      <c r="D280" s="118">
        <v>3950</v>
      </c>
      <c r="E280" s="118">
        <v>4710</v>
      </c>
      <c r="F280" s="118">
        <v>800</v>
      </c>
      <c r="G280" s="127">
        <v>2390</v>
      </c>
    </row>
    <row r="281" s="97" customFormat="1" ht="14.25" customHeight="1" spans="1:7">
      <c r="A281" s="111" t="s">
        <v>318</v>
      </c>
      <c r="B281" s="111" t="s">
        <v>2926</v>
      </c>
      <c r="C281" s="118">
        <v>4480</v>
      </c>
      <c r="D281" s="118">
        <v>4420</v>
      </c>
      <c r="E281" s="118">
        <v>5230</v>
      </c>
      <c r="F281" s="118">
        <v>870</v>
      </c>
      <c r="G281" s="127">
        <v>2660</v>
      </c>
    </row>
    <row r="282" s="97" customFormat="1" ht="14.25" customHeight="1" spans="1:7">
      <c r="A282" s="111" t="s">
        <v>318</v>
      </c>
      <c r="B282" s="111" t="s">
        <v>2927</v>
      </c>
      <c r="C282" s="118">
        <v>5360</v>
      </c>
      <c r="D282" s="118">
        <v>5300</v>
      </c>
      <c r="E282" s="118">
        <v>6190</v>
      </c>
      <c r="F282" s="118">
        <v>950</v>
      </c>
      <c r="G282" s="127">
        <v>3190</v>
      </c>
    </row>
    <row r="283" s="97" customFormat="1" ht="14.25" customHeight="1" spans="1:7">
      <c r="A283" s="111" t="s">
        <v>318</v>
      </c>
      <c r="B283" s="111" t="s">
        <v>2928</v>
      </c>
      <c r="C283" s="118">
        <v>4950</v>
      </c>
      <c r="D283" s="118">
        <v>4900</v>
      </c>
      <c r="E283" s="118">
        <v>5720</v>
      </c>
      <c r="F283" s="118">
        <v>920</v>
      </c>
      <c r="G283" s="127">
        <v>2950</v>
      </c>
    </row>
    <row r="284" s="97" customFormat="1" ht="14.25" customHeight="1" spans="1:7">
      <c r="A284" s="111" t="s">
        <v>318</v>
      </c>
      <c r="B284" s="111" t="s">
        <v>2929</v>
      </c>
      <c r="C284" s="118">
        <v>5610</v>
      </c>
      <c r="D284" s="118">
        <v>5560</v>
      </c>
      <c r="E284" s="118">
        <v>6520</v>
      </c>
      <c r="F284" s="118">
        <v>1030</v>
      </c>
      <c r="G284" s="127">
        <v>3360</v>
      </c>
    </row>
    <row r="285" s="97" customFormat="1" ht="14.25" customHeight="1" spans="1:7">
      <c r="A285" s="111" t="s">
        <v>318</v>
      </c>
      <c r="B285" s="111" t="s">
        <v>2930</v>
      </c>
      <c r="C285" s="118">
        <v>5340</v>
      </c>
      <c r="D285" s="118">
        <v>5290</v>
      </c>
      <c r="E285" s="118">
        <v>6170</v>
      </c>
      <c r="F285" s="118">
        <v>1080</v>
      </c>
      <c r="G285" s="127">
        <v>3180</v>
      </c>
    </row>
    <row r="286" s="97" customFormat="1" ht="14.25" customHeight="1" spans="1:7">
      <c r="A286" s="111" t="s">
        <v>318</v>
      </c>
      <c r="B286" s="111" t="s">
        <v>2931</v>
      </c>
      <c r="C286" s="118">
        <v>4890</v>
      </c>
      <c r="D286" s="118">
        <v>4840</v>
      </c>
      <c r="E286" s="118">
        <v>5640</v>
      </c>
      <c r="F286" s="118">
        <v>960</v>
      </c>
      <c r="G286" s="127">
        <v>2910</v>
      </c>
    </row>
    <row r="287" s="97" customFormat="1" ht="14.25" customHeight="1" spans="1:7">
      <c r="A287" s="111" t="s">
        <v>318</v>
      </c>
      <c r="B287" s="111" t="s">
        <v>2932</v>
      </c>
      <c r="C287" s="118">
        <v>4960</v>
      </c>
      <c r="D287" s="118">
        <v>4920</v>
      </c>
      <c r="E287" s="118">
        <v>5730</v>
      </c>
      <c r="F287" s="118">
        <v>930</v>
      </c>
      <c r="G287" s="127">
        <v>2960</v>
      </c>
    </row>
    <row r="288" s="97" customFormat="1" ht="14.25" customHeight="1" spans="1:7">
      <c r="A288" s="111" t="s">
        <v>318</v>
      </c>
      <c r="B288" s="111" t="s">
        <v>2933</v>
      </c>
      <c r="C288" s="118">
        <v>4350</v>
      </c>
      <c r="D288" s="118">
        <v>4300</v>
      </c>
      <c r="E288" s="118">
        <v>4900</v>
      </c>
      <c r="F288" s="118">
        <v>820</v>
      </c>
      <c r="G288" s="127">
        <v>2590</v>
      </c>
    </row>
    <row r="289" s="97" customFormat="1" ht="14.25" customHeight="1" spans="1:7">
      <c r="A289" s="111" t="s">
        <v>318</v>
      </c>
      <c r="B289" s="111" t="s">
        <v>2934</v>
      </c>
      <c r="C289" s="118">
        <v>5230</v>
      </c>
      <c r="D289" s="118">
        <v>5170</v>
      </c>
      <c r="E289" s="118">
        <v>6060</v>
      </c>
      <c r="F289" s="118">
        <v>900</v>
      </c>
      <c r="G289" s="127">
        <v>3120</v>
      </c>
    </row>
    <row r="290" s="97" customFormat="1" ht="14.25" customHeight="1" spans="1:7">
      <c r="A290" s="111" t="s">
        <v>318</v>
      </c>
      <c r="B290" s="111" t="s">
        <v>2935</v>
      </c>
      <c r="C290" s="118">
        <v>5550</v>
      </c>
      <c r="D290" s="118">
        <v>5500</v>
      </c>
      <c r="E290" s="118">
        <v>6440</v>
      </c>
      <c r="F290" s="118">
        <v>960</v>
      </c>
      <c r="G290" s="127">
        <v>3320</v>
      </c>
    </row>
    <row r="291" s="97" customFormat="1" ht="14.25" customHeight="1" spans="1:7">
      <c r="A291" s="111" t="s">
        <v>318</v>
      </c>
      <c r="B291" s="111" t="s">
        <v>2936</v>
      </c>
      <c r="C291" s="118">
        <v>5440</v>
      </c>
      <c r="D291" s="118">
        <v>5400</v>
      </c>
      <c r="E291" s="118">
        <v>6320</v>
      </c>
      <c r="F291" s="118">
        <v>930</v>
      </c>
      <c r="G291" s="127">
        <v>3250</v>
      </c>
    </row>
    <row r="292" s="97" customFormat="1" ht="14.25" customHeight="1" spans="1:7">
      <c r="A292" s="111" t="s">
        <v>318</v>
      </c>
      <c r="B292" s="111" t="s">
        <v>2937</v>
      </c>
      <c r="C292" s="118">
        <v>5400</v>
      </c>
      <c r="D292" s="118">
        <v>5360</v>
      </c>
      <c r="E292" s="118">
        <v>6270</v>
      </c>
      <c r="F292" s="118">
        <v>1040</v>
      </c>
      <c r="G292" s="127">
        <v>3230</v>
      </c>
    </row>
    <row r="293" s="97" customFormat="1" ht="14.25" customHeight="1" spans="1:7">
      <c r="A293" s="111" t="s">
        <v>318</v>
      </c>
      <c r="B293" s="111" t="s">
        <v>2938</v>
      </c>
      <c r="C293" s="118">
        <v>5320</v>
      </c>
      <c r="D293" s="118">
        <v>5270</v>
      </c>
      <c r="E293" s="118">
        <v>6160</v>
      </c>
      <c r="F293" s="118">
        <v>990</v>
      </c>
      <c r="G293" s="127">
        <v>3170</v>
      </c>
    </row>
    <row r="294" s="97" customFormat="1" ht="14.25" customHeight="1" spans="1:7">
      <c r="A294" s="111" t="s">
        <v>318</v>
      </c>
      <c r="B294" s="111" t="s">
        <v>2939</v>
      </c>
      <c r="C294" s="118">
        <v>5260</v>
      </c>
      <c r="D294" s="118">
        <v>5210</v>
      </c>
      <c r="E294" s="118">
        <v>6100</v>
      </c>
      <c r="F294" s="118">
        <v>950</v>
      </c>
      <c r="G294" s="127">
        <v>3150</v>
      </c>
    </row>
    <row r="295" s="97" customFormat="1" ht="14.25" customHeight="1" spans="1:7">
      <c r="A295" s="111" t="s">
        <v>318</v>
      </c>
      <c r="B295" s="111" t="s">
        <v>2940</v>
      </c>
      <c r="C295" s="118">
        <v>5610</v>
      </c>
      <c r="D295" s="118">
        <v>5570</v>
      </c>
      <c r="E295" s="118">
        <v>6530</v>
      </c>
      <c r="F295" s="118">
        <v>960</v>
      </c>
      <c r="G295" s="127">
        <v>3360</v>
      </c>
    </row>
    <row r="296" s="97" customFormat="1" ht="14.25" customHeight="1" spans="1:7">
      <c r="A296" s="111" t="s">
        <v>318</v>
      </c>
      <c r="B296" s="111" t="s">
        <v>2941</v>
      </c>
      <c r="C296" s="118">
        <v>5540</v>
      </c>
      <c r="D296" s="118">
        <v>5490</v>
      </c>
      <c r="E296" s="118">
        <v>6430</v>
      </c>
      <c r="F296" s="118">
        <v>980</v>
      </c>
      <c r="G296" s="127">
        <v>3310</v>
      </c>
    </row>
    <row r="297" s="97" customFormat="1" ht="14.25" customHeight="1" spans="1:7">
      <c r="A297" s="111" t="s">
        <v>318</v>
      </c>
      <c r="B297" s="111" t="s">
        <v>2942</v>
      </c>
      <c r="C297" s="118">
        <v>5480</v>
      </c>
      <c r="D297" s="118">
        <v>5420</v>
      </c>
      <c r="E297" s="118">
        <v>6370</v>
      </c>
      <c r="F297" s="118">
        <v>990</v>
      </c>
      <c r="G297" s="127">
        <v>3270</v>
      </c>
    </row>
    <row r="298" s="97" customFormat="1" ht="14.25" customHeight="1" spans="1:7">
      <c r="A298" s="111" t="s">
        <v>318</v>
      </c>
      <c r="B298" s="111" t="s">
        <v>2943</v>
      </c>
      <c r="C298" s="118">
        <v>5090</v>
      </c>
      <c r="D298" s="118">
        <v>5050</v>
      </c>
      <c r="E298" s="118">
        <v>5910</v>
      </c>
      <c r="F298" s="118">
        <v>900</v>
      </c>
      <c r="G298" s="127">
        <v>3040</v>
      </c>
    </row>
    <row r="299" s="97" customFormat="1" ht="14.25" customHeight="1" spans="1:7">
      <c r="A299" s="111" t="s">
        <v>318</v>
      </c>
      <c r="B299" s="123" t="s">
        <v>2944</v>
      </c>
      <c r="C299" s="118">
        <v>5430</v>
      </c>
      <c r="D299" s="118">
        <v>5380</v>
      </c>
      <c r="E299" s="118">
        <v>6280</v>
      </c>
      <c r="F299" s="118">
        <v>1000</v>
      </c>
      <c r="G299" s="127">
        <v>3240</v>
      </c>
    </row>
    <row r="300" s="97" customFormat="1" ht="14.25" customHeight="1" spans="1:7">
      <c r="A300" s="111" t="s">
        <v>318</v>
      </c>
      <c r="B300" s="123" t="s">
        <v>2945</v>
      </c>
      <c r="C300" s="118">
        <v>4740</v>
      </c>
      <c r="D300" s="118">
        <v>4680</v>
      </c>
      <c r="E300" s="118">
        <v>5450</v>
      </c>
      <c r="F300" s="118">
        <v>900</v>
      </c>
      <c r="G300" s="127">
        <v>2830</v>
      </c>
    </row>
    <row r="301" s="97" customFormat="1" ht="14.25" customHeight="1" spans="1:7">
      <c r="A301" s="111" t="s">
        <v>318</v>
      </c>
      <c r="B301" s="123" t="s">
        <v>2946</v>
      </c>
      <c r="C301" s="118">
        <v>4870</v>
      </c>
      <c r="D301" s="118">
        <v>4810</v>
      </c>
      <c r="E301" s="118">
        <v>5560</v>
      </c>
      <c r="F301" s="118">
        <v>990</v>
      </c>
      <c r="G301" s="127">
        <v>2910</v>
      </c>
    </row>
    <row r="302" s="97" customFormat="1" ht="14.25" customHeight="1" spans="1:7">
      <c r="A302" s="111" t="s">
        <v>318</v>
      </c>
      <c r="B302" s="111" t="s">
        <v>2947</v>
      </c>
      <c r="C302" s="118">
        <v>5520</v>
      </c>
      <c r="D302" s="118">
        <v>5470</v>
      </c>
      <c r="E302" s="118">
        <v>6410</v>
      </c>
      <c r="F302" s="118">
        <v>950</v>
      </c>
      <c r="G302" s="127">
        <v>3300</v>
      </c>
    </row>
    <row r="303" s="97" customFormat="1" ht="14.25" customHeight="1" spans="1:7">
      <c r="A303" s="111" t="s">
        <v>318</v>
      </c>
      <c r="B303" s="111" t="s">
        <v>2948</v>
      </c>
      <c r="C303" s="118">
        <v>5630</v>
      </c>
      <c r="D303" s="118">
        <v>5590</v>
      </c>
      <c r="E303" s="118">
        <v>6550</v>
      </c>
      <c r="F303" s="118">
        <v>1010</v>
      </c>
      <c r="G303" s="127">
        <v>3370</v>
      </c>
    </row>
    <row r="304" s="97" customFormat="1" ht="14.25" customHeight="1" spans="1:7">
      <c r="A304" s="111" t="s">
        <v>318</v>
      </c>
      <c r="B304" s="111" t="s">
        <v>2949</v>
      </c>
      <c r="C304" s="118">
        <v>5680</v>
      </c>
      <c r="D304" s="118">
        <v>5620</v>
      </c>
      <c r="E304" s="118">
        <v>6620</v>
      </c>
      <c r="F304" s="118">
        <v>1050</v>
      </c>
      <c r="G304" s="127">
        <v>3390</v>
      </c>
    </row>
    <row r="305" s="97" customFormat="1" ht="14.25" customHeight="1" spans="1:7">
      <c r="A305" s="111" t="s">
        <v>318</v>
      </c>
      <c r="B305" s="111" t="s">
        <v>2950</v>
      </c>
      <c r="C305" s="118">
        <v>5590</v>
      </c>
      <c r="D305" s="118">
        <v>5530</v>
      </c>
      <c r="E305" s="118">
        <v>6460</v>
      </c>
      <c r="F305" s="118">
        <v>900</v>
      </c>
      <c r="G305" s="127">
        <v>3340</v>
      </c>
    </row>
    <row r="306" s="97" customFormat="1" ht="14.25" customHeight="1" spans="1:7">
      <c r="A306" s="111" t="s">
        <v>318</v>
      </c>
      <c r="B306" s="111" t="s">
        <v>2951</v>
      </c>
      <c r="C306" s="118">
        <v>5560</v>
      </c>
      <c r="D306" s="118">
        <v>5510</v>
      </c>
      <c r="E306" s="118">
        <v>6440</v>
      </c>
      <c r="F306" s="118">
        <v>900</v>
      </c>
      <c r="G306" s="127">
        <v>3320</v>
      </c>
    </row>
    <row r="307" s="97" customFormat="1" ht="14.25" customHeight="1" spans="1:7">
      <c r="A307" s="111" t="s">
        <v>318</v>
      </c>
      <c r="B307" s="111" t="s">
        <v>2952</v>
      </c>
      <c r="C307" s="118">
        <v>5650</v>
      </c>
      <c r="D307" s="118">
        <v>5600</v>
      </c>
      <c r="E307" s="118">
        <v>6590</v>
      </c>
      <c r="F307" s="118">
        <v>930</v>
      </c>
      <c r="G307" s="127">
        <v>3380</v>
      </c>
    </row>
    <row r="308" s="97" customFormat="1" ht="14.25" customHeight="1" spans="1:7">
      <c r="A308" s="111" t="s">
        <v>318</v>
      </c>
      <c r="B308" s="111" t="s">
        <v>2953</v>
      </c>
      <c r="C308" s="118">
        <v>5620</v>
      </c>
      <c r="D308" s="118">
        <v>5580</v>
      </c>
      <c r="E308" s="118">
        <v>6540</v>
      </c>
      <c r="F308" s="118">
        <v>910</v>
      </c>
      <c r="G308" s="127">
        <v>3370</v>
      </c>
    </row>
    <row r="309" s="97" customFormat="1" ht="14.25" customHeight="1" spans="1:7">
      <c r="A309" s="111" t="s">
        <v>318</v>
      </c>
      <c r="B309" s="111" t="s">
        <v>2954</v>
      </c>
      <c r="C309" s="118">
        <v>5060</v>
      </c>
      <c r="D309" s="118">
        <v>5020</v>
      </c>
      <c r="E309" s="118">
        <v>6370</v>
      </c>
      <c r="F309" s="118">
        <v>800</v>
      </c>
      <c r="G309" s="127">
        <v>3020</v>
      </c>
    </row>
    <row r="310" s="97" customFormat="1" ht="14.25" customHeight="1" spans="1:7">
      <c r="A310" s="111" t="s">
        <v>318</v>
      </c>
      <c r="B310" s="111" t="s">
        <v>2955</v>
      </c>
      <c r="C310" s="118">
        <v>5150</v>
      </c>
      <c r="D310" s="118">
        <v>5110</v>
      </c>
      <c r="E310" s="118">
        <v>6500</v>
      </c>
      <c r="F310" s="118">
        <v>880</v>
      </c>
      <c r="G310" s="127">
        <v>3080</v>
      </c>
    </row>
    <row r="311" s="97" customFormat="1" ht="14.25" customHeight="1" spans="1:7">
      <c r="A311" s="111" t="s">
        <v>318</v>
      </c>
      <c r="B311" s="111" t="s">
        <v>2956</v>
      </c>
      <c r="C311" s="118">
        <v>4750</v>
      </c>
      <c r="D311" s="118">
        <v>4710</v>
      </c>
      <c r="E311" s="118">
        <v>5510</v>
      </c>
      <c r="F311" s="118">
        <v>880</v>
      </c>
      <c r="G311" s="127">
        <v>2840</v>
      </c>
    </row>
    <row r="312" s="97" customFormat="1" ht="14.25" customHeight="1" spans="1:7">
      <c r="A312" s="111" t="s">
        <v>318</v>
      </c>
      <c r="B312" s="111" t="s">
        <v>2957</v>
      </c>
      <c r="C312" s="118">
        <v>4690</v>
      </c>
      <c r="D312" s="118">
        <v>4640</v>
      </c>
      <c r="E312" s="118">
        <v>5420</v>
      </c>
      <c r="F312" s="118">
        <v>800</v>
      </c>
      <c r="G312" s="127">
        <v>2800</v>
      </c>
    </row>
    <row r="313" s="97" customFormat="1" ht="14.25" customHeight="1" spans="1:7">
      <c r="A313" s="111" t="s">
        <v>318</v>
      </c>
      <c r="B313" s="111" t="s">
        <v>2958</v>
      </c>
      <c r="C313" s="118">
        <v>4810</v>
      </c>
      <c r="D313" s="118">
        <v>4760</v>
      </c>
      <c r="E313" s="118">
        <v>5550</v>
      </c>
      <c r="F313" s="118">
        <v>920</v>
      </c>
      <c r="G313" s="127">
        <v>2870</v>
      </c>
    </row>
    <row r="314" s="97" customFormat="1" ht="14.25" customHeight="1" spans="1:7">
      <c r="A314" s="111" t="s">
        <v>318</v>
      </c>
      <c r="B314" s="111" t="s">
        <v>2959</v>
      </c>
      <c r="C314" s="118"/>
      <c r="D314" s="118"/>
      <c r="E314" s="118"/>
      <c r="F314" s="118">
        <v>1020</v>
      </c>
      <c r="G314" s="127"/>
    </row>
    <row r="315" s="97" customFormat="1" ht="14.25" customHeight="1" spans="1:7">
      <c r="A315" s="111" t="s">
        <v>318</v>
      </c>
      <c r="B315" s="111" t="s">
        <v>2960</v>
      </c>
      <c r="C315" s="118"/>
      <c r="D315" s="118"/>
      <c r="E315" s="118"/>
      <c r="F315" s="118">
        <v>1050</v>
      </c>
      <c r="G315" s="127"/>
    </row>
    <row r="316" s="97" customFormat="1" ht="14.25" customHeight="1" spans="1:7">
      <c r="A316" s="111" t="s">
        <v>318</v>
      </c>
      <c r="B316" s="111" t="s">
        <v>2961</v>
      </c>
      <c r="C316" s="118"/>
      <c r="D316" s="118"/>
      <c r="E316" s="118"/>
      <c r="F316" s="118">
        <v>900</v>
      </c>
      <c r="G316" s="127"/>
    </row>
    <row r="317" s="97" customFormat="1" ht="14.25" customHeight="1" spans="1:7">
      <c r="A317" s="111" t="s">
        <v>318</v>
      </c>
      <c r="B317" s="111" t="s">
        <v>2962</v>
      </c>
      <c r="C317" s="118"/>
      <c r="D317" s="118"/>
      <c r="E317" s="118"/>
      <c r="F317" s="118">
        <v>920</v>
      </c>
      <c r="G317" s="127"/>
    </row>
    <row r="318" s="97" customFormat="1" ht="14.25" customHeight="1" spans="1:7">
      <c r="A318" s="111" t="s">
        <v>318</v>
      </c>
      <c r="B318" s="111" t="s">
        <v>2963</v>
      </c>
      <c r="C318" s="118"/>
      <c r="D318" s="118"/>
      <c r="E318" s="118"/>
      <c r="F318" s="118">
        <v>1080</v>
      </c>
      <c r="G318" s="127"/>
    </row>
    <row r="319" s="97" customFormat="1" ht="14.25" customHeight="1" spans="1:7">
      <c r="A319" s="111" t="s">
        <v>318</v>
      </c>
      <c r="B319" s="111" t="s">
        <v>2964</v>
      </c>
      <c r="C319" s="118"/>
      <c r="D319" s="118"/>
      <c r="E319" s="118"/>
      <c r="F319" s="118">
        <v>1020</v>
      </c>
      <c r="G319" s="127"/>
    </row>
    <row r="320" s="97" customFormat="1" ht="14.25" customHeight="1" spans="1:7">
      <c r="A320" s="111" t="s">
        <v>318</v>
      </c>
      <c r="B320" s="111" t="s">
        <v>2965</v>
      </c>
      <c r="C320" s="118"/>
      <c r="D320" s="118"/>
      <c r="E320" s="118"/>
      <c r="F320" s="118">
        <v>1050</v>
      </c>
      <c r="G320" s="127"/>
    </row>
    <row r="321" s="97" customFormat="1" ht="14.25" customHeight="1" spans="1:7">
      <c r="A321" s="111" t="s">
        <v>318</v>
      </c>
      <c r="B321" s="111" t="s">
        <v>2966</v>
      </c>
      <c r="C321" s="118"/>
      <c r="D321" s="118"/>
      <c r="E321" s="118"/>
      <c r="F321" s="118">
        <v>960</v>
      </c>
      <c r="G321" s="127"/>
    </row>
    <row r="322" s="97" customFormat="1" ht="14.25" customHeight="1" spans="1:7">
      <c r="A322" s="111" t="s">
        <v>318</v>
      </c>
      <c r="B322" s="111" t="s">
        <v>2967</v>
      </c>
      <c r="C322" s="118"/>
      <c r="D322" s="118"/>
      <c r="E322" s="118"/>
      <c r="F322" s="118">
        <v>960</v>
      </c>
      <c r="G322" s="127"/>
    </row>
    <row r="323" s="97" customFormat="1" ht="14.25" customHeight="1" spans="1:7">
      <c r="A323" s="111" t="s">
        <v>318</v>
      </c>
      <c r="B323" s="111" t="s">
        <v>2968</v>
      </c>
      <c r="C323" s="118"/>
      <c r="D323" s="118"/>
      <c r="E323" s="118"/>
      <c r="F323" s="118">
        <v>880</v>
      </c>
      <c r="G323" s="127"/>
    </row>
    <row r="324" s="97" customFormat="1" ht="14.25" customHeight="1" spans="1:7">
      <c r="A324" s="111" t="s">
        <v>318</v>
      </c>
      <c r="B324" s="111" t="s">
        <v>2969</v>
      </c>
      <c r="C324" s="118"/>
      <c r="D324" s="118"/>
      <c r="E324" s="118"/>
      <c r="F324" s="118">
        <v>930</v>
      </c>
      <c r="G324" s="127"/>
    </row>
    <row r="325" s="97" customFormat="1" ht="14.25" customHeight="1" spans="1:7">
      <c r="A325" s="111" t="s">
        <v>318</v>
      </c>
      <c r="B325" s="112" t="s">
        <v>2970</v>
      </c>
      <c r="C325" s="118"/>
      <c r="D325" s="118"/>
      <c r="E325" s="118"/>
      <c r="F325" s="118">
        <v>900</v>
      </c>
      <c r="G325" s="127"/>
    </row>
    <row r="326" s="97" customFormat="1" ht="14.25" customHeight="1" spans="1:7">
      <c r="A326" s="128" t="s">
        <v>318</v>
      </c>
      <c r="B326" s="120" t="s">
        <v>2971</v>
      </c>
      <c r="C326" s="122"/>
      <c r="D326" s="122"/>
      <c r="E326" s="122"/>
      <c r="F326" s="122">
        <v>790</v>
      </c>
      <c r="G326" s="129"/>
    </row>
    <row r="327" s="97" customFormat="1" ht="14.25" customHeight="1" spans="1:7">
      <c r="A327" s="116" t="s">
        <v>324</v>
      </c>
      <c r="B327" s="106" t="s">
        <v>2972</v>
      </c>
      <c r="C327" s="118">
        <v>3750</v>
      </c>
      <c r="D327" s="118">
        <v>3710</v>
      </c>
      <c r="E327" s="118">
        <v>4080</v>
      </c>
      <c r="F327" s="118">
        <v>860</v>
      </c>
      <c r="G327" s="118">
        <v>2210</v>
      </c>
    </row>
    <row r="328" s="97" customFormat="1" ht="14.25" customHeight="1" spans="1:7">
      <c r="A328" s="111" t="s">
        <v>324</v>
      </c>
      <c r="B328" s="111" t="s">
        <v>2973</v>
      </c>
      <c r="C328" s="118">
        <v>3330</v>
      </c>
      <c r="D328" s="118">
        <v>3290</v>
      </c>
      <c r="E328" s="118">
        <v>3610</v>
      </c>
      <c r="F328" s="118">
        <v>850</v>
      </c>
      <c r="G328" s="118">
        <v>1960</v>
      </c>
    </row>
    <row r="329" s="97" customFormat="1" ht="14.25" customHeight="1" spans="1:7">
      <c r="A329" s="111" t="s">
        <v>324</v>
      </c>
      <c r="B329" s="111" t="s">
        <v>2974</v>
      </c>
      <c r="C329" s="118">
        <v>2730</v>
      </c>
      <c r="D329" s="118">
        <v>2690</v>
      </c>
      <c r="E329" s="118">
        <v>3100</v>
      </c>
      <c r="F329" s="118">
        <v>660</v>
      </c>
      <c r="G329" s="118">
        <v>1610</v>
      </c>
    </row>
    <row r="330" s="97" customFormat="1" ht="14.25" customHeight="1" spans="1:7">
      <c r="A330" s="111" t="s">
        <v>324</v>
      </c>
      <c r="B330" s="111" t="s">
        <v>2975</v>
      </c>
      <c r="C330" s="118">
        <v>3270</v>
      </c>
      <c r="D330" s="118">
        <v>3240</v>
      </c>
      <c r="E330" s="118">
        <v>3560</v>
      </c>
      <c r="F330" s="118">
        <v>680</v>
      </c>
      <c r="G330" s="118">
        <v>1940</v>
      </c>
    </row>
    <row r="331" s="97" customFormat="1" ht="14.25" customHeight="1" spans="1:7">
      <c r="A331" s="111" t="s">
        <v>324</v>
      </c>
      <c r="B331" s="111" t="s">
        <v>2976</v>
      </c>
      <c r="C331" s="118">
        <v>3770</v>
      </c>
      <c r="D331" s="118">
        <v>3740</v>
      </c>
      <c r="E331" s="118">
        <v>4110</v>
      </c>
      <c r="F331" s="118">
        <v>730</v>
      </c>
      <c r="G331" s="118">
        <v>2230</v>
      </c>
    </row>
    <row r="332" s="97" customFormat="1" ht="14.25" customHeight="1" spans="1:7">
      <c r="A332" s="111" t="s">
        <v>324</v>
      </c>
      <c r="B332" s="111" t="s">
        <v>2977</v>
      </c>
      <c r="C332" s="118">
        <v>3520</v>
      </c>
      <c r="D332" s="118">
        <v>3480</v>
      </c>
      <c r="E332" s="118">
        <v>3830</v>
      </c>
      <c r="F332" s="118">
        <v>720</v>
      </c>
      <c r="G332" s="118">
        <v>2090</v>
      </c>
    </row>
    <row r="333" s="97" customFormat="1" ht="14.25" customHeight="1" spans="1:7">
      <c r="A333" s="111" t="s">
        <v>324</v>
      </c>
      <c r="B333" s="111" t="s">
        <v>2978</v>
      </c>
      <c r="C333" s="118">
        <v>3840</v>
      </c>
      <c r="D333" s="118">
        <v>3800</v>
      </c>
      <c r="E333" s="118">
        <v>4200</v>
      </c>
      <c r="F333" s="118">
        <v>760</v>
      </c>
      <c r="G333" s="118">
        <v>2270</v>
      </c>
    </row>
    <row r="334" s="97" customFormat="1" ht="14.25" customHeight="1" spans="1:7">
      <c r="A334" s="111" t="s">
        <v>324</v>
      </c>
      <c r="B334" s="111" t="s">
        <v>2979</v>
      </c>
      <c r="C334" s="118">
        <v>3960</v>
      </c>
      <c r="D334" s="118">
        <v>3910</v>
      </c>
      <c r="E334" s="118">
        <v>4340</v>
      </c>
      <c r="F334" s="118">
        <v>780</v>
      </c>
      <c r="G334" s="118">
        <v>2340</v>
      </c>
    </row>
    <row r="335" s="97" customFormat="1" ht="14.25" customHeight="1" spans="1:7">
      <c r="A335" s="111" t="s">
        <v>324</v>
      </c>
      <c r="B335" s="111" t="s">
        <v>2980</v>
      </c>
      <c r="C335" s="118">
        <v>3710</v>
      </c>
      <c r="D335" s="118">
        <v>3670</v>
      </c>
      <c r="E335" s="118">
        <v>4030</v>
      </c>
      <c r="F335" s="118">
        <v>750</v>
      </c>
      <c r="G335" s="118">
        <v>2200</v>
      </c>
    </row>
    <row r="336" s="97" customFormat="1" ht="14.25" customHeight="1" spans="1:7">
      <c r="A336" s="111" t="s">
        <v>324</v>
      </c>
      <c r="B336" s="111" t="s">
        <v>2981</v>
      </c>
      <c r="C336" s="118">
        <v>3570</v>
      </c>
      <c r="D336" s="118">
        <v>3530</v>
      </c>
      <c r="E336" s="118">
        <v>3880</v>
      </c>
      <c r="F336" s="118">
        <v>770</v>
      </c>
      <c r="G336" s="118">
        <v>2110</v>
      </c>
    </row>
    <row r="337" s="97" customFormat="1" ht="14.25" customHeight="1" spans="1:10">
      <c r="A337" s="111" t="s">
        <v>324</v>
      </c>
      <c r="B337" s="111" t="s">
        <v>2982</v>
      </c>
      <c r="C337" s="118">
        <v>3780</v>
      </c>
      <c r="D337" s="118">
        <v>3750</v>
      </c>
      <c r="E337" s="118">
        <v>4130</v>
      </c>
      <c r="F337" s="118">
        <v>750</v>
      </c>
      <c r="G337" s="118">
        <v>2240</v>
      </c>
    </row>
    <row r="338" s="97" customFormat="1" ht="14.25" customHeight="1" spans="1:10">
      <c r="A338" s="111" t="s">
        <v>324</v>
      </c>
      <c r="B338" s="111" t="s">
        <v>2983</v>
      </c>
      <c r="C338" s="118">
        <v>3600</v>
      </c>
      <c r="D338" s="118">
        <v>3570</v>
      </c>
      <c r="E338" s="118">
        <v>3920</v>
      </c>
      <c r="F338" s="118">
        <v>790</v>
      </c>
      <c r="G338" s="118">
        <v>2140</v>
      </c>
    </row>
    <row r="339" s="97" customFormat="1" ht="14.25" customHeight="1" spans="1:10">
      <c r="A339" s="111" t="s">
        <v>324</v>
      </c>
      <c r="B339" s="111" t="s">
        <v>2984</v>
      </c>
      <c r="C339" s="118">
        <v>3540</v>
      </c>
      <c r="D339" s="118">
        <v>3500</v>
      </c>
      <c r="E339" s="118">
        <v>3850</v>
      </c>
      <c r="F339" s="118">
        <v>780</v>
      </c>
      <c r="G339" s="118">
        <v>2100</v>
      </c>
    </row>
    <row r="340" s="97" customFormat="1" ht="14.25" customHeight="1" spans="1:10">
      <c r="A340" s="111" t="s">
        <v>324</v>
      </c>
      <c r="B340" s="111" t="s">
        <v>2985</v>
      </c>
      <c r="C340" s="118">
        <v>3850</v>
      </c>
      <c r="D340" s="118">
        <v>3810</v>
      </c>
      <c r="E340" s="118">
        <v>4210</v>
      </c>
      <c r="F340" s="118">
        <v>750</v>
      </c>
      <c r="G340" s="118">
        <v>2280</v>
      </c>
    </row>
    <row r="341" s="97" customFormat="1" ht="14.25" customHeight="1" spans="1:10">
      <c r="A341" s="111" t="s">
        <v>324</v>
      </c>
      <c r="B341" s="111" t="s">
        <v>2986</v>
      </c>
      <c r="C341" s="118">
        <v>3780</v>
      </c>
      <c r="D341" s="118">
        <v>3750</v>
      </c>
      <c r="E341" s="118">
        <v>4140</v>
      </c>
      <c r="F341" s="118">
        <v>720</v>
      </c>
      <c r="G341" s="118">
        <v>2240</v>
      </c>
    </row>
    <row r="342" s="97" customFormat="1" ht="14.25" customHeight="1" spans="1:10">
      <c r="A342" s="111" t="s">
        <v>324</v>
      </c>
      <c r="B342" s="111" t="s">
        <v>2987</v>
      </c>
      <c r="C342" s="118">
        <v>3670</v>
      </c>
      <c r="D342" s="118">
        <v>3620</v>
      </c>
      <c r="E342" s="118">
        <v>3990</v>
      </c>
      <c r="F342" s="118">
        <v>760</v>
      </c>
      <c r="G342" s="118">
        <v>2170</v>
      </c>
    </row>
    <row r="343" s="97" customFormat="1" ht="14.25" customHeight="1" spans="1:10">
      <c r="A343" s="111" t="s">
        <v>324</v>
      </c>
      <c r="B343" s="111" t="s">
        <v>2988</v>
      </c>
      <c r="C343" s="118">
        <v>3760</v>
      </c>
      <c r="D343" s="118">
        <v>3720</v>
      </c>
      <c r="E343" s="118">
        <v>4090</v>
      </c>
      <c r="F343" s="118">
        <v>780</v>
      </c>
      <c r="G343" s="118">
        <v>2220</v>
      </c>
    </row>
    <row r="344" s="97" customFormat="1" ht="14.25" customHeight="1" spans="1:10">
      <c r="A344" s="111" t="s">
        <v>324</v>
      </c>
      <c r="B344" s="111" t="s">
        <v>2989</v>
      </c>
      <c r="C344" s="118">
        <v>3680</v>
      </c>
      <c r="D344" s="118">
        <v>3640</v>
      </c>
      <c r="E344" s="118">
        <v>4010</v>
      </c>
      <c r="F344" s="118">
        <v>750</v>
      </c>
      <c r="G344" s="118">
        <v>2180</v>
      </c>
    </row>
    <row r="345" spans="1:10">
      <c r="A345" s="111" t="s">
        <v>324</v>
      </c>
      <c r="B345" s="111" t="s">
        <v>2990</v>
      </c>
      <c r="C345" s="118">
        <v>3190</v>
      </c>
      <c r="D345" s="118">
        <v>3140</v>
      </c>
      <c r="E345" s="118">
        <v>3450</v>
      </c>
      <c r="F345" s="118">
        <v>720</v>
      </c>
      <c r="G345" s="118">
        <v>1880</v>
      </c>
      <c r="J345" s="97"/>
    </row>
    <row r="346" spans="1:10">
      <c r="A346" s="111" t="s">
        <v>324</v>
      </c>
      <c r="B346" s="111" t="s">
        <v>2991</v>
      </c>
      <c r="C346" s="118">
        <v>3630</v>
      </c>
      <c r="D346" s="118">
        <v>3590</v>
      </c>
      <c r="E346" s="118">
        <v>3940</v>
      </c>
      <c r="F346" s="118">
        <v>730</v>
      </c>
      <c r="G346" s="118">
        <v>2150</v>
      </c>
      <c r="J346" s="97"/>
    </row>
    <row r="347" spans="1:10">
      <c r="A347" s="111" t="s">
        <v>324</v>
      </c>
      <c r="B347" s="111" t="s">
        <v>2992</v>
      </c>
      <c r="C347" s="118">
        <v>3860</v>
      </c>
      <c r="D347" s="118">
        <v>3820</v>
      </c>
      <c r="E347" s="118">
        <v>4220</v>
      </c>
      <c r="F347" s="118">
        <v>750</v>
      </c>
      <c r="G347" s="118">
        <v>2280</v>
      </c>
      <c r="J347" s="97"/>
    </row>
    <row r="348" spans="1:10">
      <c r="A348" s="111" t="s">
        <v>324</v>
      </c>
      <c r="B348" s="111" t="s">
        <v>2993</v>
      </c>
      <c r="C348" s="118">
        <v>4000</v>
      </c>
      <c r="D348" s="118">
        <v>3950</v>
      </c>
      <c r="E348" s="118">
        <v>4430</v>
      </c>
      <c r="F348" s="118">
        <v>760</v>
      </c>
      <c r="G348" s="118">
        <v>2360</v>
      </c>
      <c r="J348" s="97"/>
    </row>
    <row r="349" spans="1:10">
      <c r="A349" s="111" t="s">
        <v>324</v>
      </c>
      <c r="B349" s="111" t="s">
        <v>2994</v>
      </c>
      <c r="C349" s="118">
        <v>3820</v>
      </c>
      <c r="D349" s="118">
        <v>3780</v>
      </c>
      <c r="E349" s="118">
        <v>4170</v>
      </c>
      <c r="F349" s="118">
        <v>710</v>
      </c>
      <c r="G349" s="118">
        <v>2260</v>
      </c>
      <c r="J349" s="97"/>
    </row>
    <row r="350" spans="1:10">
      <c r="A350" s="111" t="s">
        <v>324</v>
      </c>
      <c r="B350" s="111" t="s">
        <v>2995</v>
      </c>
      <c r="C350" s="118">
        <v>3760</v>
      </c>
      <c r="D350" s="118">
        <v>3730</v>
      </c>
      <c r="E350" s="118">
        <v>4100</v>
      </c>
      <c r="F350" s="118">
        <v>800</v>
      </c>
      <c r="G350" s="118">
        <v>2230</v>
      </c>
      <c r="J350" s="97"/>
    </row>
    <row r="351" spans="1:10">
      <c r="A351" s="111" t="s">
        <v>324</v>
      </c>
      <c r="B351" s="111" t="s">
        <v>2996</v>
      </c>
      <c r="C351" s="118">
        <v>3610</v>
      </c>
      <c r="D351" s="118">
        <v>3580</v>
      </c>
      <c r="E351" s="118">
        <v>3930</v>
      </c>
      <c r="F351" s="118">
        <v>700</v>
      </c>
      <c r="G351" s="118">
        <v>2140</v>
      </c>
      <c r="J351" s="97"/>
    </row>
    <row r="352" spans="1:10">
      <c r="A352" s="111" t="s">
        <v>324</v>
      </c>
      <c r="B352" s="111" t="s">
        <v>2997</v>
      </c>
      <c r="C352" s="118">
        <v>3670</v>
      </c>
      <c r="D352" s="118">
        <v>3630</v>
      </c>
      <c r="E352" s="118">
        <v>4000</v>
      </c>
      <c r="F352" s="118">
        <v>750</v>
      </c>
      <c r="G352" s="118">
        <v>2180</v>
      </c>
    </row>
    <row r="353" s="98" customFormat="1" spans="1:7">
      <c r="A353" s="111" t="s">
        <v>324</v>
      </c>
      <c r="B353" s="111" t="s">
        <v>2998</v>
      </c>
      <c r="C353" s="118">
        <v>3190</v>
      </c>
      <c r="D353" s="118">
        <v>3150</v>
      </c>
      <c r="E353" s="118">
        <v>3640</v>
      </c>
      <c r="F353" s="118">
        <v>630</v>
      </c>
      <c r="G353" s="118">
        <v>1890</v>
      </c>
    </row>
    <row r="354" s="98" customFormat="1" spans="1:7">
      <c r="A354" s="111" t="s">
        <v>324</v>
      </c>
      <c r="B354" s="111" t="s">
        <v>2999</v>
      </c>
      <c r="C354" s="118">
        <v>3450</v>
      </c>
      <c r="D354" s="118">
        <v>3420</v>
      </c>
      <c r="E354" s="118">
        <v>3960</v>
      </c>
      <c r="F354" s="118">
        <v>660</v>
      </c>
      <c r="G354" s="118">
        <v>2050</v>
      </c>
    </row>
    <row r="355" s="98" customFormat="1" spans="1:7">
      <c r="A355" s="111" t="s">
        <v>324</v>
      </c>
      <c r="B355" s="111" t="s">
        <v>3000</v>
      </c>
      <c r="C355" s="118">
        <v>3650</v>
      </c>
      <c r="D355" s="118">
        <v>3610</v>
      </c>
      <c r="E355" s="118">
        <v>4200</v>
      </c>
      <c r="F355" s="118">
        <v>640</v>
      </c>
      <c r="G355" s="118">
        <v>2160</v>
      </c>
    </row>
    <row r="356" s="98" customFormat="1" spans="1:7">
      <c r="A356" s="111" t="s">
        <v>324</v>
      </c>
      <c r="B356" s="111" t="s">
        <v>3001</v>
      </c>
      <c r="C356" s="118">
        <v>3260</v>
      </c>
      <c r="D356" s="118">
        <v>3230</v>
      </c>
      <c r="E356" s="118">
        <v>3740</v>
      </c>
      <c r="F356" s="118">
        <v>600</v>
      </c>
      <c r="G356" s="118">
        <v>1930</v>
      </c>
    </row>
    <row r="357" s="98" customFormat="1" ht="12" spans="1:7">
      <c r="A357" s="121" t="s">
        <v>324</v>
      </c>
      <c r="B357" s="130" t="s">
        <v>3002</v>
      </c>
      <c r="C357" s="125">
        <v>3690</v>
      </c>
      <c r="D357" s="125">
        <v>3650</v>
      </c>
      <c r="E357" s="125">
        <v>4020</v>
      </c>
      <c r="F357" s="125">
        <v>700</v>
      </c>
      <c r="G357" s="125">
        <v>2190</v>
      </c>
    </row>
    <row r="358" s="98" customFormat="1" spans="1:7">
      <c r="A358" s="116" t="s">
        <v>330</v>
      </c>
      <c r="B358" s="106" t="s">
        <v>3003</v>
      </c>
      <c r="C358" s="117">
        <v>2080</v>
      </c>
      <c r="D358" s="117">
        <v>2040</v>
      </c>
      <c r="E358" s="117">
        <v>2010</v>
      </c>
      <c r="F358" s="117">
        <v>530</v>
      </c>
      <c r="G358" s="126">
        <v>1230</v>
      </c>
    </row>
    <row r="359" s="98" customFormat="1" spans="1:7">
      <c r="A359" s="111" t="s">
        <v>330</v>
      </c>
      <c r="B359" s="111" t="s">
        <v>3004</v>
      </c>
      <c r="C359" s="118">
        <v>1850</v>
      </c>
      <c r="D359" s="118">
        <v>1820</v>
      </c>
      <c r="E359" s="118">
        <v>1780</v>
      </c>
      <c r="F359" s="118">
        <v>520</v>
      </c>
      <c r="G359" s="127">
        <v>1100</v>
      </c>
    </row>
    <row r="360" s="98" customFormat="1" spans="1:7">
      <c r="A360" s="111" t="s">
        <v>330</v>
      </c>
      <c r="B360" s="111" t="s">
        <v>3005</v>
      </c>
      <c r="C360" s="118">
        <v>2020</v>
      </c>
      <c r="D360" s="118">
        <v>1990</v>
      </c>
      <c r="E360" s="118">
        <v>1950</v>
      </c>
      <c r="F360" s="118">
        <v>500</v>
      </c>
      <c r="G360" s="127">
        <v>1200</v>
      </c>
    </row>
    <row r="361" s="98" customFormat="1" spans="1:7">
      <c r="A361" s="111" t="s">
        <v>330</v>
      </c>
      <c r="B361" s="111" t="s">
        <v>3006</v>
      </c>
      <c r="C361" s="118">
        <v>2260</v>
      </c>
      <c r="D361" s="118">
        <v>2220</v>
      </c>
      <c r="E361" s="118">
        <v>2180</v>
      </c>
      <c r="F361" s="118">
        <v>580</v>
      </c>
      <c r="G361" s="127">
        <v>1340</v>
      </c>
    </row>
    <row r="362" s="98" customFormat="1" spans="1:7">
      <c r="A362" s="111" t="s">
        <v>330</v>
      </c>
      <c r="B362" s="111" t="s">
        <v>3007</v>
      </c>
      <c r="C362" s="118">
        <v>2650</v>
      </c>
      <c r="D362" s="118">
        <v>2610</v>
      </c>
      <c r="E362" s="118">
        <v>2570</v>
      </c>
      <c r="F362" s="118">
        <v>630</v>
      </c>
      <c r="G362" s="127">
        <v>1570</v>
      </c>
    </row>
    <row r="363" s="98" customFormat="1" spans="1:7">
      <c r="A363" s="111" t="s">
        <v>330</v>
      </c>
      <c r="B363" s="111" t="s">
        <v>3008</v>
      </c>
      <c r="C363" s="118">
        <v>2390</v>
      </c>
      <c r="D363" s="118">
        <v>2360</v>
      </c>
      <c r="E363" s="118">
        <v>2320</v>
      </c>
      <c r="F363" s="118">
        <v>600</v>
      </c>
      <c r="G363" s="127">
        <v>1420</v>
      </c>
    </row>
    <row r="364" s="98" customFormat="1" spans="1:7">
      <c r="A364" s="111" t="s">
        <v>330</v>
      </c>
      <c r="B364" s="111" t="s">
        <v>3009</v>
      </c>
      <c r="C364" s="118">
        <v>2050</v>
      </c>
      <c r="D364" s="118">
        <v>2030</v>
      </c>
      <c r="E364" s="118">
        <v>1990</v>
      </c>
      <c r="F364" s="118">
        <v>550</v>
      </c>
      <c r="G364" s="127">
        <v>1220</v>
      </c>
    </row>
    <row r="365" s="98" customFormat="1" spans="1:7">
      <c r="A365" s="111" t="s">
        <v>330</v>
      </c>
      <c r="B365" s="111" t="s">
        <v>3010</v>
      </c>
      <c r="C365" s="118">
        <v>2140</v>
      </c>
      <c r="D365" s="118">
        <v>2100</v>
      </c>
      <c r="E365" s="118">
        <v>2060</v>
      </c>
      <c r="F365" s="118">
        <v>540</v>
      </c>
      <c r="G365" s="127">
        <v>1270</v>
      </c>
    </row>
    <row r="366" s="98" customFormat="1" spans="1:7">
      <c r="A366" s="111" t="s">
        <v>330</v>
      </c>
      <c r="B366" s="111" t="s">
        <v>3011</v>
      </c>
      <c r="C366" s="118">
        <v>2410</v>
      </c>
      <c r="D366" s="118">
        <v>2370</v>
      </c>
      <c r="E366" s="118">
        <v>2330</v>
      </c>
      <c r="F366" s="118">
        <v>570</v>
      </c>
      <c r="G366" s="127">
        <v>1440</v>
      </c>
    </row>
    <row r="367" s="98" customFormat="1" spans="1:7">
      <c r="A367" s="111" t="s">
        <v>330</v>
      </c>
      <c r="B367" s="111" t="s">
        <v>3012</v>
      </c>
      <c r="C367" s="118">
        <v>2300</v>
      </c>
      <c r="D367" s="118">
        <v>2260</v>
      </c>
      <c r="E367" s="118">
        <v>2220</v>
      </c>
      <c r="F367" s="118">
        <v>560</v>
      </c>
      <c r="G367" s="127">
        <v>1370</v>
      </c>
    </row>
    <row r="368" s="98" customFormat="1" spans="1:7">
      <c r="A368" s="111" t="s">
        <v>330</v>
      </c>
      <c r="B368" s="111" t="s">
        <v>3013</v>
      </c>
      <c r="C368" s="118">
        <v>2430</v>
      </c>
      <c r="D368" s="118">
        <v>2390</v>
      </c>
      <c r="E368" s="118">
        <v>2350</v>
      </c>
      <c r="F368" s="118">
        <v>570</v>
      </c>
      <c r="G368" s="127">
        <v>1450</v>
      </c>
    </row>
    <row r="369" s="98" customFormat="1" spans="1:7">
      <c r="A369" s="111" t="s">
        <v>330</v>
      </c>
      <c r="B369" s="111" t="s">
        <v>3014</v>
      </c>
      <c r="C369" s="118">
        <v>2320</v>
      </c>
      <c r="D369" s="118">
        <v>2290</v>
      </c>
      <c r="E369" s="118">
        <v>2250</v>
      </c>
      <c r="F369" s="118">
        <v>550</v>
      </c>
      <c r="G369" s="127">
        <v>1380</v>
      </c>
    </row>
    <row r="370" s="98" customFormat="1" spans="1:7">
      <c r="A370" s="111" t="s">
        <v>330</v>
      </c>
      <c r="B370" s="111" t="s">
        <v>3015</v>
      </c>
      <c r="C370" s="118">
        <v>2190</v>
      </c>
      <c r="D370" s="118">
        <v>2170</v>
      </c>
      <c r="E370" s="118">
        <v>2130</v>
      </c>
      <c r="F370" s="118">
        <v>530</v>
      </c>
      <c r="G370" s="127">
        <v>1310</v>
      </c>
    </row>
    <row r="371" s="98" customFormat="1" spans="1:7">
      <c r="A371" s="111" t="s">
        <v>330</v>
      </c>
      <c r="B371" s="111" t="s">
        <v>3016</v>
      </c>
      <c r="C371" s="118">
        <v>2460</v>
      </c>
      <c r="D371" s="118">
        <v>2420</v>
      </c>
      <c r="E371" s="118">
        <v>2370</v>
      </c>
      <c r="F371" s="118">
        <v>560</v>
      </c>
      <c r="G371" s="127">
        <v>1470</v>
      </c>
    </row>
    <row r="372" s="98" customFormat="1" spans="1:7">
      <c r="A372" s="111" t="s">
        <v>330</v>
      </c>
      <c r="B372" s="111" t="s">
        <v>3017</v>
      </c>
      <c r="C372" s="118">
        <v>2250</v>
      </c>
      <c r="D372" s="118">
        <v>2210</v>
      </c>
      <c r="E372" s="118">
        <v>2180</v>
      </c>
      <c r="F372" s="118">
        <v>550</v>
      </c>
      <c r="G372" s="127">
        <v>1340</v>
      </c>
    </row>
    <row r="373" s="98" customFormat="1" spans="1:7">
      <c r="A373" s="111" t="s">
        <v>330</v>
      </c>
      <c r="B373" s="111" t="s">
        <v>3018</v>
      </c>
      <c r="C373" s="118">
        <v>2210</v>
      </c>
      <c r="D373" s="118">
        <v>2190</v>
      </c>
      <c r="E373" s="118">
        <v>2150</v>
      </c>
      <c r="F373" s="118">
        <v>530</v>
      </c>
      <c r="G373" s="127">
        <v>1320</v>
      </c>
    </row>
    <row r="374" s="98" customFormat="1" spans="1:7">
      <c r="A374" s="111" t="s">
        <v>330</v>
      </c>
      <c r="B374" s="111" t="s">
        <v>3019</v>
      </c>
      <c r="C374" s="118">
        <v>2320</v>
      </c>
      <c r="D374" s="118">
        <v>2280</v>
      </c>
      <c r="E374" s="118">
        <v>2230</v>
      </c>
      <c r="F374" s="118">
        <v>580</v>
      </c>
      <c r="G374" s="127">
        <v>1380</v>
      </c>
    </row>
    <row r="375" s="98" customFormat="1" spans="1:7">
      <c r="A375" s="111" t="s">
        <v>330</v>
      </c>
      <c r="B375" s="111" t="s">
        <v>3020</v>
      </c>
      <c r="C375" s="118">
        <v>2090</v>
      </c>
      <c r="D375" s="118">
        <v>2050</v>
      </c>
      <c r="E375" s="118">
        <v>2020</v>
      </c>
      <c r="F375" s="118">
        <v>520</v>
      </c>
      <c r="G375" s="127">
        <v>1240</v>
      </c>
    </row>
    <row r="376" s="98" customFormat="1" spans="1:7">
      <c r="A376" s="111" t="s">
        <v>330</v>
      </c>
      <c r="B376" s="111" t="s">
        <v>3021</v>
      </c>
      <c r="C376" s="118">
        <v>2010</v>
      </c>
      <c r="D376" s="118">
        <v>1980</v>
      </c>
      <c r="E376" s="118">
        <v>1940</v>
      </c>
      <c r="F376" s="118">
        <v>540</v>
      </c>
      <c r="G376" s="127">
        <v>1190</v>
      </c>
    </row>
    <row r="377" s="98" customFormat="1" ht="12" spans="1:7">
      <c r="A377" s="121" t="s">
        <v>330</v>
      </c>
      <c r="B377" s="130" t="s">
        <v>3022</v>
      </c>
      <c r="C377" s="125">
        <v>1930</v>
      </c>
      <c r="D377" s="125">
        <v>1890</v>
      </c>
      <c r="E377" s="125">
        <v>1860</v>
      </c>
      <c r="F377" s="125">
        <v>530</v>
      </c>
      <c r="G377" s="131">
        <v>1150</v>
      </c>
    </row>
    <row r="378" s="98" customFormat="1" spans="1:7">
      <c r="A378" s="132" t="s">
        <v>336</v>
      </c>
      <c r="B378" s="106" t="s">
        <v>3023</v>
      </c>
      <c r="C378" s="117">
        <v>1520</v>
      </c>
      <c r="D378" s="117">
        <v>1490</v>
      </c>
      <c r="E378" s="117">
        <v>1460</v>
      </c>
      <c r="F378" s="117">
        <v>460</v>
      </c>
      <c r="G378" s="126">
        <v>940</v>
      </c>
    </row>
    <row r="379" s="98" customFormat="1" spans="1:7">
      <c r="A379" s="133" t="s">
        <v>336</v>
      </c>
      <c r="B379" s="111" t="s">
        <v>3024</v>
      </c>
      <c r="C379" s="118">
        <v>1500</v>
      </c>
      <c r="D379" s="118">
        <v>1470</v>
      </c>
      <c r="E379" s="118">
        <v>1430</v>
      </c>
      <c r="F379" s="118">
        <v>460</v>
      </c>
      <c r="G379" s="127">
        <v>920</v>
      </c>
    </row>
    <row r="380" s="98" customFormat="1" spans="1:7">
      <c r="A380" s="133" t="s">
        <v>336</v>
      </c>
      <c r="B380" s="111" t="s">
        <v>3025</v>
      </c>
      <c r="C380" s="118">
        <v>1620</v>
      </c>
      <c r="D380" s="118">
        <v>1590</v>
      </c>
      <c r="E380" s="118">
        <v>1560</v>
      </c>
      <c r="F380" s="118">
        <v>480</v>
      </c>
      <c r="G380" s="127">
        <v>1000</v>
      </c>
    </row>
    <row r="381" s="98" customFormat="1" spans="1:7">
      <c r="A381" s="133" t="s">
        <v>336</v>
      </c>
      <c r="B381" s="111" t="s">
        <v>3026</v>
      </c>
      <c r="C381" s="118">
        <v>1460</v>
      </c>
      <c r="D381" s="118">
        <v>1430</v>
      </c>
      <c r="E381" s="118">
        <v>1390</v>
      </c>
      <c r="F381" s="118">
        <v>450</v>
      </c>
      <c r="G381" s="127">
        <v>900</v>
      </c>
    </row>
    <row r="382" s="98" customFormat="1" spans="1:7">
      <c r="A382" s="133" t="s">
        <v>336</v>
      </c>
      <c r="B382" s="111" t="s">
        <v>3027</v>
      </c>
      <c r="C382" s="118">
        <v>1310</v>
      </c>
      <c r="D382" s="118">
        <v>1280</v>
      </c>
      <c r="E382" s="118">
        <v>1250</v>
      </c>
      <c r="F382" s="118">
        <v>440</v>
      </c>
      <c r="G382" s="127">
        <v>800</v>
      </c>
    </row>
    <row r="383" s="98" customFormat="1" spans="1:7">
      <c r="A383" s="133" t="s">
        <v>336</v>
      </c>
      <c r="B383" s="111" t="s">
        <v>3028</v>
      </c>
      <c r="C383" s="118">
        <v>1260</v>
      </c>
      <c r="D383" s="118">
        <v>1230</v>
      </c>
      <c r="E383" s="118">
        <v>1200</v>
      </c>
      <c r="F383" s="118">
        <v>420</v>
      </c>
      <c r="G383" s="127">
        <v>770</v>
      </c>
    </row>
    <row r="384" s="98" customFormat="1" ht="12" spans="1:7">
      <c r="A384" s="134" t="s">
        <v>336</v>
      </c>
      <c r="B384" s="120" t="s">
        <v>3029</v>
      </c>
      <c r="C384" s="122">
        <v>1170</v>
      </c>
      <c r="D384" s="122">
        <v>1140</v>
      </c>
      <c r="E384" s="122">
        <v>1120</v>
      </c>
      <c r="F384" s="122">
        <v>400</v>
      </c>
      <c r="G384" s="12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20" customFormat="1" ht="14.25" spans="1:257">
      <c r="A1" s="25"/>
      <c r="B1" s="26" t="s">
        <v>382</v>
      </c>
      <c r="C1" s="27">
        <f>项目基本情况!D3</f>
        <v>46086</v>
      </c>
      <c r="D1" s="26" t="s">
        <v>3168</v>
      </c>
      <c r="E1" s="28">
        <f>'数据-取费表'!B22</f>
        <v>2</v>
      </c>
      <c r="F1" s="26" t="s">
        <v>3169</v>
      </c>
      <c r="G1" s="29">
        <f ca="1">IF(OR(C1&lt;C27,E1&lt;=1),INDIRECT("d"&amp;$K$1)/100,ROUND((D5+(E1-C5)*(D7-D5)/(C7-C5))/100,4))</f>
        <v>0.0313</v>
      </c>
      <c r="H1" s="26" t="s">
        <v>3170</v>
      </c>
      <c r="I1" s="29">
        <f ca="1">F4/100</f>
        <v>0.015</v>
      </c>
      <c r="J1" s="30">
        <f>IF(C1&gt;C13,0,MATCH(C1,C$13:C$115,-1))+IF(SUMIF(C13:C115,C1,D13:D115)=0,13,12)</f>
        <v>13</v>
      </c>
      <c r="K1" s="30">
        <f ca="1">MATCH(E1,C3:C7,1)+IF(SUMIF(C3:C7,E1,D3:D7)=0,2,1)</f>
        <v>5</v>
      </c>
      <c r="L1" s="30">
        <f>IF(C1&gt;M13,0,MATCH(C1,M$13:M$100,-1))+IF(SUMIF(M13:M100,C1,N13:N100)=0,13,12)</f>
        <v>13</v>
      </c>
      <c r="M1" s="25"/>
      <c r="N1" s="25"/>
      <c r="O1" s="25"/>
      <c r="P1" s="25"/>
      <c r="Q1" s="25"/>
      <c r="R1" s="25"/>
      <c r="S1" s="25"/>
      <c r="T1" s="25"/>
      <c r="U1" s="25"/>
      <c r="V1" s="25"/>
      <c r="W1" s="25"/>
      <c r="X1" s="25"/>
      <c r="Y1" s="25"/>
      <c r="Z1" s="25"/>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2"/>
    </row>
    <row r="2" ht="15" spans="1:257">
      <c r="A2" s="33"/>
      <c r="B2" s="33"/>
      <c r="C2" s="33"/>
      <c r="D2" s="33" t="s">
        <v>3169</v>
      </c>
      <c r="E2" s="33"/>
      <c r="F2" s="33" t="s">
        <v>3171</v>
      </c>
      <c r="G2" s="3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row>
    <row r="3" spans="1:257">
      <c r="B3" s="35" t="s">
        <v>3172</v>
      </c>
      <c r="C3" s="36">
        <v>0</v>
      </c>
      <c r="D3" s="37">
        <f ca="1">INDIRECT("d"&amp;$J$1)</f>
        <v>3</v>
      </c>
      <c r="E3" s="38">
        <v>0.5</v>
      </c>
      <c r="F3" s="39">
        <f ca="1">INDIRECT("p"&amp;$L$1)</f>
        <v>1.3</v>
      </c>
      <c r="G3" s="22"/>
      <c r="H3" s="22"/>
      <c r="I3" s="22"/>
      <c r="J3" s="22"/>
      <c r="L3" s="22"/>
      <c r="M3" s="22"/>
      <c r="N3" s="22"/>
      <c r="O3" s="22"/>
      <c r="P3" s="22"/>
      <c r="Q3" s="22"/>
      <c r="R3" s="22"/>
      <c r="S3" s="22"/>
      <c r="T3" s="22"/>
      <c r="U3" s="22"/>
      <c r="V3" s="22"/>
      <c r="W3" s="22"/>
      <c r="X3" s="22"/>
      <c r="Y3" s="22"/>
      <c r="Z3" s="22"/>
    </row>
    <row r="4" spans="1:257">
      <c r="B4" s="40" t="s">
        <v>3173</v>
      </c>
      <c r="C4" s="41">
        <v>0.5</v>
      </c>
      <c r="D4" s="42">
        <f ca="1">INDIRECT("e"&amp;$J$1)</f>
        <v>3</v>
      </c>
      <c r="E4" s="43">
        <v>1</v>
      </c>
      <c r="F4" s="44">
        <f ca="1">INDIRECT("q"&amp;$L$1)</f>
        <v>1.5</v>
      </c>
      <c r="G4" s="22"/>
      <c r="H4" s="22"/>
      <c r="I4" s="22"/>
      <c r="J4" s="22"/>
      <c r="L4" s="22"/>
      <c r="M4" s="22"/>
      <c r="N4" s="22"/>
      <c r="O4" s="22"/>
      <c r="P4" s="22"/>
      <c r="Q4" s="22"/>
      <c r="R4" s="22"/>
      <c r="S4" s="22"/>
      <c r="T4" s="22"/>
      <c r="U4" s="22"/>
      <c r="V4" s="22"/>
      <c r="W4" s="22"/>
      <c r="X4" s="22"/>
      <c r="Y4" s="22"/>
      <c r="Z4" s="22"/>
    </row>
    <row r="5" spans="1:257">
      <c r="B5" s="40" t="s">
        <v>3174</v>
      </c>
      <c r="C5" s="41">
        <v>1</v>
      </c>
      <c r="D5" s="42">
        <f ca="1">INDIRECT("f"&amp;$J$1)</f>
        <v>3</v>
      </c>
      <c r="E5" s="43">
        <v>2</v>
      </c>
      <c r="F5" s="44">
        <f ca="1">INDIRECT("r"&amp;$L$1)</f>
        <v>2.1</v>
      </c>
      <c r="G5" s="22"/>
      <c r="H5" s="22"/>
      <c r="I5" s="22"/>
      <c r="J5" s="22"/>
      <c r="L5" s="22"/>
      <c r="M5" s="22"/>
      <c r="N5" s="22"/>
      <c r="O5" s="22"/>
      <c r="P5" s="22"/>
      <c r="Q5" s="22"/>
      <c r="R5" s="22"/>
      <c r="S5" s="22"/>
      <c r="T5" s="22"/>
      <c r="U5" s="22"/>
      <c r="V5" s="22"/>
      <c r="W5" s="22"/>
      <c r="X5" s="22"/>
      <c r="Y5" s="22"/>
      <c r="Z5" s="22"/>
    </row>
    <row r="6" spans="1:257">
      <c r="B6" s="40" t="s">
        <v>3175</v>
      </c>
      <c r="C6" s="41">
        <v>3</v>
      </c>
      <c r="D6" s="42">
        <f ca="1">INDIRECT("g"&amp;$J$1)</f>
        <v>3</v>
      </c>
      <c r="E6" s="43">
        <v>3</v>
      </c>
      <c r="F6" s="44">
        <f ca="1">INDIRECT("s"&amp;$L$1)</f>
        <v>2.75</v>
      </c>
      <c r="G6" s="22"/>
      <c r="H6" s="22"/>
      <c r="I6" s="22"/>
      <c r="J6" s="22"/>
      <c r="L6" s="22"/>
      <c r="M6" s="22"/>
      <c r="N6" s="22"/>
      <c r="O6" s="22"/>
      <c r="P6" s="22"/>
      <c r="Q6" s="22"/>
      <c r="R6" s="22"/>
      <c r="S6" s="22"/>
      <c r="T6" s="22"/>
      <c r="U6" s="22"/>
      <c r="V6" s="22"/>
      <c r="W6" s="22"/>
      <c r="X6" s="22"/>
      <c r="Y6" s="22"/>
      <c r="Z6" s="22"/>
    </row>
    <row r="7" ht="14.25" spans="1:257">
      <c r="B7" s="45" t="s">
        <v>3176</v>
      </c>
      <c r="C7" s="46">
        <v>5</v>
      </c>
      <c r="D7" s="47">
        <f ca="1">INDIRECT("h"&amp;$J$1)</f>
        <v>3.5</v>
      </c>
      <c r="E7" s="48">
        <v>5</v>
      </c>
      <c r="F7" s="49">
        <f ca="1">INDIRECT("t"&amp;$L$1)</f>
        <v>0</v>
      </c>
      <c r="G7" s="22"/>
      <c r="H7" s="22"/>
      <c r="I7" s="22"/>
      <c r="J7" s="22"/>
      <c r="L7" s="22"/>
      <c r="M7" s="22"/>
      <c r="N7" s="22"/>
      <c r="O7" s="22"/>
      <c r="P7" s="22"/>
      <c r="Q7" s="22"/>
      <c r="R7" s="22"/>
      <c r="S7" s="22"/>
      <c r="T7" s="22"/>
      <c r="U7" s="22"/>
      <c r="V7" s="22"/>
      <c r="W7" s="22"/>
      <c r="X7" s="22"/>
      <c r="Y7" s="22"/>
      <c r="Z7" s="22"/>
    </row>
    <row r="8" spans="1:257">
      <c r="A8" s="50"/>
      <c r="B8" s="51"/>
      <c r="C8" s="52"/>
      <c r="D8" s="22"/>
      <c r="E8" s="22"/>
      <c r="F8" s="22"/>
      <c r="G8" s="22"/>
      <c r="H8" s="22"/>
      <c r="I8" s="22"/>
      <c r="J8" s="22"/>
      <c r="K8" s="53"/>
      <c r="L8" s="22"/>
      <c r="M8" s="22"/>
      <c r="N8" s="22"/>
      <c r="O8" s="22"/>
      <c r="P8" s="22"/>
      <c r="Q8" s="22"/>
      <c r="R8" s="22"/>
      <c r="S8" s="22"/>
      <c r="T8" s="22"/>
      <c r="U8" s="22"/>
      <c r="V8" s="22"/>
      <c r="W8" s="22"/>
      <c r="X8" s="22"/>
      <c r="Y8" s="22"/>
      <c r="Z8" s="22"/>
    </row>
    <row r="9" ht="20.25" spans="1:257">
      <c r="A9" s="54"/>
      <c r="B9" s="55" t="s">
        <v>3177</v>
      </c>
      <c r="C9" s="56"/>
      <c r="D9" s="57"/>
      <c r="E9" s="57"/>
      <c r="F9" s="57"/>
      <c r="G9" s="57"/>
      <c r="H9" s="57"/>
      <c r="I9" s="57"/>
      <c r="J9" s="57"/>
      <c r="K9" s="57"/>
      <c r="L9" s="57"/>
      <c r="M9" s="57"/>
      <c r="N9" s="57"/>
      <c r="O9" s="57"/>
      <c r="P9" s="57"/>
      <c r="Q9" s="57"/>
      <c r="R9" s="57"/>
      <c r="S9" s="57"/>
      <c r="T9" s="57"/>
      <c r="U9" s="57"/>
      <c r="V9" s="57"/>
      <c r="W9" s="57"/>
      <c r="X9" s="57"/>
      <c r="Y9" s="57"/>
      <c r="Z9" s="57"/>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9"/>
    </row>
    <row r="10" ht="22.5" spans="1:257">
      <c r="A10" s="60"/>
      <c r="B10" s="61" t="s">
        <v>3178</v>
      </c>
      <c r="C10" s="60"/>
      <c r="D10" s="60"/>
      <c r="E10" s="60"/>
      <c r="F10" s="60"/>
      <c r="G10" s="60"/>
      <c r="H10" s="60"/>
      <c r="I10" s="22"/>
      <c r="J10" s="22"/>
      <c r="K10" s="60"/>
      <c r="L10" s="61" t="s">
        <v>3179</v>
      </c>
      <c r="M10" s="60"/>
      <c r="N10" s="60"/>
      <c r="O10" s="60"/>
      <c r="P10" s="60"/>
      <c r="Q10" s="60"/>
      <c r="R10" s="60"/>
      <c r="S10" s="60"/>
      <c r="T10" s="60"/>
      <c r="U10" s="60"/>
      <c r="V10" s="60"/>
      <c r="W10" s="60"/>
      <c r="X10" s="60"/>
      <c r="Y10" s="60"/>
      <c r="Z10" s="60"/>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63"/>
      <c r="B11" s="64" t="s">
        <v>3180</v>
      </c>
      <c r="C11" s="65" t="s">
        <v>3181</v>
      </c>
      <c r="D11" s="66" t="s">
        <v>3182</v>
      </c>
      <c r="E11" s="67"/>
      <c r="F11" s="66" t="s">
        <v>3183</v>
      </c>
      <c r="G11" s="68"/>
      <c r="H11" s="67"/>
      <c r="I11" s="66" t="s">
        <v>3184</v>
      </c>
      <c r="J11" s="67"/>
      <c r="K11" s="63"/>
      <c r="L11" s="64" t="s">
        <v>3180</v>
      </c>
      <c r="M11" s="65" t="s">
        <v>3181</v>
      </c>
      <c r="N11" s="64" t="s">
        <v>3185</v>
      </c>
      <c r="O11" s="66" t="s">
        <v>3186</v>
      </c>
      <c r="P11" s="68"/>
      <c r="Q11" s="68"/>
      <c r="R11" s="68"/>
      <c r="S11" s="68"/>
      <c r="T11" s="67"/>
      <c r="U11" s="66" t="s">
        <v>3187</v>
      </c>
      <c r="V11" s="68"/>
      <c r="W11" s="67"/>
      <c r="X11" s="64" t="s">
        <v>3188</v>
      </c>
      <c r="Y11" s="64" t="s">
        <v>3189</v>
      </c>
      <c r="Z11" s="64" t="s">
        <v>3190</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70"/>
      <c r="B12" s="71"/>
      <c r="C12" s="72"/>
      <c r="D12" s="73" t="s">
        <v>3191</v>
      </c>
      <c r="E12" s="73" t="s">
        <v>3173</v>
      </c>
      <c r="F12" s="73" t="s">
        <v>3174</v>
      </c>
      <c r="G12" s="73" t="s">
        <v>3175</v>
      </c>
      <c r="H12" s="73" t="s">
        <v>3176</v>
      </c>
      <c r="I12" s="74" t="s">
        <v>3192</v>
      </c>
      <c r="J12" s="74" t="s">
        <v>3192</v>
      </c>
      <c r="K12" s="70"/>
      <c r="L12" s="71"/>
      <c r="M12" s="72"/>
      <c r="N12" s="71"/>
      <c r="O12" s="74" t="s">
        <v>3193</v>
      </c>
      <c r="P12" s="74">
        <v>0.5</v>
      </c>
      <c r="Q12" s="74">
        <v>1</v>
      </c>
      <c r="R12" s="74">
        <v>2</v>
      </c>
      <c r="S12" s="74">
        <v>3</v>
      </c>
      <c r="T12" s="74">
        <v>5</v>
      </c>
      <c r="U12" s="74">
        <v>1</v>
      </c>
      <c r="V12" s="74">
        <v>3</v>
      </c>
      <c r="W12" s="74">
        <v>5</v>
      </c>
      <c r="X12" s="71"/>
      <c r="Y12" s="71"/>
      <c r="Z12" s="71"/>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76"/>
      <c r="B13" s="77" t="s">
        <v>3194</v>
      </c>
      <c r="C13" s="78">
        <v>45797</v>
      </c>
      <c r="D13" s="79">
        <v>3</v>
      </c>
      <c r="E13" s="79">
        <v>3</v>
      </c>
      <c r="F13" s="79">
        <f t="shared" ref="F13:F18" si="0">D13</f>
        <v>3</v>
      </c>
      <c r="G13" s="79">
        <f t="shared" ref="G13:G18" si="1">D13</f>
        <v>3</v>
      </c>
      <c r="H13" s="79">
        <v>3.5</v>
      </c>
      <c r="I13" s="79"/>
      <c r="J13" s="79"/>
      <c r="K13" s="76"/>
      <c r="L13" s="77" t="s">
        <v>3194</v>
      </c>
      <c r="M13" s="80">
        <v>42301</v>
      </c>
      <c r="N13" s="79">
        <v>0.35</v>
      </c>
      <c r="O13" s="79">
        <v>1.1</v>
      </c>
      <c r="P13" s="79">
        <v>1.3</v>
      </c>
      <c r="Q13" s="79">
        <v>1.5</v>
      </c>
      <c r="R13" s="79">
        <v>2.1</v>
      </c>
      <c r="S13" s="79">
        <v>2.75</v>
      </c>
      <c r="T13" s="79"/>
      <c r="U13" s="79"/>
      <c r="V13" s="79"/>
      <c r="W13" s="79"/>
      <c r="X13" s="79"/>
      <c r="Y13" s="79"/>
      <c r="Z13" s="79"/>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2"/>
    </row>
    <row r="14" ht="14.25" spans="1:257">
      <c r="A14" s="76"/>
      <c r="B14" s="77"/>
      <c r="C14" s="83">
        <v>45586</v>
      </c>
      <c r="D14" s="84">
        <v>3.1</v>
      </c>
      <c r="E14" s="84">
        <f>D14</f>
        <v>3.1</v>
      </c>
      <c r="F14" s="84">
        <f t="shared" si="0"/>
        <v>3.1</v>
      </c>
      <c r="G14" s="84">
        <f t="shared" si="1"/>
        <v>3.1</v>
      </c>
      <c r="H14" s="84">
        <v>3.6</v>
      </c>
      <c r="I14" s="79"/>
      <c r="J14" s="79"/>
      <c r="K14" s="76"/>
      <c r="L14" s="85"/>
      <c r="M14" s="83">
        <v>42242</v>
      </c>
      <c r="N14" s="84">
        <v>0.35</v>
      </c>
      <c r="O14" s="84">
        <v>1.35</v>
      </c>
      <c r="P14" s="84">
        <v>1.55</v>
      </c>
      <c r="Q14" s="84">
        <v>1.75</v>
      </c>
      <c r="R14" s="84">
        <v>2.35</v>
      </c>
      <c r="S14" s="84">
        <v>3</v>
      </c>
      <c r="T14" s="84"/>
      <c r="U14" s="84"/>
      <c r="V14" s="84"/>
      <c r="W14" s="84"/>
      <c r="X14" s="84"/>
      <c r="Y14" s="84"/>
      <c r="Z14" s="84"/>
    </row>
    <row r="15" ht="14.25" spans="1:257">
      <c r="A15" s="76"/>
      <c r="B15" s="77"/>
      <c r="C15" s="83">
        <v>45495</v>
      </c>
      <c r="D15" s="84">
        <v>3.35</v>
      </c>
      <c r="E15" s="84">
        <f>D15</f>
        <v>3.35</v>
      </c>
      <c r="F15" s="84">
        <f t="shared" si="0"/>
        <v>3.35</v>
      </c>
      <c r="G15" s="84">
        <f t="shared" si="1"/>
        <v>3.35</v>
      </c>
      <c r="H15" s="84">
        <v>3.85</v>
      </c>
      <c r="I15" s="79"/>
      <c r="J15" s="79"/>
      <c r="K15" s="76"/>
      <c r="L15" s="85"/>
      <c r="M15" s="83">
        <v>42183</v>
      </c>
      <c r="N15" s="84">
        <v>0.35</v>
      </c>
      <c r="O15" s="84">
        <v>1.6</v>
      </c>
      <c r="P15" s="84">
        <v>1.8</v>
      </c>
      <c r="Q15" s="84">
        <v>2</v>
      </c>
      <c r="R15" s="84">
        <v>2.6</v>
      </c>
      <c r="S15" s="84">
        <v>3.25</v>
      </c>
      <c r="T15" s="84"/>
      <c r="U15" s="84"/>
      <c r="V15" s="84"/>
      <c r="W15" s="84"/>
      <c r="X15" s="84"/>
      <c r="Y15" s="84"/>
      <c r="Z15" s="84"/>
    </row>
    <row r="16" ht="14.25" spans="1:257">
      <c r="A16" s="76"/>
      <c r="B16" s="77"/>
      <c r="C16" s="83">
        <v>45342</v>
      </c>
      <c r="D16" s="84">
        <v>3.45</v>
      </c>
      <c r="E16" s="84">
        <f>D16</f>
        <v>3.45</v>
      </c>
      <c r="F16" s="84">
        <f t="shared" si="0"/>
        <v>3.45</v>
      </c>
      <c r="G16" s="84">
        <f t="shared" si="1"/>
        <v>3.45</v>
      </c>
      <c r="H16" s="84">
        <v>3.95</v>
      </c>
      <c r="I16" s="79"/>
      <c r="J16" s="79"/>
      <c r="K16" s="76"/>
      <c r="L16" s="85"/>
      <c r="M16" s="83">
        <v>42135</v>
      </c>
      <c r="N16" s="84">
        <v>0.35</v>
      </c>
      <c r="O16" s="84">
        <v>1.85</v>
      </c>
      <c r="P16" s="84">
        <v>2.05</v>
      </c>
      <c r="Q16" s="84">
        <v>2.25</v>
      </c>
      <c r="R16" s="84">
        <v>2.85</v>
      </c>
      <c r="S16" s="84">
        <v>3.5</v>
      </c>
      <c r="T16" s="84"/>
      <c r="U16" s="84"/>
      <c r="V16" s="84"/>
      <c r="W16" s="84"/>
      <c r="X16" s="84"/>
      <c r="Y16" s="84"/>
      <c r="Z16" s="84"/>
    </row>
    <row r="17" ht="14.25" spans="1:256">
      <c r="A17" s="76"/>
      <c r="B17" s="77"/>
      <c r="C17" s="83">
        <v>45159</v>
      </c>
      <c r="D17" s="84">
        <v>3.45</v>
      </c>
      <c r="E17" s="84">
        <f>D17</f>
        <v>3.45</v>
      </c>
      <c r="F17" s="84">
        <f t="shared" si="0"/>
        <v>3.45</v>
      </c>
      <c r="G17" s="84">
        <f t="shared" si="1"/>
        <v>3.45</v>
      </c>
      <c r="H17" s="84">
        <v>4.2</v>
      </c>
      <c r="I17" s="79"/>
      <c r="J17" s="79"/>
      <c r="L17" s="85"/>
      <c r="M17" s="83">
        <v>42064</v>
      </c>
      <c r="N17" s="84">
        <v>0.35</v>
      </c>
      <c r="O17" s="84">
        <v>2.1</v>
      </c>
      <c r="P17" s="84">
        <v>2.3</v>
      </c>
      <c r="Q17" s="84">
        <v>2.5</v>
      </c>
      <c r="R17" s="84">
        <v>3.1</v>
      </c>
      <c r="S17" s="84">
        <v>3.75</v>
      </c>
      <c r="T17" s="84">
        <v>4.5</v>
      </c>
      <c r="U17" s="84">
        <v>2.35</v>
      </c>
      <c r="V17" s="84">
        <v>2.55</v>
      </c>
      <c r="W17" s="84">
        <v>2.75</v>
      </c>
      <c r="X17" s="84"/>
      <c r="Y17" s="84">
        <v>0.8</v>
      </c>
      <c r="Z17" s="84">
        <v>1.35</v>
      </c>
    </row>
    <row r="18" ht="15" spans="1:256">
      <c r="A18" s="76"/>
      <c r="B18" s="77"/>
      <c r="C18" s="83">
        <v>45097</v>
      </c>
      <c r="D18" s="84">
        <v>3.55</v>
      </c>
      <c r="E18" s="84">
        <f>D18</f>
        <v>3.55</v>
      </c>
      <c r="F18" s="84">
        <f t="shared" si="0"/>
        <v>3.55</v>
      </c>
      <c r="G18" s="84">
        <f t="shared" si="1"/>
        <v>3.55</v>
      </c>
      <c r="H18" s="84">
        <v>4.2</v>
      </c>
      <c r="I18" s="79"/>
      <c r="J18" s="79"/>
      <c r="L18" s="86"/>
      <c r="M18" s="87">
        <v>41965</v>
      </c>
      <c r="N18" s="88">
        <v>0.35</v>
      </c>
      <c r="O18" s="88">
        <v>2.35</v>
      </c>
      <c r="P18" s="88">
        <v>2.55</v>
      </c>
      <c r="Q18" s="88">
        <v>2.75</v>
      </c>
      <c r="R18" s="88">
        <v>3.35</v>
      </c>
      <c r="S18" s="88">
        <v>4</v>
      </c>
      <c r="T18" s="88">
        <v>4.75</v>
      </c>
      <c r="U18" s="89">
        <v>2.35</v>
      </c>
      <c r="V18" s="89">
        <v>2.55</v>
      </c>
      <c r="W18" s="89">
        <v>2.75</v>
      </c>
      <c r="X18" s="88"/>
      <c r="Y18" s="89">
        <v>0.8</v>
      </c>
      <c r="Z18" s="89">
        <v>1.35</v>
      </c>
    </row>
    <row r="19" s="21" customFormat="1" ht="14.25" spans="1:256">
      <c r="A19" s="76"/>
      <c r="B19" s="77"/>
      <c r="C19" s="83">
        <v>44795</v>
      </c>
      <c r="D19" s="84">
        <v>3.65</v>
      </c>
      <c r="E19" s="84">
        <v>3.65</v>
      </c>
      <c r="F19" s="84">
        <v>3.65</v>
      </c>
      <c r="G19" s="84">
        <v>3.65</v>
      </c>
      <c r="H19" s="84">
        <v>4.3</v>
      </c>
      <c r="I19" s="79"/>
      <c r="J19" s="79"/>
      <c r="K19" s="22"/>
      <c r="L19" s="85"/>
      <c r="M19" s="83">
        <v>41096</v>
      </c>
      <c r="N19" s="84">
        <v>0.35</v>
      </c>
      <c r="O19" s="84">
        <v>2.6</v>
      </c>
      <c r="P19" s="84">
        <v>2.8</v>
      </c>
      <c r="Q19" s="84">
        <v>3</v>
      </c>
      <c r="R19" s="84">
        <v>3.75</v>
      </c>
      <c r="S19" s="84">
        <v>4.25</v>
      </c>
      <c r="T19" s="84">
        <v>4.75</v>
      </c>
      <c r="U19" s="84">
        <v>2.85</v>
      </c>
      <c r="V19" s="84">
        <v>2.9</v>
      </c>
      <c r="W19" s="84">
        <v>3</v>
      </c>
      <c r="X19" s="84">
        <v>1.15</v>
      </c>
      <c r="Y19" s="84">
        <v>0.8</v>
      </c>
      <c r="Z19" s="84">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56">
      <c r="A20" s="76"/>
      <c r="B20" s="77"/>
      <c r="C20" s="83">
        <v>44701</v>
      </c>
      <c r="D20" s="84">
        <v>3.7</v>
      </c>
      <c r="E20" s="84">
        <f>D20</f>
        <v>3.7</v>
      </c>
      <c r="F20" s="84">
        <f>D20</f>
        <v>3.7</v>
      </c>
      <c r="G20" s="84">
        <f>D20</f>
        <v>3.7</v>
      </c>
      <c r="H20" s="84">
        <v>4.45</v>
      </c>
      <c r="I20" s="79"/>
      <c r="J20" s="79"/>
      <c r="L20" s="85"/>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4.25" spans="1:256">
      <c r="A21" s="76"/>
      <c r="B21" s="77"/>
      <c r="C21" s="83">
        <v>44581</v>
      </c>
      <c r="D21" s="84">
        <v>3.7</v>
      </c>
      <c r="E21" s="84">
        <f>D21</f>
        <v>3.7</v>
      </c>
      <c r="F21" s="84">
        <f>D21</f>
        <v>3.7</v>
      </c>
      <c r="G21" s="84">
        <f>D21</f>
        <v>3.7</v>
      </c>
      <c r="H21" s="84">
        <v>4.6</v>
      </c>
      <c r="I21" s="79"/>
      <c r="J21" s="79"/>
      <c r="L21" s="85"/>
      <c r="M21" s="83">
        <v>40731</v>
      </c>
      <c r="N21" s="84">
        <v>0.5</v>
      </c>
      <c r="O21" s="84">
        <v>3.1</v>
      </c>
      <c r="P21" s="84">
        <v>3.3</v>
      </c>
      <c r="Q21" s="84">
        <v>3.5</v>
      </c>
      <c r="R21" s="84">
        <v>4.4</v>
      </c>
      <c r="S21" s="84">
        <v>5</v>
      </c>
      <c r="T21" s="84">
        <v>5.5</v>
      </c>
      <c r="U21" s="84">
        <v>3.1</v>
      </c>
      <c r="V21" s="84">
        <v>3.3</v>
      </c>
      <c r="W21" s="84">
        <v>3.5</v>
      </c>
      <c r="X21" s="84">
        <v>1.31</v>
      </c>
      <c r="Y21" s="84">
        <v>0.95</v>
      </c>
      <c r="Z21" s="84">
        <v>1.49</v>
      </c>
    </row>
    <row r="22" ht="14.25" spans="1:256">
      <c r="A22" s="76"/>
      <c r="B22" s="85"/>
      <c r="C22" s="83">
        <v>44550</v>
      </c>
      <c r="D22" s="84">
        <v>3.8</v>
      </c>
      <c r="E22" s="84">
        <f>D22</f>
        <v>3.8</v>
      </c>
      <c r="F22" s="84">
        <f>D22</f>
        <v>3.8</v>
      </c>
      <c r="G22" s="84">
        <f>D22</f>
        <v>3.8</v>
      </c>
      <c r="H22" s="84">
        <v>4.65</v>
      </c>
      <c r="I22" s="84"/>
      <c r="J22" s="79"/>
      <c r="K22" s="70"/>
      <c r="L22" s="85"/>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ht="14.25" spans="1:256">
      <c r="A23" s="90"/>
      <c r="B23" s="85"/>
      <c r="C23" s="83">
        <v>43941</v>
      </c>
      <c r="D23" s="84">
        <v>3.85</v>
      </c>
      <c r="E23" s="84">
        <v>3.85</v>
      </c>
      <c r="F23" s="84">
        <v>3.85</v>
      </c>
      <c r="G23" s="84">
        <v>3.85</v>
      </c>
      <c r="H23" s="84">
        <v>4.65</v>
      </c>
      <c r="I23" s="84"/>
      <c r="J23" s="84"/>
      <c r="L23" s="85"/>
      <c r="M23" s="83">
        <v>40583</v>
      </c>
      <c r="N23" s="84">
        <v>0.4</v>
      </c>
      <c r="O23" s="84">
        <v>2.6</v>
      </c>
      <c r="P23" s="84">
        <v>2.8</v>
      </c>
      <c r="Q23" s="84">
        <v>3</v>
      </c>
      <c r="R23" s="84">
        <v>3.9</v>
      </c>
      <c r="S23" s="84">
        <v>4.5</v>
      </c>
      <c r="T23" s="84">
        <v>5</v>
      </c>
      <c r="U23" s="84">
        <v>2.6</v>
      </c>
      <c r="V23" s="84">
        <v>2.8</v>
      </c>
      <c r="W23" s="84">
        <v>3</v>
      </c>
      <c r="X23" s="84">
        <v>1.21</v>
      </c>
      <c r="Y23" s="84">
        <v>0.85</v>
      </c>
      <c r="Z23" s="84">
        <v>1.39</v>
      </c>
    </row>
    <row r="24" spans="1:256">
      <c r="B24" s="85"/>
      <c r="C24" s="83">
        <v>43881</v>
      </c>
      <c r="D24" s="84">
        <v>4.05</v>
      </c>
      <c r="E24" s="84">
        <v>4.05</v>
      </c>
      <c r="F24" s="84">
        <v>4.05</v>
      </c>
      <c r="G24" s="84">
        <v>4.05</v>
      </c>
      <c r="H24" s="84">
        <v>4.75</v>
      </c>
      <c r="I24" s="84"/>
      <c r="J24" s="84"/>
      <c r="L24" s="85"/>
      <c r="M24" s="83">
        <v>40538</v>
      </c>
      <c r="N24" s="84">
        <v>0.36</v>
      </c>
      <c r="O24" s="84">
        <v>2.25</v>
      </c>
      <c r="P24" s="84">
        <v>2.5</v>
      </c>
      <c r="Q24" s="84">
        <v>2.75</v>
      </c>
      <c r="R24" s="84">
        <v>3.55</v>
      </c>
      <c r="S24" s="84">
        <v>4.15</v>
      </c>
      <c r="T24" s="84">
        <v>4.55</v>
      </c>
      <c r="U24" s="84">
        <v>2.16</v>
      </c>
      <c r="V24" s="84">
        <v>2.5</v>
      </c>
      <c r="W24" s="84">
        <v>2.85</v>
      </c>
      <c r="X24" s="84">
        <v>1.17</v>
      </c>
      <c r="Y24" s="84">
        <v>0.81</v>
      </c>
      <c r="Z24" s="84">
        <v>1.35</v>
      </c>
    </row>
    <row r="25" spans="1:256">
      <c r="B25" s="85"/>
      <c r="C25" s="83">
        <v>43789</v>
      </c>
      <c r="D25" s="84">
        <v>4.15</v>
      </c>
      <c r="E25" s="84">
        <v>4.15</v>
      </c>
      <c r="F25" s="84">
        <v>4.15</v>
      </c>
      <c r="G25" s="84">
        <v>4.15</v>
      </c>
      <c r="H25" s="84">
        <v>4.8</v>
      </c>
      <c r="I25" s="84"/>
      <c r="J25" s="84"/>
      <c r="L25" s="85"/>
      <c r="M25" s="83">
        <v>40471</v>
      </c>
      <c r="N25" s="84">
        <v>0.36</v>
      </c>
      <c r="O25" s="84">
        <v>1.91</v>
      </c>
      <c r="P25" s="84">
        <v>2.2</v>
      </c>
      <c r="Q25" s="84">
        <v>2.5</v>
      </c>
      <c r="R25" s="84">
        <v>3.25</v>
      </c>
      <c r="S25" s="84">
        <v>3.85</v>
      </c>
      <c r="T25" s="84">
        <v>4.2</v>
      </c>
      <c r="U25" s="84">
        <v>1.91</v>
      </c>
      <c r="V25" s="84">
        <v>2.2</v>
      </c>
      <c r="W25" s="84">
        <v>2.5</v>
      </c>
      <c r="X25" s="84">
        <v>1.17</v>
      </c>
      <c r="Y25" s="84">
        <v>0.81</v>
      </c>
      <c r="Z25" s="84">
        <v>1.35</v>
      </c>
    </row>
    <row r="26" spans="1:256">
      <c r="B26" s="85"/>
      <c r="C26" s="83">
        <v>43728</v>
      </c>
      <c r="D26" s="84">
        <v>4.2</v>
      </c>
      <c r="E26" s="84">
        <v>4.2</v>
      </c>
      <c r="F26" s="84">
        <v>4.2</v>
      </c>
      <c r="G26" s="84">
        <v>4.2</v>
      </c>
      <c r="H26" s="84">
        <v>4.85</v>
      </c>
      <c r="I26" s="84"/>
      <c r="J26" s="84"/>
      <c r="L26" s="85"/>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ht="14.25" spans="1:256">
      <c r="B27" s="77" t="s">
        <v>3195</v>
      </c>
      <c r="C27" s="91">
        <v>43697</v>
      </c>
      <c r="D27" s="92">
        <v>4.25</v>
      </c>
      <c r="E27" s="92">
        <v>4.25</v>
      </c>
      <c r="F27" s="92">
        <v>4.25</v>
      </c>
      <c r="G27" s="92">
        <v>4.25</v>
      </c>
      <c r="H27" s="92">
        <v>4.85</v>
      </c>
      <c r="I27" s="92"/>
      <c r="J27" s="92"/>
      <c r="L27" s="85"/>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ht="14.25" spans="1:256">
      <c r="B28" s="93"/>
      <c r="C28" s="87">
        <v>42301</v>
      </c>
      <c r="D28" s="88">
        <v>4.35</v>
      </c>
      <c r="E28" s="88">
        <v>4.35</v>
      </c>
      <c r="F28" s="88">
        <v>4.75</v>
      </c>
      <c r="G28" s="88">
        <v>4.75</v>
      </c>
      <c r="H28" s="88">
        <v>4.9</v>
      </c>
      <c r="I28" s="88"/>
      <c r="J28" s="88"/>
      <c r="L28" s="85"/>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1:256">
      <c r="B29" s="85"/>
      <c r="C29" s="83">
        <v>42242</v>
      </c>
      <c r="D29" s="84">
        <v>4.6</v>
      </c>
      <c r="E29" s="84">
        <v>4.6</v>
      </c>
      <c r="F29" s="84">
        <v>5</v>
      </c>
      <c r="G29" s="84">
        <v>5</v>
      </c>
      <c r="H29" s="84">
        <v>5.15</v>
      </c>
      <c r="I29" s="84">
        <v>2.75</v>
      </c>
      <c r="J29" s="84">
        <v>3.25</v>
      </c>
      <c r="L29" s="85"/>
      <c r="M29" s="91">
        <v>39736</v>
      </c>
      <c r="N29" s="84">
        <v>0.72</v>
      </c>
      <c r="O29" s="84">
        <v>3.15</v>
      </c>
      <c r="P29" s="84">
        <v>3.51</v>
      </c>
      <c r="Q29" s="84">
        <v>3.87</v>
      </c>
      <c r="R29" s="84">
        <v>4.41</v>
      </c>
      <c r="S29" s="84">
        <v>5.13</v>
      </c>
      <c r="T29" s="84">
        <v>5.58</v>
      </c>
      <c r="U29" s="84">
        <v>3.15</v>
      </c>
      <c r="V29" s="84">
        <v>3.51</v>
      </c>
      <c r="W29" s="84">
        <v>3.87</v>
      </c>
      <c r="X29" s="84">
        <v>1.53</v>
      </c>
      <c r="Y29" s="84">
        <v>1.17</v>
      </c>
      <c r="Z29" s="84">
        <v>1.71</v>
      </c>
    </row>
    <row r="30" spans="1:256">
      <c r="B30" s="85"/>
      <c r="C30" s="83">
        <v>42183</v>
      </c>
      <c r="D30" s="84">
        <v>4.85</v>
      </c>
      <c r="E30" s="84">
        <v>4.85</v>
      </c>
      <c r="F30" s="84">
        <v>5.25</v>
      </c>
      <c r="G30" s="84">
        <v>5.25</v>
      </c>
      <c r="H30" s="84">
        <v>5.4</v>
      </c>
      <c r="I30" s="84">
        <v>3</v>
      </c>
      <c r="J30" s="84">
        <v>3.5</v>
      </c>
      <c r="L30" s="85"/>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1:256">
      <c r="B31" s="85"/>
      <c r="C31" s="83">
        <v>42135</v>
      </c>
      <c r="D31" s="84">
        <v>5.1</v>
      </c>
      <c r="E31" s="84">
        <v>5.1</v>
      </c>
      <c r="F31" s="84">
        <v>5.5</v>
      </c>
      <c r="G31" s="84">
        <v>5.5</v>
      </c>
      <c r="H31" s="84">
        <v>5.65</v>
      </c>
      <c r="I31" s="84">
        <v>3.25</v>
      </c>
      <c r="J31" s="84">
        <v>3.75</v>
      </c>
      <c r="L31" s="85"/>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1:256">
      <c r="B32" s="85"/>
      <c r="C32" s="83">
        <v>42064</v>
      </c>
      <c r="D32" s="84">
        <v>5.35</v>
      </c>
      <c r="E32" s="84">
        <v>5.35</v>
      </c>
      <c r="F32" s="84">
        <v>5.75</v>
      </c>
      <c r="G32" s="84">
        <v>5.75</v>
      </c>
      <c r="H32" s="84">
        <v>5.9</v>
      </c>
      <c r="I32" s="84"/>
      <c r="J32" s="84"/>
      <c r="L32" s="85"/>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5"/>
      <c r="C33" s="83">
        <v>41965</v>
      </c>
      <c r="D33" s="84">
        <v>5.6</v>
      </c>
      <c r="E33" s="84">
        <v>5.6</v>
      </c>
      <c r="F33" s="84">
        <v>6</v>
      </c>
      <c r="G33" s="84">
        <v>6</v>
      </c>
      <c r="H33" s="84">
        <v>6.15</v>
      </c>
      <c r="I33" s="84"/>
      <c r="J33" s="84"/>
      <c r="L33" s="85"/>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5"/>
      <c r="C34" s="83">
        <v>41096</v>
      </c>
      <c r="D34" s="84">
        <v>5.6</v>
      </c>
      <c r="E34" s="84">
        <v>6</v>
      </c>
      <c r="F34" s="84">
        <v>6.15</v>
      </c>
      <c r="G34" s="84">
        <v>6.4</v>
      </c>
      <c r="H34" s="84">
        <v>6.55</v>
      </c>
      <c r="I34" s="84">
        <v>4</v>
      </c>
      <c r="J34" s="84">
        <v>4.5</v>
      </c>
      <c r="L34" s="85"/>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5"/>
      <c r="C35" s="83">
        <v>41068</v>
      </c>
      <c r="D35" s="84">
        <v>5.85</v>
      </c>
      <c r="E35" s="84">
        <v>6.31</v>
      </c>
      <c r="F35" s="84">
        <v>6.4</v>
      </c>
      <c r="G35" s="84">
        <v>6.65</v>
      </c>
      <c r="H35" s="84">
        <v>6.8</v>
      </c>
      <c r="I35" s="84">
        <v>4.2</v>
      </c>
      <c r="J35" s="84">
        <v>4.7</v>
      </c>
      <c r="L35" s="85"/>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5"/>
      <c r="C36" s="83">
        <v>40731</v>
      </c>
      <c r="D36" s="84">
        <v>6.1</v>
      </c>
      <c r="E36" s="84">
        <v>6.56</v>
      </c>
      <c r="F36" s="84">
        <v>6.65</v>
      </c>
      <c r="G36" s="84">
        <v>6.9</v>
      </c>
      <c r="H36" s="84">
        <v>7.05</v>
      </c>
      <c r="I36" s="84">
        <v>4.45</v>
      </c>
      <c r="J36" s="84">
        <v>4.9</v>
      </c>
      <c r="L36" s="85"/>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5"/>
      <c r="C37" s="83">
        <v>40639</v>
      </c>
      <c r="D37" s="84">
        <v>5.85</v>
      </c>
      <c r="E37" s="84">
        <v>6.31</v>
      </c>
      <c r="F37" s="84">
        <v>6.4</v>
      </c>
      <c r="G37" s="84">
        <v>6.65</v>
      </c>
      <c r="H37" s="84">
        <v>6.8</v>
      </c>
      <c r="I37" s="84">
        <v>4.2</v>
      </c>
      <c r="J37" s="84">
        <v>4.7</v>
      </c>
      <c r="L37" s="85"/>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5"/>
      <c r="C38" s="83">
        <v>40583</v>
      </c>
      <c r="D38" s="84">
        <v>5.6</v>
      </c>
      <c r="E38" s="84">
        <v>6.06</v>
      </c>
      <c r="F38" s="84">
        <v>6.1</v>
      </c>
      <c r="G38" s="84">
        <v>6.45</v>
      </c>
      <c r="H38" s="84">
        <v>6.6</v>
      </c>
      <c r="I38" s="84">
        <v>4</v>
      </c>
      <c r="J38" s="84">
        <v>4.5</v>
      </c>
      <c r="L38" s="85"/>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5"/>
      <c r="C39" s="83">
        <v>40538</v>
      </c>
      <c r="D39" s="84">
        <v>5.35</v>
      </c>
      <c r="E39" s="84">
        <v>5.81</v>
      </c>
      <c r="F39" s="84">
        <v>5.85</v>
      </c>
      <c r="G39" s="84">
        <v>6.22</v>
      </c>
      <c r="H39" s="84">
        <v>6.4</v>
      </c>
      <c r="I39" s="84">
        <v>3.75</v>
      </c>
      <c r="J39" s="84">
        <v>4.3</v>
      </c>
      <c r="L39" s="85"/>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5"/>
      <c r="C40" s="83">
        <v>40471</v>
      </c>
      <c r="D40" s="84">
        <v>5.1</v>
      </c>
      <c r="E40" s="84">
        <v>5.56</v>
      </c>
      <c r="F40" s="84">
        <v>5.6</v>
      </c>
      <c r="G40" s="84">
        <v>5.96</v>
      </c>
      <c r="H40" s="84">
        <v>6.14</v>
      </c>
      <c r="I40" s="84">
        <v>3.5</v>
      </c>
      <c r="J40" s="84">
        <v>4.05</v>
      </c>
      <c r="L40" s="85"/>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5"/>
      <c r="C41" s="83">
        <v>39805</v>
      </c>
      <c r="D41" s="84">
        <v>4.86</v>
      </c>
      <c r="E41" s="84">
        <v>5.31</v>
      </c>
      <c r="F41" s="84">
        <v>5.4</v>
      </c>
      <c r="G41" s="84">
        <v>5.76</v>
      </c>
      <c r="H41" s="84">
        <v>5.94</v>
      </c>
      <c r="I41" s="84">
        <v>3.33</v>
      </c>
      <c r="J41" s="84">
        <v>3.87</v>
      </c>
      <c r="L41" s="85"/>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5"/>
      <c r="C42" s="83">
        <v>39779</v>
      </c>
      <c r="D42" s="84">
        <v>5.04</v>
      </c>
      <c r="E42" s="84">
        <v>5.58</v>
      </c>
      <c r="F42" s="84">
        <v>5.67</v>
      </c>
      <c r="G42" s="84">
        <v>5.94</v>
      </c>
      <c r="H42" s="84">
        <v>6.12</v>
      </c>
      <c r="I42" s="84">
        <v>3.51</v>
      </c>
      <c r="J42" s="84">
        <v>4.05</v>
      </c>
      <c r="L42" s="85"/>
      <c r="M42" s="83">
        <v>35977</v>
      </c>
      <c r="N42" s="84">
        <v>1.44</v>
      </c>
      <c r="O42" s="84">
        <v>2.79</v>
      </c>
      <c r="P42" s="84">
        <v>3.96</v>
      </c>
      <c r="Q42" s="84">
        <v>4.77</v>
      </c>
      <c r="R42" s="84">
        <v>4.86</v>
      </c>
      <c r="S42" s="84">
        <v>4.95</v>
      </c>
      <c r="T42" s="84">
        <v>5.22</v>
      </c>
      <c r="U42" s="84">
        <v>3.96</v>
      </c>
      <c r="V42" s="84">
        <v>4.77</v>
      </c>
      <c r="W42" s="84">
        <v>4.95</v>
      </c>
      <c r="X42" s="84" t="s">
        <v>3196</v>
      </c>
      <c r="Y42" s="84" t="s">
        <v>3196</v>
      </c>
      <c r="Z42" s="84" t="s">
        <v>3196</v>
      </c>
    </row>
    <row r="43" spans="2:26">
      <c r="B43" s="85"/>
      <c r="C43" s="83">
        <v>39751</v>
      </c>
      <c r="D43" s="84">
        <v>6.03</v>
      </c>
      <c r="E43" s="84">
        <v>6.66</v>
      </c>
      <c r="F43" s="84">
        <v>6.75</v>
      </c>
      <c r="G43" s="84">
        <v>7.02</v>
      </c>
      <c r="H43" s="84">
        <v>7.2</v>
      </c>
      <c r="I43" s="84">
        <v>4.05</v>
      </c>
      <c r="J43" s="84">
        <v>4.59</v>
      </c>
      <c r="L43" s="85"/>
      <c r="M43" s="83">
        <v>35879</v>
      </c>
      <c r="N43" s="84">
        <v>1.71</v>
      </c>
      <c r="O43" s="84">
        <v>2.88</v>
      </c>
      <c r="P43" s="84">
        <v>4.14</v>
      </c>
      <c r="Q43" s="84">
        <v>5.22</v>
      </c>
      <c r="R43" s="84">
        <v>5.58</v>
      </c>
      <c r="S43" s="84">
        <v>6.21</v>
      </c>
      <c r="T43" s="84">
        <v>6.66</v>
      </c>
      <c r="U43" s="84">
        <v>4.14</v>
      </c>
      <c r="V43" s="84">
        <v>5.22</v>
      </c>
      <c r="W43" s="84">
        <v>6.21</v>
      </c>
      <c r="X43" s="84" t="s">
        <v>3196</v>
      </c>
      <c r="Y43" s="84" t="s">
        <v>3196</v>
      </c>
      <c r="Z43" s="84" t="s">
        <v>3196</v>
      </c>
    </row>
    <row r="44" spans="2:26">
      <c r="B44" s="85"/>
      <c r="C44" s="91">
        <v>39748</v>
      </c>
      <c r="D44" s="84">
        <v>6.12</v>
      </c>
      <c r="E44" s="84">
        <v>6.93</v>
      </c>
      <c r="F44" s="84">
        <v>7.02</v>
      </c>
      <c r="G44" s="84">
        <v>7.29</v>
      </c>
      <c r="H44" s="84">
        <v>7.47</v>
      </c>
      <c r="I44" s="84">
        <v>4.05</v>
      </c>
      <c r="J44" s="84">
        <v>4.59</v>
      </c>
      <c r="L44" s="85"/>
      <c r="M44" s="83">
        <v>35726</v>
      </c>
      <c r="N44" s="84">
        <v>1.71</v>
      </c>
      <c r="O44" s="84">
        <v>2.88</v>
      </c>
      <c r="P44" s="84">
        <v>4.14</v>
      </c>
      <c r="Q44" s="84">
        <v>5.67</v>
      </c>
      <c r="R44" s="84">
        <v>5.94</v>
      </c>
      <c r="S44" s="84">
        <v>6.21</v>
      </c>
      <c r="T44" s="84">
        <v>6.66</v>
      </c>
      <c r="U44" s="84">
        <v>4.14</v>
      </c>
      <c r="V44" s="84">
        <v>5.67</v>
      </c>
      <c r="W44" s="84">
        <v>6.21</v>
      </c>
      <c r="X44" s="84" t="s">
        <v>3196</v>
      </c>
      <c r="Y44" s="84" t="s">
        <v>3196</v>
      </c>
      <c r="Z44" s="84" t="s">
        <v>3196</v>
      </c>
    </row>
    <row r="45" spans="2:26">
      <c r="B45" s="85"/>
      <c r="C45" s="83">
        <v>39730</v>
      </c>
      <c r="D45" s="84">
        <v>6.12</v>
      </c>
      <c r="E45" s="84">
        <v>6.93</v>
      </c>
      <c r="F45" s="84">
        <v>7.02</v>
      </c>
      <c r="G45" s="84">
        <v>7.29</v>
      </c>
      <c r="H45" s="84">
        <v>7.47</v>
      </c>
      <c r="I45" s="84">
        <v>4.32</v>
      </c>
      <c r="J45" s="84">
        <v>4.86</v>
      </c>
      <c r="L45" s="85"/>
      <c r="M45" s="83">
        <v>35300</v>
      </c>
      <c r="N45" s="84">
        <v>1.98</v>
      </c>
      <c r="O45" s="84">
        <v>3.33</v>
      </c>
      <c r="P45" s="84">
        <v>5.4</v>
      </c>
      <c r="Q45" s="84">
        <v>7.47</v>
      </c>
      <c r="R45" s="84">
        <v>7.92</v>
      </c>
      <c r="S45" s="84">
        <v>8.28</v>
      </c>
      <c r="T45" s="84">
        <v>9</v>
      </c>
      <c r="U45" s="84">
        <v>5.4</v>
      </c>
      <c r="V45" s="84">
        <v>7.47</v>
      </c>
      <c r="W45" s="84">
        <v>8.28</v>
      </c>
      <c r="X45" s="84" t="s">
        <v>3196</v>
      </c>
      <c r="Y45" s="84" t="s">
        <v>3196</v>
      </c>
      <c r="Z45" s="84" t="s">
        <v>3196</v>
      </c>
    </row>
    <row r="46" spans="2:26">
      <c r="B46" s="85"/>
      <c r="C46" s="83">
        <v>39707</v>
      </c>
      <c r="D46" s="84">
        <v>6.21</v>
      </c>
      <c r="E46" s="84">
        <v>7.2</v>
      </c>
      <c r="F46" s="84">
        <v>7.29</v>
      </c>
      <c r="G46" s="84">
        <v>7.56</v>
      </c>
      <c r="H46" s="84">
        <v>7.74</v>
      </c>
      <c r="I46" s="84">
        <v>4.59</v>
      </c>
      <c r="J46" s="84">
        <v>5.13</v>
      </c>
      <c r="L46" s="85"/>
      <c r="M46" s="83">
        <v>35186</v>
      </c>
      <c r="N46" s="84">
        <v>2.97</v>
      </c>
      <c r="O46" s="84">
        <v>4.86</v>
      </c>
      <c r="P46" s="84">
        <v>7.2</v>
      </c>
      <c r="Q46" s="84">
        <v>9.18</v>
      </c>
      <c r="R46" s="84">
        <v>9.9</v>
      </c>
      <c r="S46" s="84">
        <v>10.8</v>
      </c>
      <c r="T46" s="84">
        <v>12.06</v>
      </c>
      <c r="U46" s="84">
        <v>7.2</v>
      </c>
      <c r="V46" s="84">
        <v>9.18</v>
      </c>
      <c r="W46" s="84">
        <v>10.8</v>
      </c>
      <c r="X46" s="84" t="s">
        <v>3196</v>
      </c>
      <c r="Y46" s="84" t="s">
        <v>3196</v>
      </c>
      <c r="Z46" s="84" t="s">
        <v>3196</v>
      </c>
    </row>
    <row r="47" spans="2:26">
      <c r="B47" s="85"/>
      <c r="C47" s="83">
        <v>39437</v>
      </c>
      <c r="D47" s="84">
        <v>6.57</v>
      </c>
      <c r="E47" s="84">
        <v>7.47</v>
      </c>
      <c r="F47" s="84">
        <v>7.56</v>
      </c>
      <c r="G47" s="84">
        <v>7.74</v>
      </c>
      <c r="H47" s="84">
        <v>7.83</v>
      </c>
      <c r="I47" s="84">
        <v>4.77</v>
      </c>
      <c r="J47" s="84">
        <v>5.22</v>
      </c>
      <c r="L47" s="85"/>
      <c r="M47" s="83">
        <v>34161</v>
      </c>
      <c r="N47" s="84">
        <v>3.15</v>
      </c>
      <c r="O47" s="84">
        <v>6.66</v>
      </c>
      <c r="P47" s="84">
        <v>9</v>
      </c>
      <c r="Q47" s="84">
        <v>10.98</v>
      </c>
      <c r="R47" s="84">
        <v>11.7</v>
      </c>
      <c r="S47" s="84">
        <v>12.24</v>
      </c>
      <c r="T47" s="84">
        <v>13.86</v>
      </c>
      <c r="U47" s="84">
        <v>9</v>
      </c>
      <c r="V47" s="84">
        <v>10.98</v>
      </c>
      <c r="W47" s="84">
        <v>12.24</v>
      </c>
      <c r="X47" s="84" t="s">
        <v>3196</v>
      </c>
      <c r="Y47" s="84" t="s">
        <v>3196</v>
      </c>
      <c r="Z47" s="84" t="s">
        <v>3196</v>
      </c>
    </row>
    <row r="48" spans="2:26">
      <c r="B48" s="85"/>
      <c r="C48" s="83">
        <v>39340</v>
      </c>
      <c r="D48" s="84">
        <v>6.48</v>
      </c>
      <c r="E48" s="84">
        <v>7.29</v>
      </c>
      <c r="F48" s="84">
        <v>7.47</v>
      </c>
      <c r="G48" s="84">
        <v>7.65</v>
      </c>
      <c r="H48" s="84">
        <v>7.83</v>
      </c>
      <c r="I48" s="84">
        <v>4.77</v>
      </c>
      <c r="J48" s="84">
        <v>5.22</v>
      </c>
      <c r="L48" s="85"/>
      <c r="M48" s="83">
        <v>34104</v>
      </c>
      <c r="N48" s="84">
        <v>2.16</v>
      </c>
      <c r="O48" s="84">
        <v>4.86</v>
      </c>
      <c r="P48" s="84">
        <v>7.2</v>
      </c>
      <c r="Q48" s="84">
        <v>9.18</v>
      </c>
      <c r="R48" s="84">
        <v>9.9</v>
      </c>
      <c r="S48" s="84">
        <v>10.8</v>
      </c>
      <c r="T48" s="84">
        <v>12.06</v>
      </c>
      <c r="U48" s="84">
        <v>7.2</v>
      </c>
      <c r="V48" s="84">
        <v>9.18</v>
      </c>
      <c r="W48" s="84">
        <v>10.8</v>
      </c>
      <c r="X48" s="84" t="s">
        <v>3196</v>
      </c>
      <c r="Y48" s="84" t="s">
        <v>3196</v>
      </c>
      <c r="Z48" s="84" t="s">
        <v>3196</v>
      </c>
    </row>
    <row r="49" spans="2:26">
      <c r="B49" s="85"/>
      <c r="C49" s="83">
        <v>39316</v>
      </c>
      <c r="D49" s="84">
        <v>6.21</v>
      </c>
      <c r="E49" s="84">
        <v>7.02</v>
      </c>
      <c r="F49" s="84">
        <v>7.2</v>
      </c>
      <c r="G49" s="84">
        <v>7.38</v>
      </c>
      <c r="H49" s="84">
        <v>7.56</v>
      </c>
      <c r="I49" s="84">
        <v>4.59</v>
      </c>
      <c r="J49" s="84">
        <v>5.04</v>
      </c>
      <c r="L49" s="85"/>
      <c r="M49" s="83">
        <v>33349</v>
      </c>
      <c r="N49" s="84">
        <v>1.8</v>
      </c>
      <c r="O49" s="84">
        <v>3.24</v>
      </c>
      <c r="P49" s="84">
        <v>5.4</v>
      </c>
      <c r="Q49" s="84">
        <v>7.56</v>
      </c>
      <c r="R49" s="84">
        <v>7.92</v>
      </c>
      <c r="S49" s="84">
        <v>8.28</v>
      </c>
      <c r="T49" s="84">
        <v>9</v>
      </c>
      <c r="U49" s="84">
        <v>6.12</v>
      </c>
      <c r="V49" s="84">
        <v>6.84</v>
      </c>
      <c r="W49" s="84">
        <v>7.56</v>
      </c>
      <c r="X49" s="84" t="s">
        <v>3196</v>
      </c>
      <c r="Y49" s="84" t="s">
        <v>3196</v>
      </c>
      <c r="Z49" s="84" t="s">
        <v>3196</v>
      </c>
    </row>
    <row r="50" spans="2:26">
      <c r="B50" s="85"/>
      <c r="C50" s="83">
        <v>39284</v>
      </c>
      <c r="D50" s="84">
        <v>6.03</v>
      </c>
      <c r="E50" s="84">
        <v>6.84</v>
      </c>
      <c r="F50" s="84">
        <v>7.02</v>
      </c>
      <c r="G50" s="84">
        <v>7.2</v>
      </c>
      <c r="H50" s="84">
        <v>7.38</v>
      </c>
      <c r="I50" s="84">
        <v>4.5</v>
      </c>
      <c r="J50" s="84">
        <v>4.95</v>
      </c>
      <c r="L50" s="85"/>
      <c r="M50" s="83">
        <v>33106</v>
      </c>
      <c r="N50" s="84">
        <v>2.16</v>
      </c>
      <c r="O50" s="84">
        <v>4.32</v>
      </c>
      <c r="P50" s="84">
        <v>6.48</v>
      </c>
      <c r="Q50" s="84">
        <v>8.64</v>
      </c>
      <c r="R50" s="84">
        <v>9.36</v>
      </c>
      <c r="S50" s="84">
        <v>10.08</v>
      </c>
      <c r="T50" s="84">
        <v>11.52</v>
      </c>
      <c r="U50" s="84">
        <v>7.2</v>
      </c>
      <c r="V50" s="84">
        <v>8.64</v>
      </c>
      <c r="W50" s="84">
        <v>10.08</v>
      </c>
      <c r="X50" s="84" t="s">
        <v>3196</v>
      </c>
      <c r="Y50" s="84" t="s">
        <v>3196</v>
      </c>
      <c r="Z50" s="84" t="s">
        <v>3196</v>
      </c>
    </row>
    <row r="51" spans="2:26">
      <c r="B51" s="85"/>
      <c r="C51" s="83">
        <v>39221</v>
      </c>
      <c r="D51" s="84">
        <v>5.85</v>
      </c>
      <c r="E51" s="84">
        <v>6.57</v>
      </c>
      <c r="F51" s="84">
        <v>6.75</v>
      </c>
      <c r="G51" s="84">
        <v>6.93</v>
      </c>
      <c r="H51" s="84">
        <v>7.2</v>
      </c>
      <c r="I51" s="84">
        <v>4.41</v>
      </c>
      <c r="J51" s="84">
        <v>4.86</v>
      </c>
      <c r="L51" s="85"/>
      <c r="M51" s="83">
        <v>32978</v>
      </c>
      <c r="N51" s="84">
        <v>2.88</v>
      </c>
      <c r="O51" s="84">
        <v>6.3</v>
      </c>
      <c r="P51" s="84">
        <v>7.74</v>
      </c>
      <c r="Q51" s="84">
        <v>10.08</v>
      </c>
      <c r="R51" s="84">
        <v>10.98</v>
      </c>
      <c r="S51" s="84">
        <v>11.88</v>
      </c>
      <c r="T51" s="84">
        <v>13.68</v>
      </c>
      <c r="U51" s="84" t="s">
        <v>3196</v>
      </c>
      <c r="V51" s="84" t="s">
        <v>3196</v>
      </c>
      <c r="W51" s="84" t="s">
        <v>3196</v>
      </c>
      <c r="X51" s="84" t="s">
        <v>3196</v>
      </c>
      <c r="Y51" s="84" t="s">
        <v>3196</v>
      </c>
      <c r="Z51" s="84" t="s">
        <v>3196</v>
      </c>
    </row>
    <row r="52" spans="2:26">
      <c r="B52" s="85"/>
      <c r="C52" s="83">
        <v>39159</v>
      </c>
      <c r="D52" s="84">
        <v>5.67</v>
      </c>
      <c r="E52" s="84">
        <v>6.39</v>
      </c>
      <c r="F52" s="84">
        <v>6.57</v>
      </c>
      <c r="G52" s="84">
        <v>6.75</v>
      </c>
      <c r="H52" s="84">
        <v>7.11</v>
      </c>
      <c r="I52" s="84">
        <v>4.32</v>
      </c>
      <c r="J52" s="84">
        <v>4.77</v>
      </c>
      <c r="L52" s="85"/>
      <c r="M52" s="83"/>
      <c r="N52" s="84"/>
      <c r="O52" s="84"/>
      <c r="P52" s="84"/>
      <c r="Q52" s="84"/>
      <c r="R52" s="84"/>
      <c r="S52" s="84"/>
      <c r="T52" s="84"/>
      <c r="U52" s="84"/>
      <c r="V52" s="84"/>
      <c r="W52" s="84"/>
      <c r="X52" s="84"/>
      <c r="Y52" s="84"/>
      <c r="Z52" s="84"/>
    </row>
    <row r="53" spans="2:26">
      <c r="B53" s="85"/>
      <c r="C53" s="83">
        <v>38948</v>
      </c>
      <c r="D53" s="84">
        <v>5.58</v>
      </c>
      <c r="E53" s="84">
        <v>6.12</v>
      </c>
      <c r="F53" s="84">
        <v>6.3</v>
      </c>
      <c r="G53" s="84">
        <v>6.48</v>
      </c>
      <c r="H53" s="84">
        <v>6.84</v>
      </c>
      <c r="I53" s="84">
        <v>4.14</v>
      </c>
      <c r="J53" s="84">
        <v>4.59</v>
      </c>
      <c r="L53" s="85"/>
      <c r="M53" s="83"/>
      <c r="N53" s="84"/>
      <c r="O53" s="84"/>
      <c r="P53" s="84"/>
      <c r="Q53" s="84"/>
      <c r="R53" s="84"/>
      <c r="S53" s="84"/>
      <c r="T53" s="84"/>
      <c r="U53" s="84"/>
      <c r="V53" s="84"/>
      <c r="W53" s="84"/>
      <c r="X53" s="84"/>
      <c r="Y53" s="84"/>
      <c r="Z53" s="84"/>
    </row>
    <row r="54" spans="2:26">
      <c r="B54" s="85"/>
      <c r="C54" s="83">
        <v>38835</v>
      </c>
      <c r="D54" s="84">
        <v>5.4</v>
      </c>
      <c r="E54" s="84">
        <v>5.85</v>
      </c>
      <c r="F54" s="84">
        <v>6.03</v>
      </c>
      <c r="G54" s="84">
        <v>6.12</v>
      </c>
      <c r="H54" s="84">
        <v>6.39</v>
      </c>
      <c r="I54" s="84">
        <v>4.14</v>
      </c>
      <c r="J54" s="84">
        <v>4.59</v>
      </c>
      <c r="L54" s="85"/>
      <c r="M54" s="83"/>
      <c r="N54" s="84"/>
      <c r="O54" s="84"/>
      <c r="P54" s="84"/>
      <c r="Q54" s="84"/>
      <c r="R54" s="84"/>
      <c r="S54" s="84"/>
      <c r="T54" s="84"/>
      <c r="U54" s="84"/>
      <c r="V54" s="84"/>
      <c r="W54" s="84"/>
      <c r="X54" s="84"/>
      <c r="Y54" s="84"/>
      <c r="Z54" s="84"/>
    </row>
    <row r="55" spans="2:26">
      <c r="B55" s="85"/>
      <c r="C55" s="83">
        <v>38428</v>
      </c>
      <c r="D55" s="84">
        <v>5.22</v>
      </c>
      <c r="E55" s="84">
        <v>5.58</v>
      </c>
      <c r="F55" s="84">
        <v>5.76</v>
      </c>
      <c r="G55" s="84">
        <v>5.85</v>
      </c>
      <c r="H55" s="84">
        <v>6.12</v>
      </c>
      <c r="I55" s="84">
        <v>3.96</v>
      </c>
      <c r="J55" s="84">
        <v>4.41</v>
      </c>
      <c r="L55" s="85"/>
      <c r="M55" s="83"/>
      <c r="N55" s="84"/>
      <c r="O55" s="84"/>
      <c r="P55" s="84"/>
      <c r="Q55" s="84"/>
      <c r="R55" s="84"/>
      <c r="S55" s="84"/>
      <c r="T55" s="84"/>
      <c r="U55" s="84"/>
      <c r="V55" s="84"/>
      <c r="W55" s="84"/>
      <c r="X55" s="84"/>
      <c r="Y55" s="84"/>
      <c r="Z55" s="84"/>
    </row>
    <row r="56" spans="2:26">
      <c r="B56" s="85"/>
      <c r="C56" s="83">
        <v>38289</v>
      </c>
      <c r="D56" s="84">
        <v>5.22</v>
      </c>
      <c r="E56" s="84">
        <v>5.58</v>
      </c>
      <c r="F56" s="84">
        <v>5.76</v>
      </c>
      <c r="G56" s="84">
        <v>5.85</v>
      </c>
      <c r="H56" s="84">
        <v>6.12</v>
      </c>
      <c r="I56" s="84">
        <v>3.78</v>
      </c>
      <c r="J56" s="84">
        <v>4.23</v>
      </c>
      <c r="L56" s="85"/>
      <c r="M56" s="83"/>
      <c r="N56" s="84"/>
      <c r="O56" s="84"/>
      <c r="P56" s="84"/>
      <c r="Q56" s="84"/>
      <c r="R56" s="84"/>
      <c r="S56" s="84"/>
      <c r="T56" s="84"/>
      <c r="U56" s="84"/>
      <c r="V56" s="84"/>
      <c r="W56" s="84"/>
      <c r="X56" s="84"/>
      <c r="Y56" s="84"/>
      <c r="Z56" s="84"/>
    </row>
    <row r="57" spans="2:26">
      <c r="B57" s="85"/>
      <c r="C57" s="83">
        <v>37308</v>
      </c>
      <c r="D57" s="84">
        <v>5.04</v>
      </c>
      <c r="E57" s="84">
        <v>5.31</v>
      </c>
      <c r="F57" s="84">
        <v>5.49</v>
      </c>
      <c r="G57" s="84">
        <v>5.58</v>
      </c>
      <c r="H57" s="84">
        <v>5.76</v>
      </c>
      <c r="I57" s="84">
        <v>3.6</v>
      </c>
      <c r="J57" s="84">
        <v>4.05</v>
      </c>
      <c r="L57" s="85"/>
      <c r="M57" s="83"/>
      <c r="N57" s="84"/>
      <c r="O57" s="84"/>
      <c r="P57" s="84"/>
      <c r="Q57" s="84"/>
      <c r="R57" s="84"/>
      <c r="S57" s="84"/>
      <c r="T57" s="84"/>
      <c r="U57" s="84"/>
      <c r="V57" s="84"/>
      <c r="W57" s="84"/>
      <c r="X57" s="84"/>
      <c r="Y57" s="84"/>
      <c r="Z57" s="84"/>
    </row>
    <row r="58" spans="2:26">
      <c r="B58" s="85"/>
      <c r="C58" s="83">
        <v>36321</v>
      </c>
      <c r="D58" s="84">
        <v>5.58</v>
      </c>
      <c r="E58" s="84">
        <v>5.85</v>
      </c>
      <c r="F58" s="84">
        <v>5.94</v>
      </c>
      <c r="G58" s="84">
        <v>6.03</v>
      </c>
      <c r="H58" s="84">
        <v>6.21</v>
      </c>
      <c r="I58" s="84">
        <v>4.14</v>
      </c>
      <c r="J58" s="84">
        <v>4.59</v>
      </c>
    </row>
    <row r="59" spans="2:26">
      <c r="B59" s="85"/>
      <c r="C59" s="83">
        <v>36136</v>
      </c>
      <c r="D59" s="84">
        <v>6.12</v>
      </c>
      <c r="E59" s="84">
        <v>6.39</v>
      </c>
      <c r="F59" s="84">
        <v>6.66</v>
      </c>
      <c r="G59" s="84">
        <v>7.2</v>
      </c>
      <c r="H59" s="84">
        <v>7.56</v>
      </c>
      <c r="I59" s="84">
        <v>0</v>
      </c>
      <c r="J59" s="84">
        <v>0</v>
      </c>
    </row>
    <row r="60" spans="2:26">
      <c r="B60" s="85"/>
      <c r="C60" s="83">
        <v>35977</v>
      </c>
      <c r="D60" s="84">
        <v>6.57</v>
      </c>
      <c r="E60" s="84">
        <v>6.93</v>
      </c>
      <c r="F60" s="84">
        <v>7.11</v>
      </c>
      <c r="G60" s="84">
        <v>7.65</v>
      </c>
      <c r="H60" s="84">
        <v>8.01</v>
      </c>
      <c r="I60" s="84">
        <v>0</v>
      </c>
      <c r="J60" s="84">
        <v>0</v>
      </c>
    </row>
    <row r="61" spans="2:26">
      <c r="B61" s="85"/>
      <c r="C61" s="83">
        <v>35879</v>
      </c>
      <c r="D61" s="84">
        <v>7.02</v>
      </c>
      <c r="E61" s="84">
        <v>7.92</v>
      </c>
      <c r="F61" s="84">
        <v>9</v>
      </c>
      <c r="G61" s="84">
        <v>9.72</v>
      </c>
      <c r="H61" s="84">
        <v>10.35</v>
      </c>
      <c r="I61" s="84">
        <v>0</v>
      </c>
      <c r="J61" s="84">
        <v>0</v>
      </c>
    </row>
    <row r="62" spans="2:26">
      <c r="B62" s="85"/>
      <c r="C62" s="83">
        <v>35726</v>
      </c>
      <c r="D62" s="84">
        <v>7.65</v>
      </c>
      <c r="E62" s="84">
        <v>8.64</v>
      </c>
      <c r="F62" s="84">
        <v>9.36</v>
      </c>
      <c r="G62" s="84">
        <v>9.9</v>
      </c>
      <c r="H62" s="84">
        <v>10.53</v>
      </c>
      <c r="I62" s="84">
        <v>0</v>
      </c>
      <c r="J62" s="84">
        <v>0</v>
      </c>
    </row>
    <row r="63" spans="2:26">
      <c r="B63" s="85"/>
      <c r="C63" s="83">
        <v>35300</v>
      </c>
      <c r="D63" s="84">
        <v>9.18</v>
      </c>
      <c r="E63" s="84">
        <v>10.08</v>
      </c>
      <c r="F63" s="84">
        <v>10.98</v>
      </c>
      <c r="G63" s="84">
        <v>11.7</v>
      </c>
      <c r="H63" s="84">
        <v>12.42</v>
      </c>
      <c r="I63" s="84">
        <v>0</v>
      </c>
      <c r="J63" s="84">
        <v>0</v>
      </c>
    </row>
    <row r="64" spans="2:26">
      <c r="B64" s="85"/>
      <c r="C64" s="83">
        <v>35186</v>
      </c>
      <c r="D64" s="84">
        <v>9.72</v>
      </c>
      <c r="E64" s="84">
        <v>10.98</v>
      </c>
      <c r="F64" s="84">
        <v>13.14</v>
      </c>
      <c r="G64" s="84">
        <v>14.94</v>
      </c>
      <c r="H64" s="84">
        <v>15.12</v>
      </c>
      <c r="I64" s="84">
        <v>0</v>
      </c>
      <c r="J64" s="84">
        <v>0</v>
      </c>
    </row>
    <row r="65" spans="2:10">
      <c r="B65" s="85"/>
      <c r="C65" s="83">
        <v>34881</v>
      </c>
      <c r="D65" s="84">
        <v>10.08</v>
      </c>
      <c r="E65" s="84">
        <v>12.06</v>
      </c>
      <c r="F65" s="84">
        <v>13.5</v>
      </c>
      <c r="G65" s="84">
        <v>15.12</v>
      </c>
      <c r="H65" s="84">
        <v>15.3</v>
      </c>
      <c r="I65" s="84">
        <v>0</v>
      </c>
      <c r="J65" s="84">
        <v>0</v>
      </c>
    </row>
    <row r="66" spans="2:10">
      <c r="B66" s="85"/>
      <c r="C66" s="83">
        <v>34700</v>
      </c>
      <c r="D66" s="84">
        <v>9</v>
      </c>
      <c r="E66" s="84">
        <v>10.98</v>
      </c>
      <c r="F66" s="84">
        <v>12.96</v>
      </c>
      <c r="G66" s="84">
        <v>14.58</v>
      </c>
      <c r="H66" s="84">
        <v>14.76</v>
      </c>
      <c r="I66" s="84">
        <v>0</v>
      </c>
      <c r="J66" s="84">
        <v>0</v>
      </c>
    </row>
    <row r="67" spans="2:10">
      <c r="B67" s="85"/>
      <c r="C67" s="83">
        <v>34161</v>
      </c>
      <c r="D67" s="84">
        <v>9</v>
      </c>
      <c r="E67" s="84">
        <v>10.98</v>
      </c>
      <c r="F67" s="84">
        <v>12.24</v>
      </c>
      <c r="G67" s="84">
        <v>13.86</v>
      </c>
      <c r="H67" s="84">
        <v>14.04</v>
      </c>
      <c r="I67" s="84">
        <v>0</v>
      </c>
      <c r="J67" s="84">
        <v>0</v>
      </c>
    </row>
    <row r="68" spans="2:10">
      <c r="B68" s="85"/>
      <c r="C68" s="83">
        <v>34104</v>
      </c>
      <c r="D68" s="84">
        <v>8.82</v>
      </c>
      <c r="E68" s="84">
        <v>9.36</v>
      </c>
      <c r="F68" s="84">
        <v>10.8</v>
      </c>
      <c r="G68" s="84">
        <v>12.06</v>
      </c>
      <c r="H68" s="84">
        <v>12.24</v>
      </c>
      <c r="I68" s="84">
        <v>0</v>
      </c>
      <c r="J68" s="84">
        <v>0</v>
      </c>
    </row>
    <row r="69" spans="2:10">
      <c r="B69" s="85"/>
      <c r="C69" s="83">
        <v>33349</v>
      </c>
      <c r="D69" s="84">
        <v>8.1</v>
      </c>
      <c r="E69" s="84">
        <v>8.64</v>
      </c>
      <c r="F69" s="84">
        <v>9</v>
      </c>
      <c r="G69" s="84">
        <v>9.54</v>
      </c>
      <c r="H69" s="84">
        <v>9.72</v>
      </c>
      <c r="I69" s="84">
        <v>0</v>
      </c>
      <c r="J69" s="84">
        <v>0</v>
      </c>
    </row>
    <row r="70" spans="2:10">
      <c r="B70" s="85"/>
      <c r="C70" s="83">
        <v>33318</v>
      </c>
      <c r="D70" s="84">
        <v>9</v>
      </c>
      <c r="E70" s="84">
        <v>10.08</v>
      </c>
      <c r="F70" s="84">
        <v>10.8</v>
      </c>
      <c r="G70" s="84">
        <v>11.52</v>
      </c>
      <c r="H70" s="84">
        <v>11.88</v>
      </c>
      <c r="I70" s="84" t="s">
        <v>3196</v>
      </c>
      <c r="J70" s="84" t="s">
        <v>3196</v>
      </c>
    </row>
    <row r="71" spans="2:10">
      <c r="B71" s="85"/>
      <c r="C71" s="83">
        <v>33106</v>
      </c>
      <c r="D71" s="84">
        <v>8.64</v>
      </c>
      <c r="E71" s="84">
        <v>9.36</v>
      </c>
      <c r="F71" s="84">
        <v>10.08</v>
      </c>
      <c r="G71" s="84">
        <v>10.8</v>
      </c>
      <c r="H71" s="84">
        <v>11.16</v>
      </c>
      <c r="I71" s="84">
        <v>0</v>
      </c>
      <c r="J71" s="84">
        <v>0</v>
      </c>
    </row>
    <row r="72" spans="2:10">
      <c r="B72" s="85"/>
      <c r="C72" s="83">
        <v>32540</v>
      </c>
      <c r="D72" s="84">
        <v>11.34</v>
      </c>
      <c r="E72" s="84">
        <v>11.34</v>
      </c>
      <c r="F72" s="84">
        <v>12.78</v>
      </c>
      <c r="G72" s="84">
        <v>14.4</v>
      </c>
      <c r="H72" s="84">
        <v>19.26</v>
      </c>
      <c r="I72" s="84">
        <v>0</v>
      </c>
      <c r="J72" s="84">
        <v>0</v>
      </c>
    </row>
    <row r="73" spans="2:10">
      <c r="B73" s="85"/>
      <c r="C73" s="83"/>
      <c r="D73" s="85"/>
      <c r="E73" s="85"/>
      <c r="F73" s="85"/>
      <c r="G73" s="85"/>
      <c r="H73" s="85"/>
      <c r="I73" s="85"/>
      <c r="J73" s="85"/>
    </row>
    <row r="74" spans="2:10">
      <c r="B74" s="94"/>
      <c r="C74" s="95"/>
      <c r="D74" s="94"/>
      <c r="E74" s="94"/>
      <c r="F74" s="94"/>
      <c r="G74" s="94"/>
      <c r="H74" s="94"/>
      <c r="I74" s="94"/>
      <c r="J74" s="94"/>
    </row>
    <row r="75" spans="2:10">
      <c r="B75" s="94"/>
      <c r="C75" s="95"/>
      <c r="D75" s="94"/>
      <c r="E75" s="94"/>
      <c r="F75" s="94"/>
      <c r="G75" s="94"/>
      <c r="H75" s="94"/>
      <c r="I75" s="94"/>
      <c r="J75" s="94"/>
    </row>
    <row r="76" spans="2:10">
      <c r="B76" s="94"/>
      <c r="C76" s="95"/>
      <c r="D76" s="94"/>
      <c r="E76" s="94"/>
      <c r="F76" s="94"/>
      <c r="G76" s="94"/>
      <c r="H76" s="94"/>
      <c r="I76" s="94"/>
      <c r="J76" s="94"/>
    </row>
    <row r="77" spans="2:10">
      <c r="B77" s="22"/>
      <c r="C77" s="22"/>
      <c r="D77" s="22"/>
      <c r="E77" s="22"/>
      <c r="F77" s="22"/>
      <c r="G77" s="22"/>
      <c r="H77" s="22"/>
      <c r="I77" s="22"/>
      <c r="J77" s="22"/>
    </row>
    <row r="78" spans="2:10">
      <c r="B78" s="22"/>
      <c r="C78" s="22"/>
      <c r="D78" s="22"/>
      <c r="E78" s="22"/>
      <c r="F78" s="22"/>
      <c r="G78" s="22"/>
      <c r="H78" s="22"/>
      <c r="I78" s="22"/>
      <c r="J78" s="2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3" customWidth="1"/>
    <col min="2" max="9" width="12.125" style="1263" customWidth="1"/>
    <col min="10" max="16384" width="9" style="1263"/>
  </cols>
  <sheetData>
    <row r="1" ht="18.75" spans="1:9">
      <c r="A1" s="4700" t="str">
        <f>IF(项目基本情况!B9="房地产市场价值","估价结果一览表","结果表-2")</f>
        <v>结果表-2</v>
      </c>
      <c r="B1" s="4700"/>
      <c r="C1" s="4700"/>
      <c r="D1" s="4700"/>
      <c r="E1" s="4700"/>
      <c r="F1" s="4700"/>
      <c r="G1" s="4700"/>
      <c r="H1" s="4700"/>
      <c r="I1" s="4700"/>
    </row>
    <row r="2" ht="30" customHeight="1" spans="1:9">
      <c r="A2" s="4701" t="s">
        <v>107</v>
      </c>
      <c r="B2" s="4701" t="s">
        <v>108</v>
      </c>
      <c r="C2" s="4701" t="s">
        <v>109</v>
      </c>
      <c r="D2" s="4701" t="str">
        <f>结果表!D116</f>
        <v>出让国有建设用地使用权价值</v>
      </c>
      <c r="E2" s="4701"/>
      <c r="F2" s="4701">
        <f>结果表!F116</f>
        <v>0</v>
      </c>
      <c r="G2" s="4701"/>
      <c r="H2" s="4701" t="str">
        <f>IF(项目基本情况!B9="房地产市场价值","房地产市场价值","房地产价值")</f>
        <v>房地产价值</v>
      </c>
      <c r="I2" s="4701"/>
    </row>
    <row r="3" ht="15" spans="1:9">
      <c r="A3" s="4702"/>
      <c r="B3" s="4702"/>
      <c r="C3" s="4702"/>
      <c r="D3" s="4702" t="s">
        <v>110</v>
      </c>
      <c r="E3" s="4702" t="s">
        <v>111</v>
      </c>
      <c r="F3" s="4702" t="s">
        <v>110</v>
      </c>
      <c r="G3" s="4702" t="s">
        <v>111</v>
      </c>
      <c r="H3" s="4702" t="s">
        <v>110</v>
      </c>
      <c r="I3" s="4702" t="s">
        <v>111</v>
      </c>
    </row>
    <row r="4" ht="15" spans="1:9">
      <c r="A4" s="4703" t="str">
        <f>项目基本情况!S2</f>
        <v>北京市房地产</v>
      </c>
      <c r="B4" s="4702">
        <f>项目基本情况!C17</f>
        <v>20903.38</v>
      </c>
      <c r="C4" s="4702">
        <f>项目基本情况!C18</f>
        <v>0</v>
      </c>
      <c r="D4" s="4702">
        <f ca="1">结果表!E118</f>
        <v>16442</v>
      </c>
      <c r="E4" s="4702">
        <f ca="1">结果表!D118</f>
        <v>7866</v>
      </c>
      <c r="F4" s="4702">
        <f ca="1">结果表!G118</f>
        <v>9781</v>
      </c>
      <c r="G4" s="4702">
        <f ca="1">结果表!F118</f>
        <v>4679</v>
      </c>
      <c r="H4" s="4702">
        <f ca="1">结果表!I118</f>
        <v>26223</v>
      </c>
      <c r="I4" s="4702">
        <f ca="1">结果表!H118</f>
        <v>12545</v>
      </c>
    </row>
    <row r="5" ht="30" customHeight="1" spans="1:9">
      <c r="A5" s="4702" t="s">
        <v>112</v>
      </c>
      <c r="B5" s="4702"/>
      <c r="C5" s="4702"/>
      <c r="D5" s="4702" t="str">
        <f ca="1">结果表!D119</f>
        <v>壹亿陆仟肆佰肆拾贰万元整</v>
      </c>
      <c r="E5" s="4702"/>
      <c r="F5" s="4702" t="str">
        <f ca="1">结果表!F119</f>
        <v>玖仟柒佰捌拾壹万元整</v>
      </c>
      <c r="G5" s="4702"/>
      <c r="H5" s="4702" t="str">
        <f ca="1">结果表!H119</f>
        <v>贰亿陆仟贰佰贰拾叁万元整</v>
      </c>
      <c r="I5" s="4702"/>
    </row>
    <row r="6" ht="15.75" spans="1:9">
      <c r="A6" s="4704" t="str">
        <f>结果表!A120</f>
        <v>估价师知悉的法定优先受偿款</v>
      </c>
      <c r="B6" s="4704"/>
      <c r="C6" s="4704"/>
      <c r="D6" s="4704">
        <f>结果表!H120</f>
        <v>0</v>
      </c>
      <c r="E6" s="4704"/>
      <c r="F6" s="4704"/>
      <c r="G6" s="4704"/>
      <c r="H6" s="4704"/>
      <c r="I6" s="4704"/>
    </row>
    <row r="7" ht="15" spans="1:9">
      <c r="A7" s="4702" t="s">
        <v>112</v>
      </c>
      <c r="B7" s="4702"/>
      <c r="C7" s="4702"/>
      <c r="D7" s="4705" t="str">
        <f>结果表!H121</f>
        <v>零元整</v>
      </c>
      <c r="E7" s="4706"/>
      <c r="F7" s="4706"/>
      <c r="G7" s="4706"/>
      <c r="H7" s="4706"/>
      <c r="I7" s="4707"/>
    </row>
    <row r="8" ht="15.75" spans="1:9">
      <c r="A8" s="4704" t="str">
        <f>结果表!A122</f>
        <v>房地产抵押价值</v>
      </c>
      <c r="B8" s="4704"/>
      <c r="C8" s="4704"/>
      <c r="D8" s="4704">
        <f ca="1">结果表!H122</f>
        <v>26223</v>
      </c>
      <c r="E8" s="4704"/>
      <c r="F8" s="4704"/>
      <c r="G8" s="4704"/>
      <c r="H8" s="4704"/>
      <c r="I8" s="4704"/>
    </row>
    <row r="9" ht="15" spans="1:9">
      <c r="A9" s="4702" t="s">
        <v>112</v>
      </c>
      <c r="B9" s="4702"/>
      <c r="C9" s="4702"/>
      <c r="D9" s="4702" t="str">
        <f ca="1">结果表!H123</f>
        <v>贰亿陆仟贰佰贰拾叁万元整</v>
      </c>
      <c r="E9" s="4702"/>
      <c r="F9" s="4702"/>
      <c r="G9" s="4702"/>
      <c r="H9" s="4702"/>
      <c r="I9" s="4702"/>
    </row>
    <row r="10" ht="15.75" spans="1:9">
      <c r="A10" s="4704" t="str">
        <f>结果表!A124</f>
        <v/>
      </c>
      <c r="B10" s="4704"/>
      <c r="C10" s="4704"/>
      <c r="D10" s="4704" t="str">
        <f ca="1">结果表!H124</f>
        <v>——</v>
      </c>
      <c r="E10" s="4704"/>
      <c r="F10" s="4704"/>
      <c r="G10" s="4704"/>
      <c r="H10" s="4704"/>
      <c r="I10" s="4704"/>
    </row>
    <row r="11" ht="15" spans="1:9">
      <c r="A11" s="4702" t="s">
        <v>112</v>
      </c>
      <c r="B11" s="4702"/>
      <c r="C11" s="4702"/>
      <c r="D11" s="4702" t="e">
        <f ca="1">结果表!H125</f>
        <v>#VALUE!</v>
      </c>
      <c r="E11" s="4702"/>
      <c r="F11" s="4702"/>
      <c r="G11" s="4702"/>
      <c r="H11" s="4702"/>
      <c r="I11" s="4702"/>
    </row>
    <row r="12" ht="15.75" spans="1:9">
      <c r="A12" s="4704" t="str">
        <f>结果表!A126</f>
        <v>抵押净值</v>
      </c>
      <c r="B12" s="4704"/>
      <c r="C12" s="4704"/>
      <c r="D12" s="4704">
        <f ca="1">结果表!H126</f>
        <v>13119</v>
      </c>
      <c r="E12" s="4704"/>
      <c r="F12" s="4704"/>
      <c r="G12" s="4704"/>
      <c r="H12" s="4704"/>
      <c r="I12" s="4704"/>
    </row>
    <row r="13" ht="15.75" spans="1:9">
      <c r="A13" s="4708" t="s">
        <v>112</v>
      </c>
      <c r="B13" s="4708"/>
      <c r="C13" s="4708"/>
      <c r="D13" s="4708" t="str">
        <f ca="1">结果表!H127</f>
        <v>壹亿叁仟壹佰壹拾玖万元整</v>
      </c>
      <c r="E13" s="4708"/>
      <c r="F13" s="4708"/>
      <c r="G13" s="4708"/>
      <c r="H13" s="4708"/>
      <c r="I13" s="4708"/>
    </row>
    <row r="14" spans="1:9">
      <c r="A14" s="4709" t="s">
        <v>113</v>
      </c>
      <c r="B14" s="4709"/>
      <c r="C14" s="4709"/>
      <c r="D14" s="4709"/>
      <c r="E14" s="4709"/>
      <c r="F14" s="4709"/>
      <c r="G14" s="4709"/>
      <c r="H14" s="4709"/>
      <c r="I14" s="4709"/>
    </row>
    <row r="16" ht="18.75" spans="1:9">
      <c r="A16" s="4710" t="s">
        <v>106</v>
      </c>
      <c r="B16" s="2272"/>
      <c r="C16" s="2272"/>
      <c r="D16" s="2272"/>
      <c r="E16" s="2272"/>
      <c r="F16" s="2272"/>
      <c r="G16" s="2272"/>
      <c r="H16" s="2272"/>
      <c r="I16" s="2272"/>
    </row>
    <row r="17" spans="1:9">
      <c r="A17" s="2272"/>
      <c r="B17" s="2272"/>
      <c r="C17" s="2272"/>
      <c r="D17" s="2272"/>
      <c r="E17" s="2272"/>
      <c r="F17" s="2272"/>
      <c r="G17" s="2272"/>
      <c r="H17" s="2272"/>
      <c r="I17" s="2272"/>
    </row>
    <row r="18" spans="1:9">
      <c r="A18" s="2272"/>
      <c r="B18" s="2272"/>
      <c r="C18" s="2272"/>
      <c r="D18" s="2272"/>
      <c r="E18" s="2272"/>
      <c r="F18" s="2272"/>
      <c r="G18" s="2272"/>
      <c r="H18" s="2272"/>
      <c r="I18" s="2272"/>
    </row>
    <row r="19" spans="1:9">
      <c r="A19" s="2272"/>
      <c r="B19" s="2272"/>
      <c r="C19" s="2272"/>
      <c r="D19" s="2272"/>
      <c r="E19" s="2272"/>
      <c r="F19" s="2272"/>
      <c r="G19" s="2272"/>
      <c r="H19" s="2272"/>
      <c r="I19" s="2272"/>
    </row>
    <row r="20" spans="1:9">
      <c r="A20" s="2272"/>
      <c r="B20" s="2272"/>
      <c r="C20" s="2272"/>
      <c r="D20" s="2272"/>
      <c r="E20" s="2272"/>
      <c r="F20" s="2272"/>
      <c r="G20" s="2272"/>
      <c r="H20" s="2272"/>
      <c r="I20" s="2272"/>
    </row>
    <row r="21" spans="1:9">
      <c r="A21" s="2272"/>
      <c r="B21" s="2272"/>
      <c r="C21" s="2272"/>
      <c r="D21" s="2272"/>
      <c r="E21" s="2272"/>
      <c r="F21" s="2272"/>
      <c r="G21" s="2272"/>
      <c r="H21" s="2272"/>
      <c r="I21" s="2272"/>
    </row>
    <row r="22" spans="1:9">
      <c r="A22" s="2272"/>
      <c r="B22" s="2272"/>
      <c r="C22" s="2272"/>
      <c r="D22" s="2272"/>
      <c r="E22" s="2272"/>
      <c r="F22" s="2272"/>
      <c r="G22" s="2272"/>
      <c r="H22" s="2272"/>
      <c r="I22" s="227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L18"/>
  <sheetViews>
    <sheetView workbookViewId="0">
      <selection activeCell="E11" sqref="E11"/>
    </sheetView>
  </sheetViews>
  <sheetFormatPr defaultColWidth="9" defaultRowHeight="14.25"/>
  <cols>
    <col min="1" max="1" width="9" style="17"/>
    <col min="2" max="2" width="15.5" style="17" customWidth="1"/>
    <col min="3" max="3" width="9.625" style="17" customWidth="1"/>
    <col min="4" max="4" width="28.125" style="17" customWidth="1"/>
    <col min="5" max="5" width="39.25" style="17" customWidth="1"/>
    <col min="6" max="11" width="9" style="17"/>
    <col min="12" max="12" width="11.125" style="17"/>
    <col min="13" max="16384" width="9" style="17"/>
  </cols>
  <sheetData>
    <row r="5" spans="2:12">
      <c r="C5" s="17" t="s">
        <v>3197</v>
      </c>
      <c r="D5" s="17" t="s">
        <v>3198</v>
      </c>
      <c r="E5" s="17" t="s">
        <v>3199</v>
      </c>
      <c r="F5" s="17" t="s">
        <v>3200</v>
      </c>
      <c r="G5" s="17" t="s">
        <v>1737</v>
      </c>
      <c r="H5" s="17" t="s">
        <v>3201</v>
      </c>
      <c r="I5" s="17" t="s">
        <v>3202</v>
      </c>
      <c r="J5" s="17" t="s">
        <v>3203</v>
      </c>
      <c r="K5" s="17" t="s">
        <v>3204</v>
      </c>
    </row>
    <row r="6" spans="2:12">
      <c r="C6" s="18">
        <v>40961</v>
      </c>
      <c r="D6" s="17" t="s">
        <v>3205</v>
      </c>
      <c r="E6" s="17" t="s">
        <v>3206</v>
      </c>
      <c r="F6" s="17" t="s">
        <v>233</v>
      </c>
      <c r="G6" s="17">
        <v>2513.84</v>
      </c>
      <c r="H6" s="17" t="s">
        <v>1172</v>
      </c>
      <c r="I6" s="17">
        <v>2004</v>
      </c>
      <c r="J6" s="17">
        <v>3</v>
      </c>
      <c r="K6" s="19" t="s">
        <v>3207</v>
      </c>
    </row>
    <row r="7" spans="2:12">
      <c r="C7" s="18">
        <v>40962</v>
      </c>
      <c r="D7" s="17" t="s">
        <v>3208</v>
      </c>
      <c r="E7" s="17" t="s">
        <v>3209</v>
      </c>
      <c r="F7" s="17" t="s">
        <v>233</v>
      </c>
      <c r="G7" s="17">
        <v>2453.92</v>
      </c>
      <c r="H7" s="17" t="s">
        <v>1172</v>
      </c>
      <c r="I7" s="17">
        <v>2004</v>
      </c>
      <c r="J7" s="17">
        <v>3</v>
      </c>
      <c r="K7" s="19" t="s">
        <v>3207</v>
      </c>
    </row>
    <row r="9" spans="2:12">
      <c r="B9" s="17" t="s">
        <v>3210</v>
      </c>
      <c r="C9" s="18">
        <v>44974</v>
      </c>
      <c r="D9" s="17" t="s">
        <v>3211</v>
      </c>
      <c r="E9" s="17" t="s">
        <v>3212</v>
      </c>
      <c r="F9" s="17" t="s">
        <v>3213</v>
      </c>
      <c r="G9" s="17">
        <v>15935.62</v>
      </c>
      <c r="H9" s="17" t="s">
        <v>1172</v>
      </c>
      <c r="I9" s="17">
        <v>2004</v>
      </c>
    </row>
    <row r="10" spans="2:12">
      <c r="E10" s="17" t="s">
        <v>3214</v>
      </c>
      <c r="F10" s="17" t="s">
        <v>3213</v>
      </c>
      <c r="G10" s="17">
        <v>2585.73</v>
      </c>
      <c r="H10" s="17" t="s">
        <v>1172</v>
      </c>
      <c r="I10" s="17">
        <v>2004</v>
      </c>
      <c r="J10" s="17" t="s">
        <v>3215</v>
      </c>
      <c r="K10" s="19" t="s">
        <v>3207</v>
      </c>
    </row>
    <row r="11" spans="2:12">
      <c r="E11" s="17" t="s">
        <v>3216</v>
      </c>
      <c r="F11" s="17" t="s">
        <v>3213</v>
      </c>
      <c r="G11" s="17">
        <v>2067.62</v>
      </c>
      <c r="H11" s="17" t="s">
        <v>1172</v>
      </c>
      <c r="I11" s="17">
        <v>2004</v>
      </c>
      <c r="J11" s="17" t="s">
        <v>3217</v>
      </c>
      <c r="K11" s="4774" t="s">
        <v>3218</v>
      </c>
      <c r="L11" s="17">
        <f>ROUND('数据-汇总表'!G27/G11,2)</f>
        <v>0.25</v>
      </c>
    </row>
    <row r="12" spans="2:12">
      <c r="E12" s="17" t="s">
        <v>3219</v>
      </c>
      <c r="F12" s="17" t="s">
        <v>3213</v>
      </c>
      <c r="G12" s="17">
        <v>5832.84</v>
      </c>
      <c r="H12" s="17" t="s">
        <v>1172</v>
      </c>
      <c r="I12" s="17">
        <v>2004</v>
      </c>
      <c r="J12" s="17" t="s">
        <v>3220</v>
      </c>
      <c r="K12" s="17" t="s">
        <v>3221</v>
      </c>
    </row>
    <row r="13" spans="2:12">
      <c r="E13" s="17" t="s">
        <v>3222</v>
      </c>
      <c r="F13" s="17" t="s">
        <v>3213</v>
      </c>
      <c r="G13" s="17">
        <v>2394.78</v>
      </c>
      <c r="H13" s="17" t="s">
        <v>1172</v>
      </c>
      <c r="I13" s="17">
        <v>2004</v>
      </c>
      <c r="J13" s="17" t="s">
        <v>3215</v>
      </c>
      <c r="K13" s="17" t="s">
        <v>3207</v>
      </c>
    </row>
    <row r="14" spans="2:12">
      <c r="E14" s="17" t="s">
        <v>3223</v>
      </c>
      <c r="F14" s="17" t="s">
        <v>3213</v>
      </c>
      <c r="G14" s="17">
        <v>541.26</v>
      </c>
      <c r="H14" s="17" t="s">
        <v>1172</v>
      </c>
      <c r="I14" s="17">
        <v>2004</v>
      </c>
      <c r="J14" s="17" t="s">
        <v>3220</v>
      </c>
      <c r="K14" s="17" t="s">
        <v>3224</v>
      </c>
    </row>
    <row r="15" spans="2:12">
      <c r="E15" s="17" t="s">
        <v>3225</v>
      </c>
      <c r="F15" s="17" t="s">
        <v>3213</v>
      </c>
      <c r="G15" s="17">
        <v>2513.39</v>
      </c>
      <c r="H15" s="17" t="s">
        <v>1172</v>
      </c>
      <c r="I15" s="17">
        <v>2004</v>
      </c>
      <c r="J15" s="17" t="s">
        <v>3215</v>
      </c>
      <c r="K15" s="17" t="s">
        <v>3207</v>
      </c>
    </row>
    <row r="18" spans="7:7">
      <c r="G18" s="17">
        <f>G6+G7+G9</f>
        <v>20903.38</v>
      </c>
    </row>
  </sheetData>
  <mergeCells count="1">
    <mergeCell ref="D9:D15"/>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536"/>
  <sheetViews>
    <sheetView workbookViewId="0">
      <selection activeCell="H9" sqref="H9"/>
    </sheetView>
  </sheetViews>
  <sheetFormatPr defaultColWidth="9" defaultRowHeight="14.25"/>
  <cols>
    <col min="2" max="2" width="23.625" style="2" customWidth="1"/>
    <col min="3" max="3" width="16.375" style="2" customWidth="1"/>
    <col min="4" max="4" width="9.875" style="2" customWidth="1"/>
    <col min="5" max="5" width="15.75" style="2" customWidth="1"/>
    <col min="6" max="6" width="36.25" style="2" customWidth="1"/>
    <col min="7" max="7" width="22.75" style="2" customWidth="1"/>
    <col min="9" max="9" width="16" style="2"/>
    <col min="10" max="10" width="11" style="2" customWidth="1"/>
    <col min="11" max="11" width="16.75" style="2" customWidth="1"/>
    <col min="12" max="12" width="12.625"/>
  </cols>
  <sheetData>
    <row r="1" s="2" customFormat="1" ht="52" customHeight="1" spans="1:13">
      <c r="A1" s="4" t="s">
        <v>1004</v>
      </c>
      <c r="B1" s="4" t="s">
        <v>3226</v>
      </c>
      <c r="C1" s="4" t="s">
        <v>1005</v>
      </c>
      <c r="D1" s="4" t="s">
        <v>451</v>
      </c>
      <c r="E1" s="5" t="s">
        <v>3227</v>
      </c>
      <c r="F1" s="5" t="s">
        <v>3228</v>
      </c>
      <c r="G1" s="5" t="s">
        <v>3229</v>
      </c>
      <c r="H1" s="5" t="s">
        <v>3230</v>
      </c>
      <c r="I1" s="4" t="s">
        <v>3231</v>
      </c>
      <c r="J1" s="5" t="s">
        <v>3232</v>
      </c>
    </row>
    <row r="2" s="2" customFormat="1" ht="36" customHeight="1" spans="1:13">
      <c r="A2" s="4">
        <v>1</v>
      </c>
      <c r="B2" s="5" t="s">
        <v>3233</v>
      </c>
      <c r="C2" s="4" t="s">
        <v>1234</v>
      </c>
      <c r="D2" s="4" t="s">
        <v>3234</v>
      </c>
      <c r="E2" s="4">
        <v>2513.84</v>
      </c>
      <c r="F2" s="6" t="s">
        <v>3235</v>
      </c>
      <c r="G2" s="6" t="s">
        <v>3236</v>
      </c>
      <c r="H2" s="6">
        <v>72</v>
      </c>
      <c r="I2" s="7">
        <f>2146072.32*2</f>
        <v>4292144.64</v>
      </c>
      <c r="J2" s="7">
        <v>0.15</v>
      </c>
      <c r="K2" s="2">
        <f>E2+E3</f>
        <v>4967.76</v>
      </c>
      <c r="L2" s="2">
        <f>I2/K2/365</f>
        <v>2.36712328767123</v>
      </c>
    </row>
    <row r="3" s="2" customFormat="1" ht="36" customHeight="1" spans="1:13">
      <c r="A3" s="4">
        <v>2</v>
      </c>
      <c r="B3" s="5" t="s">
        <v>3237</v>
      </c>
      <c r="C3" s="4" t="s">
        <v>3238</v>
      </c>
      <c r="D3" s="4" t="s">
        <v>3234</v>
      </c>
      <c r="E3" s="4">
        <v>2453.92</v>
      </c>
      <c r="F3" s="8"/>
      <c r="G3" s="8"/>
      <c r="H3" s="8"/>
      <c r="I3" s="9"/>
      <c r="J3" s="9"/>
    </row>
    <row r="4" s="3" customFormat="1" ht="45" customHeight="1" spans="1:13">
      <c r="A4" s="10">
        <v>3</v>
      </c>
      <c r="B4" s="6" t="s">
        <v>3211</v>
      </c>
      <c r="C4" s="5" t="s">
        <v>3239</v>
      </c>
      <c r="D4" s="4" t="s">
        <v>3234</v>
      </c>
      <c r="E4" s="4">
        <v>2585.73</v>
      </c>
      <c r="F4" s="4" t="s">
        <v>3240</v>
      </c>
      <c r="G4" s="4" t="s">
        <v>3241</v>
      </c>
      <c r="H4" s="4">
        <v>45</v>
      </c>
      <c r="I4" s="11">
        <v>1396294.2</v>
      </c>
      <c r="J4" s="11">
        <v>0.15</v>
      </c>
      <c r="L4" s="3">
        <f>I4/E4/365</f>
        <v>1.47945205479452</v>
      </c>
    </row>
    <row r="5" s="2" customFormat="1" ht="36" customHeight="1" spans="1:13">
      <c r="A5" s="12"/>
      <c r="B5" s="13"/>
      <c r="C5" s="4" t="s">
        <v>3242</v>
      </c>
      <c r="D5" s="4" t="s">
        <v>3243</v>
      </c>
      <c r="E5" s="4">
        <v>2067.62</v>
      </c>
      <c r="F5" s="4"/>
      <c r="G5" s="4"/>
      <c r="H5" s="4"/>
      <c r="I5" s="11"/>
      <c r="J5" s="11"/>
    </row>
    <row r="6" s="3" customFormat="1" ht="36" customHeight="1" spans="1:13">
      <c r="A6" s="12"/>
      <c r="B6" s="13"/>
      <c r="C6" s="4" t="s">
        <v>3244</v>
      </c>
      <c r="D6" s="4" t="s">
        <v>3234</v>
      </c>
      <c r="E6" s="4">
        <v>5832.84</v>
      </c>
      <c r="F6" s="6" t="s">
        <v>3245</v>
      </c>
      <c r="G6" s="6" t="s">
        <v>3246</v>
      </c>
      <c r="H6" s="6">
        <v>106.2</v>
      </c>
      <c r="I6" s="7">
        <v>10485278.93</v>
      </c>
      <c r="J6" s="7">
        <v>0.15</v>
      </c>
      <c r="L6" s="3">
        <f>3.54*360/12</f>
        <v>106.2</v>
      </c>
      <c r="M6" s="3" t="s">
        <v>3247</v>
      </c>
    </row>
    <row r="7" s="3" customFormat="1" ht="36" customHeight="1" spans="1:13">
      <c r="A7" s="12"/>
      <c r="B7" s="13"/>
      <c r="C7" s="4" t="s">
        <v>3248</v>
      </c>
      <c r="D7" s="4" t="s">
        <v>3234</v>
      </c>
      <c r="E7" s="4">
        <v>2493.78</v>
      </c>
      <c r="F7" s="8"/>
      <c r="G7" s="8"/>
      <c r="H7" s="8"/>
      <c r="I7" s="9"/>
      <c r="J7" s="9"/>
      <c r="K7" s="3" t="s">
        <v>3249</v>
      </c>
      <c r="L7" s="3">
        <f>3.64*360/12</f>
        <v>109.2</v>
      </c>
      <c r="M7" s="3" t="s">
        <v>3250</v>
      </c>
    </row>
    <row r="8" s="2" customFormat="1" ht="36" customHeight="1" spans="1:13">
      <c r="A8" s="12"/>
      <c r="B8" s="13"/>
      <c r="C8" s="4" t="s">
        <v>3251</v>
      </c>
      <c r="D8" s="4" t="s">
        <v>3234</v>
      </c>
      <c r="E8" s="4">
        <v>541.26</v>
      </c>
      <c r="F8" s="4" t="s">
        <v>3252</v>
      </c>
      <c r="G8" s="4" t="s">
        <v>3253</v>
      </c>
      <c r="H8" s="4">
        <v>60</v>
      </c>
      <c r="I8" s="11">
        <f>97560*4</f>
        <v>390240</v>
      </c>
      <c r="J8" s="11">
        <v>0.15</v>
      </c>
    </row>
    <row r="9" s="3" customFormat="1" ht="36" customHeight="1" spans="1:13">
      <c r="A9" s="14"/>
      <c r="B9" s="8"/>
      <c r="C9" s="4" t="s">
        <v>3254</v>
      </c>
      <c r="D9" s="4" t="s">
        <v>3234</v>
      </c>
      <c r="E9" s="4">
        <v>2513.39</v>
      </c>
      <c r="F9" s="4" t="s">
        <v>3255</v>
      </c>
      <c r="G9" s="4" t="s">
        <v>3241</v>
      </c>
      <c r="H9" s="4">
        <v>68.5</v>
      </c>
      <c r="I9" s="11">
        <v>2033044.38</v>
      </c>
      <c r="J9" s="11">
        <v>0.15</v>
      </c>
      <c r="K9" s="3" t="s">
        <v>3256</v>
      </c>
      <c r="L9" s="3" t="s">
        <v>3257</v>
      </c>
    </row>
    <row r="10" s="2" customFormat="1" ht="36" customHeight="1" spans="1:13">
      <c r="A10" s="14"/>
      <c r="B10" s="14" t="s">
        <v>3258</v>
      </c>
      <c r="C10" s="4"/>
      <c r="D10" s="4"/>
      <c r="E10" s="4">
        <v>21002.38</v>
      </c>
      <c r="F10" s="4"/>
      <c r="G10" s="15"/>
      <c r="H10" s="15"/>
      <c r="I10" s="11">
        <f>SUM(I2:I9)</f>
        <v>18597002.15</v>
      </c>
      <c r="J10" s="16"/>
    </row>
    <row r="11" s="2" customFormat="1"/>
    <row r="12" s="2" customFormat="1" spans="1:13">
      <c r="E12" s="2">
        <f>I10/(E10-E5)/365</f>
        <v>2.69085485223567</v>
      </c>
      <c r="I12" s="2">
        <f>I10/10000</f>
        <v>1859.700215</v>
      </c>
    </row>
    <row r="13" s="2" customFormat="1"/>
    <row r="14" s="2" customFormat="1"/>
    <row r="15" s="2" customFormat="1"/>
    <row r="16" s="2" customFormat="1"/>
    <row r="17" s="2" customFormat="1"/>
    <row r="18" s="2" customFormat="1"/>
    <row r="19" s="2" customFormat="1"/>
    <row r="20" s="2" customFormat="1"/>
    <row r="21" s="2" customFormat="1"/>
    <row r="22" s="2" customFormat="1"/>
    <row r="23" s="2" customFormat="1"/>
    <row r="24" s="2" customFormat="1"/>
    <row r="25" s="2" customFormat="1"/>
    <row r="26" s="2" customFormat="1"/>
    <row r="27" s="2" customFormat="1"/>
    <row r="28" s="2" customFormat="1"/>
    <row r="29" s="2" customFormat="1"/>
    <row r="30" s="2" customFormat="1"/>
    <row r="31" s="2" customFormat="1"/>
    <row r="32"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row r="10000" s="2" customFormat="1"/>
    <row r="10001" s="2" customFormat="1"/>
    <row r="10002" s="2" customFormat="1"/>
    <row r="10003" s="2" customFormat="1"/>
    <row r="10004" s="2" customFormat="1"/>
    <row r="10005" s="2" customFormat="1"/>
    <row r="10006" s="2" customFormat="1"/>
    <row r="10007" s="2" customFormat="1"/>
    <row r="10008" s="2" customFormat="1"/>
    <row r="10009" s="2" customFormat="1"/>
    <row r="10010" s="2" customFormat="1"/>
    <row r="10011" s="2" customFormat="1"/>
    <row r="10012" s="2" customFormat="1"/>
    <row r="10013" s="2" customFormat="1"/>
    <row r="10014" s="2" customFormat="1"/>
    <row r="10015" s="2" customFormat="1"/>
    <row r="10016" s="2" customFormat="1"/>
    <row r="10017" s="2" customFormat="1"/>
    <row r="10018" s="2" customFormat="1"/>
    <row r="10019" s="2" customFormat="1"/>
    <row r="10020" s="2" customFormat="1"/>
    <row r="10021" s="2" customFormat="1"/>
    <row r="10022" s="2" customFormat="1"/>
    <row r="10023" s="2" customFormat="1"/>
    <row r="10024" s="2" customFormat="1"/>
    <row r="10025" s="2" customFormat="1"/>
    <row r="10026" s="2" customFormat="1"/>
    <row r="10027" s="2" customFormat="1"/>
    <row r="10028" s="2" customFormat="1"/>
    <row r="10029" s="2" customFormat="1"/>
    <row r="10030" s="2" customFormat="1"/>
    <row r="10031" s="2" customFormat="1"/>
    <row r="10032" s="2" customFormat="1"/>
    <row r="10033" s="2" customFormat="1"/>
    <row r="10034" s="2" customFormat="1"/>
    <row r="10035" s="2" customFormat="1"/>
    <row r="10036" s="2" customFormat="1"/>
    <row r="10037" s="2" customFormat="1"/>
    <row r="10038" s="2" customFormat="1"/>
    <row r="10039" s="2" customFormat="1"/>
    <row r="10040" s="2" customFormat="1"/>
    <row r="10041" s="2" customFormat="1"/>
    <row r="10042" s="2" customFormat="1"/>
    <row r="10043" s="2" customFormat="1"/>
    <row r="10044" s="2" customFormat="1"/>
    <row r="10045" s="2" customFormat="1"/>
    <row r="10046" s="2" customFormat="1"/>
    <row r="10047" s="2" customFormat="1"/>
    <row r="10048" s="2" customFormat="1"/>
    <row r="10049" s="2" customFormat="1"/>
    <row r="10050" s="2" customFormat="1"/>
    <row r="10051" s="2" customFormat="1"/>
    <row r="10052" s="2" customFormat="1"/>
    <row r="10053" s="2" customFormat="1"/>
    <row r="10054" s="2" customFormat="1"/>
    <row r="10055" s="2" customFormat="1"/>
    <row r="10056" s="2" customFormat="1"/>
    <row r="10057" s="2" customFormat="1"/>
    <row r="10058" s="2" customFormat="1"/>
    <row r="10059" s="2" customFormat="1"/>
    <row r="10060" s="2" customFormat="1"/>
    <row r="10061" s="2" customFormat="1"/>
    <row r="10062" s="2" customFormat="1"/>
    <row r="10063" s="2" customFormat="1"/>
    <row r="10064" s="2" customFormat="1"/>
    <row r="10065" s="2" customFormat="1"/>
    <row r="10066" s="2" customFormat="1"/>
    <row r="10067" s="2" customFormat="1"/>
    <row r="10068" s="2" customFormat="1"/>
    <row r="10069" s="2" customFormat="1"/>
    <row r="10070" s="2" customFormat="1"/>
    <row r="10071" s="2" customFormat="1"/>
    <row r="10072" s="2" customFormat="1"/>
    <row r="10073" s="2" customFormat="1"/>
    <row r="10074" s="2" customFormat="1"/>
    <row r="10075" s="2" customFormat="1"/>
    <row r="10076" s="2" customFormat="1"/>
    <row r="10077" s="2" customFormat="1"/>
    <row r="10078" s="2" customFormat="1"/>
    <row r="10079" s="2" customFormat="1"/>
    <row r="10080" s="2" customFormat="1"/>
    <row r="10081" s="2" customFormat="1"/>
    <row r="10082" s="2" customFormat="1"/>
    <row r="10083" s="2" customFormat="1"/>
    <row r="10084" s="2" customFormat="1"/>
    <row r="10085" s="2" customFormat="1"/>
    <row r="10086" s="2" customFormat="1"/>
    <row r="10087" s="2" customFormat="1"/>
    <row r="10088" s="2" customFormat="1"/>
    <row r="10089" s="2" customFormat="1"/>
    <row r="10090" s="2" customFormat="1"/>
    <row r="10091" s="2" customFormat="1"/>
    <row r="10092" s="2" customFormat="1"/>
    <row r="10093" s="2" customFormat="1"/>
    <row r="10094" s="2" customFormat="1"/>
    <row r="10095" s="2" customFormat="1"/>
    <row r="10096" s="2" customFormat="1"/>
    <row r="10097" s="2" customFormat="1"/>
    <row r="10098" s="2" customFormat="1"/>
    <row r="10099" s="2" customFormat="1"/>
    <row r="10100" s="2" customFormat="1"/>
    <row r="10101" s="2" customFormat="1"/>
    <row r="10102" s="2" customFormat="1"/>
    <row r="10103" s="2" customFormat="1"/>
    <row r="10104" s="2" customFormat="1"/>
    <row r="10105" s="2" customFormat="1"/>
    <row r="10106" s="2" customFormat="1"/>
    <row r="10107" s="2" customFormat="1"/>
    <row r="10108" s="2" customFormat="1"/>
    <row r="10109" s="2" customFormat="1"/>
    <row r="10110" s="2" customFormat="1"/>
    <row r="10111" s="2" customFormat="1"/>
    <row r="10112" s="2" customFormat="1"/>
    <row r="10113" s="2" customFormat="1"/>
    <row r="10114" s="2" customFormat="1"/>
    <row r="10115" s="2" customFormat="1"/>
    <row r="10116" s="2" customFormat="1"/>
    <row r="10117" s="2" customFormat="1"/>
    <row r="10118" s="2" customFormat="1"/>
    <row r="10119" s="2" customFormat="1"/>
    <row r="10120" s="2" customFormat="1"/>
    <row r="10121" s="2" customFormat="1"/>
    <row r="10122" s="2" customFormat="1"/>
    <row r="10123" s="2" customFormat="1"/>
    <row r="10124" s="2" customFormat="1"/>
    <row r="10125" s="2" customFormat="1"/>
    <row r="10126" s="2" customFormat="1"/>
    <row r="10127" s="2" customFormat="1"/>
    <row r="10128" s="2" customFormat="1"/>
    <row r="10129" s="2" customFormat="1"/>
    <row r="10130" s="2" customFormat="1"/>
    <row r="10131" s="2" customFormat="1"/>
    <row r="10132" s="2" customFormat="1"/>
    <row r="10133" s="2" customFormat="1"/>
    <row r="10134" s="2" customFormat="1"/>
    <row r="10135" s="2" customFormat="1"/>
    <row r="10136" s="2" customFormat="1"/>
    <row r="10137" s="2" customFormat="1"/>
    <row r="10138" s="2" customFormat="1"/>
    <row r="10139" s="2" customFormat="1"/>
    <row r="10140" s="2" customFormat="1"/>
    <row r="10141" s="2" customFormat="1"/>
    <row r="10142" s="2" customFormat="1"/>
    <row r="10143" s="2" customFormat="1"/>
    <row r="10144" s="2" customFormat="1"/>
    <row r="10145" s="2" customFormat="1"/>
    <row r="10146" s="2" customFormat="1"/>
    <row r="10147" s="2" customFormat="1"/>
    <row r="10148" s="2" customFormat="1"/>
    <row r="10149" s="2" customFormat="1"/>
    <row r="10150" s="2" customFormat="1"/>
    <row r="10151" s="2" customFormat="1"/>
    <row r="10152" s="2" customFormat="1"/>
    <row r="10153" s="2" customFormat="1"/>
    <row r="10154" s="2" customFormat="1"/>
    <row r="10155" s="2" customFormat="1"/>
    <row r="10156" s="2" customFormat="1"/>
    <row r="10157" s="2" customFormat="1"/>
    <row r="10158" s="2" customFormat="1"/>
    <row r="10159" s="2" customFormat="1"/>
    <row r="10160" s="2" customFormat="1"/>
    <row r="10161" s="2" customFormat="1"/>
    <row r="10162" s="2" customFormat="1"/>
    <row r="10163" s="2" customFormat="1"/>
    <row r="10164" s="2" customFormat="1"/>
    <row r="10165" s="2" customFormat="1"/>
    <row r="10166" s="2" customFormat="1"/>
    <row r="10167" s="2" customFormat="1"/>
    <row r="10168" s="2" customFormat="1"/>
    <row r="10169" s="2" customFormat="1"/>
    <row r="10170" s="2" customFormat="1"/>
    <row r="10171" s="2" customFormat="1"/>
    <row r="10172" s="2" customFormat="1"/>
    <row r="10173" s="2" customFormat="1"/>
    <row r="10174" s="2" customFormat="1"/>
    <row r="10175" s="2" customFormat="1"/>
    <row r="10176" s="2" customFormat="1"/>
    <row r="10177" s="2" customFormat="1"/>
    <row r="10178" s="2" customFormat="1"/>
    <row r="10179" s="2" customFormat="1"/>
    <row r="10180" s="2" customFormat="1"/>
    <row r="10181" s="2" customFormat="1"/>
    <row r="10182" s="2" customFormat="1"/>
    <row r="10183" s="2" customFormat="1"/>
    <row r="10184" s="2" customFormat="1"/>
    <row r="10185" s="2" customFormat="1"/>
    <row r="10186" s="2" customFormat="1"/>
    <row r="10187" s="2" customFormat="1"/>
    <row r="10188" s="2" customFormat="1"/>
    <row r="10189" s="2" customFormat="1"/>
    <row r="10190" s="2" customFormat="1"/>
    <row r="10191" s="2" customFormat="1"/>
    <row r="10192" s="2" customFormat="1"/>
    <row r="10193" s="2" customFormat="1"/>
    <row r="10194" s="2" customFormat="1"/>
    <row r="10195" s="2" customFormat="1"/>
    <row r="10196" s="2" customFormat="1"/>
    <row r="10197" s="2" customFormat="1"/>
    <row r="10198" s="2" customFormat="1"/>
    <row r="10199" s="2" customFormat="1"/>
    <row r="10200" s="2" customFormat="1"/>
    <row r="10201" s="2" customFormat="1"/>
    <row r="10202" s="2" customFormat="1"/>
    <row r="10203" s="2" customFormat="1"/>
    <row r="10204" s="2" customFormat="1"/>
    <row r="10205" s="2" customFormat="1"/>
    <row r="10206" s="2" customFormat="1"/>
    <row r="10207" s="2" customFormat="1"/>
    <row r="10208" s="2" customFormat="1"/>
    <row r="10209" s="2" customFormat="1"/>
    <row r="10210" s="2" customFormat="1"/>
    <row r="10211" s="2" customFormat="1"/>
    <row r="10212" s="2" customFormat="1"/>
    <row r="10213" s="2" customFormat="1"/>
    <row r="10214" s="2" customFormat="1"/>
    <row r="10215" s="2" customFormat="1"/>
    <row r="10216" s="2" customFormat="1"/>
    <row r="10217" s="2" customFormat="1"/>
    <row r="10218" s="2" customFormat="1"/>
    <row r="10219" s="2" customFormat="1"/>
    <row r="10220" s="2" customFormat="1"/>
    <row r="10221" s="2" customFormat="1"/>
    <row r="10222" s="2" customFormat="1"/>
    <row r="10223" s="2" customFormat="1"/>
    <row r="10224" s="2" customFormat="1"/>
    <row r="10225" s="2" customFormat="1"/>
    <row r="10226" s="2" customFormat="1"/>
    <row r="10227" s="2" customFormat="1"/>
    <row r="10228" s="2" customFormat="1"/>
    <row r="10229" s="2" customFormat="1"/>
    <row r="10230" s="2" customFormat="1"/>
    <row r="10231" s="2" customFormat="1"/>
    <row r="10232" s="2" customFormat="1"/>
    <row r="10233" s="2" customFormat="1"/>
    <row r="10234" s="2" customFormat="1"/>
    <row r="10235" s="2" customFormat="1"/>
    <row r="10236" s="2" customFormat="1"/>
    <row r="10237" s="2" customFormat="1"/>
    <row r="10238" s="2" customFormat="1"/>
    <row r="10239" s="2" customFormat="1"/>
    <row r="10240" s="2" customFormat="1"/>
    <row r="10241" s="2" customFormat="1"/>
    <row r="10242" s="2" customFormat="1"/>
    <row r="10243" s="2" customFormat="1"/>
    <row r="10244" s="2" customFormat="1"/>
    <row r="10245" s="2" customFormat="1"/>
    <row r="10246" s="2" customFormat="1"/>
    <row r="10247" s="2" customFormat="1"/>
    <row r="10248" s="2" customFormat="1"/>
    <row r="10249" s="2" customFormat="1"/>
    <row r="10250" s="2" customFormat="1"/>
    <row r="10251" s="2" customFormat="1"/>
    <row r="10252" s="2" customFormat="1"/>
    <row r="10253" s="2" customFormat="1"/>
    <row r="10254" s="2" customFormat="1"/>
    <row r="10255" s="2" customFormat="1"/>
    <row r="10256" s="2" customFormat="1"/>
    <row r="10257" s="2" customFormat="1"/>
    <row r="10258" s="2" customFormat="1"/>
    <row r="10259" s="2" customFormat="1"/>
    <row r="10260" s="2" customFormat="1"/>
    <row r="10261" s="2" customFormat="1"/>
    <row r="10262" s="2" customFormat="1"/>
    <row r="10263" s="2" customFormat="1"/>
    <row r="10264" s="2" customFormat="1"/>
    <row r="10265" s="2" customFormat="1"/>
    <row r="10266" s="2" customFormat="1"/>
    <row r="10267" s="2" customFormat="1"/>
    <row r="10268" s="2" customFormat="1"/>
    <row r="10269" s="2" customFormat="1"/>
    <row r="10270" s="2" customFormat="1"/>
    <row r="10271" s="2" customFormat="1"/>
    <row r="10272" s="2" customFormat="1"/>
    <row r="10273" s="2" customFormat="1"/>
    <row r="10274" s="2" customFormat="1"/>
    <row r="10275" s="2" customFormat="1"/>
    <row r="10276" s="2" customFormat="1"/>
    <row r="10277" s="2" customFormat="1"/>
    <row r="10278" s="2" customFormat="1"/>
    <row r="10279" s="2" customFormat="1"/>
    <row r="10280" s="2" customFormat="1"/>
    <row r="10281" s="2" customFormat="1"/>
    <row r="10282" s="2" customFormat="1"/>
    <row r="10283" s="2" customFormat="1"/>
    <row r="10284" s="2" customFormat="1"/>
    <row r="10285" s="2" customFormat="1"/>
    <row r="10286" s="2" customFormat="1"/>
    <row r="10287" s="2" customFormat="1"/>
    <row r="10288" s="2" customFormat="1"/>
    <row r="10289" s="2" customFormat="1"/>
    <row r="10290" s="2" customFormat="1"/>
    <row r="10291" s="2" customFormat="1"/>
    <row r="10292" s="2" customFormat="1"/>
    <row r="10293" s="2" customFormat="1"/>
    <row r="10294" s="2" customFormat="1"/>
    <row r="10295" s="2" customFormat="1"/>
    <row r="10296" s="2" customFormat="1"/>
    <row r="10297" s="2" customFormat="1"/>
    <row r="10298" s="2" customFormat="1"/>
    <row r="10299" s="2" customFormat="1"/>
    <row r="10300" s="2" customFormat="1"/>
    <row r="10301" s="2" customFormat="1"/>
    <row r="10302" s="2" customFormat="1"/>
    <row r="10303" s="2" customFormat="1"/>
    <row r="10304" s="2" customFormat="1"/>
    <row r="10305" s="2" customFormat="1"/>
    <row r="10306" s="2" customFormat="1"/>
    <row r="10307" s="2" customFormat="1"/>
    <row r="10308" s="2" customFormat="1"/>
    <row r="10309" s="2" customFormat="1"/>
    <row r="10310" s="2" customFormat="1"/>
    <row r="10311" s="2" customFormat="1"/>
    <row r="10312" s="2" customFormat="1"/>
    <row r="10313" s="2" customFormat="1"/>
    <row r="10314" s="2" customFormat="1"/>
    <row r="10315" s="2" customFormat="1"/>
    <row r="10316" s="2" customFormat="1"/>
    <row r="10317" s="2" customFormat="1"/>
    <row r="10318" s="2" customFormat="1"/>
    <row r="10319" s="2" customFormat="1"/>
    <row r="10320" s="2" customFormat="1"/>
    <row r="10321" s="2" customFormat="1"/>
    <row r="10322" s="2" customFormat="1"/>
    <row r="10323" s="2" customFormat="1"/>
    <row r="10324" s="2" customFormat="1"/>
    <row r="10325" s="2" customFormat="1"/>
    <row r="10326" s="2" customFormat="1"/>
    <row r="10327" s="2" customFormat="1"/>
    <row r="10328" s="2" customFormat="1"/>
    <row r="10329" s="2" customFormat="1"/>
    <row r="10330" s="2" customFormat="1"/>
    <row r="10331" s="2" customFormat="1"/>
    <row r="10332" s="2" customFormat="1"/>
    <row r="10333" s="2" customFormat="1"/>
    <row r="10334" s="2" customFormat="1"/>
    <row r="10335" s="2" customFormat="1"/>
    <row r="10336" s="2" customFormat="1"/>
    <row r="10337" s="2" customFormat="1"/>
    <row r="10338" s="2" customFormat="1"/>
    <row r="10339" s="2" customFormat="1"/>
    <row r="10340" s="2" customFormat="1"/>
    <row r="10341" s="2" customFormat="1"/>
    <row r="10342" s="2" customFormat="1"/>
    <row r="10343" s="2" customFormat="1"/>
    <row r="10344" s="2" customFormat="1"/>
    <row r="10345" s="2" customFormat="1"/>
    <row r="10346" s="2" customFormat="1"/>
    <row r="10347" s="2" customFormat="1"/>
    <row r="10348" s="2" customFormat="1"/>
    <row r="10349" s="2" customFormat="1"/>
    <row r="10350" s="2" customFormat="1"/>
    <row r="10351" s="2" customFormat="1"/>
    <row r="10352" s="2" customFormat="1"/>
    <row r="10353" s="2" customFormat="1"/>
    <row r="10354" s="2" customFormat="1"/>
    <row r="10355" s="2" customFormat="1"/>
    <row r="10356" s="2" customFormat="1"/>
    <row r="10357" s="2" customFormat="1"/>
    <row r="10358" s="2" customFormat="1"/>
    <row r="10359" s="2" customFormat="1"/>
    <row r="10360" s="2" customFormat="1"/>
    <row r="10361" s="2" customFormat="1"/>
    <row r="10362" s="2" customFormat="1"/>
    <row r="10363" s="2" customFormat="1"/>
    <row r="10364" s="2" customFormat="1"/>
    <row r="10365" s="2" customFormat="1"/>
    <row r="10366" s="2" customFormat="1"/>
    <row r="10367" s="2" customFormat="1"/>
    <row r="10368" s="2" customFormat="1"/>
    <row r="10369" s="2" customFormat="1"/>
    <row r="10370" s="2" customFormat="1"/>
    <row r="10371" s="2" customFormat="1"/>
    <row r="10372" s="2" customFormat="1"/>
    <row r="10373" s="2" customFormat="1"/>
    <row r="10374" s="2" customFormat="1"/>
    <row r="10375" s="2" customFormat="1"/>
    <row r="10376" s="2" customFormat="1"/>
    <row r="10377" s="2" customFormat="1"/>
    <row r="10378" s="2" customFormat="1"/>
    <row r="10379" s="2" customFormat="1"/>
    <row r="10380" s="2" customFormat="1"/>
    <row r="10381" s="2" customFormat="1"/>
    <row r="10382" s="2" customFormat="1"/>
    <row r="10383" s="2" customFormat="1"/>
    <row r="10384" s="2" customFormat="1"/>
    <row r="10385" s="2" customFormat="1"/>
    <row r="10386" s="2" customFormat="1"/>
    <row r="10387" s="2" customFormat="1"/>
    <row r="10388" s="2" customFormat="1"/>
    <row r="10389" s="2" customFormat="1"/>
    <row r="10390" s="2" customFormat="1"/>
    <row r="10391" s="2" customFormat="1"/>
    <row r="10392" s="2" customFormat="1"/>
    <row r="10393" s="2" customFormat="1"/>
    <row r="10394" s="2" customFormat="1"/>
    <row r="10395" s="2" customFormat="1"/>
    <row r="10396" s="2" customFormat="1"/>
    <row r="10397" s="2" customFormat="1"/>
    <row r="10398" s="2" customFormat="1"/>
    <row r="10399" s="2" customFormat="1"/>
    <row r="10400" s="2" customFormat="1"/>
    <row r="10401" s="2" customFormat="1"/>
    <row r="10402" s="2" customFormat="1"/>
    <row r="10403" s="2" customFormat="1"/>
    <row r="10404" s="2" customFormat="1"/>
    <row r="10405" s="2" customFormat="1"/>
    <row r="10406" s="2" customFormat="1"/>
    <row r="10407" s="2" customFormat="1"/>
    <row r="10408" s="2" customFormat="1"/>
    <row r="10409" s="2" customFormat="1"/>
    <row r="10410" s="2" customFormat="1"/>
    <row r="10411" s="2" customFormat="1"/>
    <row r="10412" s="2" customFormat="1"/>
    <row r="10413" s="2" customFormat="1"/>
    <row r="10414" s="2" customFormat="1"/>
    <row r="10415" s="2" customFormat="1"/>
    <row r="10416" s="2" customFormat="1"/>
    <row r="10417" s="2" customFormat="1"/>
    <row r="10418" s="2" customFormat="1"/>
    <row r="10419" s="2" customFormat="1"/>
    <row r="10420" s="2" customFormat="1"/>
    <row r="10421" s="2" customFormat="1"/>
    <row r="10422" s="2" customFormat="1"/>
    <row r="10423" s="2" customFormat="1"/>
    <row r="10424" s="2" customFormat="1"/>
    <row r="10425" s="2" customFormat="1"/>
    <row r="10426" s="2" customFormat="1"/>
    <row r="10427" s="2" customFormat="1"/>
    <row r="10428" s="2" customFormat="1"/>
    <row r="10429" s="2" customFormat="1"/>
    <row r="10430" s="2" customFormat="1"/>
    <row r="10431" s="2" customFormat="1"/>
    <row r="10432" s="2" customFormat="1"/>
    <row r="10433" s="2" customFormat="1"/>
    <row r="10434" s="2" customFormat="1"/>
    <row r="10435" s="2" customFormat="1"/>
    <row r="10436" s="2" customFormat="1"/>
    <row r="10437" s="2" customFormat="1"/>
    <row r="10438" s="2" customFormat="1"/>
    <row r="10439" s="2" customFormat="1"/>
    <row r="10440" s="2" customFormat="1"/>
    <row r="10441" s="2" customFormat="1"/>
    <row r="10442" s="2" customFormat="1"/>
    <row r="10443" s="2" customFormat="1"/>
    <row r="10444" s="2" customFormat="1"/>
    <row r="10445" s="2" customFormat="1"/>
    <row r="10446" s="2" customFormat="1"/>
    <row r="10447" s="2" customFormat="1"/>
    <row r="10448" s="2" customFormat="1"/>
    <row r="10449" s="2" customFormat="1"/>
    <row r="10450" s="2" customFormat="1"/>
    <row r="10451" s="2" customFormat="1"/>
    <row r="10452" s="2" customFormat="1"/>
    <row r="10453" s="2" customFormat="1"/>
    <row r="10454" s="2" customFormat="1"/>
    <row r="10455" s="2" customFormat="1"/>
    <row r="10456" s="2" customFormat="1"/>
    <row r="10457" s="2" customFormat="1"/>
    <row r="10458" s="2" customFormat="1"/>
    <row r="10459" s="2" customFormat="1"/>
    <row r="10460" s="2" customFormat="1"/>
    <row r="10461" s="2" customFormat="1"/>
    <row r="10462" s="2" customFormat="1"/>
    <row r="10463" s="2" customFormat="1"/>
    <row r="10464" s="2" customFormat="1"/>
    <row r="10465" s="2" customFormat="1"/>
    <row r="10466" s="2" customFormat="1"/>
    <row r="10467" s="2" customFormat="1"/>
    <row r="10468" s="2" customFormat="1"/>
    <row r="10469" s="2" customFormat="1"/>
    <row r="10470" s="2" customFormat="1"/>
    <row r="10471" s="2" customFormat="1"/>
    <row r="10472" s="2" customFormat="1"/>
    <row r="10473" s="2" customFormat="1"/>
    <row r="10474" s="2" customFormat="1"/>
    <row r="10475" s="2" customFormat="1"/>
    <row r="10476" s="2" customFormat="1"/>
    <row r="10477" s="2" customFormat="1"/>
    <row r="10478" s="2" customFormat="1"/>
    <row r="10479" s="2" customFormat="1"/>
    <row r="10480" s="2" customFormat="1"/>
    <row r="10481" s="2" customFormat="1"/>
    <row r="10482" s="2" customFormat="1"/>
    <row r="10483" s="2" customFormat="1"/>
    <row r="10484" s="2" customFormat="1"/>
    <row r="10485" s="2" customFormat="1"/>
    <row r="10486" s="2" customFormat="1"/>
    <row r="10487" s="2" customFormat="1"/>
    <row r="10488" s="2" customFormat="1"/>
    <row r="10489" s="2" customFormat="1"/>
    <row r="10490" s="2" customFormat="1"/>
    <row r="10491" s="2" customFormat="1"/>
    <row r="10492" s="2" customFormat="1"/>
    <row r="10493" s="2" customFormat="1"/>
    <row r="10494" s="2" customFormat="1"/>
    <row r="10495" s="2" customFormat="1"/>
    <row r="10496" s="2" customFormat="1"/>
    <row r="10497" s="2" customFormat="1"/>
    <row r="10498" s="2" customFormat="1"/>
    <row r="10499" s="2" customFormat="1"/>
    <row r="10500" s="2" customFormat="1"/>
    <row r="10501" s="2" customFormat="1"/>
    <row r="10502" s="2" customFormat="1"/>
    <row r="10503" s="2" customFormat="1"/>
    <row r="10504" s="2" customFormat="1"/>
    <row r="10505" s="2" customFormat="1"/>
    <row r="10506" s="2" customFormat="1"/>
    <row r="10507" s="2" customFormat="1"/>
    <row r="10508" s="2" customFormat="1"/>
    <row r="10509" s="2" customFormat="1"/>
    <row r="10510" s="2" customFormat="1"/>
    <row r="10511" s="2" customFormat="1"/>
    <row r="10512" s="2" customFormat="1"/>
    <row r="10513" s="2" customFormat="1"/>
    <row r="10514" s="2" customFormat="1"/>
    <row r="10515" s="2" customFormat="1"/>
    <row r="10516" s="2" customFormat="1"/>
    <row r="10517" s="2" customFormat="1"/>
    <row r="10518" s="2" customFormat="1"/>
    <row r="10519" s="2" customFormat="1"/>
    <row r="10520" s="2" customFormat="1"/>
    <row r="10521" s="2" customFormat="1"/>
    <row r="10522" s="2" customFormat="1"/>
    <row r="10523" s="2" customFormat="1"/>
    <row r="10524" s="2" customFormat="1"/>
    <row r="10525" s="2" customFormat="1"/>
    <row r="10526" s="2" customFormat="1"/>
    <row r="10527" s="2" customFormat="1"/>
    <row r="10528" s="2" customFormat="1"/>
    <row r="10529" s="2" customFormat="1"/>
    <row r="10530" s="2" customFormat="1"/>
    <row r="10531" s="2" customFormat="1"/>
    <row r="10532" s="2" customFormat="1"/>
    <row r="10533" s="2" customFormat="1"/>
    <row r="10534" s="2" customFormat="1"/>
    <row r="10535" s="2" customFormat="1"/>
    <row r="10536" s="2" customFormat="1"/>
    <row r="10537" s="2" customFormat="1"/>
    <row r="10538" s="2" customFormat="1"/>
    <row r="10539" s="2" customFormat="1"/>
    <row r="10540" s="2" customFormat="1"/>
    <row r="10541" s="2" customFormat="1"/>
    <row r="10542" s="2" customFormat="1"/>
    <row r="10543" s="2" customFormat="1"/>
    <row r="10544" s="2" customFormat="1"/>
    <row r="10545" s="2" customFormat="1"/>
    <row r="10546" s="2" customFormat="1"/>
    <row r="10547" s="2" customFormat="1"/>
    <row r="10548" s="2" customFormat="1"/>
    <row r="10549" s="2" customFormat="1"/>
    <row r="10550" s="2" customFormat="1"/>
    <row r="10551" s="2" customFormat="1"/>
    <row r="10552" s="2" customFormat="1"/>
    <row r="10553" s="2" customFormat="1"/>
    <row r="10554" s="2" customFormat="1"/>
    <row r="10555" s="2" customFormat="1"/>
    <row r="10556" s="2" customFormat="1"/>
    <row r="10557" s="2" customFormat="1"/>
    <row r="10558" s="2" customFormat="1"/>
    <row r="10559" s="2" customFormat="1"/>
    <row r="10560" s="2" customFormat="1"/>
    <row r="10561" s="2" customFormat="1"/>
    <row r="10562" s="2" customFormat="1"/>
    <row r="10563" s="2" customFormat="1"/>
    <row r="10564" s="2" customFormat="1"/>
    <row r="10565" s="2" customFormat="1"/>
    <row r="10566" s="2" customFormat="1"/>
    <row r="10567" s="2" customFormat="1"/>
    <row r="10568" s="2" customFormat="1"/>
    <row r="10569" s="2" customFormat="1"/>
    <row r="10570" s="2" customFormat="1"/>
    <row r="10571" s="2" customFormat="1"/>
    <row r="10572" s="2" customFormat="1"/>
    <row r="10573" s="2" customFormat="1"/>
    <row r="10574" s="2" customFormat="1"/>
    <row r="10575" s="2" customFormat="1"/>
    <row r="10576" s="2" customFormat="1"/>
    <row r="10577" s="2" customFormat="1"/>
    <row r="10578" s="2" customFormat="1"/>
    <row r="10579" s="2" customFormat="1"/>
    <row r="10580" s="2" customFormat="1"/>
    <row r="10581" s="2" customFormat="1"/>
    <row r="10582" s="2" customFormat="1"/>
    <row r="10583" s="2" customFormat="1"/>
    <row r="10584" s="2" customFormat="1"/>
    <row r="10585" s="2" customFormat="1"/>
    <row r="10586" s="2" customFormat="1"/>
    <row r="10587" s="2" customFormat="1"/>
    <row r="10588" s="2" customFormat="1"/>
    <row r="10589" s="2" customFormat="1"/>
    <row r="10590" s="2" customFormat="1"/>
    <row r="10591" s="2" customFormat="1"/>
    <row r="10592" s="2" customFormat="1"/>
    <row r="10593" s="2" customFormat="1"/>
    <row r="10594" s="2" customFormat="1"/>
    <row r="10595" s="2" customFormat="1"/>
    <row r="10596" s="2" customFormat="1"/>
    <row r="10597" s="2" customFormat="1"/>
    <row r="10598" s="2" customFormat="1"/>
    <row r="10599" s="2" customFormat="1"/>
    <row r="10600" s="2" customFormat="1"/>
    <row r="10601" s="2" customFormat="1"/>
    <row r="10602" s="2" customFormat="1"/>
    <row r="10603" s="2" customFormat="1"/>
    <row r="10604" s="2" customFormat="1"/>
    <row r="10605" s="2" customFormat="1"/>
    <row r="10606" s="2" customFormat="1"/>
    <row r="10607" s="2" customFormat="1"/>
    <row r="10608" s="2" customFormat="1"/>
    <row r="10609" s="2" customFormat="1"/>
    <row r="10610" s="2" customFormat="1"/>
    <row r="10611" s="2" customFormat="1"/>
    <row r="10612" s="2" customFormat="1"/>
    <row r="10613" s="2" customFormat="1"/>
    <row r="10614" s="2" customFormat="1"/>
    <row r="10615" s="2" customFormat="1"/>
    <row r="10616" s="2" customFormat="1"/>
    <row r="10617" s="2" customFormat="1"/>
    <row r="10618" s="2" customFormat="1"/>
    <row r="10619" s="2" customFormat="1"/>
    <row r="10620" s="2" customFormat="1"/>
    <row r="10621" s="2" customFormat="1"/>
    <row r="10622" s="2" customFormat="1"/>
    <row r="10623" s="2" customFormat="1"/>
    <row r="10624" s="2" customFormat="1"/>
    <row r="10625" s="2" customFormat="1"/>
    <row r="10626" s="2" customFormat="1"/>
    <row r="10627" s="2" customFormat="1"/>
    <row r="10628" s="2" customFormat="1"/>
    <row r="10629" s="2" customFormat="1"/>
    <row r="10630" s="2" customFormat="1"/>
    <row r="10631" s="2" customFormat="1"/>
    <row r="10632" s="2" customFormat="1"/>
    <row r="10633" s="2" customFormat="1"/>
    <row r="10634" s="2" customFormat="1"/>
    <row r="10635" s="2" customFormat="1"/>
    <row r="10636" s="2" customFormat="1"/>
    <row r="10637" s="2" customFormat="1"/>
    <row r="10638" s="2" customFormat="1"/>
    <row r="10639" s="2" customFormat="1"/>
    <row r="10640" s="2" customFormat="1"/>
    <row r="10641" s="2" customFormat="1"/>
    <row r="10642" s="2" customFormat="1"/>
    <row r="10643" s="2" customFormat="1"/>
    <row r="10644" s="2" customFormat="1"/>
    <row r="10645" s="2" customFormat="1"/>
    <row r="10646" s="2" customFormat="1"/>
    <row r="10647" s="2" customFormat="1"/>
    <row r="10648" s="2" customFormat="1"/>
    <row r="10649" s="2" customFormat="1"/>
    <row r="10650" s="2" customFormat="1"/>
    <row r="10651" s="2" customFormat="1"/>
    <row r="10652" s="2" customFormat="1"/>
    <row r="10653" s="2" customFormat="1"/>
    <row r="10654" s="2" customFormat="1"/>
    <row r="10655" s="2" customFormat="1"/>
    <row r="10656" s="2" customFormat="1"/>
    <row r="10657" s="2" customFormat="1"/>
    <row r="10658" s="2" customFormat="1"/>
    <row r="10659" s="2" customFormat="1"/>
    <row r="10660" s="2" customFormat="1"/>
    <row r="10661" s="2" customFormat="1"/>
    <row r="10662" s="2" customFormat="1"/>
    <row r="10663" s="2" customFormat="1"/>
    <row r="10664" s="2" customFormat="1"/>
    <row r="10665" s="2" customFormat="1"/>
    <row r="10666" s="2" customFormat="1"/>
    <row r="10667" s="2" customFormat="1"/>
    <row r="10668" s="2" customFormat="1"/>
    <row r="10669" s="2" customFormat="1"/>
    <row r="10670" s="2" customFormat="1"/>
    <row r="10671" s="2" customFormat="1"/>
    <row r="10672" s="2" customFormat="1"/>
    <row r="10673" s="2" customFormat="1"/>
    <row r="10674" s="2" customFormat="1"/>
    <row r="10675" s="2" customFormat="1"/>
    <row r="10676" s="2" customFormat="1"/>
    <row r="10677" s="2" customFormat="1"/>
    <row r="10678" s="2" customFormat="1"/>
    <row r="10679" s="2" customFormat="1"/>
    <row r="10680" s="2" customFormat="1"/>
    <row r="10681" s="2" customFormat="1"/>
    <row r="10682" s="2" customFormat="1"/>
    <row r="10683" s="2" customFormat="1"/>
    <row r="10684" s="2" customFormat="1"/>
    <row r="10685" s="2" customFormat="1"/>
    <row r="10686" s="2" customFormat="1"/>
    <row r="10687" s="2" customFormat="1"/>
    <row r="10688" s="2" customFormat="1"/>
    <row r="10689" s="2" customFormat="1"/>
    <row r="10690" s="2" customFormat="1"/>
    <row r="10691" s="2" customFormat="1"/>
    <row r="10692" s="2" customFormat="1"/>
    <row r="10693" s="2" customFormat="1"/>
    <row r="10694" s="2" customFormat="1"/>
    <row r="10695" s="2" customFormat="1"/>
    <row r="10696" s="2" customFormat="1"/>
    <row r="10697" s="2" customFormat="1"/>
    <row r="10698" s="2" customFormat="1"/>
    <row r="10699" s="2" customFormat="1"/>
    <row r="10700" s="2" customFormat="1"/>
    <row r="10701" s="2" customFormat="1"/>
    <row r="10702" s="2" customFormat="1"/>
    <row r="10703" s="2" customFormat="1"/>
    <row r="10704" s="2" customFormat="1"/>
    <row r="10705" s="2" customFormat="1"/>
    <row r="10706" s="2" customFormat="1"/>
    <row r="10707" s="2" customFormat="1"/>
    <row r="10708" s="2" customFormat="1"/>
    <row r="10709" s="2" customFormat="1"/>
    <row r="10710" s="2" customFormat="1"/>
    <row r="10711" s="2" customFormat="1"/>
    <row r="10712" s="2" customFormat="1"/>
    <row r="10713" s="2" customFormat="1"/>
    <row r="10714" s="2" customFormat="1"/>
    <row r="10715" s="2" customFormat="1"/>
    <row r="10716" s="2" customFormat="1"/>
    <row r="10717" s="2" customFormat="1"/>
    <row r="10718" s="2" customFormat="1"/>
    <row r="10719" s="2" customFormat="1"/>
    <row r="10720" s="2" customFormat="1"/>
    <row r="10721" s="2" customFormat="1"/>
    <row r="10722" s="2" customFormat="1"/>
    <row r="10723" s="2" customFormat="1"/>
    <row r="10724" s="2" customFormat="1"/>
    <row r="10725" s="2" customFormat="1"/>
    <row r="10726" s="2" customFormat="1"/>
    <row r="10727" s="2" customFormat="1"/>
    <row r="10728" s="2" customFormat="1"/>
    <row r="10729" s="2" customFormat="1"/>
    <row r="10730" s="2" customFormat="1"/>
    <row r="10731" s="2" customFormat="1"/>
    <row r="10732" s="2" customFormat="1"/>
    <row r="10733" s="2" customFormat="1"/>
    <row r="10734" s="2" customFormat="1"/>
    <row r="10735" s="2" customFormat="1"/>
    <row r="10736" s="2" customFormat="1"/>
    <row r="10737" s="2" customFormat="1"/>
    <row r="10738" s="2" customFormat="1"/>
    <row r="10739" s="2" customFormat="1"/>
    <row r="10740" s="2" customFormat="1"/>
    <row r="10741" s="2" customFormat="1"/>
    <row r="10742" s="2" customFormat="1"/>
    <row r="10743" s="2" customFormat="1"/>
    <row r="10744" s="2" customFormat="1"/>
    <row r="10745" s="2" customFormat="1"/>
    <row r="10746" s="2" customFormat="1"/>
    <row r="10747" s="2" customFormat="1"/>
    <row r="10748" s="2" customFormat="1"/>
    <row r="10749" s="2" customFormat="1"/>
    <row r="10750" s="2" customFormat="1"/>
    <row r="10751" s="2" customFormat="1"/>
    <row r="10752" s="2" customFormat="1"/>
    <row r="10753" s="2" customFormat="1"/>
    <row r="10754" s="2" customFormat="1"/>
    <row r="10755" s="2" customFormat="1"/>
    <row r="10756" s="2" customFormat="1"/>
    <row r="10757" s="2" customFormat="1"/>
    <row r="10758" s="2" customFormat="1"/>
    <row r="10759" s="2" customFormat="1"/>
    <row r="10760" s="2" customFormat="1"/>
    <row r="10761" s="2" customFormat="1"/>
    <row r="10762" s="2" customFormat="1"/>
    <row r="10763" s="2" customFormat="1"/>
    <row r="10764" s="2" customFormat="1"/>
    <row r="10765" s="2" customFormat="1"/>
    <row r="10766" s="2" customFormat="1"/>
    <row r="10767" s="2" customFormat="1"/>
    <row r="10768" s="2" customFormat="1"/>
    <row r="10769" s="2" customFormat="1"/>
    <row r="10770" s="2" customFormat="1"/>
    <row r="10771" s="2" customFormat="1"/>
    <row r="10772" s="2" customFormat="1"/>
    <row r="10773" s="2" customFormat="1"/>
    <row r="10774" s="2" customFormat="1"/>
    <row r="10775" s="2" customFormat="1"/>
    <row r="10776" s="2" customFormat="1"/>
    <row r="10777" s="2" customFormat="1"/>
    <row r="10778" s="2" customFormat="1"/>
    <row r="10779" s="2" customFormat="1"/>
    <row r="10780" s="2" customFormat="1"/>
    <row r="10781" s="2" customFormat="1"/>
    <row r="10782" s="2" customFormat="1"/>
    <row r="10783" s="2" customFormat="1"/>
    <row r="10784" s="2" customFormat="1"/>
    <row r="10785" s="2" customFormat="1"/>
    <row r="10786" s="2" customFormat="1"/>
    <row r="10787" s="2" customFormat="1"/>
    <row r="10788" s="2" customFormat="1"/>
    <row r="10789" s="2" customFormat="1"/>
    <row r="10790" s="2" customFormat="1"/>
    <row r="10791" s="2" customFormat="1"/>
    <row r="10792" s="2" customFormat="1"/>
    <row r="10793" s="2" customFormat="1"/>
    <row r="10794" s="2" customFormat="1"/>
    <row r="10795" s="2" customFormat="1"/>
    <row r="10796" s="2" customFormat="1"/>
    <row r="10797" s="2" customFormat="1"/>
    <row r="10798" s="2" customFormat="1"/>
    <row r="10799" s="2" customFormat="1"/>
    <row r="10800" s="2" customFormat="1"/>
    <row r="10801" s="2" customFormat="1"/>
    <row r="10802" s="2" customFormat="1"/>
    <row r="10803" s="2" customFormat="1"/>
    <row r="10804" s="2" customFormat="1"/>
    <row r="10805" s="2" customFormat="1"/>
    <row r="10806" s="2" customFormat="1"/>
    <row r="10807" s="2" customFormat="1"/>
    <row r="10808" s="2" customFormat="1"/>
    <row r="10809" s="2" customFormat="1"/>
    <row r="10810" s="2" customFormat="1"/>
    <row r="10811" s="2" customFormat="1"/>
    <row r="10812" s="2" customFormat="1"/>
    <row r="10813" s="2" customFormat="1"/>
    <row r="10814" s="2" customFormat="1"/>
    <row r="10815" s="2" customFormat="1"/>
    <row r="10816" s="2" customFormat="1"/>
    <row r="10817" s="2" customFormat="1"/>
    <row r="10818" s="2" customFormat="1"/>
    <row r="10819" s="2" customFormat="1"/>
    <row r="10820" s="2" customFormat="1"/>
    <row r="10821" s="2" customFormat="1"/>
    <row r="10822" s="2" customFormat="1"/>
    <row r="10823" s="2" customFormat="1"/>
    <row r="10824" s="2" customFormat="1"/>
    <row r="10825" s="2" customFormat="1"/>
    <row r="10826" s="2" customFormat="1"/>
    <row r="10827" s="2" customFormat="1"/>
    <row r="10828" s="2" customFormat="1"/>
    <row r="10829" s="2" customFormat="1"/>
    <row r="10830" s="2" customFormat="1"/>
    <row r="10831" s="2" customFormat="1"/>
    <row r="10832" s="2" customFormat="1"/>
    <row r="10833" s="2" customFormat="1"/>
    <row r="10834" s="2" customFormat="1"/>
    <row r="10835" s="2" customFormat="1"/>
    <row r="10836" s="2" customFormat="1"/>
    <row r="10837" s="2" customFormat="1"/>
    <row r="10838" s="2" customFormat="1"/>
    <row r="10839" s="2" customFormat="1"/>
    <row r="10840" s="2" customFormat="1"/>
    <row r="10841" s="2" customFormat="1"/>
    <row r="10842" s="2" customFormat="1"/>
    <row r="10843" s="2" customFormat="1"/>
    <row r="10844" s="2" customFormat="1"/>
    <row r="10845" s="2" customFormat="1"/>
    <row r="10846" s="2" customFormat="1"/>
    <row r="10847" s="2" customFormat="1"/>
    <row r="10848" s="2" customFormat="1"/>
    <row r="10849" s="2" customFormat="1"/>
    <row r="10850" s="2" customFormat="1"/>
    <row r="10851" s="2" customFormat="1"/>
    <row r="10852" s="2" customFormat="1"/>
    <row r="10853" s="2" customFormat="1"/>
    <row r="10854" s="2" customFormat="1"/>
    <row r="10855" s="2" customFormat="1"/>
    <row r="10856" s="2" customFormat="1"/>
    <row r="10857" s="2" customFormat="1"/>
    <row r="10858" s="2" customFormat="1"/>
    <row r="10859" s="2" customFormat="1"/>
    <row r="10860" s="2" customFormat="1"/>
    <row r="10861" s="2" customFormat="1"/>
    <row r="10862" s="2" customFormat="1"/>
    <row r="10863" s="2" customFormat="1"/>
    <row r="10864" s="2" customFormat="1"/>
    <row r="10865" s="2" customFormat="1"/>
    <row r="10866" s="2" customFormat="1"/>
    <row r="10867" s="2" customFormat="1"/>
    <row r="10868" s="2" customFormat="1"/>
    <row r="10869" s="2" customFormat="1"/>
    <row r="10870" s="2" customFormat="1"/>
    <row r="10871" s="2" customFormat="1"/>
    <row r="10872" s="2" customFormat="1"/>
    <row r="10873" s="2" customFormat="1"/>
    <row r="10874" s="2" customFormat="1"/>
    <row r="10875" s="2" customFormat="1"/>
    <row r="10876" s="2" customFormat="1"/>
    <row r="10877" s="2" customFormat="1"/>
    <row r="10878" s="2" customFormat="1"/>
    <row r="10879" s="2" customFormat="1"/>
    <row r="10880" s="2" customFormat="1"/>
    <row r="10881" s="2" customFormat="1"/>
    <row r="10882" s="2" customFormat="1"/>
    <row r="10883" s="2" customFormat="1"/>
    <row r="10884" s="2" customFormat="1"/>
    <row r="10885" s="2" customFormat="1"/>
    <row r="10886" s="2" customFormat="1"/>
    <row r="10887" s="2" customFormat="1"/>
    <row r="10888" s="2" customFormat="1"/>
    <row r="10889" s="2" customFormat="1"/>
    <row r="10890" s="2" customFormat="1"/>
    <row r="10891" s="2" customFormat="1"/>
    <row r="10892" s="2" customFormat="1"/>
    <row r="10893" s="2" customFormat="1"/>
    <row r="10894" s="2" customFormat="1"/>
    <row r="10895" s="2" customFormat="1"/>
    <row r="10896" s="2" customFormat="1"/>
    <row r="10897" s="2" customFormat="1"/>
    <row r="10898" s="2" customFormat="1"/>
    <row r="10899" s="2" customFormat="1"/>
    <row r="10900" s="2" customFormat="1"/>
    <row r="10901" s="2" customFormat="1"/>
    <row r="10902" s="2" customFormat="1"/>
    <row r="10903" s="2" customFormat="1"/>
    <row r="10904" s="2" customFormat="1"/>
    <row r="10905" s="2" customFormat="1"/>
    <row r="10906" s="2" customFormat="1"/>
    <row r="10907" s="2" customFormat="1"/>
    <row r="10908" s="2" customFormat="1"/>
    <row r="10909" s="2" customFormat="1"/>
    <row r="10910" s="2" customFormat="1"/>
    <row r="10911" s="2" customFormat="1"/>
    <row r="10912" s="2" customFormat="1"/>
    <row r="10913" s="2" customFormat="1"/>
    <row r="10914" s="2" customFormat="1"/>
    <row r="10915" s="2" customFormat="1"/>
    <row r="10916" s="2" customFormat="1"/>
    <row r="10917" s="2" customFormat="1"/>
    <row r="10918" s="2" customFormat="1"/>
    <row r="10919" s="2" customFormat="1"/>
    <row r="10920" s="2" customFormat="1"/>
    <row r="10921" s="2" customFormat="1"/>
    <row r="10922" s="2" customFormat="1"/>
    <row r="10923" s="2" customFormat="1"/>
    <row r="10924" s="2" customFormat="1"/>
    <row r="10925" s="2" customFormat="1"/>
    <row r="10926" s="2" customFormat="1"/>
    <row r="10927" s="2" customFormat="1"/>
    <row r="10928" s="2" customFormat="1"/>
    <row r="10929" s="2" customFormat="1"/>
    <row r="10930" s="2" customFormat="1"/>
    <row r="10931" s="2" customFormat="1"/>
    <row r="10932" s="2" customFormat="1"/>
    <row r="10933" s="2" customFormat="1"/>
    <row r="10934" s="2" customFormat="1"/>
    <row r="10935" s="2" customFormat="1"/>
    <row r="10936" s="2" customFormat="1"/>
    <row r="10937" s="2" customFormat="1"/>
    <row r="10938" s="2" customFormat="1"/>
    <row r="10939" s="2" customFormat="1"/>
    <row r="10940" s="2" customFormat="1"/>
    <row r="10941" s="2" customFormat="1"/>
    <row r="10942" s="2" customFormat="1"/>
    <row r="10943" s="2" customFormat="1"/>
    <row r="10944" s="2" customFormat="1"/>
    <row r="10945" s="2" customFormat="1"/>
    <row r="10946" s="2" customFormat="1"/>
    <row r="10947" s="2" customFormat="1"/>
    <row r="10948" s="2" customFormat="1"/>
    <row r="10949" s="2" customFormat="1"/>
    <row r="10950" s="2" customFormat="1"/>
    <row r="10951" s="2" customFormat="1"/>
    <row r="10952" s="2" customFormat="1"/>
    <row r="10953" s="2" customFormat="1"/>
    <row r="10954" s="2" customFormat="1"/>
    <row r="10955" s="2" customFormat="1"/>
    <row r="10956" s="2" customFormat="1"/>
    <row r="10957" s="2" customFormat="1"/>
    <row r="10958" s="2" customFormat="1"/>
    <row r="10959" s="2" customFormat="1"/>
    <row r="10960" s="2" customFormat="1"/>
    <row r="10961" s="2" customFormat="1"/>
    <row r="10962" s="2" customFormat="1"/>
    <row r="10963" s="2" customFormat="1"/>
    <row r="10964" s="2" customFormat="1"/>
    <row r="10965" s="2" customFormat="1"/>
    <row r="10966" s="2" customFormat="1"/>
    <row r="10967" s="2" customFormat="1"/>
    <row r="10968" s="2" customFormat="1"/>
    <row r="10969" s="2" customFormat="1"/>
    <row r="10970" s="2" customFormat="1"/>
    <row r="10971" s="2" customFormat="1"/>
    <row r="10972" s="2" customFormat="1"/>
    <row r="10973" s="2" customFormat="1"/>
    <row r="10974" s="2" customFormat="1"/>
    <row r="10975" s="2" customFormat="1"/>
    <row r="10976" s="2" customFormat="1"/>
    <row r="10977" s="2" customFormat="1"/>
    <row r="10978" s="2" customFormat="1"/>
    <row r="10979" s="2" customFormat="1"/>
    <row r="10980" s="2" customFormat="1"/>
    <row r="10981" s="2" customFormat="1"/>
    <row r="10982" s="2" customFormat="1"/>
    <row r="10983" s="2" customFormat="1"/>
    <row r="10984" s="2" customFormat="1"/>
    <row r="10985" s="2" customFormat="1"/>
    <row r="10986" s="2" customFormat="1"/>
    <row r="10987" s="2" customFormat="1"/>
    <row r="10988" s="2" customFormat="1"/>
    <row r="10989" s="2" customFormat="1"/>
    <row r="10990" s="2" customFormat="1"/>
    <row r="10991" s="2" customFormat="1"/>
    <row r="10992" s="2" customFormat="1"/>
    <row r="10993" s="2" customFormat="1"/>
    <row r="10994" s="2" customFormat="1"/>
    <row r="10995" s="2" customFormat="1"/>
    <row r="10996" s="2" customFormat="1"/>
    <row r="10997" s="2" customFormat="1"/>
    <row r="10998" s="2" customFormat="1"/>
    <row r="10999" s="2" customFormat="1"/>
    <row r="11000" s="2" customFormat="1"/>
    <row r="11001" s="2" customFormat="1"/>
    <row r="11002" s="2" customFormat="1"/>
    <row r="11003" s="2" customFormat="1"/>
    <row r="11004" s="2" customFormat="1"/>
    <row r="11005" s="2" customFormat="1"/>
    <row r="11006" s="2" customFormat="1"/>
    <row r="11007" s="2" customFormat="1"/>
    <row r="11008" s="2" customFormat="1"/>
    <row r="11009" s="2" customFormat="1"/>
    <row r="11010" s="2" customFormat="1"/>
    <row r="11011" s="2" customFormat="1"/>
    <row r="11012" s="2" customFormat="1"/>
    <row r="11013" s="2" customFormat="1"/>
    <row r="11014" s="2" customFormat="1"/>
    <row r="11015" s="2" customFormat="1"/>
    <row r="11016" s="2" customFormat="1"/>
    <row r="11017" s="2" customFormat="1"/>
    <row r="11018" s="2" customFormat="1"/>
    <row r="11019" s="2" customFormat="1"/>
    <row r="11020" s="2" customFormat="1"/>
    <row r="11021" s="2" customFormat="1"/>
    <row r="11022" s="2" customFormat="1"/>
    <row r="11023" s="2" customFormat="1"/>
    <row r="11024" s="2" customFormat="1"/>
    <row r="11025" s="2" customFormat="1"/>
    <row r="11026" s="2" customFormat="1"/>
    <row r="11027" s="2" customFormat="1"/>
    <row r="11028" s="2" customFormat="1"/>
    <row r="11029" s="2" customFormat="1"/>
    <row r="11030" s="2" customFormat="1"/>
    <row r="11031" s="2" customFormat="1"/>
    <row r="11032" s="2" customFormat="1"/>
    <row r="11033" s="2" customFormat="1"/>
    <row r="11034" s="2" customFormat="1"/>
    <row r="11035" s="2" customFormat="1"/>
    <row r="11036" s="2" customFormat="1"/>
    <row r="11037" s="2" customFormat="1"/>
    <row r="11038" s="2" customFormat="1"/>
    <row r="11039" s="2" customFormat="1"/>
    <row r="11040" s="2" customFormat="1"/>
    <row r="11041" s="2" customFormat="1"/>
    <row r="11042" s="2" customFormat="1"/>
    <row r="11043" s="2" customFormat="1"/>
    <row r="11044" s="2" customFormat="1"/>
    <row r="11045" s="2" customFormat="1"/>
    <row r="11046" s="2" customFormat="1"/>
    <row r="11047" s="2" customFormat="1"/>
    <row r="11048" s="2" customFormat="1"/>
    <row r="11049" s="2" customFormat="1"/>
    <row r="11050" s="2" customFormat="1"/>
    <row r="11051" s="2" customFormat="1"/>
    <row r="11052" s="2" customFormat="1"/>
    <row r="11053" s="2" customFormat="1"/>
    <row r="11054" s="2" customFormat="1"/>
    <row r="11055" s="2" customFormat="1"/>
    <row r="11056" s="2" customFormat="1"/>
    <row r="11057" s="2" customFormat="1"/>
    <row r="11058" s="2" customFormat="1"/>
    <row r="11059" s="2" customFormat="1"/>
    <row r="11060" s="2" customFormat="1"/>
    <row r="11061" s="2" customFormat="1"/>
    <row r="11062" s="2" customFormat="1"/>
    <row r="11063" s="2" customFormat="1"/>
    <row r="11064" s="2" customFormat="1"/>
    <row r="11065" s="2" customFormat="1"/>
    <row r="11066" s="2" customFormat="1"/>
    <row r="11067" s="2" customFormat="1"/>
    <row r="11068" s="2" customFormat="1"/>
    <row r="11069" s="2" customFormat="1"/>
    <row r="11070" s="2" customFormat="1"/>
    <row r="11071" s="2" customFormat="1"/>
    <row r="11072" s="2" customFormat="1"/>
    <row r="11073" s="2" customFormat="1"/>
    <row r="11074" s="2" customFormat="1"/>
    <row r="11075" s="2" customFormat="1"/>
    <row r="11076" s="2" customFormat="1"/>
    <row r="11077" s="2" customFormat="1"/>
    <row r="11078" s="2" customFormat="1"/>
    <row r="11079" s="2" customFormat="1"/>
    <row r="11080" s="2" customFormat="1"/>
    <row r="11081" s="2" customFormat="1"/>
    <row r="11082" s="2" customFormat="1"/>
    <row r="11083" s="2" customFormat="1"/>
    <row r="11084" s="2" customFormat="1"/>
    <row r="11085" s="2" customFormat="1"/>
    <row r="11086" s="2" customFormat="1"/>
    <row r="11087" s="2" customFormat="1"/>
    <row r="11088" s="2" customFormat="1"/>
    <row r="11089" s="2" customFormat="1"/>
    <row r="11090" s="2" customFormat="1"/>
    <row r="11091" s="2" customFormat="1"/>
    <row r="11092" s="2" customFormat="1"/>
    <row r="11093" s="2" customFormat="1"/>
    <row r="11094" s="2" customFormat="1"/>
    <row r="11095" s="2" customFormat="1"/>
    <row r="11096" s="2" customFormat="1"/>
    <row r="11097" s="2" customFormat="1"/>
    <row r="11098" s="2" customFormat="1"/>
    <row r="11099" s="2" customFormat="1"/>
    <row r="11100" s="2" customFormat="1"/>
    <row r="11101" s="2" customFormat="1"/>
    <row r="11102" s="2" customFormat="1"/>
    <row r="11103" s="2" customFormat="1"/>
    <row r="11104" s="2" customFormat="1"/>
    <row r="11105" s="2" customFormat="1"/>
    <row r="11106" s="2" customFormat="1"/>
    <row r="11107" s="2" customFormat="1"/>
    <row r="11108" s="2" customFormat="1"/>
    <row r="11109" s="2" customFormat="1"/>
    <row r="11110" s="2" customFormat="1"/>
    <row r="11111" s="2" customFormat="1"/>
    <row r="11112" s="2" customFormat="1"/>
    <row r="11113" s="2" customFormat="1"/>
    <row r="11114" s="2" customFormat="1"/>
    <row r="11115" s="2" customFormat="1"/>
    <row r="11116" s="2" customFormat="1"/>
    <row r="11117" s="2" customFormat="1"/>
    <row r="11118" s="2" customFormat="1"/>
    <row r="11119" s="2" customFormat="1"/>
    <row r="11120" s="2" customFormat="1"/>
    <row r="11121" s="2" customFormat="1"/>
    <row r="11122" s="2" customFormat="1"/>
    <row r="11123" s="2" customFormat="1"/>
    <row r="11124" s="2" customFormat="1"/>
    <row r="11125" s="2" customFormat="1"/>
    <row r="11126" s="2" customFormat="1"/>
    <row r="11127" s="2" customFormat="1"/>
    <row r="11128" s="2" customFormat="1"/>
    <row r="11129" s="2" customFormat="1"/>
    <row r="11130" s="2" customFormat="1"/>
    <row r="11131" s="2" customFormat="1"/>
    <row r="11132" s="2" customFormat="1"/>
    <row r="11133" s="2" customFormat="1"/>
    <row r="11134" s="2" customFormat="1"/>
    <row r="11135" s="2" customFormat="1"/>
    <row r="11136" s="2" customFormat="1"/>
    <row r="11137" s="2" customFormat="1"/>
    <row r="11138" s="2" customFormat="1"/>
    <row r="11139" s="2" customFormat="1"/>
    <row r="11140" s="2" customFormat="1"/>
    <row r="11141" s="2" customFormat="1"/>
    <row r="11142" s="2" customFormat="1"/>
    <row r="11143" s="2" customFormat="1"/>
    <row r="11144" s="2" customFormat="1"/>
    <row r="11145" s="2" customFormat="1"/>
    <row r="11146" s="2" customFormat="1"/>
    <row r="11147" s="2" customFormat="1"/>
    <row r="11148" s="2" customFormat="1"/>
    <row r="11149" s="2" customFormat="1"/>
    <row r="11150" s="2" customFormat="1"/>
    <row r="11151" s="2" customFormat="1"/>
    <row r="11152" s="2" customFormat="1"/>
    <row r="11153" s="2" customFormat="1"/>
    <row r="11154" s="2" customFormat="1"/>
    <row r="11155" s="2" customFormat="1"/>
    <row r="11156" s="2" customFormat="1"/>
    <row r="11157" s="2" customFormat="1"/>
    <row r="11158" s="2" customFormat="1"/>
    <row r="11159" s="2" customFormat="1"/>
    <row r="11160" s="2" customFormat="1"/>
    <row r="11161" s="2" customFormat="1"/>
    <row r="11162" s="2" customFormat="1"/>
    <row r="11163" s="2" customFormat="1"/>
    <row r="11164" s="2" customFormat="1"/>
    <row r="11165" s="2" customFormat="1"/>
    <row r="11166" s="2" customFormat="1"/>
    <row r="11167" s="2" customFormat="1"/>
    <row r="11168" s="2" customFormat="1"/>
    <row r="11169" s="2" customFormat="1"/>
    <row r="11170" s="2" customFormat="1"/>
    <row r="11171" s="2" customFormat="1"/>
    <row r="11172" s="2" customFormat="1"/>
    <row r="11173" s="2" customFormat="1"/>
    <row r="11174" s="2" customFormat="1"/>
    <row r="11175" s="2" customFormat="1"/>
    <row r="11176" s="2" customFormat="1"/>
    <row r="11177" s="2" customFormat="1"/>
    <row r="11178" s="2" customFormat="1"/>
    <row r="11179" s="2" customFormat="1"/>
    <row r="11180" s="2" customFormat="1"/>
    <row r="11181" s="2" customFormat="1"/>
    <row r="11182" s="2" customFormat="1"/>
    <row r="11183" s="2" customFormat="1"/>
    <row r="11184" s="2" customFormat="1"/>
    <row r="11185" s="2" customFormat="1"/>
    <row r="11186" s="2" customFormat="1"/>
    <row r="11187" s="2" customFormat="1"/>
    <row r="11188" s="2" customFormat="1"/>
    <row r="11189" s="2" customFormat="1"/>
    <row r="11190" s="2" customFormat="1"/>
    <row r="11191" s="2" customFormat="1"/>
    <row r="11192" s="2" customFormat="1"/>
    <row r="11193" s="2" customFormat="1"/>
    <row r="11194" s="2" customFormat="1"/>
    <row r="11195" s="2" customFormat="1"/>
    <row r="11196" s="2" customFormat="1"/>
    <row r="11197" s="2" customFormat="1"/>
    <row r="11198" s="2" customFormat="1"/>
    <row r="11199" s="2" customFormat="1"/>
    <row r="11200" s="2" customFormat="1"/>
    <row r="11201" s="2" customFormat="1"/>
    <row r="11202" s="2" customFormat="1"/>
    <row r="11203" s="2" customFormat="1"/>
    <row r="11204" s="2" customFormat="1"/>
    <row r="11205" s="2" customFormat="1"/>
    <row r="11206" s="2" customFormat="1"/>
    <row r="11207" s="2" customFormat="1"/>
    <row r="11208" s="2" customFormat="1"/>
    <row r="11209" s="2" customFormat="1"/>
    <row r="11210" s="2" customFormat="1"/>
    <row r="11211" s="2" customFormat="1"/>
    <row r="11212" s="2" customFormat="1"/>
    <row r="11213" s="2" customFormat="1"/>
    <row r="11214" s="2" customFormat="1"/>
    <row r="11215" s="2" customFormat="1"/>
    <row r="11216" s="2" customFormat="1"/>
    <row r="11217" s="2" customFormat="1"/>
    <row r="11218" s="2" customFormat="1"/>
    <row r="11219" s="2" customFormat="1"/>
    <row r="11220" s="2" customFormat="1"/>
    <row r="11221" s="2" customFormat="1"/>
    <row r="11222" s="2" customFormat="1"/>
    <row r="11223" s="2" customFormat="1"/>
    <row r="11224" s="2" customFormat="1"/>
    <row r="11225" s="2" customFormat="1"/>
    <row r="11226" s="2" customFormat="1"/>
    <row r="11227" s="2" customFormat="1"/>
    <row r="11228" s="2" customFormat="1"/>
    <row r="11229" s="2" customFormat="1"/>
    <row r="11230" s="2" customFormat="1"/>
    <row r="11231" s="2" customFormat="1"/>
    <row r="11232" s="2" customFormat="1"/>
    <row r="11233" s="2" customFormat="1"/>
    <row r="11234" s="2" customFormat="1"/>
    <row r="11235" s="2" customFormat="1"/>
    <row r="11236" s="2" customFormat="1"/>
    <row r="11237" s="2" customFormat="1"/>
    <row r="11238" s="2" customFormat="1"/>
    <row r="11239" s="2" customFormat="1"/>
    <row r="11240" s="2" customFormat="1"/>
    <row r="11241" s="2" customFormat="1"/>
    <row r="11242" s="2" customFormat="1"/>
    <row r="11243" s="2" customFormat="1"/>
    <row r="11244" s="2" customFormat="1"/>
    <row r="11245" s="2" customFormat="1"/>
    <row r="11246" s="2" customFormat="1"/>
    <row r="11247" s="2" customFormat="1"/>
    <row r="11248" s="2" customFormat="1"/>
    <row r="11249" s="2" customFormat="1"/>
    <row r="11250" s="2" customFormat="1"/>
    <row r="11251" s="2" customFormat="1"/>
    <row r="11252" s="2" customFormat="1"/>
    <row r="11253" s="2" customFormat="1"/>
    <row r="11254" s="2" customFormat="1"/>
    <row r="11255" s="2" customFormat="1"/>
    <row r="11256" s="2" customFormat="1"/>
    <row r="11257" s="2" customFormat="1"/>
    <row r="11258" s="2" customFormat="1"/>
    <row r="11259" s="2" customFormat="1"/>
    <row r="11260" s="2" customFormat="1"/>
    <row r="11261" s="2" customFormat="1"/>
    <row r="11262" s="2" customFormat="1"/>
    <row r="11263" s="2" customFormat="1"/>
    <row r="11264" s="2" customFormat="1"/>
    <row r="11265" s="2" customFormat="1"/>
    <row r="11266" s="2" customFormat="1"/>
    <row r="11267" s="2" customFormat="1"/>
    <row r="11268" s="2" customFormat="1"/>
    <row r="11269" s="2" customFormat="1"/>
    <row r="11270" s="2" customFormat="1"/>
    <row r="11271" s="2" customFormat="1"/>
    <row r="11272" s="2" customFormat="1"/>
    <row r="11273" s="2" customFormat="1"/>
    <row r="11274" s="2" customFormat="1"/>
    <row r="11275" s="2" customFormat="1"/>
    <row r="11276" s="2" customFormat="1"/>
    <row r="11277" s="2" customFormat="1"/>
    <row r="11278" s="2" customFormat="1"/>
    <row r="11279" s="2" customFormat="1"/>
    <row r="11280" s="2" customFormat="1"/>
    <row r="11281" s="2" customFormat="1"/>
    <row r="11282" s="2" customFormat="1"/>
    <row r="11283" s="2" customFormat="1"/>
    <row r="11284" s="2" customFormat="1"/>
    <row r="11285" s="2" customFormat="1"/>
    <row r="11286" s="2" customFormat="1"/>
    <row r="11287" s="2" customFormat="1"/>
    <row r="11288" s="2" customFormat="1"/>
    <row r="11289" s="2" customFormat="1"/>
    <row r="11290" s="2" customFormat="1"/>
    <row r="11291" s="2" customFormat="1"/>
    <row r="11292" s="2" customFormat="1"/>
    <row r="11293" s="2" customFormat="1"/>
    <row r="11294" s="2" customFormat="1"/>
    <row r="11295" s="2" customFormat="1"/>
    <row r="11296" s="2" customFormat="1"/>
    <row r="11297" s="2" customFormat="1"/>
    <row r="11298" s="2" customFormat="1"/>
    <row r="11299" s="2" customFormat="1"/>
    <row r="11300" s="2" customFormat="1"/>
    <row r="11301" s="2" customFormat="1"/>
    <row r="11302" s="2" customFormat="1"/>
    <row r="11303" s="2" customFormat="1"/>
    <row r="11304" s="2" customFormat="1"/>
    <row r="11305" s="2" customFormat="1"/>
    <row r="11306" s="2" customFormat="1"/>
    <row r="11307" s="2" customFormat="1"/>
    <row r="11308" s="2" customFormat="1"/>
    <row r="11309" s="2" customFormat="1"/>
    <row r="11310" s="2" customFormat="1"/>
    <row r="11311" s="2" customFormat="1"/>
    <row r="11312" s="2" customFormat="1"/>
    <row r="11313" s="2" customFormat="1"/>
    <row r="11314" s="2" customFormat="1"/>
    <row r="11315" s="2" customFormat="1"/>
    <row r="11316" s="2" customFormat="1"/>
    <row r="11317" s="2" customFormat="1"/>
    <row r="11318" s="2" customFormat="1"/>
    <row r="11319" s="2" customFormat="1"/>
    <row r="11320" s="2" customFormat="1"/>
    <row r="11321" s="2" customFormat="1"/>
    <row r="11322" s="2" customFormat="1"/>
    <row r="11323" s="2" customFormat="1"/>
    <row r="11324" s="2" customFormat="1"/>
    <row r="11325" s="2" customFormat="1"/>
    <row r="11326" s="2" customFormat="1"/>
    <row r="11327" s="2" customFormat="1"/>
    <row r="11328" s="2" customFormat="1"/>
    <row r="11329" s="2" customFormat="1"/>
    <row r="11330" s="2" customFormat="1"/>
    <row r="11331" s="2" customFormat="1"/>
    <row r="11332" s="2" customFormat="1"/>
    <row r="11333" s="2" customFormat="1"/>
    <row r="11334" s="2" customFormat="1"/>
    <row r="11335" s="2" customFormat="1"/>
    <row r="11336" s="2" customFormat="1"/>
    <row r="11337" s="2" customFormat="1"/>
    <row r="11338" s="2" customFormat="1"/>
    <row r="11339" s="2" customFormat="1"/>
    <row r="11340" s="2" customFormat="1"/>
    <row r="11341" s="2" customFormat="1"/>
    <row r="11342" s="2" customFormat="1"/>
    <row r="11343" s="2" customFormat="1"/>
    <row r="11344" s="2" customFormat="1"/>
    <row r="11345" s="2" customFormat="1"/>
    <row r="11346" s="2" customFormat="1"/>
    <row r="11347" s="2" customFormat="1"/>
    <row r="11348" s="2" customFormat="1"/>
    <row r="11349" s="2" customFormat="1"/>
    <row r="11350" s="2" customFormat="1"/>
    <row r="11351" s="2" customFormat="1"/>
    <row r="11352" s="2" customFormat="1"/>
    <row r="11353" s="2" customFormat="1"/>
    <row r="11354" s="2" customFormat="1"/>
    <row r="11355" s="2" customFormat="1"/>
    <row r="11356" s="2" customFormat="1"/>
    <row r="11357" s="2" customFormat="1"/>
    <row r="11358" s="2" customFormat="1"/>
    <row r="11359" s="2" customFormat="1"/>
    <row r="11360" s="2" customFormat="1"/>
    <row r="11361" s="2" customFormat="1"/>
    <row r="11362" s="2" customFormat="1"/>
    <row r="11363" s="2" customFormat="1"/>
    <row r="11364" s="2" customFormat="1"/>
    <row r="11365" s="2" customFormat="1"/>
    <row r="11366" s="2" customFormat="1"/>
    <row r="11367" s="2" customFormat="1"/>
    <row r="11368" s="2" customFormat="1"/>
    <row r="11369" s="2" customFormat="1"/>
    <row r="11370" s="2" customFormat="1"/>
    <row r="11371" s="2" customFormat="1"/>
    <row r="11372" s="2" customFormat="1"/>
    <row r="11373" s="2" customFormat="1"/>
    <row r="11374" s="2" customFormat="1"/>
    <row r="11375" s="2" customFormat="1"/>
    <row r="11376" s="2" customFormat="1"/>
    <row r="11377" s="2" customFormat="1"/>
    <row r="11378" s="2" customFormat="1"/>
    <row r="11379" s="2" customFormat="1"/>
    <row r="11380" s="2" customFormat="1"/>
    <row r="11381" s="2" customFormat="1"/>
    <row r="11382" s="2" customFormat="1"/>
    <row r="11383" s="2" customFormat="1"/>
    <row r="11384" s="2" customFormat="1"/>
    <row r="11385" s="2" customFormat="1"/>
    <row r="11386" s="2" customFormat="1"/>
    <row r="11387" s="2" customFormat="1"/>
    <row r="11388" s="2" customFormat="1"/>
    <row r="11389" s="2" customFormat="1"/>
    <row r="11390" s="2" customFormat="1"/>
    <row r="11391" s="2" customFormat="1"/>
    <row r="11392" s="2" customFormat="1"/>
    <row r="11393" s="2" customFormat="1"/>
    <row r="11394" s="2" customFormat="1"/>
    <row r="11395" s="2" customFormat="1"/>
    <row r="11396" s="2" customFormat="1"/>
    <row r="11397" s="2" customFormat="1"/>
    <row r="11398" s="2" customFormat="1"/>
    <row r="11399" s="2" customFormat="1"/>
    <row r="11400" s="2" customFormat="1"/>
    <row r="11401" s="2" customFormat="1"/>
    <row r="11402" s="2" customFormat="1"/>
    <row r="11403" s="2" customFormat="1"/>
    <row r="11404" s="2" customFormat="1"/>
    <row r="11405" s="2" customFormat="1"/>
    <row r="11406" s="2" customFormat="1"/>
    <row r="11407" s="2" customFormat="1"/>
    <row r="11408" s="2" customFormat="1"/>
    <row r="11409" s="2" customFormat="1"/>
    <row r="11410" s="2" customFormat="1"/>
    <row r="11411" s="2" customFormat="1"/>
    <row r="11412" s="2" customFormat="1"/>
    <row r="11413" s="2" customFormat="1"/>
    <row r="11414" s="2" customFormat="1"/>
    <row r="11415" s="2" customFormat="1"/>
    <row r="11416" s="2" customFormat="1"/>
    <row r="11417" s="2" customFormat="1"/>
    <row r="11418" s="2" customFormat="1"/>
    <row r="11419" s="2" customFormat="1"/>
    <row r="11420" s="2" customFormat="1"/>
    <row r="11421" s="2" customFormat="1"/>
    <row r="11422" s="2" customFormat="1"/>
    <row r="11423" s="2" customFormat="1"/>
    <row r="11424" s="2" customFormat="1"/>
    <row r="11425" s="2" customFormat="1"/>
    <row r="11426" s="2" customFormat="1"/>
    <row r="11427" s="2" customFormat="1"/>
    <row r="11428" s="2" customFormat="1"/>
    <row r="11429" s="2" customFormat="1"/>
    <row r="11430" s="2" customFormat="1"/>
    <row r="11431" s="2" customFormat="1"/>
    <row r="11432" s="2" customFormat="1"/>
    <row r="11433" s="2" customFormat="1"/>
    <row r="11434" s="2" customFormat="1"/>
    <row r="11435" s="2" customFormat="1"/>
    <row r="11436" s="2" customFormat="1"/>
    <row r="11437" s="2" customFormat="1"/>
    <row r="11438" s="2" customFormat="1"/>
    <row r="11439" s="2" customFormat="1"/>
    <row r="11440" s="2" customFormat="1"/>
    <row r="11441" s="2" customFormat="1"/>
    <row r="11442" s="2" customFormat="1"/>
    <row r="11443" s="2" customFormat="1"/>
    <row r="11444" s="2" customFormat="1"/>
    <row r="11445" s="2" customFormat="1"/>
    <row r="11446" s="2" customFormat="1"/>
    <row r="11447" s="2" customFormat="1"/>
    <row r="11448" s="2" customFormat="1"/>
    <row r="11449" s="2" customFormat="1"/>
    <row r="11450" s="2" customFormat="1"/>
    <row r="11451" s="2" customFormat="1"/>
    <row r="11452" s="2" customFormat="1"/>
    <row r="11453" s="2" customFormat="1"/>
    <row r="11454" s="2" customFormat="1"/>
    <row r="11455" s="2" customFormat="1"/>
    <row r="11456" s="2" customFormat="1"/>
    <row r="11457" s="2" customFormat="1"/>
    <row r="11458" s="2" customFormat="1"/>
    <row r="11459" s="2" customFormat="1"/>
    <row r="11460" s="2" customFormat="1"/>
    <row r="11461" s="2" customFormat="1"/>
    <row r="11462" s="2" customFormat="1"/>
    <row r="11463" s="2" customFormat="1"/>
    <row r="11464" s="2" customFormat="1"/>
    <row r="11465" s="2" customFormat="1"/>
    <row r="11466" s="2" customFormat="1"/>
    <row r="11467" s="2" customFormat="1"/>
    <row r="11468" s="2" customFormat="1"/>
    <row r="11469" s="2" customFormat="1"/>
    <row r="11470" s="2" customFormat="1"/>
    <row r="11471" s="2" customFormat="1"/>
    <row r="11472" s="2" customFormat="1"/>
    <row r="11473" s="2" customFormat="1"/>
    <row r="11474" s="2" customFormat="1"/>
    <row r="11475" s="2" customFormat="1"/>
    <row r="11476" s="2" customFormat="1"/>
    <row r="11477" s="2" customFormat="1"/>
    <row r="11478" s="2" customFormat="1"/>
    <row r="11479" s="2" customFormat="1"/>
    <row r="11480" s="2" customFormat="1"/>
    <row r="11481" s="2" customFormat="1"/>
    <row r="11482" s="2" customFormat="1"/>
    <row r="11483" s="2" customFormat="1"/>
    <row r="11484" s="2" customFormat="1"/>
    <row r="11485" s="2" customFormat="1"/>
    <row r="11486" s="2" customFormat="1"/>
    <row r="11487" s="2" customFormat="1"/>
    <row r="11488" s="2" customFormat="1"/>
    <row r="11489" s="2" customFormat="1"/>
    <row r="11490" s="2" customFormat="1"/>
    <row r="11491" s="2" customFormat="1"/>
    <row r="11492" s="2" customFormat="1"/>
    <row r="11493" s="2" customFormat="1"/>
    <row r="11494" s="2" customFormat="1"/>
    <row r="11495" s="2" customFormat="1"/>
    <row r="11496" s="2" customFormat="1"/>
    <row r="11497" s="2" customFormat="1"/>
    <row r="11498" s="2" customFormat="1"/>
    <row r="11499" s="2" customFormat="1"/>
    <row r="11500" s="2" customFormat="1"/>
    <row r="11501" s="2" customFormat="1"/>
    <row r="11502" s="2" customFormat="1"/>
    <row r="11503" s="2" customFormat="1"/>
    <row r="11504" s="2" customFormat="1"/>
    <row r="11505" s="2" customFormat="1"/>
    <row r="11506" s="2" customFormat="1"/>
    <row r="11507" s="2" customFormat="1"/>
    <row r="11508" s="2" customFormat="1"/>
    <row r="11509" s="2" customFormat="1"/>
    <row r="11510" s="2" customFormat="1"/>
    <row r="11511" s="2" customFormat="1"/>
    <row r="11512" s="2" customFormat="1"/>
    <row r="11513" s="2" customFormat="1"/>
    <row r="11514" s="2" customFormat="1"/>
    <row r="11515" s="2" customFormat="1"/>
    <row r="11516" s="2" customFormat="1"/>
    <row r="11517" s="2" customFormat="1"/>
    <row r="11518" s="2" customFormat="1"/>
    <row r="11519" s="2" customFormat="1"/>
    <row r="11520" s="2" customFormat="1"/>
    <row r="11521" s="2" customFormat="1"/>
    <row r="11522" s="2" customFormat="1"/>
    <row r="11523" s="2" customFormat="1"/>
    <row r="11524" s="2" customFormat="1"/>
    <row r="11525" s="2" customFormat="1"/>
    <row r="11526" s="2" customFormat="1"/>
    <row r="11527" s="2" customFormat="1"/>
    <row r="11528" s="2" customFormat="1"/>
    <row r="11529" s="2" customFormat="1"/>
    <row r="11530" s="2" customFormat="1"/>
    <row r="11531" s="2" customFormat="1"/>
    <row r="11532" s="2" customFormat="1"/>
    <row r="11533" s="2" customFormat="1"/>
    <row r="11534" s="2" customFormat="1"/>
    <row r="11535" s="2" customFormat="1"/>
    <row r="11536" s="2" customFormat="1"/>
    <row r="11537" s="2" customFormat="1"/>
    <row r="11538" s="2" customFormat="1"/>
    <row r="11539" s="2" customFormat="1"/>
    <row r="11540" s="2" customFormat="1"/>
    <row r="11541" s="2" customFormat="1"/>
    <row r="11542" s="2" customFormat="1"/>
    <row r="11543" s="2" customFormat="1"/>
    <row r="11544" s="2" customFormat="1"/>
    <row r="11545" s="2" customFormat="1"/>
    <row r="11546" s="2" customFormat="1"/>
    <row r="11547" s="2" customFormat="1"/>
    <row r="11548" s="2" customFormat="1"/>
    <row r="11549" s="2" customFormat="1"/>
    <row r="11550" s="2" customFormat="1"/>
    <row r="11551" s="2" customFormat="1"/>
    <row r="11552" s="2" customFormat="1"/>
    <row r="11553" s="2" customFormat="1"/>
    <row r="11554" s="2" customFormat="1"/>
    <row r="11555" s="2" customFormat="1"/>
    <row r="11556" s="2" customFormat="1"/>
    <row r="11557" s="2" customFormat="1"/>
    <row r="11558" s="2" customFormat="1"/>
    <row r="11559" s="2" customFormat="1"/>
    <row r="11560" s="2" customFormat="1"/>
    <row r="11561" s="2" customFormat="1"/>
    <row r="11562" s="2" customFormat="1"/>
    <row r="11563" s="2" customFormat="1"/>
    <row r="11564" s="2" customFormat="1"/>
    <row r="11565" s="2" customFormat="1"/>
    <row r="11566" s="2" customFormat="1"/>
    <row r="11567" s="2" customFormat="1"/>
    <row r="11568" s="2" customFormat="1"/>
    <row r="11569" s="2" customFormat="1"/>
    <row r="11570" s="2" customFormat="1"/>
    <row r="11571" s="2" customFormat="1"/>
    <row r="11572" s="2" customFormat="1"/>
    <row r="11573" s="2" customFormat="1"/>
    <row r="11574" s="2" customFormat="1"/>
    <row r="11575" s="2" customFormat="1"/>
    <row r="11576" s="2" customFormat="1"/>
    <row r="11577" s="2" customFormat="1"/>
    <row r="11578" s="2" customFormat="1"/>
    <row r="11579" s="2" customFormat="1"/>
    <row r="11580" s="2" customFormat="1"/>
    <row r="11581" s="2" customFormat="1"/>
    <row r="11582" s="2" customFormat="1"/>
    <row r="11583" s="2" customFormat="1"/>
    <row r="11584" s="2" customFormat="1"/>
    <row r="11585" s="2" customFormat="1"/>
    <row r="11586" s="2" customFormat="1"/>
    <row r="11587" s="2" customFormat="1"/>
    <row r="11588" s="2" customFormat="1"/>
    <row r="11589" s="2" customFormat="1"/>
    <row r="11590" s="2" customFormat="1"/>
    <row r="11591" s="2" customFormat="1"/>
    <row r="11592" s="2" customFormat="1"/>
    <row r="11593" s="2" customFormat="1"/>
    <row r="11594" s="2" customFormat="1"/>
    <row r="11595" s="2" customFormat="1"/>
    <row r="11596" s="2" customFormat="1"/>
    <row r="11597" s="2" customFormat="1"/>
    <row r="11598" s="2" customFormat="1"/>
    <row r="11599" s="2" customFormat="1"/>
    <row r="11600" s="2" customFormat="1"/>
    <row r="11601" s="2" customFormat="1"/>
    <row r="11602" s="2" customFormat="1"/>
    <row r="11603" s="2" customFormat="1"/>
    <row r="11604" s="2" customFormat="1"/>
    <row r="11605" s="2" customFormat="1"/>
    <row r="11606" s="2" customFormat="1"/>
    <row r="11607" s="2" customFormat="1"/>
    <row r="11608" s="2" customFormat="1"/>
    <row r="11609" s="2" customFormat="1"/>
    <row r="11610" s="2" customFormat="1"/>
    <row r="11611" s="2" customFormat="1"/>
    <row r="11612" s="2" customFormat="1"/>
    <row r="11613" s="2" customFormat="1"/>
    <row r="11614" s="2" customFormat="1"/>
    <row r="11615" s="2" customFormat="1"/>
    <row r="11616" s="2" customFormat="1"/>
    <row r="11617" s="2" customFormat="1"/>
    <row r="11618" s="2" customFormat="1"/>
    <row r="11619" s="2" customFormat="1"/>
    <row r="11620" s="2" customFormat="1"/>
    <row r="11621" s="2" customFormat="1"/>
    <row r="11622" s="2" customFormat="1"/>
    <row r="11623" s="2" customFormat="1"/>
    <row r="11624" s="2" customFormat="1"/>
    <row r="11625" s="2" customFormat="1"/>
    <row r="11626" s="2" customFormat="1"/>
    <row r="11627" s="2" customFormat="1"/>
    <row r="11628" s="2" customFormat="1"/>
    <row r="11629" s="2" customFormat="1"/>
    <row r="11630" s="2" customFormat="1"/>
    <row r="11631" s="2" customFormat="1"/>
    <row r="11632" s="2" customFormat="1"/>
    <row r="11633" s="2" customFormat="1"/>
    <row r="11634" s="2" customFormat="1"/>
    <row r="11635" s="2" customFormat="1"/>
    <row r="11636" s="2" customFormat="1"/>
    <row r="11637" s="2" customFormat="1"/>
    <row r="11638" s="2" customFormat="1"/>
    <row r="11639" s="2" customFormat="1"/>
    <row r="11640" s="2" customFormat="1"/>
    <row r="11641" s="2" customFormat="1"/>
    <row r="11642" s="2" customFormat="1"/>
    <row r="11643" s="2" customFormat="1"/>
    <row r="11644" s="2" customFormat="1"/>
    <row r="11645" s="2" customFormat="1"/>
    <row r="11646" s="2" customFormat="1"/>
    <row r="11647" s="2" customFormat="1"/>
    <row r="11648" s="2" customFormat="1"/>
    <row r="11649" s="2" customFormat="1"/>
    <row r="11650" s="2" customFormat="1"/>
    <row r="11651" s="2" customFormat="1"/>
    <row r="11652" s="2" customFormat="1"/>
    <row r="11653" s="2" customFormat="1"/>
    <row r="11654" s="2" customFormat="1"/>
    <row r="11655" s="2" customFormat="1"/>
    <row r="11656" s="2" customFormat="1"/>
    <row r="11657" s="2" customFormat="1"/>
    <row r="11658" s="2" customFormat="1"/>
    <row r="11659" s="2" customFormat="1"/>
    <row r="11660" s="2" customFormat="1"/>
    <row r="11661" s="2" customFormat="1"/>
    <row r="11662" s="2" customFormat="1"/>
    <row r="11663" s="2" customFormat="1"/>
    <row r="11664" s="2" customFormat="1"/>
    <row r="11665" s="2" customFormat="1"/>
    <row r="11666" s="2" customFormat="1"/>
    <row r="11667" s="2" customFormat="1"/>
    <row r="11668" s="2" customFormat="1"/>
    <row r="11669" s="2" customFormat="1"/>
    <row r="11670" s="2" customFormat="1"/>
    <row r="11671" s="2" customFormat="1"/>
    <row r="11672" s="2" customFormat="1"/>
    <row r="11673" s="2" customFormat="1"/>
    <row r="11674" s="2" customFormat="1"/>
    <row r="11675" s="2" customFormat="1"/>
    <row r="11676" s="2" customFormat="1"/>
    <row r="11677" s="2" customFormat="1"/>
    <row r="11678" s="2" customFormat="1"/>
    <row r="11679" s="2" customFormat="1"/>
    <row r="11680" s="2" customFormat="1"/>
    <row r="11681" s="2" customFormat="1"/>
    <row r="11682" s="2" customFormat="1"/>
    <row r="11683" s="2" customFormat="1"/>
    <row r="11684" s="2" customFormat="1"/>
    <row r="11685" s="2" customFormat="1"/>
    <row r="11686" s="2" customFormat="1"/>
    <row r="11687" s="2" customFormat="1"/>
    <row r="11688" s="2" customFormat="1"/>
    <row r="11689" s="2" customFormat="1"/>
    <row r="11690" s="2" customFormat="1"/>
    <row r="11691" s="2" customFormat="1"/>
    <row r="11692" s="2" customFormat="1"/>
    <row r="11693" s="2" customFormat="1"/>
    <row r="11694" s="2" customFormat="1"/>
    <row r="11695" s="2" customFormat="1"/>
    <row r="11696" s="2" customFormat="1"/>
    <row r="11697" s="2" customFormat="1"/>
    <row r="11698" s="2" customFormat="1"/>
    <row r="11699" s="2" customFormat="1"/>
    <row r="11700" s="2" customFormat="1"/>
    <row r="11701" s="2" customFormat="1"/>
    <row r="11702" s="2" customFormat="1"/>
    <row r="11703" s="2" customFormat="1"/>
    <row r="11704" s="2" customFormat="1"/>
    <row r="11705" s="2" customFormat="1"/>
    <row r="11706" s="2" customFormat="1"/>
    <row r="11707" s="2" customFormat="1"/>
    <row r="11708" s="2" customFormat="1"/>
    <row r="11709" s="2" customFormat="1"/>
    <row r="11710" s="2" customFormat="1"/>
    <row r="11711" s="2" customFormat="1"/>
    <row r="11712" s="2" customFormat="1"/>
    <row r="11713" s="2" customFormat="1"/>
    <row r="11714" s="2" customFormat="1"/>
    <row r="11715" s="2" customFormat="1"/>
    <row r="11716" s="2" customFormat="1"/>
    <row r="11717" s="2" customFormat="1"/>
    <row r="11718" s="2" customFormat="1"/>
    <row r="11719" s="2" customFormat="1"/>
    <row r="11720" s="2" customFormat="1"/>
    <row r="11721" s="2" customFormat="1"/>
    <row r="11722" s="2" customFormat="1"/>
    <row r="11723" s="2" customFormat="1"/>
    <row r="11724" s="2" customFormat="1"/>
    <row r="11725" s="2" customFormat="1"/>
    <row r="11726" s="2" customFormat="1"/>
    <row r="11727" s="2" customFormat="1"/>
    <row r="11728" s="2" customFormat="1"/>
    <row r="11729" s="2" customFormat="1"/>
    <row r="11730" s="2" customFormat="1"/>
    <row r="11731" s="2" customFormat="1"/>
    <row r="11732" s="2" customFormat="1"/>
    <row r="11733" s="2" customFormat="1"/>
    <row r="11734" s="2" customFormat="1"/>
    <row r="11735" s="2" customFormat="1"/>
    <row r="11736" s="2" customFormat="1"/>
    <row r="11737" s="2" customFormat="1"/>
    <row r="11738" s="2" customFormat="1"/>
    <row r="11739" s="2" customFormat="1"/>
    <row r="11740" s="2" customFormat="1"/>
    <row r="11741" s="2" customFormat="1"/>
    <row r="11742" s="2" customFormat="1"/>
    <row r="11743" s="2" customFormat="1"/>
    <row r="11744" s="2" customFormat="1"/>
    <row r="11745" s="2" customFormat="1"/>
    <row r="11746" s="2" customFormat="1"/>
    <row r="11747" s="2" customFormat="1"/>
    <row r="11748" s="2" customFormat="1"/>
    <row r="11749" s="2" customFormat="1"/>
    <row r="11750" s="2" customFormat="1"/>
    <row r="11751" s="2" customFormat="1"/>
    <row r="11752" s="2" customFormat="1"/>
    <row r="11753" s="2" customFormat="1"/>
    <row r="11754" s="2" customFormat="1"/>
    <row r="11755" s="2" customFormat="1"/>
    <row r="11756" s="2" customFormat="1"/>
    <row r="11757" s="2" customFormat="1"/>
    <row r="11758" s="2" customFormat="1"/>
    <row r="11759" s="2" customFormat="1"/>
    <row r="11760" s="2" customFormat="1"/>
    <row r="11761" s="2" customFormat="1"/>
    <row r="11762" s="2" customFormat="1"/>
    <row r="11763" s="2" customFormat="1"/>
    <row r="11764" s="2" customFormat="1"/>
    <row r="11765" s="2" customFormat="1"/>
    <row r="11766" s="2" customFormat="1"/>
    <row r="11767" s="2" customFormat="1"/>
    <row r="11768" s="2" customFormat="1"/>
    <row r="11769" s="2" customFormat="1"/>
    <row r="11770" s="2" customFormat="1"/>
    <row r="11771" s="2" customFormat="1"/>
    <row r="11772" s="2" customFormat="1"/>
    <row r="11773" s="2" customFormat="1"/>
    <row r="11774" s="2" customFormat="1"/>
    <row r="11775" s="2" customFormat="1"/>
    <row r="11776" s="2" customFormat="1"/>
    <row r="11777" s="2" customFormat="1"/>
    <row r="11778" s="2" customFormat="1"/>
    <row r="11779" s="2" customFormat="1"/>
    <row r="11780" s="2" customFormat="1"/>
    <row r="11781" s="2" customFormat="1"/>
    <row r="11782" s="2" customFormat="1"/>
    <row r="11783" s="2" customFormat="1"/>
    <row r="11784" s="2" customFormat="1"/>
    <row r="11785" s="2" customFormat="1"/>
    <row r="11786" s="2" customFormat="1"/>
    <row r="11787" s="2" customFormat="1"/>
    <row r="11788" s="2" customFormat="1"/>
    <row r="11789" s="2" customFormat="1"/>
    <row r="11790" s="2" customFormat="1"/>
    <row r="11791" s="2" customFormat="1"/>
    <row r="11792" s="2" customFormat="1"/>
    <row r="11793" s="2" customFormat="1"/>
    <row r="11794" s="2" customFormat="1"/>
    <row r="11795" s="2" customFormat="1"/>
    <row r="11796" s="2" customFormat="1"/>
    <row r="11797" s="2" customFormat="1"/>
    <row r="11798" s="2" customFormat="1"/>
    <row r="11799" s="2" customFormat="1"/>
    <row r="11800" s="2" customFormat="1"/>
    <row r="11801" s="2" customFormat="1"/>
    <row r="11802" s="2" customFormat="1"/>
    <row r="11803" s="2" customFormat="1"/>
    <row r="11804" s="2" customFormat="1"/>
    <row r="11805" s="2" customFormat="1"/>
    <row r="11806" s="2" customFormat="1"/>
    <row r="11807" s="2" customFormat="1"/>
    <row r="11808" s="2" customFormat="1"/>
    <row r="11809" s="2" customFormat="1"/>
    <row r="11810" s="2" customFormat="1"/>
    <row r="11811" s="2" customFormat="1"/>
    <row r="11812" s="2" customFormat="1"/>
    <row r="11813" s="2" customFormat="1"/>
    <row r="11814" s="2" customFormat="1"/>
    <row r="11815" s="2" customFormat="1"/>
    <row r="11816" s="2" customFormat="1"/>
    <row r="11817" s="2" customFormat="1"/>
    <row r="11818" s="2" customFormat="1"/>
    <row r="11819" s="2" customFormat="1"/>
    <row r="11820" s="2" customFormat="1"/>
    <row r="11821" s="2" customFormat="1"/>
    <row r="11822" s="2" customFormat="1"/>
    <row r="11823" s="2" customFormat="1"/>
    <row r="11824" s="2" customFormat="1"/>
    <row r="11825" s="2" customFormat="1"/>
    <row r="11826" s="2" customFormat="1"/>
    <row r="11827" s="2" customFormat="1"/>
    <row r="11828" s="2" customFormat="1"/>
    <row r="11829" s="2" customFormat="1"/>
    <row r="11830" s="2" customFormat="1"/>
    <row r="11831" s="2" customFormat="1"/>
    <row r="11832" s="2" customFormat="1"/>
    <row r="11833" s="2" customFormat="1"/>
    <row r="11834" s="2" customFormat="1"/>
    <row r="11835" s="2" customFormat="1"/>
    <row r="11836" s="2" customFormat="1"/>
    <row r="11837" s="2" customFormat="1"/>
    <row r="11838" s="2" customFormat="1"/>
    <row r="11839" s="2" customFormat="1"/>
    <row r="11840" s="2" customFormat="1"/>
    <row r="11841" s="2" customFormat="1"/>
    <row r="11842" s="2" customFormat="1"/>
    <row r="11843" s="2" customFormat="1"/>
    <row r="11844" s="2" customFormat="1"/>
    <row r="11845" s="2" customFormat="1"/>
    <row r="11846" s="2" customFormat="1"/>
    <row r="11847" s="2" customFormat="1"/>
    <row r="11848" s="2" customFormat="1"/>
    <row r="11849" s="2" customFormat="1"/>
    <row r="11850" s="2" customFormat="1"/>
    <row r="11851" s="2" customFormat="1"/>
    <row r="11852" s="2" customFormat="1"/>
    <row r="11853" s="2" customFormat="1"/>
    <row r="11854" s="2" customFormat="1"/>
    <row r="11855" s="2" customFormat="1"/>
    <row r="11856" s="2" customFormat="1"/>
    <row r="11857" s="2" customFormat="1"/>
    <row r="11858" s="2" customFormat="1"/>
    <row r="11859" s="2" customFormat="1"/>
    <row r="11860" s="2" customFormat="1"/>
    <row r="11861" s="2" customFormat="1"/>
    <row r="11862" s="2" customFormat="1"/>
    <row r="11863" s="2" customFormat="1"/>
    <row r="11864" s="2" customFormat="1"/>
    <row r="11865" s="2" customFormat="1"/>
    <row r="11866" s="2" customFormat="1"/>
    <row r="11867" s="2" customFormat="1"/>
    <row r="11868" s="2" customFormat="1"/>
    <row r="11869" s="2" customFormat="1"/>
    <row r="11870" s="2" customFormat="1"/>
    <row r="11871" s="2" customFormat="1"/>
    <row r="11872" s="2" customFormat="1"/>
    <row r="11873" s="2" customFormat="1"/>
    <row r="11874" s="2" customFormat="1"/>
    <row r="11875" s="2" customFormat="1"/>
    <row r="11876" s="2" customFormat="1"/>
    <row r="11877" s="2" customFormat="1"/>
    <row r="11878" s="2" customFormat="1"/>
    <row r="11879" s="2" customFormat="1"/>
    <row r="11880" s="2" customFormat="1"/>
    <row r="11881" s="2" customFormat="1"/>
    <row r="11882" s="2" customFormat="1"/>
    <row r="11883" s="2" customFormat="1"/>
    <row r="11884" s="2" customFormat="1"/>
    <row r="11885" s="2" customFormat="1"/>
    <row r="11886" s="2" customFormat="1"/>
    <row r="11887" s="2" customFormat="1"/>
    <row r="11888" s="2" customFormat="1"/>
    <row r="11889" s="2" customFormat="1"/>
    <row r="11890" s="2" customFormat="1"/>
    <row r="11891" s="2" customFormat="1"/>
    <row r="11892" s="2" customFormat="1"/>
    <row r="11893" s="2" customFormat="1"/>
    <row r="11894" s="2" customFormat="1"/>
    <row r="11895" s="2" customFormat="1"/>
    <row r="11896" s="2" customFormat="1"/>
    <row r="11897" s="2" customFormat="1"/>
    <row r="11898" s="2" customFormat="1"/>
    <row r="11899" s="2" customFormat="1"/>
    <row r="11900" s="2" customFormat="1"/>
    <row r="11901" s="2" customFormat="1"/>
    <row r="11902" s="2" customFormat="1"/>
    <row r="11903" s="2" customFormat="1"/>
    <row r="11904" s="2" customFormat="1"/>
    <row r="11905" s="2" customFormat="1"/>
    <row r="11906" s="2" customFormat="1"/>
    <row r="11907" s="2" customFormat="1"/>
    <row r="11908" s="2" customFormat="1"/>
    <row r="11909" s="2" customFormat="1"/>
    <row r="11910" s="2" customFormat="1"/>
    <row r="11911" s="2" customFormat="1"/>
    <row r="11912" s="2" customFormat="1"/>
    <row r="11913" s="2" customFormat="1"/>
    <row r="11914" s="2" customFormat="1"/>
    <row r="11915" s="2" customFormat="1"/>
    <row r="11916" s="2" customFormat="1"/>
    <row r="11917" s="2" customFormat="1"/>
    <row r="11918" s="2" customFormat="1"/>
    <row r="11919" s="2" customFormat="1"/>
    <row r="11920" s="2" customFormat="1"/>
    <row r="11921" s="2" customFormat="1"/>
    <row r="11922" s="2" customFormat="1"/>
    <row r="11923" s="2" customFormat="1"/>
    <row r="11924" s="2" customFormat="1"/>
    <row r="11925" s="2" customFormat="1"/>
    <row r="11926" s="2" customFormat="1"/>
    <row r="11927" s="2" customFormat="1"/>
    <row r="11928" s="2" customFormat="1"/>
    <row r="11929" s="2" customFormat="1"/>
    <row r="11930" s="2" customFormat="1"/>
    <row r="11931" s="2" customFormat="1"/>
    <row r="11932" s="2" customFormat="1"/>
    <row r="11933" s="2" customFormat="1"/>
    <row r="11934" s="2" customFormat="1"/>
    <row r="11935" s="2" customFormat="1"/>
    <row r="11936" s="2" customFormat="1"/>
    <row r="11937" s="2" customFormat="1"/>
    <row r="11938" s="2" customFormat="1"/>
    <row r="11939" s="2" customFormat="1"/>
    <row r="11940" s="2" customFormat="1"/>
    <row r="11941" s="2" customFormat="1"/>
    <row r="11942" s="2" customFormat="1"/>
    <row r="11943" s="2" customFormat="1"/>
    <row r="11944" s="2" customFormat="1"/>
    <row r="11945" s="2" customFormat="1"/>
    <row r="11946" s="2" customFormat="1"/>
    <row r="11947" s="2" customFormat="1"/>
    <row r="11948" s="2" customFormat="1"/>
    <row r="11949" s="2" customFormat="1"/>
    <row r="11950" s="2" customFormat="1"/>
    <row r="11951" s="2" customFormat="1"/>
    <row r="11952" s="2" customFormat="1"/>
    <row r="11953" s="2" customFormat="1"/>
    <row r="11954" s="2" customFormat="1"/>
    <row r="11955" s="2" customFormat="1"/>
    <row r="11956" s="2" customFormat="1"/>
    <row r="11957" s="2" customFormat="1"/>
    <row r="11958" s="2" customFormat="1"/>
    <row r="11959" s="2" customFormat="1"/>
    <row r="11960" s="2" customFormat="1"/>
    <row r="11961" s="2" customFormat="1"/>
    <row r="11962" s="2" customFormat="1"/>
    <row r="11963" s="2" customFormat="1"/>
    <row r="11964" s="2" customFormat="1"/>
    <row r="11965" s="2" customFormat="1"/>
    <row r="11966" s="2" customFormat="1"/>
    <row r="11967" s="2" customFormat="1"/>
    <row r="11968" s="2" customFormat="1"/>
    <row r="11969" s="2" customFormat="1"/>
    <row r="11970" s="2" customFormat="1"/>
    <row r="11971" s="2" customFormat="1"/>
    <row r="11972" s="2" customFormat="1"/>
    <row r="11973" s="2" customFormat="1"/>
    <row r="11974" s="2" customFormat="1"/>
    <row r="11975" s="2" customFormat="1"/>
    <row r="11976" s="2" customFormat="1"/>
    <row r="11977" s="2" customFormat="1"/>
    <row r="11978" s="2" customFormat="1"/>
    <row r="11979" s="2" customFormat="1"/>
    <row r="11980" s="2" customFormat="1"/>
    <row r="11981" s="2" customFormat="1"/>
    <row r="11982" s="2" customFormat="1"/>
    <row r="11983" s="2" customFormat="1"/>
    <row r="11984" s="2" customFormat="1"/>
    <row r="11985" s="2" customFormat="1"/>
    <row r="11986" s="2" customFormat="1"/>
    <row r="11987" s="2" customFormat="1"/>
    <row r="11988" s="2" customFormat="1"/>
    <row r="11989" s="2" customFormat="1"/>
    <row r="11990" s="2" customFormat="1"/>
    <row r="11991" s="2" customFormat="1"/>
    <row r="11992" s="2" customFormat="1"/>
    <row r="11993" s="2" customFormat="1"/>
    <row r="11994" s="2" customFormat="1"/>
    <row r="11995" s="2" customFormat="1"/>
    <row r="11996" s="2" customFormat="1"/>
    <row r="11997" s="2" customFormat="1"/>
    <row r="11998" s="2" customFormat="1"/>
    <row r="11999" s="2" customFormat="1"/>
    <row r="12000" s="2" customFormat="1"/>
    <row r="12001" s="2" customFormat="1"/>
    <row r="12002" s="2" customFormat="1"/>
    <row r="12003" s="2" customFormat="1"/>
    <row r="12004" s="2" customFormat="1"/>
    <row r="12005" s="2" customFormat="1"/>
    <row r="12006" s="2" customFormat="1"/>
    <row r="12007" s="2" customFormat="1"/>
    <row r="12008" s="2" customFormat="1"/>
    <row r="12009" s="2" customFormat="1"/>
    <row r="12010" s="2" customFormat="1"/>
    <row r="12011" s="2" customFormat="1"/>
    <row r="12012" s="2" customFormat="1"/>
    <row r="12013" s="2" customFormat="1"/>
    <row r="12014" s="2" customFormat="1"/>
    <row r="12015" s="2" customFormat="1"/>
    <row r="12016" s="2" customFormat="1"/>
    <row r="12017" s="2" customFormat="1"/>
    <row r="12018" s="2" customFormat="1"/>
    <row r="12019" s="2" customFormat="1"/>
    <row r="12020" s="2" customFormat="1"/>
    <row r="12021" s="2" customFormat="1"/>
    <row r="12022" s="2" customFormat="1"/>
    <row r="12023" s="2" customFormat="1"/>
    <row r="12024" s="2" customFormat="1"/>
    <row r="12025" s="2" customFormat="1"/>
    <row r="12026" s="2" customFormat="1"/>
    <row r="12027" s="2" customFormat="1"/>
    <row r="12028" s="2" customFormat="1"/>
    <row r="12029" s="2" customFormat="1"/>
    <row r="12030" s="2" customFormat="1"/>
    <row r="12031" s="2" customFormat="1"/>
    <row r="12032" s="2" customFormat="1"/>
    <row r="12033" s="2" customFormat="1"/>
    <row r="12034" s="2" customFormat="1"/>
    <row r="12035" s="2" customFormat="1"/>
    <row r="12036" s="2" customFormat="1"/>
    <row r="12037" s="2" customFormat="1"/>
    <row r="12038" s="2" customFormat="1"/>
    <row r="12039" s="2" customFormat="1"/>
    <row r="12040" s="2" customFormat="1"/>
    <row r="12041" s="2" customFormat="1"/>
    <row r="12042" s="2" customFormat="1"/>
    <row r="12043" s="2" customFormat="1"/>
    <row r="12044" s="2" customFormat="1"/>
    <row r="12045" s="2" customFormat="1"/>
    <row r="12046" s="2" customFormat="1"/>
    <row r="12047" s="2" customFormat="1"/>
    <row r="12048" s="2" customFormat="1"/>
    <row r="12049" s="2" customFormat="1"/>
    <row r="12050" s="2" customFormat="1"/>
    <row r="12051" s="2" customFormat="1"/>
    <row r="12052" s="2" customFormat="1"/>
    <row r="12053" s="2" customFormat="1"/>
    <row r="12054" s="2" customFormat="1"/>
    <row r="12055" s="2" customFormat="1"/>
    <row r="12056" s="2" customFormat="1"/>
    <row r="12057" s="2" customFormat="1"/>
    <row r="12058" s="2" customFormat="1"/>
    <row r="12059" s="2" customFormat="1"/>
    <row r="12060" s="2" customFormat="1"/>
    <row r="12061" s="2" customFormat="1"/>
    <row r="12062" s="2" customFormat="1"/>
    <row r="12063" s="2" customFormat="1"/>
    <row r="12064" s="2" customFormat="1"/>
    <row r="12065" s="2" customFormat="1"/>
    <row r="12066" s="2" customFormat="1"/>
    <row r="12067" s="2" customFormat="1"/>
    <row r="12068" s="2" customFormat="1"/>
    <row r="12069" s="2" customFormat="1"/>
    <row r="12070" s="2" customFormat="1"/>
    <row r="12071" s="2" customFormat="1"/>
    <row r="12072" s="2" customFormat="1"/>
    <row r="12073" s="2" customFormat="1"/>
    <row r="12074" s="2" customFormat="1"/>
    <row r="12075" s="2" customFormat="1"/>
    <row r="12076" s="2" customFormat="1"/>
    <row r="12077" s="2" customFormat="1"/>
    <row r="12078" s="2" customFormat="1"/>
    <row r="12079" s="2" customFormat="1"/>
    <row r="12080" s="2" customFormat="1"/>
    <row r="12081" s="2" customFormat="1"/>
    <row r="12082" s="2" customFormat="1"/>
    <row r="12083" s="2" customFormat="1"/>
    <row r="12084" s="2" customFormat="1"/>
    <row r="12085" s="2" customFormat="1"/>
    <row r="12086" s="2" customFormat="1"/>
    <row r="12087" s="2" customFormat="1"/>
    <row r="12088" s="2" customFormat="1"/>
    <row r="12089" s="2" customFormat="1"/>
    <row r="12090" s="2" customFormat="1"/>
    <row r="12091" s="2" customFormat="1"/>
    <row r="12092" s="2" customFormat="1"/>
    <row r="12093" s="2" customFormat="1"/>
    <row r="12094" s="2" customFormat="1"/>
    <row r="12095" s="2" customFormat="1"/>
    <row r="12096" s="2" customFormat="1"/>
    <row r="12097" s="2" customFormat="1"/>
    <row r="12098" s="2" customFormat="1"/>
    <row r="12099" s="2" customFormat="1"/>
    <row r="12100" s="2" customFormat="1"/>
    <row r="12101" s="2" customFormat="1"/>
    <row r="12102" s="2" customFormat="1"/>
    <row r="12103" s="2" customFormat="1"/>
    <row r="12104" s="2" customFormat="1"/>
    <row r="12105" s="2" customFormat="1"/>
    <row r="12106" s="2" customFormat="1"/>
    <row r="12107" s="2" customFormat="1"/>
    <row r="12108" s="2" customFormat="1"/>
    <row r="12109" s="2" customFormat="1"/>
    <row r="12110" s="2" customFormat="1"/>
    <row r="12111" s="2" customFormat="1"/>
    <row r="12112" s="2" customFormat="1"/>
    <row r="12113" s="2" customFormat="1"/>
    <row r="12114" s="2" customFormat="1"/>
    <row r="12115" s="2" customFormat="1"/>
    <row r="12116" s="2" customFormat="1"/>
    <row r="12117" s="2" customFormat="1"/>
    <row r="12118" s="2" customFormat="1"/>
    <row r="12119" s="2" customFormat="1"/>
    <row r="12120" s="2" customFormat="1"/>
    <row r="12121" s="2" customFormat="1"/>
    <row r="12122" s="2" customFormat="1"/>
    <row r="12123" s="2" customFormat="1"/>
    <row r="12124" s="2" customFormat="1"/>
    <row r="12125" s="2" customFormat="1"/>
    <row r="12126" s="2" customFormat="1"/>
    <row r="12127" s="2" customFormat="1"/>
    <row r="12128" s="2" customFormat="1"/>
    <row r="12129" s="2" customFormat="1"/>
    <row r="12130" s="2" customFormat="1"/>
    <row r="12131" s="2" customFormat="1"/>
    <row r="12132" s="2" customFormat="1"/>
    <row r="12133" s="2" customFormat="1"/>
    <row r="12134" s="2" customFormat="1"/>
    <row r="12135" s="2" customFormat="1"/>
    <row r="12136" s="2" customFormat="1"/>
    <row r="12137" s="2" customFormat="1"/>
    <row r="12138" s="2" customFormat="1"/>
    <row r="12139" s="2" customFormat="1"/>
    <row r="12140" s="2" customFormat="1"/>
    <row r="12141" s="2" customFormat="1"/>
    <row r="12142" s="2" customFormat="1"/>
    <row r="12143" s="2" customFormat="1"/>
    <row r="12144" s="2" customFormat="1"/>
    <row r="12145" s="2" customFormat="1"/>
    <row r="12146" s="2" customFormat="1"/>
    <row r="12147" s="2" customFormat="1"/>
    <row r="12148" s="2" customFormat="1"/>
    <row r="12149" s="2" customFormat="1"/>
    <row r="12150" s="2" customFormat="1"/>
    <row r="12151" s="2" customFormat="1"/>
    <row r="12152" s="2" customFormat="1"/>
    <row r="12153" s="2" customFormat="1"/>
    <row r="12154" s="2" customFormat="1"/>
    <row r="12155" s="2" customFormat="1"/>
    <row r="12156" s="2" customFormat="1"/>
    <row r="12157" s="2" customFormat="1"/>
    <row r="12158" s="2" customFormat="1"/>
    <row r="12159" s="2" customFormat="1"/>
    <row r="12160" s="2" customFormat="1"/>
    <row r="12161" s="2" customFormat="1"/>
    <row r="12162" s="2" customFormat="1"/>
    <row r="12163" s="2" customFormat="1"/>
    <row r="12164" s="2" customFormat="1"/>
    <row r="12165" s="2" customFormat="1"/>
    <row r="12166" s="2" customFormat="1"/>
    <row r="12167" s="2" customFormat="1"/>
    <row r="12168" s="2" customFormat="1"/>
    <row r="12169" s="2" customFormat="1"/>
    <row r="12170" s="2" customFormat="1"/>
    <row r="12171" s="2" customFormat="1"/>
    <row r="12172" s="2" customFormat="1"/>
    <row r="12173" s="2" customFormat="1"/>
    <row r="12174" s="2" customFormat="1"/>
    <row r="12175" s="2" customFormat="1"/>
    <row r="12176" s="2" customFormat="1"/>
    <row r="12177" s="2" customFormat="1"/>
    <row r="12178" s="2" customFormat="1"/>
    <row r="12179" s="2" customFormat="1"/>
    <row r="12180" s="2" customFormat="1"/>
    <row r="12181" s="2" customFormat="1"/>
    <row r="12182" s="2" customFormat="1"/>
    <row r="12183" s="2" customFormat="1"/>
    <row r="12184" s="2" customFormat="1"/>
    <row r="12185" s="2" customFormat="1"/>
    <row r="12186" s="2" customFormat="1"/>
    <row r="12187" s="2" customFormat="1"/>
    <row r="12188" s="2" customFormat="1"/>
    <row r="12189" s="2" customFormat="1"/>
    <row r="12190" s="2" customFormat="1"/>
    <row r="12191" s="2" customFormat="1"/>
    <row r="12192" s="2" customFormat="1"/>
    <row r="12193" s="2" customFormat="1"/>
    <row r="12194" s="2" customFormat="1"/>
    <row r="12195" s="2" customFormat="1"/>
    <row r="12196" s="2" customFormat="1"/>
    <row r="12197" s="2" customFormat="1"/>
    <row r="12198" s="2" customFormat="1"/>
    <row r="12199" s="2" customFormat="1"/>
    <row r="12200" s="2" customFormat="1"/>
    <row r="12201" s="2" customFormat="1"/>
    <row r="12202" s="2" customFormat="1"/>
    <row r="12203" s="2" customFormat="1"/>
    <row r="12204" s="2" customFormat="1"/>
    <row r="12205" s="2" customFormat="1"/>
    <row r="12206" s="2" customFormat="1"/>
    <row r="12207" s="2" customFormat="1"/>
    <row r="12208" s="2" customFormat="1"/>
    <row r="12209" s="2" customFormat="1"/>
    <row r="12210" s="2" customFormat="1"/>
    <row r="12211" s="2" customFormat="1"/>
    <row r="12212" s="2" customFormat="1"/>
    <row r="12213" s="2" customFormat="1"/>
    <row r="12214" s="2" customFormat="1"/>
    <row r="12215" s="2" customFormat="1"/>
    <row r="12216" s="2" customFormat="1"/>
    <row r="12217" s="2" customFormat="1"/>
    <row r="12218" s="2" customFormat="1"/>
    <row r="12219" s="2" customFormat="1"/>
    <row r="12220" s="2" customFormat="1"/>
    <row r="12221" s="2" customFormat="1"/>
    <row r="12222" s="2" customFormat="1"/>
    <row r="12223" s="2" customFormat="1"/>
    <row r="12224" s="2" customFormat="1"/>
    <row r="12225" s="2" customFormat="1"/>
    <row r="12226" s="2" customFormat="1"/>
    <row r="12227" s="2" customFormat="1"/>
    <row r="12228" s="2" customFormat="1"/>
    <row r="12229" s="2" customFormat="1"/>
    <row r="12230" s="2" customFormat="1"/>
    <row r="12231" s="2" customFormat="1"/>
    <row r="12232" s="2" customFormat="1"/>
    <row r="12233" s="2" customFormat="1"/>
    <row r="12234" s="2" customFormat="1"/>
    <row r="12235" s="2" customFormat="1"/>
    <row r="12236" s="2" customFormat="1"/>
    <row r="12237" s="2" customFormat="1"/>
    <row r="12238" s="2" customFormat="1"/>
    <row r="12239" s="2" customFormat="1"/>
    <row r="12240" s="2" customFormat="1"/>
    <row r="12241" s="2" customFormat="1"/>
    <row r="12242" s="2" customFormat="1"/>
    <row r="12243" s="2" customFormat="1"/>
    <row r="12244" s="2" customFormat="1"/>
    <row r="12245" s="2" customFormat="1"/>
    <row r="12246" s="2" customFormat="1"/>
    <row r="12247" s="2" customFormat="1"/>
    <row r="12248" s="2" customFormat="1"/>
    <row r="12249" s="2" customFormat="1"/>
    <row r="12250" s="2" customFormat="1"/>
    <row r="12251" s="2" customFormat="1"/>
    <row r="12252" s="2" customFormat="1"/>
    <row r="12253" s="2" customFormat="1"/>
    <row r="12254" s="2" customFormat="1"/>
    <row r="12255" s="2" customFormat="1"/>
    <row r="12256" s="2" customFormat="1"/>
    <row r="12257" s="2" customFormat="1"/>
    <row r="12258" s="2" customFormat="1"/>
    <row r="12259" s="2" customFormat="1"/>
    <row r="12260" s="2" customFormat="1"/>
    <row r="12261" s="2" customFormat="1"/>
    <row r="12262" s="2" customFormat="1"/>
    <row r="12263" s="2" customFormat="1"/>
    <row r="12264" s="2" customFormat="1"/>
    <row r="12265" s="2" customFormat="1"/>
    <row r="12266" s="2" customFormat="1"/>
    <row r="12267" s="2" customFormat="1"/>
    <row r="12268" s="2" customFormat="1"/>
    <row r="12269" s="2" customFormat="1"/>
    <row r="12270" s="2" customFormat="1"/>
    <row r="12271" s="2" customFormat="1"/>
    <row r="12272" s="2" customFormat="1"/>
    <row r="12273" s="2" customFormat="1"/>
    <row r="12274" s="2" customFormat="1"/>
    <row r="12275" s="2" customFormat="1"/>
    <row r="12276" s="2" customFormat="1"/>
    <row r="12277" s="2" customFormat="1"/>
    <row r="12278" s="2" customFormat="1"/>
    <row r="12279" s="2" customFormat="1"/>
    <row r="12280" s="2" customFormat="1"/>
    <row r="12281" s="2" customFormat="1"/>
    <row r="12282" s="2" customFormat="1"/>
    <row r="12283" s="2" customFormat="1"/>
    <row r="12284" s="2" customFormat="1"/>
    <row r="12285" s="2" customFormat="1"/>
    <row r="12286" s="2" customFormat="1"/>
    <row r="12287" s="2" customFormat="1"/>
    <row r="12288" s="2" customFormat="1"/>
    <row r="12289" s="2" customFormat="1"/>
    <row r="12290" s="2" customFormat="1"/>
    <row r="12291" s="2" customFormat="1"/>
    <row r="12292" s="2" customFormat="1"/>
    <row r="12293" s="2" customFormat="1"/>
    <row r="12294" s="2" customFormat="1"/>
    <row r="12295" s="2" customFormat="1"/>
    <row r="12296" s="2" customFormat="1"/>
    <row r="12297" s="2" customFormat="1"/>
    <row r="12298" s="2" customFormat="1"/>
    <row r="12299" s="2" customFormat="1"/>
    <row r="12300" s="2" customFormat="1"/>
    <row r="12301" s="2" customFormat="1"/>
    <row r="12302" s="2" customFormat="1"/>
    <row r="12303" s="2" customFormat="1"/>
    <row r="12304" s="2" customFormat="1"/>
    <row r="12305" s="2" customFormat="1"/>
    <row r="12306" s="2" customFormat="1"/>
    <row r="12307" s="2" customFormat="1"/>
    <row r="12308" s="2" customFormat="1"/>
    <row r="12309" s="2" customFormat="1"/>
    <row r="12310" s="2" customFormat="1"/>
    <row r="12311" s="2" customFormat="1"/>
    <row r="12312" s="2" customFormat="1"/>
    <row r="12313" s="2" customFormat="1"/>
    <row r="12314" s="2" customFormat="1"/>
    <row r="12315" s="2" customFormat="1"/>
    <row r="12316" s="2" customFormat="1"/>
    <row r="12317" s="2" customFormat="1"/>
    <row r="12318" s="2" customFormat="1"/>
    <row r="12319" s="2" customFormat="1"/>
    <row r="12320" s="2" customFormat="1"/>
    <row r="12321" s="2" customFormat="1"/>
    <row r="12322" s="2" customFormat="1"/>
    <row r="12323" s="2" customFormat="1"/>
    <row r="12324" s="2" customFormat="1"/>
    <row r="12325" s="2" customFormat="1"/>
    <row r="12326" s="2" customFormat="1"/>
    <row r="12327" s="2" customFormat="1"/>
    <row r="12328" s="2" customFormat="1"/>
    <row r="12329" s="2" customFormat="1"/>
    <row r="12330" s="2" customFormat="1"/>
    <row r="12331" s="2" customFormat="1"/>
    <row r="12332" s="2" customFormat="1"/>
    <row r="12333" s="2" customFormat="1"/>
    <row r="12334" s="2" customFormat="1"/>
    <row r="12335" s="2" customFormat="1"/>
    <row r="12336" s="2" customFormat="1"/>
    <row r="12337" s="2" customFormat="1"/>
    <row r="12338" s="2" customFormat="1"/>
    <row r="12339" s="2" customFormat="1"/>
    <row r="12340" s="2" customFormat="1"/>
    <row r="12341" s="2" customFormat="1"/>
    <row r="12342" s="2" customFormat="1"/>
    <row r="12343" s="2" customFormat="1"/>
    <row r="12344" s="2" customFormat="1"/>
    <row r="12345" s="2" customFormat="1"/>
    <row r="12346" s="2" customFormat="1"/>
    <row r="12347" s="2" customFormat="1"/>
    <row r="12348" s="2" customFormat="1"/>
    <row r="12349" s="2" customFormat="1"/>
    <row r="12350" s="2" customFormat="1"/>
    <row r="12351" s="2" customFormat="1"/>
    <row r="12352" s="2" customFormat="1"/>
    <row r="12353" s="2" customFormat="1"/>
    <row r="12354" s="2" customFormat="1"/>
    <row r="12355" s="2" customFormat="1"/>
    <row r="12356" s="2" customFormat="1"/>
    <row r="12357" s="2" customFormat="1"/>
    <row r="12358" s="2" customFormat="1"/>
    <row r="12359" s="2" customFormat="1"/>
    <row r="12360" s="2" customFormat="1"/>
    <row r="12361" s="2" customFormat="1"/>
    <row r="12362" s="2" customFormat="1"/>
    <row r="12363" s="2" customFormat="1"/>
    <row r="12364" s="2" customFormat="1"/>
    <row r="12365" s="2" customFormat="1"/>
    <row r="12366" s="2" customFormat="1"/>
    <row r="12367" s="2" customFormat="1"/>
    <row r="12368" s="2" customFormat="1"/>
    <row r="12369" s="2" customFormat="1"/>
    <row r="12370" s="2" customFormat="1"/>
    <row r="12371" s="2" customFormat="1"/>
    <row r="12372" s="2" customFormat="1"/>
    <row r="12373" s="2" customFormat="1"/>
    <row r="12374" s="2" customFormat="1"/>
    <row r="12375" s="2" customFormat="1"/>
    <row r="12376" s="2" customFormat="1"/>
    <row r="12377" s="2" customFormat="1"/>
    <row r="12378" s="2" customFormat="1"/>
    <row r="12379" s="2" customFormat="1"/>
    <row r="12380" s="2" customFormat="1"/>
    <row r="12381" s="2" customFormat="1"/>
    <row r="12382" s="2" customFormat="1"/>
    <row r="12383" s="2" customFormat="1"/>
    <row r="12384" s="2" customFormat="1"/>
    <row r="12385" s="2" customFormat="1"/>
    <row r="12386" s="2" customFormat="1"/>
    <row r="12387" s="2" customFormat="1"/>
    <row r="12388" s="2" customFormat="1"/>
    <row r="12389" s="2" customFormat="1"/>
    <row r="12390" s="2" customFormat="1"/>
    <row r="12391" s="2" customFormat="1"/>
    <row r="12392" s="2" customFormat="1"/>
    <row r="12393" s="2" customFormat="1"/>
    <row r="12394" s="2" customFormat="1"/>
    <row r="12395" s="2" customFormat="1"/>
    <row r="12396" s="2" customFormat="1"/>
    <row r="12397" s="2" customFormat="1"/>
    <row r="12398" s="2" customFormat="1"/>
    <row r="12399" s="2" customFormat="1"/>
    <row r="12400" s="2" customFormat="1"/>
    <row r="12401" s="2" customFormat="1"/>
    <row r="12402" s="2" customFormat="1"/>
    <row r="12403" s="2" customFormat="1"/>
    <row r="12404" s="2" customFormat="1"/>
    <row r="12405" s="2" customFormat="1"/>
    <row r="12406" s="2" customFormat="1"/>
    <row r="12407" s="2" customFormat="1"/>
    <row r="12408" s="2" customFormat="1"/>
    <row r="12409" s="2" customFormat="1"/>
    <row r="12410" s="2" customFormat="1"/>
    <row r="12411" s="2" customFormat="1"/>
    <row r="12412" s="2" customFormat="1"/>
    <row r="12413" s="2" customFormat="1"/>
    <row r="12414" s="2" customFormat="1"/>
    <row r="12415" s="2" customFormat="1"/>
    <row r="12416" s="2" customFormat="1"/>
    <row r="12417" s="2" customFormat="1"/>
    <row r="12418" s="2" customFormat="1"/>
    <row r="12419" s="2" customFormat="1"/>
    <row r="12420" s="2" customFormat="1"/>
    <row r="12421" s="2" customFormat="1"/>
    <row r="12422" s="2" customFormat="1"/>
    <row r="12423" s="2" customFormat="1"/>
    <row r="12424" s="2" customFormat="1"/>
    <row r="12425" s="2" customFormat="1"/>
    <row r="12426" s="2" customFormat="1"/>
    <row r="12427" s="2" customFormat="1"/>
    <row r="12428" s="2" customFormat="1"/>
    <row r="12429" s="2" customFormat="1"/>
    <row r="12430" s="2" customFormat="1"/>
    <row r="12431" s="2" customFormat="1"/>
    <row r="12432" s="2" customFormat="1"/>
    <row r="12433" s="2" customFormat="1"/>
    <row r="12434" s="2" customFormat="1"/>
    <row r="12435" s="2" customFormat="1"/>
    <row r="12436" s="2" customFormat="1"/>
    <row r="12437" s="2" customFormat="1"/>
    <row r="12438" s="2" customFormat="1"/>
    <row r="12439" s="2" customFormat="1"/>
    <row r="12440" s="2" customFormat="1"/>
    <row r="12441" s="2" customFormat="1"/>
    <row r="12442" s="2" customFormat="1"/>
    <row r="12443" s="2" customFormat="1"/>
    <row r="12444" s="2" customFormat="1"/>
    <row r="12445" s="2" customFormat="1"/>
    <row r="12446" s="2" customFormat="1"/>
    <row r="12447" s="2" customFormat="1"/>
    <row r="12448" s="2" customFormat="1"/>
    <row r="12449" s="2" customFormat="1"/>
    <row r="12450" s="2" customFormat="1"/>
    <row r="12451" s="2" customFormat="1"/>
    <row r="12452" s="2" customFormat="1"/>
    <row r="12453" s="2" customFormat="1"/>
    <row r="12454" s="2" customFormat="1"/>
    <row r="12455" s="2" customFormat="1"/>
    <row r="12456" s="2" customFormat="1"/>
    <row r="12457" s="2" customFormat="1"/>
    <row r="12458" s="2" customFormat="1"/>
    <row r="12459" s="2" customFormat="1"/>
    <row r="12460" s="2" customFormat="1"/>
    <row r="12461" s="2" customFormat="1"/>
    <row r="12462" s="2" customFormat="1"/>
    <row r="12463" s="2" customFormat="1"/>
    <row r="12464" s="2" customFormat="1"/>
    <row r="12465" s="2" customFormat="1"/>
    <row r="12466" s="2" customFormat="1"/>
    <row r="12467" s="2" customFormat="1"/>
    <row r="12468" s="2" customFormat="1"/>
    <row r="12469" s="2" customFormat="1"/>
    <row r="12470" s="2" customFormat="1"/>
    <row r="12471" s="2" customFormat="1"/>
    <row r="12472" s="2" customFormat="1"/>
    <row r="12473" s="2" customFormat="1"/>
    <row r="12474" s="2" customFormat="1"/>
    <row r="12475" s="2" customFormat="1"/>
    <row r="12476" s="2" customFormat="1"/>
    <row r="12477" s="2" customFormat="1"/>
    <row r="12478" s="2" customFormat="1"/>
    <row r="12479" s="2" customFormat="1"/>
    <row r="12480" s="2" customFormat="1"/>
    <row r="12481" s="2" customFormat="1"/>
    <row r="12482" s="2" customFormat="1"/>
    <row r="12483" s="2" customFormat="1"/>
    <row r="12484" s="2" customFormat="1"/>
    <row r="12485" s="2" customFormat="1"/>
    <row r="12486" s="2" customFormat="1"/>
    <row r="12487" s="2" customFormat="1"/>
    <row r="12488" s="2" customFormat="1"/>
    <row r="12489" s="2" customFormat="1"/>
    <row r="12490" s="2" customFormat="1"/>
    <row r="12491" s="2" customFormat="1"/>
    <row r="12492" s="2" customFormat="1"/>
    <row r="12493" s="2" customFormat="1"/>
    <row r="12494" s="2" customFormat="1"/>
    <row r="12495" s="2" customFormat="1"/>
    <row r="12496" s="2" customFormat="1"/>
    <row r="12497" s="2" customFormat="1"/>
    <row r="12498" s="2" customFormat="1"/>
    <row r="12499" s="2" customFormat="1"/>
    <row r="12500" s="2" customFormat="1"/>
    <row r="12501" s="2" customFormat="1"/>
    <row r="12502" s="2" customFormat="1"/>
    <row r="12503" s="2" customFormat="1"/>
    <row r="12504" s="2" customFormat="1"/>
    <row r="12505" s="2" customFormat="1"/>
    <row r="12506" s="2" customFormat="1"/>
    <row r="12507" s="2" customFormat="1"/>
    <row r="12508" s="2" customFormat="1"/>
    <row r="12509" s="2" customFormat="1"/>
    <row r="12510" s="2" customFormat="1"/>
    <row r="12511" s="2" customFormat="1"/>
    <row r="12512" s="2" customFormat="1"/>
    <row r="12513" s="2" customFormat="1"/>
    <row r="12514" s="2" customFormat="1"/>
    <row r="12515" s="2" customFormat="1"/>
    <row r="12516" s="2" customFormat="1"/>
    <row r="12517" s="2" customFormat="1"/>
    <row r="12518" s="2" customFormat="1"/>
    <row r="12519" s="2" customFormat="1"/>
    <row r="12520" s="2" customFormat="1"/>
    <row r="12521" s="2" customFormat="1"/>
    <row r="12522" s="2" customFormat="1"/>
    <row r="12523" s="2" customFormat="1"/>
    <row r="12524" s="2" customFormat="1"/>
    <row r="12525" s="2" customFormat="1"/>
    <row r="12526" s="2" customFormat="1"/>
    <row r="12527" s="2" customFormat="1"/>
    <row r="12528" s="2" customFormat="1"/>
    <row r="12529" s="2" customFormat="1"/>
    <row r="12530" s="2" customFormat="1"/>
    <row r="12531" s="2" customFormat="1"/>
    <row r="12532" s="2" customFormat="1"/>
    <row r="12533" s="2" customFormat="1"/>
    <row r="12534" s="2" customFormat="1"/>
    <row r="12535" s="2" customFormat="1"/>
    <row r="12536" s="2" customFormat="1"/>
    <row r="12537" s="2" customFormat="1"/>
    <row r="12538" s="2" customFormat="1"/>
    <row r="12539" s="2" customFormat="1"/>
    <row r="12540" s="2" customFormat="1"/>
    <row r="12541" s="2" customFormat="1"/>
    <row r="12542" s="2" customFormat="1"/>
    <row r="12543" s="2" customFormat="1"/>
    <row r="12544" s="2" customFormat="1"/>
    <row r="12545" s="2" customFormat="1"/>
    <row r="12546" s="2" customFormat="1"/>
    <row r="12547" s="2" customFormat="1"/>
    <row r="12548" s="2" customFormat="1"/>
    <row r="12549" s="2" customFormat="1"/>
    <row r="12550" s="2" customFormat="1"/>
    <row r="12551" s="2" customFormat="1"/>
    <row r="12552" s="2" customFormat="1"/>
    <row r="12553" s="2" customFormat="1"/>
    <row r="12554" s="2" customFormat="1"/>
    <row r="12555" s="2" customFormat="1"/>
    <row r="12556" s="2" customFormat="1"/>
    <row r="12557" s="2" customFormat="1"/>
    <row r="12558" s="2" customFormat="1"/>
    <row r="12559" s="2" customFormat="1"/>
    <row r="12560" s="2" customFormat="1"/>
    <row r="12561" s="2" customFormat="1"/>
    <row r="12562" s="2" customFormat="1"/>
    <row r="12563" s="2" customFormat="1"/>
    <row r="12564" s="2" customFormat="1"/>
    <row r="12565" s="2" customFormat="1"/>
    <row r="12566" s="2" customFormat="1"/>
    <row r="12567" s="2" customFormat="1"/>
    <row r="12568" s="2" customFormat="1"/>
    <row r="12569" s="2" customFormat="1"/>
    <row r="12570" s="2" customFormat="1"/>
    <row r="12571" s="2" customFormat="1"/>
    <row r="12572" s="2" customFormat="1"/>
    <row r="12573" s="2" customFormat="1"/>
    <row r="12574" s="2" customFormat="1"/>
    <row r="12575" s="2" customFormat="1"/>
    <row r="12576" s="2" customFormat="1"/>
    <row r="12577" s="2" customFormat="1"/>
    <row r="12578" s="2" customFormat="1"/>
    <row r="12579" s="2" customFormat="1"/>
    <row r="12580" s="2" customFormat="1"/>
    <row r="12581" s="2" customFormat="1"/>
    <row r="12582" s="2" customFormat="1"/>
    <row r="12583" s="2" customFormat="1"/>
    <row r="12584" s="2" customFormat="1"/>
    <row r="12585" s="2" customFormat="1"/>
    <row r="12586" s="2" customFormat="1"/>
    <row r="12587" s="2" customFormat="1"/>
    <row r="12588" s="2" customFormat="1"/>
    <row r="12589" s="2" customFormat="1"/>
    <row r="12590" s="2" customFormat="1"/>
    <row r="12591" s="2" customFormat="1"/>
    <row r="12592" s="2" customFormat="1"/>
    <row r="12593" s="2" customFormat="1"/>
    <row r="12594" s="2" customFormat="1"/>
    <row r="12595" s="2" customFormat="1"/>
    <row r="12596" s="2" customFormat="1"/>
    <row r="12597" s="2" customFormat="1"/>
    <row r="12598" s="2" customFormat="1"/>
    <row r="12599" s="2" customFormat="1"/>
    <row r="12600" s="2" customFormat="1"/>
    <row r="12601" s="2" customFormat="1"/>
    <row r="12602" s="2" customFormat="1"/>
    <row r="12603" s="2" customFormat="1"/>
    <row r="12604" s="2" customFormat="1"/>
    <row r="12605" s="2" customFormat="1"/>
    <row r="12606" s="2" customFormat="1"/>
    <row r="12607" s="2" customFormat="1"/>
    <row r="12608" s="2" customFormat="1"/>
    <row r="12609" s="2" customFormat="1"/>
    <row r="12610" s="2" customFormat="1"/>
    <row r="12611" s="2" customFormat="1"/>
    <row r="12612" s="2" customFormat="1"/>
    <row r="12613" s="2" customFormat="1"/>
    <row r="12614" s="2" customFormat="1"/>
    <row r="12615" s="2" customFormat="1"/>
    <row r="12616" s="2" customFormat="1"/>
    <row r="12617" s="2" customFormat="1"/>
    <row r="12618" s="2" customFormat="1"/>
    <row r="12619" s="2" customFormat="1"/>
    <row r="12620" s="2" customFormat="1"/>
    <row r="12621" s="2" customFormat="1"/>
    <row r="12622" s="2" customFormat="1"/>
    <row r="12623" s="2" customFormat="1"/>
    <row r="12624" s="2" customFormat="1"/>
    <row r="12625" s="2" customFormat="1"/>
    <row r="12626" s="2" customFormat="1"/>
    <row r="12627" s="2" customFormat="1"/>
    <row r="12628" s="2" customFormat="1"/>
    <row r="12629" s="2" customFormat="1"/>
    <row r="12630" s="2" customFormat="1"/>
    <row r="12631" s="2" customFormat="1"/>
    <row r="12632" s="2" customFormat="1"/>
    <row r="12633" s="2" customFormat="1"/>
    <row r="12634" s="2" customFormat="1"/>
    <row r="12635" s="2" customFormat="1"/>
    <row r="12636" s="2" customFormat="1"/>
    <row r="12637" s="2" customFormat="1"/>
    <row r="12638" s="2" customFormat="1"/>
    <row r="12639" s="2" customFormat="1"/>
    <row r="12640" s="2" customFormat="1"/>
    <row r="12641" s="2" customFormat="1"/>
    <row r="12642" s="2" customFormat="1"/>
    <row r="12643" s="2" customFormat="1"/>
    <row r="12644" s="2" customFormat="1"/>
    <row r="12645" s="2" customFormat="1"/>
    <row r="12646" s="2" customFormat="1"/>
    <row r="12647" s="2" customFormat="1"/>
    <row r="12648" s="2" customFormat="1"/>
    <row r="12649" s="2" customFormat="1"/>
    <row r="12650" s="2" customFormat="1"/>
    <row r="12651" s="2" customFormat="1"/>
    <row r="12652" s="2" customFormat="1"/>
    <row r="12653" s="2" customFormat="1"/>
    <row r="12654" s="2" customFormat="1"/>
    <row r="12655" s="2" customFormat="1"/>
    <row r="12656" s="2" customFormat="1"/>
    <row r="12657" s="2" customFormat="1"/>
    <row r="12658" s="2" customFormat="1"/>
    <row r="12659" s="2" customFormat="1"/>
    <row r="12660" s="2" customFormat="1"/>
    <row r="12661" s="2" customFormat="1"/>
    <row r="12662" s="2" customFormat="1"/>
    <row r="12663" s="2" customFormat="1"/>
    <row r="12664" s="2" customFormat="1"/>
    <row r="12665" s="2" customFormat="1"/>
    <row r="12666" s="2" customFormat="1"/>
    <row r="12667" s="2" customFormat="1"/>
    <row r="12668" s="2" customFormat="1"/>
    <row r="12669" s="2" customFormat="1"/>
    <row r="12670" s="2" customFormat="1"/>
    <row r="12671" s="2" customFormat="1"/>
    <row r="12672" s="2" customFormat="1"/>
    <row r="12673" s="2" customFormat="1"/>
    <row r="12674" s="2" customFormat="1"/>
    <row r="12675" s="2" customFormat="1"/>
    <row r="12676" s="2" customFormat="1"/>
    <row r="12677" s="2" customFormat="1"/>
    <row r="12678" s="2" customFormat="1"/>
    <row r="12679" s="2" customFormat="1"/>
    <row r="12680" s="2" customFormat="1"/>
    <row r="12681" s="2" customFormat="1"/>
    <row r="12682" s="2" customFormat="1"/>
    <row r="12683" s="2" customFormat="1"/>
    <row r="12684" s="2" customFormat="1"/>
    <row r="12685" s="2" customFormat="1"/>
    <row r="12686" s="2" customFormat="1"/>
    <row r="12687" s="2" customFormat="1"/>
    <row r="12688" s="2" customFormat="1"/>
    <row r="12689" s="2" customFormat="1"/>
    <row r="12690" s="2" customFormat="1"/>
    <row r="12691" s="2" customFormat="1"/>
    <row r="12692" s="2" customFormat="1"/>
    <row r="12693" s="2" customFormat="1"/>
    <row r="12694" s="2" customFormat="1"/>
    <row r="12695" s="2" customFormat="1"/>
    <row r="12696" s="2" customFormat="1"/>
    <row r="12697" s="2" customFormat="1"/>
    <row r="12698" s="2" customFormat="1"/>
    <row r="12699" s="2" customFormat="1"/>
    <row r="12700" s="2" customFormat="1"/>
    <row r="12701" s="2" customFormat="1"/>
    <row r="12702" s="2" customFormat="1"/>
    <row r="12703" s="2" customFormat="1"/>
    <row r="12704" s="2" customFormat="1"/>
    <row r="12705" s="2" customFormat="1"/>
    <row r="12706" s="2" customFormat="1"/>
    <row r="12707" s="2" customFormat="1"/>
    <row r="12708" s="2" customFormat="1"/>
    <row r="12709" s="2" customFormat="1"/>
    <row r="12710" s="2" customFormat="1"/>
    <row r="12711" s="2" customFormat="1"/>
    <row r="12712" s="2" customFormat="1"/>
    <row r="12713" s="2" customFormat="1"/>
    <row r="12714" s="2" customFormat="1"/>
    <row r="12715" s="2" customFormat="1"/>
    <row r="12716" s="2" customFormat="1"/>
    <row r="12717" s="2" customFormat="1"/>
    <row r="12718" s="2" customFormat="1"/>
    <row r="12719" s="2" customFormat="1"/>
    <row r="12720" s="2" customFormat="1"/>
    <row r="12721" s="2" customFormat="1"/>
    <row r="12722" s="2" customFormat="1"/>
    <row r="12723" s="2" customFormat="1"/>
    <row r="12724" s="2" customFormat="1"/>
    <row r="12725" s="2" customFormat="1"/>
    <row r="12726" s="2" customFormat="1"/>
    <row r="12727" s="2" customFormat="1"/>
    <row r="12728" s="2" customFormat="1"/>
    <row r="12729" s="2" customFormat="1"/>
    <row r="12730" s="2" customFormat="1"/>
    <row r="12731" s="2" customFormat="1"/>
    <row r="12732" s="2" customFormat="1"/>
    <row r="12733" s="2" customFormat="1"/>
    <row r="12734" s="2" customFormat="1"/>
    <row r="12735" s="2" customFormat="1"/>
    <row r="12736" s="2" customFormat="1"/>
    <row r="12737" s="2" customFormat="1"/>
    <row r="12738" s="2" customFormat="1"/>
    <row r="12739" s="2" customFormat="1"/>
    <row r="12740" s="2" customFormat="1"/>
    <row r="12741" s="2" customFormat="1"/>
    <row r="12742" s="2" customFormat="1"/>
    <row r="12743" s="2" customFormat="1"/>
    <row r="12744" s="2" customFormat="1"/>
    <row r="12745" s="2" customFormat="1"/>
    <row r="12746" s="2" customFormat="1"/>
    <row r="12747" s="2" customFormat="1"/>
    <row r="12748" s="2" customFormat="1"/>
    <row r="12749" s="2" customFormat="1"/>
    <row r="12750" s="2" customFormat="1"/>
    <row r="12751" s="2" customFormat="1"/>
    <row r="12752" s="2" customFormat="1"/>
    <row r="12753" s="2" customFormat="1"/>
    <row r="12754" s="2" customFormat="1"/>
    <row r="12755" s="2" customFormat="1"/>
    <row r="12756" s="2" customFormat="1"/>
    <row r="12757" s="2" customFormat="1"/>
    <row r="12758" s="2" customFormat="1"/>
    <row r="12759" s="2" customFormat="1"/>
    <row r="12760" s="2" customFormat="1"/>
    <row r="12761" s="2" customFormat="1"/>
    <row r="12762" s="2" customFormat="1"/>
    <row r="12763" s="2" customFormat="1"/>
    <row r="12764" s="2" customFormat="1"/>
    <row r="12765" s="2" customFormat="1"/>
    <row r="12766" s="2" customFormat="1"/>
    <row r="12767" s="2" customFormat="1"/>
    <row r="12768" s="2" customFormat="1"/>
    <row r="12769" s="2" customFormat="1"/>
    <row r="12770" s="2" customFormat="1"/>
    <row r="12771" s="2" customFormat="1"/>
    <row r="12772" s="2" customFormat="1"/>
    <row r="12773" s="2" customFormat="1"/>
    <row r="12774" s="2" customFormat="1"/>
    <row r="12775" s="2" customFormat="1"/>
    <row r="12776" s="2" customFormat="1"/>
    <row r="12777" s="2" customFormat="1"/>
    <row r="12778" s="2" customFormat="1"/>
    <row r="12779" s="2" customFormat="1"/>
    <row r="12780" s="2" customFormat="1"/>
    <row r="12781" s="2" customFormat="1"/>
    <row r="12782" s="2" customFormat="1"/>
    <row r="12783" s="2" customFormat="1"/>
    <row r="12784" s="2" customFormat="1"/>
    <row r="12785" s="2" customFormat="1"/>
    <row r="12786" s="2" customFormat="1"/>
    <row r="12787" s="2" customFormat="1"/>
    <row r="12788" s="2" customFormat="1"/>
    <row r="12789" s="2" customFormat="1"/>
    <row r="12790" s="2" customFormat="1"/>
    <row r="12791" s="2" customFormat="1"/>
    <row r="12792" s="2" customFormat="1"/>
    <row r="12793" s="2" customFormat="1"/>
    <row r="12794" s="2" customFormat="1"/>
    <row r="12795" s="2" customFormat="1"/>
    <row r="12796" s="2" customFormat="1"/>
    <row r="12797" s="2" customFormat="1"/>
    <row r="12798" s="2" customFormat="1"/>
    <row r="12799" s="2" customFormat="1"/>
    <row r="12800" s="2" customFormat="1"/>
    <row r="12801" s="2" customFormat="1"/>
    <row r="12802" s="2" customFormat="1"/>
    <row r="12803" s="2" customFormat="1"/>
    <row r="12804" s="2" customFormat="1"/>
    <row r="12805" s="2" customFormat="1"/>
    <row r="12806" s="2" customFormat="1"/>
    <row r="12807" s="2" customFormat="1"/>
    <row r="12808" s="2" customFormat="1"/>
    <row r="12809" s="2" customFormat="1"/>
    <row r="12810" s="2" customFormat="1"/>
    <row r="12811" s="2" customFormat="1"/>
    <row r="12812" s="2" customFormat="1"/>
    <row r="12813" s="2" customFormat="1"/>
    <row r="12814" s="2" customFormat="1"/>
    <row r="12815" s="2" customFormat="1"/>
    <row r="12816" s="2" customFormat="1"/>
    <row r="12817" s="2" customFormat="1"/>
    <row r="12818" s="2" customFormat="1"/>
    <row r="12819" s="2" customFormat="1"/>
    <row r="12820" s="2" customFormat="1"/>
    <row r="12821" s="2" customFormat="1"/>
    <row r="12822" s="2" customFormat="1"/>
    <row r="12823" s="2" customFormat="1"/>
    <row r="12824" s="2" customFormat="1"/>
    <row r="12825" s="2" customFormat="1"/>
    <row r="12826" s="2" customFormat="1"/>
    <row r="12827" s="2" customFormat="1"/>
    <row r="12828" s="2" customFormat="1"/>
    <row r="12829" s="2" customFormat="1"/>
    <row r="12830" s="2" customFormat="1"/>
    <row r="12831" s="2" customFormat="1"/>
    <row r="12832" s="2" customFormat="1"/>
    <row r="12833" s="2" customFormat="1"/>
    <row r="12834" s="2" customFormat="1"/>
    <row r="12835" s="2" customFormat="1"/>
    <row r="12836" s="2" customFormat="1"/>
    <row r="12837" s="2" customFormat="1"/>
    <row r="12838" s="2" customFormat="1"/>
    <row r="12839" s="2" customFormat="1"/>
    <row r="12840" s="2" customFormat="1"/>
    <row r="12841" s="2" customFormat="1"/>
    <row r="12842" s="2" customFormat="1"/>
    <row r="12843" s="2" customFormat="1"/>
    <row r="12844" s="2" customFormat="1"/>
    <row r="12845" s="2" customFormat="1"/>
    <row r="12846" s="2" customFormat="1"/>
    <row r="12847" s="2" customFormat="1"/>
    <row r="12848" s="2" customFormat="1"/>
    <row r="12849" s="2" customFormat="1"/>
    <row r="12850" s="2" customFormat="1"/>
    <row r="12851" s="2" customFormat="1"/>
    <row r="12852" s="2" customFormat="1"/>
    <row r="12853" s="2" customFormat="1"/>
    <row r="12854" s="2" customFormat="1"/>
    <row r="12855" s="2" customFormat="1"/>
    <row r="12856" s="2" customFormat="1"/>
    <row r="12857" s="2" customFormat="1"/>
    <row r="12858" s="2" customFormat="1"/>
    <row r="12859" s="2" customFormat="1"/>
    <row r="12860" s="2" customFormat="1"/>
    <row r="12861" s="2" customFormat="1"/>
    <row r="12862" s="2" customFormat="1"/>
    <row r="12863" s="2" customFormat="1"/>
    <row r="12864" s="2" customFormat="1"/>
    <row r="12865" s="2" customFormat="1"/>
    <row r="12866" s="2" customFormat="1"/>
    <row r="12867" s="2" customFormat="1"/>
    <row r="12868" s="2" customFormat="1"/>
    <row r="12869" s="2" customFormat="1"/>
    <row r="12870" s="2" customFormat="1"/>
    <row r="12871" s="2" customFormat="1"/>
    <row r="12872" s="2" customFormat="1"/>
    <row r="12873" s="2" customFormat="1"/>
    <row r="12874" s="2" customFormat="1"/>
    <row r="12875" s="2" customFormat="1"/>
    <row r="12876" s="2" customFormat="1"/>
    <row r="12877" s="2" customFormat="1"/>
    <row r="12878" s="2" customFormat="1"/>
    <row r="12879" s="2" customFormat="1"/>
    <row r="12880" s="2" customFormat="1"/>
    <row r="12881" s="2" customFormat="1"/>
    <row r="12882" s="2" customFormat="1"/>
    <row r="12883" s="2" customFormat="1"/>
    <row r="12884" s="2" customFormat="1"/>
    <row r="12885" s="2" customFormat="1"/>
    <row r="12886" s="2" customFormat="1"/>
    <row r="12887" s="2" customFormat="1"/>
    <row r="12888" s="2" customFormat="1"/>
    <row r="12889" s="2" customFormat="1"/>
    <row r="12890" s="2" customFormat="1"/>
    <row r="12891" s="2" customFormat="1"/>
    <row r="12892" s="2" customFormat="1"/>
    <row r="12893" s="2" customFormat="1"/>
    <row r="12894" s="2" customFormat="1"/>
    <row r="12895" s="2" customFormat="1"/>
    <row r="12896" s="2" customFormat="1"/>
    <row r="12897" s="2" customFormat="1"/>
    <row r="12898" s="2" customFormat="1"/>
    <row r="12899" s="2" customFormat="1"/>
    <row r="12900" s="2" customFormat="1"/>
    <row r="12901" s="2" customFormat="1"/>
    <row r="12902" s="2" customFormat="1"/>
    <row r="12903" s="2" customFormat="1"/>
    <row r="12904" s="2" customFormat="1"/>
    <row r="12905" s="2" customFormat="1"/>
    <row r="12906" s="2" customFormat="1"/>
    <row r="12907" s="2" customFormat="1"/>
    <row r="12908" s="2" customFormat="1"/>
    <row r="12909" s="2" customFormat="1"/>
    <row r="12910" s="2" customFormat="1"/>
    <row r="12911" s="2" customFormat="1"/>
    <row r="12912" s="2" customFormat="1"/>
    <row r="12913" s="2" customFormat="1"/>
    <row r="12914" s="2" customFormat="1"/>
    <row r="12915" s="2" customFormat="1"/>
    <row r="12916" s="2" customFormat="1"/>
    <row r="12917" s="2" customFormat="1"/>
    <row r="12918" s="2" customFormat="1"/>
    <row r="12919" s="2" customFormat="1"/>
    <row r="12920" s="2" customFormat="1"/>
    <row r="12921" s="2" customFormat="1"/>
    <row r="12922" s="2" customFormat="1"/>
    <row r="12923" s="2" customFormat="1"/>
    <row r="12924" s="2" customFormat="1"/>
    <row r="12925" s="2" customFormat="1"/>
    <row r="12926" s="2" customFormat="1"/>
    <row r="12927" s="2" customFormat="1"/>
    <row r="12928" s="2" customFormat="1"/>
    <row r="12929" s="2" customFormat="1"/>
    <row r="12930" s="2" customFormat="1"/>
    <row r="12931" s="2" customFormat="1"/>
    <row r="12932" s="2" customFormat="1"/>
    <row r="12933" s="2" customFormat="1"/>
    <row r="12934" s="2" customFormat="1"/>
    <row r="12935" s="2" customFormat="1"/>
    <row r="12936" s="2" customFormat="1"/>
    <row r="12937" s="2" customFormat="1"/>
    <row r="12938" s="2" customFormat="1"/>
    <row r="12939" s="2" customFormat="1"/>
    <row r="12940" s="2" customFormat="1"/>
    <row r="12941" s="2" customFormat="1"/>
    <row r="12942" s="2" customFormat="1"/>
    <row r="12943" s="2" customFormat="1"/>
    <row r="12944" s="2" customFormat="1"/>
    <row r="12945" s="2" customFormat="1"/>
    <row r="12946" s="2" customFormat="1"/>
    <row r="12947" s="2" customFormat="1"/>
    <row r="12948" s="2" customFormat="1"/>
    <row r="12949" s="2" customFormat="1"/>
    <row r="12950" s="2" customFormat="1"/>
    <row r="12951" s="2" customFormat="1"/>
    <row r="12952" s="2" customFormat="1"/>
    <row r="12953" s="2" customFormat="1"/>
    <row r="12954" s="2" customFormat="1"/>
    <row r="12955" s="2" customFormat="1"/>
    <row r="12956" s="2" customFormat="1"/>
    <row r="12957" s="2" customFormat="1"/>
    <row r="12958" s="2" customFormat="1"/>
    <row r="12959" s="2" customFormat="1"/>
    <row r="12960" s="2" customFormat="1"/>
    <row r="12961" s="2" customFormat="1"/>
    <row r="12962" s="2" customFormat="1"/>
    <row r="12963" s="2" customFormat="1"/>
    <row r="12964" s="2" customFormat="1"/>
    <row r="12965" s="2" customFormat="1"/>
    <row r="12966" s="2" customFormat="1"/>
    <row r="12967" s="2" customFormat="1"/>
    <row r="12968" s="2" customFormat="1"/>
    <row r="12969" s="2" customFormat="1"/>
    <row r="12970" s="2" customFormat="1"/>
    <row r="12971" s="2" customFormat="1"/>
    <row r="12972" s="2" customFormat="1"/>
    <row r="12973" s="2" customFormat="1"/>
    <row r="12974" s="2" customFormat="1"/>
    <row r="12975" s="2" customFormat="1"/>
    <row r="12976" s="2" customFormat="1"/>
    <row r="12977" s="2" customFormat="1"/>
    <row r="12978" s="2" customFormat="1"/>
    <row r="12979" s="2" customFormat="1"/>
    <row r="12980" s="2" customFormat="1"/>
    <row r="12981" s="2" customFormat="1"/>
    <row r="12982" s="2" customFormat="1"/>
    <row r="12983" s="2" customFormat="1"/>
    <row r="12984" s="2" customFormat="1"/>
    <row r="12985" s="2" customFormat="1"/>
    <row r="12986" s="2" customFormat="1"/>
    <row r="12987" s="2" customFormat="1"/>
    <row r="12988" s="2" customFormat="1"/>
    <row r="12989" s="2" customFormat="1"/>
    <row r="12990" s="2" customFormat="1"/>
    <row r="12991" s="2" customFormat="1"/>
    <row r="12992" s="2" customFormat="1"/>
    <row r="12993" s="2" customFormat="1"/>
    <row r="12994" s="2" customFormat="1"/>
    <row r="12995" s="2" customFormat="1"/>
    <row r="12996" s="2" customFormat="1"/>
    <row r="12997" s="2" customFormat="1"/>
    <row r="12998" s="2" customFormat="1"/>
    <row r="12999" s="2" customFormat="1"/>
    <row r="13000" s="2" customFormat="1"/>
    <row r="13001" s="2" customFormat="1"/>
    <row r="13002" s="2" customFormat="1"/>
    <row r="13003" s="2" customFormat="1"/>
    <row r="13004" s="2" customFormat="1"/>
    <row r="13005" s="2" customFormat="1"/>
    <row r="13006" s="2" customFormat="1"/>
    <row r="13007" s="2" customFormat="1"/>
    <row r="13008" s="2" customFormat="1"/>
    <row r="13009" s="2" customFormat="1"/>
    <row r="13010" s="2" customFormat="1"/>
    <row r="13011" s="2" customFormat="1"/>
    <row r="13012" s="2" customFormat="1"/>
    <row r="13013" s="2" customFormat="1"/>
    <row r="13014" s="2" customFormat="1"/>
    <row r="13015" s="2" customFormat="1"/>
    <row r="13016" s="2" customFormat="1"/>
    <row r="13017" s="2" customFormat="1"/>
    <row r="13018" s="2" customFormat="1"/>
    <row r="13019" s="2" customFormat="1"/>
    <row r="13020" s="2" customFormat="1"/>
    <row r="13021" s="2" customFormat="1"/>
    <row r="13022" s="2" customFormat="1"/>
    <row r="13023" s="2" customFormat="1"/>
    <row r="13024" s="2" customFormat="1"/>
    <row r="13025" s="2" customFormat="1"/>
    <row r="13026" s="2" customFormat="1"/>
    <row r="13027" s="2" customFormat="1"/>
    <row r="13028" s="2" customFormat="1"/>
    <row r="13029" s="2" customFormat="1"/>
    <row r="13030" s="2" customFormat="1"/>
    <row r="13031" s="2" customFormat="1"/>
    <row r="13032" s="2" customFormat="1"/>
    <row r="13033" s="2" customFormat="1"/>
    <row r="13034" s="2" customFormat="1"/>
    <row r="13035" s="2" customFormat="1"/>
    <row r="13036" s="2" customFormat="1"/>
    <row r="13037" s="2" customFormat="1"/>
    <row r="13038" s="2" customFormat="1"/>
    <row r="13039" s="2" customFormat="1"/>
    <row r="13040" s="2" customFormat="1"/>
    <row r="13041" s="2" customFormat="1"/>
    <row r="13042" s="2" customFormat="1"/>
    <row r="13043" s="2" customFormat="1"/>
    <row r="13044" s="2" customFormat="1"/>
    <row r="13045" s="2" customFormat="1"/>
    <row r="13046" s="2" customFormat="1"/>
    <row r="13047" s="2" customFormat="1"/>
    <row r="13048" s="2" customFormat="1"/>
    <row r="13049" s="2" customFormat="1"/>
    <row r="13050" s="2" customFormat="1"/>
    <row r="13051" s="2" customFormat="1"/>
    <row r="13052" s="2" customFormat="1"/>
    <row r="13053" s="2" customFormat="1"/>
    <row r="13054" s="2" customFormat="1"/>
    <row r="13055" s="2" customFormat="1"/>
    <row r="13056" s="2" customFormat="1"/>
    <row r="13057" s="2" customFormat="1"/>
    <row r="13058" s="2" customFormat="1"/>
    <row r="13059" s="2" customFormat="1"/>
    <row r="13060" s="2" customFormat="1"/>
    <row r="13061" s="2" customFormat="1"/>
    <row r="13062" s="2" customFormat="1"/>
    <row r="13063" s="2" customFormat="1"/>
    <row r="13064" s="2" customFormat="1"/>
    <row r="13065" s="2" customFormat="1"/>
    <row r="13066" s="2" customFormat="1"/>
    <row r="13067" s="2" customFormat="1"/>
    <row r="13068" s="2" customFormat="1"/>
    <row r="13069" s="2" customFormat="1"/>
    <row r="13070" s="2" customFormat="1"/>
    <row r="13071" s="2" customFormat="1"/>
    <row r="13072" s="2" customFormat="1"/>
    <row r="13073" s="2" customFormat="1"/>
    <row r="13074" s="2" customFormat="1"/>
    <row r="13075" s="2" customFormat="1"/>
    <row r="13076" s="2" customFormat="1"/>
    <row r="13077" s="2" customFormat="1"/>
    <row r="13078" s="2" customFormat="1"/>
    <row r="13079" s="2" customFormat="1"/>
    <row r="13080" s="2" customFormat="1"/>
    <row r="13081" s="2" customFormat="1"/>
    <row r="13082" s="2" customFormat="1"/>
    <row r="13083" s="2" customFormat="1"/>
    <row r="13084" s="2" customFormat="1"/>
    <row r="13085" s="2" customFormat="1"/>
    <row r="13086" s="2" customFormat="1"/>
    <row r="13087" s="2" customFormat="1"/>
    <row r="13088" s="2" customFormat="1"/>
    <row r="13089" s="2" customFormat="1"/>
    <row r="13090" s="2" customFormat="1"/>
    <row r="13091" s="2" customFormat="1"/>
    <row r="13092" s="2" customFormat="1"/>
    <row r="13093" s="2" customFormat="1"/>
    <row r="13094" s="2" customFormat="1"/>
    <row r="13095" s="2" customFormat="1"/>
    <row r="13096" s="2" customFormat="1"/>
    <row r="13097" s="2" customFormat="1"/>
    <row r="13098" s="2" customFormat="1"/>
    <row r="13099" s="2" customFormat="1"/>
    <row r="13100" s="2" customFormat="1"/>
    <row r="13101" s="2" customFormat="1"/>
    <row r="13102" s="2" customFormat="1"/>
    <row r="13103" s="2" customFormat="1"/>
    <row r="13104" s="2" customFormat="1"/>
    <row r="13105" s="2" customFormat="1"/>
    <row r="13106" s="2" customFormat="1"/>
    <row r="13107" s="2" customFormat="1"/>
    <row r="13108" s="2" customFormat="1"/>
    <row r="13109" s="2" customFormat="1"/>
    <row r="13110" s="2" customFormat="1"/>
    <row r="13111" s="2" customFormat="1"/>
    <row r="13112" s="2" customFormat="1"/>
    <row r="13113" s="2" customFormat="1"/>
    <row r="13114" s="2" customFormat="1"/>
    <row r="13115" s="2" customFormat="1"/>
    <row r="13116" s="2" customFormat="1"/>
    <row r="13117" s="2" customFormat="1"/>
    <row r="13118" s="2" customFormat="1"/>
    <row r="13119" s="2" customFormat="1"/>
    <row r="13120" s="2" customFormat="1"/>
    <row r="13121" s="2" customFormat="1"/>
    <row r="13122" s="2" customFormat="1"/>
    <row r="13123" s="2" customFormat="1"/>
    <row r="13124" s="2" customFormat="1"/>
    <row r="13125" s="2" customFormat="1"/>
    <row r="13126" s="2" customFormat="1"/>
    <row r="13127" s="2" customFormat="1"/>
    <row r="13128" s="2" customFormat="1"/>
    <row r="13129" s="2" customFormat="1"/>
    <row r="13130" s="2" customFormat="1"/>
    <row r="13131" s="2" customFormat="1"/>
    <row r="13132" s="2" customFormat="1"/>
    <row r="13133" s="2" customFormat="1"/>
    <row r="13134" s="2" customFormat="1"/>
    <row r="13135" s="2" customFormat="1"/>
    <row r="13136" s="2" customFormat="1"/>
    <row r="13137" s="2" customFormat="1"/>
    <row r="13138" s="2" customFormat="1"/>
    <row r="13139" s="2" customFormat="1"/>
    <row r="13140" s="2" customFormat="1"/>
    <row r="13141" s="2" customFormat="1"/>
    <row r="13142" s="2" customFormat="1"/>
    <row r="13143" s="2" customFormat="1"/>
    <row r="13144" s="2" customFormat="1"/>
    <row r="13145" s="2" customFormat="1"/>
    <row r="13146" s="2" customFormat="1"/>
    <row r="13147" s="2" customFormat="1"/>
    <row r="13148" s="2" customFormat="1"/>
    <row r="13149" s="2" customFormat="1"/>
    <row r="13150" s="2" customFormat="1"/>
    <row r="13151" s="2" customFormat="1"/>
    <row r="13152" s="2" customFormat="1"/>
    <row r="13153" s="2" customFormat="1"/>
    <row r="13154" s="2" customFormat="1"/>
    <row r="13155" s="2" customFormat="1"/>
    <row r="13156" s="2" customFormat="1"/>
    <row r="13157" s="2" customFormat="1"/>
    <row r="13158" s="2" customFormat="1"/>
    <row r="13159" s="2" customFormat="1"/>
    <row r="13160" s="2" customFormat="1"/>
    <row r="13161" s="2" customFormat="1"/>
    <row r="13162" s="2" customFormat="1"/>
    <row r="13163" s="2" customFormat="1"/>
    <row r="13164" s="2" customFormat="1"/>
    <row r="13165" s="2" customFormat="1"/>
    <row r="13166" s="2" customFormat="1"/>
    <row r="13167" s="2" customFormat="1"/>
    <row r="13168" s="2" customFormat="1"/>
    <row r="13169" s="2" customFormat="1"/>
    <row r="13170" s="2" customFormat="1"/>
    <row r="13171" s="2" customFormat="1"/>
    <row r="13172" s="2" customFormat="1"/>
    <row r="13173" s="2" customFormat="1"/>
    <row r="13174" s="2" customFormat="1"/>
    <row r="13175" s="2" customFormat="1"/>
    <row r="13176" s="2" customFormat="1"/>
    <row r="13177" s="2" customFormat="1"/>
    <row r="13178" s="2" customFormat="1"/>
    <row r="13179" s="2" customFormat="1"/>
    <row r="13180" s="2" customFormat="1"/>
    <row r="13181" s="2" customFormat="1"/>
    <row r="13182" s="2" customFormat="1"/>
    <row r="13183" s="2" customFormat="1"/>
    <row r="13184" s="2" customFormat="1"/>
    <row r="13185" s="2" customFormat="1"/>
    <row r="13186" s="2" customFormat="1"/>
    <row r="13187" s="2" customFormat="1"/>
    <row r="13188" s="2" customFormat="1"/>
    <row r="13189" s="2" customFormat="1"/>
    <row r="13190" s="2" customFormat="1"/>
    <row r="13191" s="2" customFormat="1"/>
    <row r="13192" s="2" customFormat="1"/>
    <row r="13193" s="2" customFormat="1"/>
    <row r="13194" s="2" customFormat="1"/>
    <row r="13195" s="2" customFormat="1"/>
    <row r="13196" s="2" customFormat="1"/>
    <row r="13197" s="2" customFormat="1"/>
    <row r="13198" s="2" customFormat="1"/>
    <row r="13199" s="2" customFormat="1"/>
    <row r="13200" s="2" customFormat="1"/>
    <row r="13201" s="2" customFormat="1"/>
    <row r="13202" s="2" customFormat="1"/>
    <row r="13203" s="2" customFormat="1"/>
    <row r="13204" s="2" customFormat="1"/>
    <row r="13205" s="2" customFormat="1"/>
    <row r="13206" s="2" customFormat="1"/>
    <row r="13207" s="2" customFormat="1"/>
    <row r="13208" s="2" customFormat="1"/>
    <row r="13209" s="2" customFormat="1"/>
    <row r="13210" s="2" customFormat="1"/>
    <row r="13211" s="2" customFormat="1"/>
    <row r="13212" s="2" customFormat="1"/>
    <row r="13213" s="2" customFormat="1"/>
    <row r="13214" s="2" customFormat="1"/>
    <row r="13215" s="2" customFormat="1"/>
    <row r="13216" s="2" customFormat="1"/>
    <row r="13217" s="2" customFormat="1"/>
    <row r="13218" s="2" customFormat="1"/>
    <row r="13219" s="2" customFormat="1"/>
    <row r="13220" s="2" customFormat="1"/>
    <row r="13221" s="2" customFormat="1"/>
    <row r="13222" s="2" customFormat="1"/>
    <row r="13223" s="2" customFormat="1"/>
    <row r="13224" s="2" customFormat="1"/>
    <row r="13225" s="2" customFormat="1"/>
    <row r="13226" s="2" customFormat="1"/>
    <row r="13227" s="2" customFormat="1"/>
    <row r="13228" s="2" customFormat="1"/>
    <row r="13229" s="2" customFormat="1"/>
    <row r="13230" s="2" customFormat="1"/>
    <row r="13231" s="2" customFormat="1"/>
    <row r="13232" s="2" customFormat="1"/>
    <row r="13233" s="2" customFormat="1"/>
    <row r="13234" s="2" customFormat="1"/>
    <row r="13235" s="2" customFormat="1"/>
    <row r="13236" s="2" customFormat="1"/>
    <row r="13237" s="2" customFormat="1"/>
    <row r="13238" s="2" customFormat="1"/>
    <row r="13239" s="2" customFormat="1"/>
    <row r="13240" s="2" customFormat="1"/>
    <row r="13241" s="2" customFormat="1"/>
    <row r="13242" s="2" customFormat="1"/>
    <row r="13243" s="2" customFormat="1"/>
    <row r="13244" s="2" customFormat="1"/>
    <row r="13245" s="2" customFormat="1"/>
    <row r="13246" s="2" customFormat="1"/>
    <row r="13247" s="2" customFormat="1"/>
    <row r="13248" s="2" customFormat="1"/>
    <row r="13249" s="2" customFormat="1"/>
    <row r="13250" s="2" customFormat="1"/>
    <row r="13251" s="2" customFormat="1"/>
    <row r="13252" s="2" customFormat="1"/>
    <row r="13253" s="2" customFormat="1"/>
    <row r="13254" s="2" customFormat="1"/>
    <row r="13255" s="2" customFormat="1"/>
    <row r="13256" s="2" customFormat="1"/>
    <row r="13257" s="2" customFormat="1"/>
    <row r="13258" s="2" customFormat="1"/>
    <row r="13259" s="2" customFormat="1"/>
    <row r="13260" s="2" customFormat="1"/>
    <row r="13261" s="2" customFormat="1"/>
    <row r="13262" s="2" customFormat="1"/>
    <row r="13263" s="2" customFormat="1"/>
    <row r="13264" s="2" customFormat="1"/>
    <row r="13265" s="2" customFormat="1"/>
    <row r="13266" s="2" customFormat="1"/>
    <row r="13267" s="2" customFormat="1"/>
    <row r="13268" s="2" customFormat="1"/>
    <row r="13269" s="2" customFormat="1"/>
    <row r="13270" s="2" customFormat="1"/>
    <row r="13271" s="2" customFormat="1"/>
    <row r="13272" s="2" customFormat="1"/>
    <row r="13273" s="2" customFormat="1"/>
    <row r="13274" s="2" customFormat="1"/>
    <row r="13275" s="2" customFormat="1"/>
    <row r="13276" s="2" customFormat="1"/>
    <row r="13277" s="2" customFormat="1"/>
    <row r="13278" s="2" customFormat="1"/>
    <row r="13279" s="2" customFormat="1"/>
    <row r="13280" s="2" customFormat="1"/>
    <row r="13281" s="2" customFormat="1"/>
    <row r="13282" s="2" customFormat="1"/>
    <row r="13283" s="2" customFormat="1"/>
    <row r="13284" s="2" customFormat="1"/>
    <row r="13285" s="2" customFormat="1"/>
    <row r="13286" s="2" customFormat="1"/>
    <row r="13287" s="2" customFormat="1"/>
    <row r="13288" s="2" customFormat="1"/>
    <row r="13289" s="2" customFormat="1"/>
    <row r="13290" s="2" customFormat="1"/>
    <row r="13291" s="2" customFormat="1"/>
    <row r="13292" s="2" customFormat="1"/>
    <row r="13293" s="2" customFormat="1"/>
    <row r="13294" s="2" customFormat="1"/>
    <row r="13295" s="2" customFormat="1"/>
    <row r="13296" s="2" customFormat="1"/>
    <row r="13297" s="2" customFormat="1"/>
    <row r="13298" s="2" customFormat="1"/>
    <row r="13299" s="2" customFormat="1"/>
    <row r="13300" s="2" customFormat="1"/>
    <row r="13301" s="2" customFormat="1"/>
    <row r="13302" s="2" customFormat="1"/>
    <row r="13303" s="2" customFormat="1"/>
    <row r="13304" s="2" customFormat="1"/>
    <row r="13305" s="2" customFormat="1"/>
    <row r="13306" s="2" customFormat="1"/>
    <row r="13307" s="2" customFormat="1"/>
    <row r="13308" s="2" customFormat="1"/>
    <row r="13309" s="2" customFormat="1"/>
    <row r="13310" s="2" customFormat="1"/>
    <row r="13311" s="2" customFormat="1"/>
    <row r="13312" s="2" customFormat="1"/>
    <row r="13313" s="2" customFormat="1"/>
    <row r="13314" s="2" customFormat="1"/>
    <row r="13315" s="2" customFormat="1"/>
    <row r="13316" s="2" customFormat="1"/>
    <row r="13317" s="2" customFormat="1"/>
    <row r="13318" s="2" customFormat="1"/>
    <row r="13319" s="2" customFormat="1"/>
    <row r="13320" s="2" customFormat="1"/>
    <row r="13321" s="2" customFormat="1"/>
    <row r="13322" s="2" customFormat="1"/>
    <row r="13323" s="2" customFormat="1"/>
    <row r="13324" s="2" customFormat="1"/>
    <row r="13325" s="2" customFormat="1"/>
    <row r="13326" s="2" customFormat="1"/>
    <row r="13327" s="2" customFormat="1"/>
    <row r="13328" s="2" customFormat="1"/>
    <row r="13329" s="2" customFormat="1"/>
    <row r="13330" s="2" customFormat="1"/>
    <row r="13331" s="2" customFormat="1"/>
    <row r="13332" s="2" customFormat="1"/>
    <row r="13333" s="2" customFormat="1"/>
    <row r="13334" s="2" customFormat="1"/>
    <row r="13335" s="2" customFormat="1"/>
    <row r="13336" s="2" customFormat="1"/>
    <row r="13337" s="2" customFormat="1"/>
    <row r="13338" s="2" customFormat="1"/>
    <row r="13339" s="2" customFormat="1"/>
    <row r="13340" s="2" customFormat="1"/>
    <row r="13341" s="2" customFormat="1"/>
    <row r="13342" s="2" customFormat="1"/>
    <row r="13343" s="2" customFormat="1"/>
    <row r="13344" s="2" customFormat="1"/>
    <row r="13345" s="2" customFormat="1"/>
    <row r="13346" s="2" customFormat="1"/>
    <row r="13347" s="2" customFormat="1"/>
    <row r="13348" s="2" customFormat="1"/>
    <row r="13349" s="2" customFormat="1"/>
    <row r="13350" s="2" customFormat="1"/>
    <row r="13351" s="2" customFormat="1"/>
    <row r="13352" s="2" customFormat="1"/>
    <row r="13353" s="2" customFormat="1"/>
    <row r="13354" s="2" customFormat="1"/>
    <row r="13355" s="2" customFormat="1"/>
    <row r="13356" s="2" customFormat="1"/>
    <row r="13357" s="2" customFormat="1"/>
    <row r="13358" s="2" customFormat="1"/>
    <row r="13359" s="2" customFormat="1"/>
    <row r="13360" s="2" customFormat="1"/>
    <row r="13361" s="2" customFormat="1"/>
    <row r="13362" s="2" customFormat="1"/>
    <row r="13363" s="2" customFormat="1"/>
    <row r="13364" s="2" customFormat="1"/>
    <row r="13365" s="2" customFormat="1"/>
    <row r="13366" s="2" customFormat="1"/>
    <row r="13367" s="2" customFormat="1"/>
    <row r="13368" s="2" customFormat="1"/>
    <row r="13369" s="2" customFormat="1"/>
    <row r="13370" s="2" customFormat="1"/>
    <row r="13371" s="2" customFormat="1"/>
    <row r="13372" s="2" customFormat="1"/>
    <row r="13373" s="2" customFormat="1"/>
    <row r="13374" s="2" customFormat="1"/>
    <row r="13375" s="2" customFormat="1"/>
    <row r="13376" s="2" customFormat="1"/>
    <row r="13377" s="2" customFormat="1"/>
    <row r="13378" s="2" customFormat="1"/>
    <row r="13379" s="2" customFormat="1"/>
    <row r="13380" s="2" customFormat="1"/>
    <row r="13381" s="2" customFormat="1"/>
    <row r="13382" s="2" customFormat="1"/>
    <row r="13383" s="2" customFormat="1"/>
    <row r="13384" s="2" customFormat="1"/>
    <row r="13385" s="2" customFormat="1"/>
    <row r="13386" s="2" customFormat="1"/>
    <row r="13387" s="2" customFormat="1"/>
    <row r="13388" s="2" customFormat="1"/>
    <row r="13389" s="2" customFormat="1"/>
    <row r="13390" s="2" customFormat="1"/>
    <row r="13391" s="2" customFormat="1"/>
    <row r="13392" s="2" customFormat="1"/>
    <row r="13393" s="2" customFormat="1"/>
    <row r="13394" s="2" customFormat="1"/>
    <row r="13395" s="2" customFormat="1"/>
    <row r="13396" s="2" customFormat="1"/>
    <row r="13397" s="2" customFormat="1"/>
    <row r="13398" s="2" customFormat="1"/>
    <row r="13399" s="2" customFormat="1"/>
    <row r="13400" s="2" customFormat="1"/>
    <row r="13401" s="2" customFormat="1"/>
    <row r="13402" s="2" customFormat="1"/>
    <row r="13403" s="2" customFormat="1"/>
    <row r="13404" s="2" customFormat="1"/>
    <row r="13405" s="2" customFormat="1"/>
    <row r="13406" s="2" customFormat="1"/>
    <row r="13407" s="2" customFormat="1"/>
    <row r="13408" s="2" customFormat="1"/>
    <row r="13409" s="2" customFormat="1"/>
    <row r="13410" s="2" customFormat="1"/>
    <row r="13411" s="2" customFormat="1"/>
    <row r="13412" s="2" customFormat="1"/>
    <row r="13413" s="2" customFormat="1"/>
    <row r="13414" s="2" customFormat="1"/>
    <row r="13415" s="2" customFormat="1"/>
    <row r="13416" s="2" customFormat="1"/>
    <row r="13417" s="2" customFormat="1"/>
    <row r="13418" s="2" customFormat="1"/>
    <row r="13419" s="2" customFormat="1"/>
    <row r="13420" s="2" customFormat="1"/>
    <row r="13421" s="2" customFormat="1"/>
    <row r="13422" s="2" customFormat="1"/>
    <row r="13423" s="2" customFormat="1"/>
    <row r="13424" s="2" customFormat="1"/>
    <row r="13425" s="2" customFormat="1"/>
    <row r="13426" s="2" customFormat="1"/>
    <row r="13427" s="2" customFormat="1"/>
    <row r="13428" s="2" customFormat="1"/>
    <row r="13429" s="2" customFormat="1"/>
    <row r="13430" s="2" customFormat="1"/>
    <row r="13431" s="2" customFormat="1"/>
    <row r="13432" s="2" customFormat="1"/>
    <row r="13433" s="2" customFormat="1"/>
    <row r="13434" s="2" customFormat="1"/>
    <row r="13435" s="2" customFormat="1"/>
    <row r="13436" s="2" customFormat="1"/>
    <row r="13437" s="2" customFormat="1"/>
    <row r="13438" s="2" customFormat="1"/>
    <row r="13439" s="2" customFormat="1"/>
    <row r="13440" s="2" customFormat="1"/>
    <row r="13441" s="2" customFormat="1"/>
    <row r="13442" s="2" customFormat="1"/>
    <row r="13443" s="2" customFormat="1"/>
    <row r="13444" s="2" customFormat="1"/>
    <row r="13445" s="2" customFormat="1"/>
    <row r="13446" s="2" customFormat="1"/>
    <row r="13447" s="2" customFormat="1"/>
    <row r="13448" s="2" customFormat="1"/>
    <row r="13449" s="2" customFormat="1"/>
    <row r="13450" s="2" customFormat="1"/>
    <row r="13451" s="2" customFormat="1"/>
    <row r="13452" s="2" customFormat="1"/>
    <row r="13453" s="2" customFormat="1"/>
    <row r="13454" s="2" customFormat="1"/>
    <row r="13455" s="2" customFormat="1"/>
    <row r="13456" s="2" customFormat="1"/>
    <row r="13457" s="2" customFormat="1"/>
    <row r="13458" s="2" customFormat="1"/>
    <row r="13459" s="2" customFormat="1"/>
    <row r="13460" s="2" customFormat="1"/>
    <row r="13461" s="2" customFormat="1"/>
    <row r="13462" s="2" customFormat="1"/>
    <row r="13463" s="2" customFormat="1"/>
    <row r="13464" s="2" customFormat="1"/>
    <row r="13465" s="2" customFormat="1"/>
    <row r="13466" s="2" customFormat="1"/>
    <row r="13467" s="2" customFormat="1"/>
    <row r="13468" s="2" customFormat="1"/>
    <row r="13469" s="2" customFormat="1"/>
    <row r="13470" s="2" customFormat="1"/>
    <row r="13471" s="2" customFormat="1"/>
    <row r="13472" s="2" customFormat="1"/>
    <row r="13473" s="2" customFormat="1"/>
    <row r="13474" s="2" customFormat="1"/>
    <row r="13475" s="2" customFormat="1"/>
    <row r="13476" s="2" customFormat="1"/>
    <row r="13477" s="2" customFormat="1"/>
    <row r="13478" s="2" customFormat="1"/>
    <row r="13479" s="2" customFormat="1"/>
    <row r="13480" s="2" customFormat="1"/>
    <row r="13481" s="2" customFormat="1"/>
    <row r="13482" s="2" customFormat="1"/>
    <row r="13483" s="2" customFormat="1"/>
    <row r="13484" s="2" customFormat="1"/>
    <row r="13485" s="2" customFormat="1"/>
    <row r="13486" s="2" customFormat="1"/>
    <row r="13487" s="2" customFormat="1"/>
    <row r="13488" s="2" customFormat="1"/>
    <row r="13489" s="2" customFormat="1"/>
    <row r="13490" s="2" customFormat="1"/>
    <row r="13491" s="2" customFormat="1"/>
    <row r="13492" s="2" customFormat="1"/>
    <row r="13493" s="2" customFormat="1"/>
    <row r="13494" s="2" customFormat="1"/>
    <row r="13495" s="2" customFormat="1"/>
    <row r="13496" s="2" customFormat="1"/>
    <row r="13497" s="2" customFormat="1"/>
    <row r="13498" s="2" customFormat="1"/>
    <row r="13499" s="2" customFormat="1"/>
    <row r="13500" s="2" customFormat="1"/>
    <row r="13501" s="2" customFormat="1"/>
    <row r="13502" s="2" customFormat="1"/>
    <row r="13503" s="2" customFormat="1"/>
    <row r="13504" s="2" customFormat="1"/>
    <row r="13505" s="2" customFormat="1"/>
    <row r="13506" s="2" customFormat="1"/>
    <row r="13507" s="2" customFormat="1"/>
    <row r="13508" s="2" customFormat="1"/>
    <row r="13509" s="2" customFormat="1"/>
    <row r="13510" s="2" customFormat="1"/>
    <row r="13511" s="2" customFormat="1"/>
    <row r="13512" s="2" customFormat="1"/>
    <row r="13513" s="2" customFormat="1"/>
    <row r="13514" s="2" customFormat="1"/>
    <row r="13515" s="2" customFormat="1"/>
    <row r="13516" s="2" customFormat="1"/>
    <row r="13517" s="2" customFormat="1"/>
    <row r="13518" s="2" customFormat="1"/>
    <row r="13519" s="2" customFormat="1"/>
    <row r="13520" s="2" customFormat="1"/>
    <row r="13521" s="2" customFormat="1"/>
    <row r="13522" s="2" customFormat="1"/>
    <row r="13523" s="2" customFormat="1"/>
    <row r="13524" s="2" customFormat="1"/>
    <row r="13525" s="2" customFormat="1"/>
    <row r="13526" s="2" customFormat="1"/>
    <row r="13527" s="2" customFormat="1"/>
    <row r="13528" s="2" customFormat="1"/>
    <row r="13529" s="2" customFormat="1"/>
    <row r="13530" s="2" customFormat="1"/>
    <row r="13531" s="2" customFormat="1"/>
    <row r="13532" s="2" customFormat="1"/>
    <row r="13533" s="2" customFormat="1"/>
    <row r="13534" s="2" customFormat="1"/>
    <row r="13535" s="2" customFormat="1"/>
    <row r="13536" s="2" customFormat="1"/>
    <row r="13537" s="2" customFormat="1"/>
    <row r="13538" s="2" customFormat="1"/>
    <row r="13539" s="2" customFormat="1"/>
    <row r="13540" s="2" customFormat="1"/>
    <row r="13541" s="2" customFormat="1"/>
    <row r="13542" s="2" customFormat="1"/>
    <row r="13543" s="2" customFormat="1"/>
    <row r="13544" s="2" customFormat="1"/>
    <row r="13545" s="2" customFormat="1"/>
    <row r="13546" s="2" customFormat="1"/>
    <row r="13547" s="2" customFormat="1"/>
    <row r="13548" s="2" customFormat="1"/>
    <row r="13549" s="2" customFormat="1"/>
    <row r="13550" s="2" customFormat="1"/>
    <row r="13551" s="2" customFormat="1"/>
    <row r="13552" s="2" customFormat="1"/>
    <row r="13553" s="2" customFormat="1"/>
    <row r="13554" s="2" customFormat="1"/>
    <row r="13555" s="2" customFormat="1"/>
    <row r="13556" s="2" customFormat="1"/>
    <row r="13557" s="2" customFormat="1"/>
    <row r="13558" s="2" customFormat="1"/>
    <row r="13559" s="2" customFormat="1"/>
    <row r="13560" s="2" customFormat="1"/>
    <row r="13561" s="2" customFormat="1"/>
    <row r="13562" s="2" customFormat="1"/>
    <row r="13563" s="2" customFormat="1"/>
    <row r="13564" s="2" customFormat="1"/>
    <row r="13565" s="2" customFormat="1"/>
    <row r="13566" s="2" customFormat="1"/>
    <row r="13567" s="2" customFormat="1"/>
    <row r="13568" s="2" customFormat="1"/>
    <row r="13569" s="2" customFormat="1"/>
    <row r="13570" s="2" customFormat="1"/>
    <row r="13571" s="2" customFormat="1"/>
    <row r="13572" s="2" customFormat="1"/>
    <row r="13573" s="2" customFormat="1"/>
    <row r="13574" s="2" customFormat="1"/>
    <row r="13575" s="2" customFormat="1"/>
    <row r="13576" s="2" customFormat="1"/>
    <row r="13577" s="2" customFormat="1"/>
    <row r="13578" s="2" customFormat="1"/>
    <row r="13579" s="2" customFormat="1"/>
    <row r="13580" s="2" customFormat="1"/>
    <row r="13581" s="2" customFormat="1"/>
    <row r="13582" s="2" customFormat="1"/>
    <row r="13583" s="2" customFormat="1"/>
    <row r="13584" s="2" customFormat="1"/>
    <row r="13585" s="2" customFormat="1"/>
    <row r="13586" s="2" customFormat="1"/>
    <row r="13587" s="2" customFormat="1"/>
    <row r="13588" s="2" customFormat="1"/>
    <row r="13589" s="2" customFormat="1"/>
    <row r="13590" s="2" customFormat="1"/>
    <row r="13591" s="2" customFormat="1"/>
    <row r="13592" s="2" customFormat="1"/>
    <row r="13593" s="2" customFormat="1"/>
    <row r="13594" s="2" customFormat="1"/>
    <row r="13595" s="2" customFormat="1"/>
    <row r="13596" s="2" customFormat="1"/>
    <row r="13597" s="2" customFormat="1"/>
    <row r="13598" s="2" customFormat="1"/>
    <row r="13599" s="2" customFormat="1"/>
    <row r="13600" s="2" customFormat="1"/>
    <row r="13601" s="2" customFormat="1"/>
    <row r="13602" s="2" customFormat="1"/>
    <row r="13603" s="2" customFormat="1"/>
    <row r="13604" s="2" customFormat="1"/>
    <row r="13605" s="2" customFormat="1"/>
    <row r="13606" s="2" customFormat="1"/>
    <row r="13607" s="2" customFormat="1"/>
    <row r="13608" s="2" customFormat="1"/>
    <row r="13609" s="2" customFormat="1"/>
    <row r="13610" s="2" customFormat="1"/>
    <row r="13611" s="2" customFormat="1"/>
    <row r="13612" s="2" customFormat="1"/>
    <row r="13613" s="2" customFormat="1"/>
    <row r="13614" s="2" customFormat="1"/>
    <row r="13615" s="2" customFormat="1"/>
    <row r="13616" s="2" customFormat="1"/>
    <row r="13617" s="2" customFormat="1"/>
    <row r="13618" s="2" customFormat="1"/>
    <row r="13619" s="2" customFormat="1"/>
    <row r="13620" s="2" customFormat="1"/>
    <row r="13621" s="2" customFormat="1"/>
    <row r="13622" s="2" customFormat="1"/>
    <row r="13623" s="2" customFormat="1"/>
    <row r="13624" s="2" customFormat="1"/>
    <row r="13625" s="2" customFormat="1"/>
    <row r="13626" s="2" customFormat="1"/>
    <row r="13627" s="2" customFormat="1"/>
    <row r="13628" s="2" customFormat="1"/>
    <row r="13629" s="2" customFormat="1"/>
    <row r="13630" s="2" customFormat="1"/>
    <row r="13631" s="2" customFormat="1"/>
    <row r="13632" s="2" customFormat="1"/>
    <row r="13633" s="2" customFormat="1"/>
    <row r="13634" s="2" customFormat="1"/>
    <row r="13635" s="2" customFormat="1"/>
    <row r="13636" s="2" customFormat="1"/>
    <row r="13637" s="2" customFormat="1"/>
    <row r="13638" s="2" customFormat="1"/>
    <row r="13639" s="2" customFormat="1"/>
    <row r="13640" s="2" customFormat="1"/>
    <row r="13641" s="2" customFormat="1"/>
    <row r="13642" s="2" customFormat="1"/>
    <row r="13643" s="2" customFormat="1"/>
    <row r="13644" s="2" customFormat="1"/>
    <row r="13645" s="2" customFormat="1"/>
    <row r="13646" s="2" customFormat="1"/>
    <row r="13647" s="2" customFormat="1"/>
    <row r="13648" s="2" customFormat="1"/>
    <row r="13649" s="2" customFormat="1"/>
    <row r="13650" s="2" customFormat="1"/>
    <row r="13651" s="2" customFormat="1"/>
    <row r="13652" s="2" customFormat="1"/>
    <row r="13653" s="2" customFormat="1"/>
    <row r="13654" s="2" customFormat="1"/>
    <row r="13655" s="2" customFormat="1"/>
    <row r="13656" s="2" customFormat="1"/>
    <row r="13657" s="2" customFormat="1"/>
    <row r="13658" s="2" customFormat="1"/>
    <row r="13659" s="2" customFormat="1"/>
    <row r="13660" s="2" customFormat="1"/>
    <row r="13661" s="2" customFormat="1"/>
    <row r="13662" s="2" customFormat="1"/>
    <row r="13663" s="2" customFormat="1"/>
    <row r="13664" s="2" customFormat="1"/>
    <row r="13665" s="2" customFormat="1"/>
    <row r="13666" s="2" customFormat="1"/>
    <row r="13667" s="2" customFormat="1"/>
    <row r="13668" s="2" customFormat="1"/>
    <row r="13669" s="2" customFormat="1"/>
    <row r="13670" s="2" customFormat="1"/>
    <row r="13671" s="2" customFormat="1"/>
    <row r="13672" s="2" customFormat="1"/>
    <row r="13673" s="2" customFormat="1"/>
    <row r="13674" s="2" customFormat="1"/>
    <row r="13675" s="2" customFormat="1"/>
    <row r="13676" s="2" customFormat="1"/>
    <row r="13677" s="2" customFormat="1"/>
    <row r="13678" s="2" customFormat="1"/>
    <row r="13679" s="2" customFormat="1"/>
    <row r="13680" s="2" customFormat="1"/>
    <row r="13681" s="2" customFormat="1"/>
    <row r="13682" s="2" customFormat="1"/>
    <row r="13683" s="2" customFormat="1"/>
    <row r="13684" s="2" customFormat="1"/>
    <row r="13685" s="2" customFormat="1"/>
    <row r="13686" s="2" customFormat="1"/>
    <row r="13687" s="2" customFormat="1"/>
    <row r="13688" s="2" customFormat="1"/>
    <row r="13689" s="2" customFormat="1"/>
    <row r="13690" s="2" customFormat="1"/>
    <row r="13691" s="2" customFormat="1"/>
    <row r="13692" s="2" customFormat="1"/>
    <row r="13693" s="2" customFormat="1"/>
    <row r="13694" s="2" customFormat="1"/>
    <row r="13695" s="2" customFormat="1"/>
    <row r="13696" s="2" customFormat="1"/>
    <row r="13697" s="2" customFormat="1"/>
    <row r="13698" s="2" customFormat="1"/>
    <row r="13699" s="2" customFormat="1"/>
    <row r="13700" s="2" customFormat="1"/>
    <row r="13701" s="2" customFormat="1"/>
    <row r="13702" s="2" customFormat="1"/>
    <row r="13703" s="2" customFormat="1"/>
    <row r="13704" s="2" customFormat="1"/>
    <row r="13705" s="2" customFormat="1"/>
    <row r="13706" s="2" customFormat="1"/>
    <row r="13707" s="2" customFormat="1"/>
    <row r="13708" s="2" customFormat="1"/>
    <row r="13709" s="2" customFormat="1"/>
    <row r="13710" s="2" customFormat="1"/>
    <row r="13711" s="2" customFormat="1"/>
    <row r="13712" s="2" customFormat="1"/>
    <row r="13713" s="2" customFormat="1"/>
    <row r="13714" s="2" customFormat="1"/>
    <row r="13715" s="2" customFormat="1"/>
    <row r="13716" s="2" customFormat="1"/>
    <row r="13717" s="2" customFormat="1"/>
    <row r="13718" s="2" customFormat="1"/>
    <row r="13719" s="2" customFormat="1"/>
    <row r="13720" s="2" customFormat="1"/>
    <row r="13721" s="2" customFormat="1"/>
    <row r="13722" s="2" customFormat="1"/>
    <row r="13723" s="2" customFormat="1"/>
    <row r="13724" s="2" customFormat="1"/>
    <row r="13725" s="2" customFormat="1"/>
    <row r="13726" s="2" customFormat="1"/>
    <row r="13727" s="2" customFormat="1"/>
    <row r="13728" s="2" customFormat="1"/>
    <row r="13729" s="2" customFormat="1"/>
    <row r="13730" s="2" customFormat="1"/>
    <row r="13731" s="2" customFormat="1"/>
    <row r="13732" s="2" customFormat="1"/>
    <row r="13733" s="2" customFormat="1"/>
    <row r="13734" s="2" customFormat="1"/>
    <row r="13735" s="2" customFormat="1"/>
    <row r="13736" s="2" customFormat="1"/>
    <row r="13737" s="2" customFormat="1"/>
    <row r="13738" s="2" customFormat="1"/>
    <row r="13739" s="2" customFormat="1"/>
    <row r="13740" s="2" customFormat="1"/>
    <row r="13741" s="2" customFormat="1"/>
    <row r="13742" s="2" customFormat="1"/>
    <row r="13743" s="2" customFormat="1"/>
    <row r="13744" s="2" customFormat="1"/>
    <row r="13745" s="2" customFormat="1"/>
    <row r="13746" s="2" customFormat="1"/>
    <row r="13747" s="2" customFormat="1"/>
    <row r="13748" s="2" customFormat="1"/>
    <row r="13749" s="2" customFormat="1"/>
    <row r="13750" s="2" customFormat="1"/>
    <row r="13751" s="2" customFormat="1"/>
    <row r="13752" s="2" customFormat="1"/>
    <row r="13753" s="2" customFormat="1"/>
    <row r="13754" s="2" customFormat="1"/>
    <row r="13755" s="2" customFormat="1"/>
    <row r="13756" s="2" customFormat="1"/>
    <row r="13757" s="2" customFormat="1"/>
    <row r="13758" s="2" customFormat="1"/>
    <row r="13759" s="2" customFormat="1"/>
    <row r="13760" s="2" customFormat="1"/>
    <row r="13761" s="2" customFormat="1"/>
    <row r="13762" s="2" customFormat="1"/>
    <row r="13763" s="2" customFormat="1"/>
    <row r="13764" s="2" customFormat="1"/>
    <row r="13765" s="2" customFormat="1"/>
    <row r="13766" s="2" customFormat="1"/>
    <row r="13767" s="2" customFormat="1"/>
    <row r="13768" s="2" customFormat="1"/>
    <row r="13769" s="2" customFormat="1"/>
    <row r="13770" s="2" customFormat="1"/>
    <row r="13771" s="2" customFormat="1"/>
    <row r="13772" s="2" customFormat="1"/>
    <row r="13773" s="2" customFormat="1"/>
    <row r="13774" s="2" customFormat="1"/>
    <row r="13775" s="2" customFormat="1"/>
    <row r="13776" s="2" customFormat="1"/>
    <row r="13777" s="2" customFormat="1"/>
    <row r="13778" s="2" customFormat="1"/>
    <row r="13779" s="2" customFormat="1"/>
    <row r="13780" s="2" customFormat="1"/>
    <row r="13781" s="2" customFormat="1"/>
    <row r="13782" s="2" customFormat="1"/>
    <row r="13783" s="2" customFormat="1"/>
    <row r="13784" s="2" customFormat="1"/>
    <row r="13785" s="2" customFormat="1"/>
    <row r="13786" s="2" customFormat="1"/>
    <row r="13787" s="2" customFormat="1"/>
    <row r="13788" s="2" customFormat="1"/>
    <row r="13789" s="2" customFormat="1"/>
    <row r="13790" s="2" customFormat="1"/>
    <row r="13791" s="2" customFormat="1"/>
    <row r="13792" s="2" customFormat="1"/>
    <row r="13793" s="2" customFormat="1"/>
    <row r="13794" s="2" customFormat="1"/>
    <row r="13795" s="2" customFormat="1"/>
    <row r="13796" s="2" customFormat="1"/>
    <row r="13797" s="2" customFormat="1"/>
    <row r="13798" s="2" customFormat="1"/>
    <row r="13799" s="2" customFormat="1"/>
    <row r="13800" s="2" customFormat="1"/>
    <row r="13801" s="2" customFormat="1"/>
    <row r="13802" s="2" customFormat="1"/>
    <row r="13803" s="2" customFormat="1"/>
    <row r="13804" s="2" customFormat="1"/>
    <row r="13805" s="2" customFormat="1"/>
    <row r="13806" s="2" customFormat="1"/>
    <row r="13807" s="2" customFormat="1"/>
    <row r="13808" s="2" customFormat="1"/>
    <row r="13809" s="2" customFormat="1"/>
    <row r="13810" s="2" customFormat="1"/>
    <row r="13811" s="2" customFormat="1"/>
    <row r="13812" s="2" customFormat="1"/>
    <row r="13813" s="2" customFormat="1"/>
    <row r="13814" s="2" customFormat="1"/>
    <row r="13815" s="2" customFormat="1"/>
    <row r="13816" s="2" customFormat="1"/>
    <row r="13817" s="2" customFormat="1"/>
    <row r="13818" s="2" customFormat="1"/>
    <row r="13819" s="2" customFormat="1"/>
    <row r="13820" s="2" customFormat="1"/>
    <row r="13821" s="2" customFormat="1"/>
    <row r="13822" s="2" customFormat="1"/>
    <row r="13823" s="2" customFormat="1"/>
    <row r="13824" s="2" customFormat="1"/>
    <row r="13825" s="2" customFormat="1"/>
    <row r="13826" s="2" customFormat="1"/>
    <row r="13827" s="2" customFormat="1"/>
    <row r="13828" s="2" customFormat="1"/>
    <row r="13829" s="2" customFormat="1"/>
    <row r="13830" s="2" customFormat="1"/>
    <row r="13831" s="2" customFormat="1"/>
    <row r="13832" s="2" customFormat="1"/>
    <row r="13833" s="2" customFormat="1"/>
    <row r="13834" s="2" customFormat="1"/>
    <row r="13835" s="2" customFormat="1"/>
    <row r="13836" s="2" customFormat="1"/>
    <row r="13837" s="2" customFormat="1"/>
    <row r="13838" s="2" customFormat="1"/>
    <row r="13839" s="2" customFormat="1"/>
    <row r="13840" s="2" customFormat="1"/>
    <row r="13841" s="2" customFormat="1"/>
    <row r="13842" s="2" customFormat="1"/>
    <row r="13843" s="2" customFormat="1"/>
    <row r="13844" s="2" customFormat="1"/>
    <row r="13845" s="2" customFormat="1"/>
    <row r="13846" s="2" customFormat="1"/>
    <row r="13847" s="2" customFormat="1"/>
    <row r="13848" s="2" customFormat="1"/>
    <row r="13849" s="2" customFormat="1"/>
    <row r="13850" s="2" customFormat="1"/>
    <row r="13851" s="2" customFormat="1"/>
    <row r="13852" s="2" customFormat="1"/>
    <row r="13853" s="2" customFormat="1"/>
    <row r="13854" s="2" customFormat="1"/>
    <row r="13855" s="2" customFormat="1"/>
    <row r="13856" s="2" customFormat="1"/>
    <row r="13857" s="2" customFormat="1"/>
    <row r="13858" s="2" customFormat="1"/>
    <row r="13859" s="2" customFormat="1"/>
    <row r="13860" s="2" customFormat="1"/>
    <row r="13861" s="2" customFormat="1"/>
    <row r="13862" s="2" customFormat="1"/>
    <row r="13863" s="2" customFormat="1"/>
    <row r="13864" s="2" customFormat="1"/>
    <row r="13865" s="2" customFormat="1"/>
    <row r="13866" s="2" customFormat="1"/>
    <row r="13867" s="2" customFormat="1"/>
    <row r="13868" s="2" customFormat="1"/>
    <row r="13869" s="2" customFormat="1"/>
    <row r="13870" s="2" customFormat="1"/>
    <row r="13871" s="2" customFormat="1"/>
    <row r="13872" s="2" customFormat="1"/>
    <row r="13873" s="2" customFormat="1"/>
    <row r="13874" s="2" customFormat="1"/>
    <row r="13875" s="2" customFormat="1"/>
    <row r="13876" s="2" customFormat="1"/>
    <row r="13877" s="2" customFormat="1"/>
    <row r="13878" s="2" customFormat="1"/>
    <row r="13879" s="2" customFormat="1"/>
    <row r="13880" s="2" customFormat="1"/>
    <row r="13881" s="2" customFormat="1"/>
    <row r="13882" s="2" customFormat="1"/>
    <row r="13883" s="2" customFormat="1"/>
    <row r="13884" s="2" customFormat="1"/>
    <row r="13885" s="2" customFormat="1"/>
    <row r="13886" s="2" customFormat="1"/>
    <row r="13887" s="2" customFormat="1"/>
    <row r="13888" s="2" customFormat="1"/>
    <row r="13889" s="2" customFormat="1"/>
    <row r="13890" s="2" customFormat="1"/>
    <row r="13891" s="2" customFormat="1"/>
    <row r="13892" s="2" customFormat="1"/>
    <row r="13893" s="2" customFormat="1"/>
    <row r="13894" s="2" customFormat="1"/>
    <row r="13895" s="2" customFormat="1"/>
    <row r="13896" s="2" customFormat="1"/>
    <row r="13897" s="2" customFormat="1"/>
    <row r="13898" s="2" customFormat="1"/>
    <row r="13899" s="2" customFormat="1"/>
    <row r="13900" s="2" customFormat="1"/>
    <row r="13901" s="2" customFormat="1"/>
    <row r="13902" s="2" customFormat="1"/>
    <row r="13903" s="2" customFormat="1"/>
    <row r="13904" s="2" customFormat="1"/>
    <row r="13905" s="2" customFormat="1"/>
    <row r="13906" s="2" customFormat="1"/>
    <row r="13907" s="2" customFormat="1"/>
    <row r="13908" s="2" customFormat="1"/>
    <row r="13909" s="2" customFormat="1"/>
    <row r="13910" s="2" customFormat="1"/>
    <row r="13911" s="2" customFormat="1"/>
    <row r="13912" s="2" customFormat="1"/>
    <row r="13913" s="2" customFormat="1"/>
    <row r="13914" s="2" customFormat="1"/>
    <row r="13915" s="2" customFormat="1"/>
    <row r="13916" s="2" customFormat="1"/>
    <row r="13917" s="2" customFormat="1"/>
    <row r="13918" s="2" customFormat="1"/>
    <row r="13919" s="2" customFormat="1"/>
    <row r="13920" s="2" customFormat="1"/>
    <row r="13921" s="2" customFormat="1"/>
    <row r="13922" s="2" customFormat="1"/>
    <row r="13923" s="2" customFormat="1"/>
    <row r="13924" s="2" customFormat="1"/>
    <row r="13925" s="2" customFormat="1"/>
    <row r="13926" s="2" customFormat="1"/>
    <row r="13927" s="2" customFormat="1"/>
    <row r="13928" s="2" customFormat="1"/>
    <row r="13929" s="2" customFormat="1"/>
    <row r="13930" s="2" customFormat="1"/>
    <row r="13931" s="2" customFormat="1"/>
    <row r="13932" s="2" customFormat="1"/>
    <row r="13933" s="2" customFormat="1"/>
    <row r="13934" s="2" customFormat="1"/>
    <row r="13935" s="2" customFormat="1"/>
    <row r="13936" s="2" customFormat="1"/>
    <row r="13937" s="2" customFormat="1"/>
    <row r="13938" s="2" customFormat="1"/>
    <row r="13939" s="2" customFormat="1"/>
    <row r="13940" s="2" customFormat="1"/>
    <row r="13941" s="2" customFormat="1"/>
    <row r="13942" s="2" customFormat="1"/>
    <row r="13943" s="2" customFormat="1"/>
    <row r="13944" s="2" customFormat="1"/>
    <row r="13945" s="2" customFormat="1"/>
    <row r="13946" s="2" customFormat="1"/>
    <row r="13947" s="2" customFormat="1"/>
    <row r="13948" s="2" customFormat="1"/>
    <row r="13949" s="2" customFormat="1"/>
    <row r="13950" s="2" customFormat="1"/>
    <row r="13951" s="2" customFormat="1"/>
    <row r="13952" s="2" customFormat="1"/>
    <row r="13953" s="2" customFormat="1"/>
    <row r="13954" s="2" customFormat="1"/>
    <row r="13955" s="2" customFormat="1"/>
    <row r="13956" s="2" customFormat="1"/>
    <row r="13957" s="2" customFormat="1"/>
    <row r="13958" s="2" customFormat="1"/>
    <row r="13959" s="2" customFormat="1"/>
    <row r="13960" s="2" customFormat="1"/>
    <row r="13961" s="2" customFormat="1"/>
    <row r="13962" s="2" customFormat="1"/>
    <row r="13963" s="2" customFormat="1"/>
    <row r="13964" s="2" customFormat="1"/>
    <row r="13965" s="2" customFormat="1"/>
    <row r="13966" s="2" customFormat="1"/>
    <row r="13967" s="2" customFormat="1"/>
    <row r="13968" s="2" customFormat="1"/>
    <row r="13969" s="2" customFormat="1"/>
    <row r="13970" s="2" customFormat="1"/>
    <row r="13971" s="2" customFormat="1"/>
    <row r="13972" s="2" customFormat="1"/>
    <row r="13973" s="2" customFormat="1"/>
    <row r="13974" s="2" customFormat="1"/>
    <row r="13975" s="2" customFormat="1"/>
    <row r="13976" s="2" customFormat="1"/>
    <row r="13977" s="2" customFormat="1"/>
    <row r="13978" s="2" customFormat="1"/>
    <row r="13979" s="2" customFormat="1"/>
    <row r="13980" s="2" customFormat="1"/>
    <row r="13981" s="2" customFormat="1"/>
    <row r="13982" s="2" customFormat="1"/>
    <row r="13983" s="2" customFormat="1"/>
    <row r="13984" s="2" customFormat="1"/>
    <row r="13985" s="2" customFormat="1"/>
    <row r="13986" s="2" customFormat="1"/>
    <row r="13987" s="2" customFormat="1"/>
    <row r="13988" s="2" customFormat="1"/>
    <row r="13989" s="2" customFormat="1"/>
    <row r="13990" s="2" customFormat="1"/>
    <row r="13991" s="2" customFormat="1"/>
    <row r="13992" s="2" customFormat="1"/>
    <row r="13993" s="2" customFormat="1"/>
    <row r="13994" s="2" customFormat="1"/>
    <row r="13995" s="2" customFormat="1"/>
    <row r="13996" s="2" customFormat="1"/>
    <row r="13997" s="2" customFormat="1"/>
    <row r="13998" s="2" customFormat="1"/>
    <row r="13999" s="2" customFormat="1"/>
    <row r="14000" s="2" customFormat="1"/>
    <row r="14001" s="2" customFormat="1"/>
    <row r="14002" s="2" customFormat="1"/>
    <row r="14003" s="2" customFormat="1"/>
    <row r="14004" s="2" customFormat="1"/>
    <row r="14005" s="2" customFormat="1"/>
    <row r="14006" s="2" customFormat="1"/>
    <row r="14007" s="2" customFormat="1"/>
    <row r="14008" s="2" customFormat="1"/>
    <row r="14009" s="2" customFormat="1"/>
    <row r="14010" s="2" customFormat="1"/>
    <row r="14011" s="2" customFormat="1"/>
    <row r="14012" s="2" customFormat="1"/>
    <row r="14013" s="2" customFormat="1"/>
    <row r="14014" s="2" customFormat="1"/>
    <row r="14015" s="2" customFormat="1"/>
    <row r="14016" s="2" customFormat="1"/>
    <row r="14017" s="2" customFormat="1"/>
    <row r="14018" s="2" customFormat="1"/>
    <row r="14019" s="2" customFormat="1"/>
    <row r="14020" s="2" customFormat="1"/>
    <row r="14021" s="2" customFormat="1"/>
    <row r="14022" s="2" customFormat="1"/>
    <row r="14023" s="2" customFormat="1"/>
    <row r="14024" s="2" customFormat="1"/>
    <row r="14025" s="2" customFormat="1"/>
    <row r="14026" s="2" customFormat="1"/>
    <row r="14027" s="2" customFormat="1"/>
    <row r="14028" s="2" customFormat="1"/>
    <row r="14029" s="2" customFormat="1"/>
    <row r="14030" s="2" customFormat="1"/>
    <row r="14031" s="2" customFormat="1"/>
    <row r="14032" s="2" customFormat="1"/>
    <row r="14033" s="2" customFormat="1"/>
    <row r="14034" s="2" customFormat="1"/>
    <row r="14035" s="2" customFormat="1"/>
    <row r="14036" s="2" customFormat="1"/>
    <row r="14037" s="2" customFormat="1"/>
    <row r="14038" s="2" customFormat="1"/>
    <row r="14039" s="2" customFormat="1"/>
    <row r="14040" s="2" customFormat="1"/>
    <row r="14041" s="2" customFormat="1"/>
    <row r="14042" s="2" customFormat="1"/>
    <row r="14043" s="2" customFormat="1"/>
    <row r="14044" s="2" customFormat="1"/>
    <row r="14045" s="2" customFormat="1"/>
    <row r="14046" s="2" customFormat="1"/>
    <row r="14047" s="2" customFormat="1"/>
    <row r="14048" s="2" customFormat="1"/>
    <row r="14049" s="2" customFormat="1"/>
    <row r="14050" s="2" customFormat="1"/>
    <row r="14051" s="2" customFormat="1"/>
    <row r="14052" s="2" customFormat="1"/>
    <row r="14053" s="2" customFormat="1"/>
    <row r="14054" s="2" customFormat="1"/>
    <row r="14055" s="2" customFormat="1"/>
    <row r="14056" s="2" customFormat="1"/>
    <row r="14057" s="2" customFormat="1"/>
    <row r="14058" s="2" customFormat="1"/>
    <row r="14059" s="2" customFormat="1"/>
    <row r="14060" s="2" customFormat="1"/>
    <row r="14061" s="2" customFormat="1"/>
    <row r="14062" s="2" customFormat="1"/>
    <row r="14063" s="2" customFormat="1"/>
    <row r="14064" s="2" customFormat="1"/>
    <row r="14065" s="2" customFormat="1"/>
    <row r="14066" s="2" customFormat="1"/>
    <row r="14067" s="2" customFormat="1"/>
    <row r="14068" s="2" customFormat="1"/>
    <row r="14069" s="2" customFormat="1"/>
    <row r="14070" s="2" customFormat="1"/>
    <row r="14071" s="2" customFormat="1"/>
    <row r="14072" s="2" customFormat="1"/>
    <row r="14073" s="2" customFormat="1"/>
    <row r="14074" s="2" customFormat="1"/>
    <row r="14075" s="2" customFormat="1"/>
    <row r="14076" s="2" customFormat="1"/>
    <row r="14077" s="2" customFormat="1"/>
    <row r="14078" s="2" customFormat="1"/>
    <row r="14079" s="2" customFormat="1"/>
    <row r="14080" s="2" customFormat="1"/>
    <row r="14081" s="2" customFormat="1"/>
    <row r="14082" s="2" customFormat="1"/>
    <row r="14083" s="2" customFormat="1"/>
    <row r="14084" s="2" customFormat="1"/>
    <row r="14085" s="2" customFormat="1"/>
    <row r="14086" s="2" customFormat="1"/>
    <row r="14087" s="2" customFormat="1"/>
    <row r="14088" s="2" customFormat="1"/>
    <row r="14089" s="2" customFormat="1"/>
    <row r="14090" s="2" customFormat="1"/>
    <row r="14091" s="2" customFormat="1"/>
    <row r="14092" s="2" customFormat="1"/>
    <row r="14093" s="2" customFormat="1"/>
    <row r="14094" s="2" customFormat="1"/>
    <row r="14095" s="2" customFormat="1"/>
    <row r="14096" s="2" customFormat="1"/>
    <row r="14097" s="2" customFormat="1"/>
    <row r="14098" s="2" customFormat="1"/>
    <row r="14099" s="2" customFormat="1"/>
    <row r="14100" s="2" customFormat="1"/>
    <row r="14101" s="2" customFormat="1"/>
    <row r="14102" s="2" customFormat="1"/>
    <row r="14103" s="2" customFormat="1"/>
    <row r="14104" s="2" customFormat="1"/>
    <row r="14105" s="2" customFormat="1"/>
    <row r="14106" s="2" customFormat="1"/>
    <row r="14107" s="2" customFormat="1"/>
    <row r="14108" s="2" customFormat="1"/>
    <row r="14109" s="2" customFormat="1"/>
    <row r="14110" s="2" customFormat="1"/>
    <row r="14111" s="2" customFormat="1"/>
    <row r="14112" s="2" customFormat="1"/>
    <row r="14113" s="2" customFormat="1"/>
    <row r="14114" s="2" customFormat="1"/>
    <row r="14115" s="2" customFormat="1"/>
    <row r="14116" s="2" customFormat="1"/>
    <row r="14117" s="2" customFormat="1"/>
    <row r="14118" s="2" customFormat="1"/>
    <row r="14119" s="2" customFormat="1"/>
    <row r="14120" s="2" customFormat="1"/>
    <row r="14121" s="2" customFormat="1"/>
    <row r="14122" s="2" customFormat="1"/>
    <row r="14123" s="2" customFormat="1"/>
    <row r="14124" s="2" customFormat="1"/>
    <row r="14125" s="2" customFormat="1"/>
    <row r="14126" s="2" customFormat="1"/>
    <row r="14127" s="2" customFormat="1"/>
    <row r="14128" s="2" customFormat="1"/>
    <row r="14129" s="2" customFormat="1"/>
    <row r="14130" s="2" customFormat="1"/>
    <row r="14131" s="2" customFormat="1"/>
    <row r="14132" s="2" customFormat="1"/>
    <row r="14133" s="2" customFormat="1"/>
    <row r="14134" s="2" customFormat="1"/>
    <row r="14135" s="2" customFormat="1"/>
    <row r="14136" s="2" customFormat="1"/>
    <row r="14137" s="2" customFormat="1"/>
    <row r="14138" s="2" customFormat="1"/>
    <row r="14139" s="2" customFormat="1"/>
    <row r="14140" s="2" customFormat="1"/>
    <row r="14141" s="2" customFormat="1"/>
    <row r="14142" s="2" customFormat="1"/>
    <row r="14143" s="2" customFormat="1"/>
    <row r="14144" s="2" customFormat="1"/>
    <row r="14145" s="2" customFormat="1"/>
    <row r="14146" s="2" customFormat="1"/>
    <row r="14147" s="2" customFormat="1"/>
    <row r="14148" s="2" customFormat="1"/>
    <row r="14149" s="2" customFormat="1"/>
    <row r="14150" s="2" customFormat="1"/>
    <row r="14151" s="2" customFormat="1"/>
    <row r="14152" s="2" customFormat="1"/>
    <row r="14153" s="2" customFormat="1"/>
    <row r="14154" s="2" customFormat="1"/>
    <row r="14155" s="2" customFormat="1"/>
    <row r="14156" s="2" customFormat="1"/>
    <row r="14157" s="2" customFormat="1"/>
    <row r="14158" s="2" customFormat="1"/>
    <row r="14159" s="2" customFormat="1"/>
    <row r="14160" s="2" customFormat="1"/>
    <row r="14161" s="2" customFormat="1"/>
    <row r="14162" s="2" customFormat="1"/>
    <row r="14163" s="2" customFormat="1"/>
    <row r="14164" s="2" customFormat="1"/>
    <row r="14165" s="2" customFormat="1"/>
    <row r="14166" s="2" customFormat="1"/>
    <row r="14167" s="2" customFormat="1"/>
    <row r="14168" s="2" customFormat="1"/>
    <row r="14169" s="2" customFormat="1"/>
    <row r="14170" s="2" customFormat="1"/>
    <row r="14171" s="2" customFormat="1"/>
    <row r="14172" s="2" customFormat="1"/>
    <row r="14173" s="2" customFormat="1"/>
    <row r="14174" s="2" customFormat="1"/>
    <row r="14175" s="2" customFormat="1"/>
    <row r="14176" s="2" customFormat="1"/>
    <row r="14177" s="2" customFormat="1"/>
    <row r="14178" s="2" customFormat="1"/>
    <row r="14179" s="2" customFormat="1"/>
    <row r="14180" s="2" customFormat="1"/>
    <row r="14181" s="2" customFormat="1"/>
    <row r="14182" s="2" customFormat="1"/>
    <row r="14183" s="2" customFormat="1"/>
    <row r="14184" s="2" customFormat="1"/>
    <row r="14185" s="2" customFormat="1"/>
    <row r="14186" s="2" customFormat="1"/>
    <row r="14187" s="2" customFormat="1"/>
    <row r="14188" s="2" customFormat="1"/>
    <row r="14189" s="2" customFormat="1"/>
    <row r="14190" s="2" customFormat="1"/>
    <row r="14191" s="2" customFormat="1"/>
    <row r="14192" s="2" customFormat="1"/>
    <row r="14193" s="2" customFormat="1"/>
    <row r="14194" s="2" customFormat="1"/>
    <row r="14195" s="2" customFormat="1"/>
    <row r="14196" s="2" customFormat="1"/>
    <row r="14197" s="2" customFormat="1"/>
    <row r="14198" s="2" customFormat="1"/>
    <row r="14199" s="2" customFormat="1"/>
    <row r="14200" s="2" customFormat="1"/>
    <row r="14201" s="2" customFormat="1"/>
    <row r="14202" s="2" customFormat="1"/>
    <row r="14203" s="2" customFormat="1"/>
    <row r="14204" s="2" customFormat="1"/>
    <row r="14205" s="2" customFormat="1"/>
    <row r="14206" s="2" customFormat="1"/>
    <row r="14207" s="2" customFormat="1"/>
    <row r="14208" s="2" customFormat="1"/>
    <row r="14209" s="2" customFormat="1"/>
    <row r="14210" s="2" customFormat="1"/>
    <row r="14211" s="2" customFormat="1"/>
    <row r="14212" s="2" customFormat="1"/>
    <row r="14213" s="2" customFormat="1"/>
    <row r="14214" s="2" customFormat="1"/>
    <row r="14215" s="2" customFormat="1"/>
    <row r="14216" s="2" customFormat="1"/>
    <row r="14217" s="2" customFormat="1"/>
    <row r="14218" s="2" customFormat="1"/>
    <row r="14219" s="2" customFormat="1"/>
    <row r="14220" s="2" customFormat="1"/>
    <row r="14221" s="2" customFormat="1"/>
    <row r="14222" s="2" customFormat="1"/>
    <row r="14223" s="2" customFormat="1"/>
    <row r="14224" s="2" customFormat="1"/>
    <row r="14225" s="2" customFormat="1"/>
    <row r="14226" s="2" customFormat="1"/>
    <row r="14227" s="2" customFormat="1"/>
    <row r="14228" s="2" customFormat="1"/>
    <row r="14229" s="2" customFormat="1"/>
    <row r="14230" s="2" customFormat="1"/>
    <row r="14231" s="2" customFormat="1"/>
    <row r="14232" s="2" customFormat="1"/>
    <row r="14233" s="2" customFormat="1"/>
    <row r="14234" s="2" customFormat="1"/>
    <row r="14235" s="2" customFormat="1"/>
    <row r="14236" s="2" customFormat="1"/>
    <row r="14237" s="2" customFormat="1"/>
    <row r="14238" s="2" customFormat="1"/>
    <row r="14239" s="2" customFormat="1"/>
    <row r="14240" s="2" customFormat="1"/>
    <row r="14241" s="2" customFormat="1"/>
    <row r="14242" s="2" customFormat="1"/>
    <row r="14243" s="2" customFormat="1"/>
    <row r="14244" s="2" customFormat="1"/>
    <row r="14245" s="2" customFormat="1"/>
    <row r="14246" s="2" customFormat="1"/>
    <row r="14247" s="2" customFormat="1"/>
    <row r="14248" s="2" customFormat="1"/>
    <row r="14249" s="2" customFormat="1"/>
    <row r="14250" s="2" customFormat="1"/>
    <row r="14251" s="2" customFormat="1"/>
    <row r="14252" s="2" customFormat="1"/>
    <row r="14253" s="2" customFormat="1"/>
    <row r="14254" s="2" customFormat="1"/>
    <row r="14255" s="2" customFormat="1"/>
    <row r="14256" s="2" customFormat="1"/>
    <row r="14257" s="2" customFormat="1"/>
    <row r="14258" s="2" customFormat="1"/>
    <row r="14259" s="2" customFormat="1"/>
    <row r="14260" s="2" customFormat="1"/>
    <row r="14261" s="2" customFormat="1"/>
    <row r="14262" s="2" customFormat="1"/>
    <row r="14263" s="2" customFormat="1"/>
    <row r="14264" s="2" customFormat="1"/>
    <row r="14265" s="2" customFormat="1"/>
    <row r="14266" s="2" customFormat="1"/>
    <row r="14267" s="2" customFormat="1"/>
    <row r="14268" s="2" customFormat="1"/>
    <row r="14269" s="2" customFormat="1"/>
    <row r="14270" s="2" customFormat="1"/>
    <row r="14271" s="2" customFormat="1"/>
    <row r="14272" s="2" customFormat="1"/>
    <row r="14273" s="2" customFormat="1"/>
    <row r="14274" s="2" customFormat="1"/>
    <row r="14275" s="2" customFormat="1"/>
    <row r="14276" s="2" customFormat="1"/>
    <row r="14277" s="2" customFormat="1"/>
    <row r="14278" s="2" customFormat="1"/>
    <row r="14279" s="2" customFormat="1"/>
    <row r="14280" s="2" customFormat="1"/>
    <row r="14281" s="2" customFormat="1"/>
    <row r="14282" s="2" customFormat="1"/>
    <row r="14283" s="2" customFormat="1"/>
    <row r="14284" s="2" customFormat="1"/>
    <row r="14285" s="2" customFormat="1"/>
    <row r="14286" s="2" customFormat="1"/>
    <row r="14287" s="2" customFormat="1"/>
    <row r="14288" s="2" customFormat="1"/>
    <row r="14289" s="2" customFormat="1"/>
    <row r="14290" s="2" customFormat="1"/>
    <row r="14291" s="2" customFormat="1"/>
    <row r="14292" s="2" customFormat="1"/>
    <row r="14293" s="2" customFormat="1"/>
    <row r="14294" s="2" customFormat="1"/>
    <row r="14295" s="2" customFormat="1"/>
    <row r="14296" s="2" customFormat="1"/>
    <row r="14297" s="2" customFormat="1"/>
    <row r="14298" s="2" customFormat="1"/>
    <row r="14299" s="2" customFormat="1"/>
    <row r="14300" s="2" customFormat="1"/>
    <row r="14301" s="2" customFormat="1"/>
    <row r="14302" s="2" customFormat="1"/>
    <row r="14303" s="2" customFormat="1"/>
    <row r="14304" s="2" customFormat="1"/>
    <row r="14305" s="2" customFormat="1"/>
    <row r="14306" s="2" customFormat="1"/>
    <row r="14307" s="2" customFormat="1"/>
    <row r="14308" s="2" customFormat="1"/>
    <row r="14309" s="2" customFormat="1"/>
    <row r="14310" s="2" customFormat="1"/>
    <row r="14311" s="2" customFormat="1"/>
    <row r="14312" s="2" customFormat="1"/>
    <row r="14313" s="2" customFormat="1"/>
    <row r="14314" s="2" customFormat="1"/>
    <row r="14315" s="2" customFormat="1"/>
    <row r="14316" s="2" customFormat="1"/>
    <row r="14317" s="2" customFormat="1"/>
    <row r="14318" s="2" customFormat="1"/>
    <row r="14319" s="2" customFormat="1"/>
    <row r="14320" s="2" customFormat="1"/>
    <row r="14321" s="2" customFormat="1"/>
    <row r="14322" s="2" customFormat="1"/>
    <row r="14323" s="2" customFormat="1"/>
    <row r="14324" s="2" customFormat="1"/>
    <row r="14325" s="2" customFormat="1"/>
    <row r="14326" s="2" customFormat="1"/>
    <row r="14327" s="2" customFormat="1"/>
    <row r="14328" s="2" customFormat="1"/>
    <row r="14329" s="2" customFormat="1"/>
    <row r="14330" s="2" customFormat="1"/>
    <row r="14331" s="2" customFormat="1"/>
    <row r="14332" s="2" customFormat="1"/>
    <row r="14333" s="2" customFormat="1"/>
    <row r="14334" s="2" customFormat="1"/>
    <row r="14335" s="2" customFormat="1"/>
    <row r="14336" s="2" customFormat="1"/>
    <row r="14337" s="2" customFormat="1"/>
    <row r="14338" s="2" customFormat="1"/>
    <row r="14339" s="2" customFormat="1"/>
    <row r="14340" s="2" customFormat="1"/>
    <row r="14341" s="2" customFormat="1"/>
    <row r="14342" s="2" customFormat="1"/>
    <row r="14343" s="2" customFormat="1"/>
    <row r="14344" s="2" customFormat="1"/>
    <row r="14345" s="2" customFormat="1"/>
    <row r="14346" s="2" customFormat="1"/>
    <row r="14347" s="2" customFormat="1"/>
    <row r="14348" s="2" customFormat="1"/>
    <row r="14349" s="2" customFormat="1"/>
    <row r="14350" s="2" customFormat="1"/>
    <row r="14351" s="2" customFormat="1"/>
    <row r="14352" s="2" customFormat="1"/>
    <row r="14353" s="2" customFormat="1"/>
    <row r="14354" s="2" customFormat="1"/>
    <row r="14355" s="2" customFormat="1"/>
    <row r="14356" s="2" customFormat="1"/>
    <row r="14357" s="2" customFormat="1"/>
    <row r="14358" s="2" customFormat="1"/>
    <row r="14359" s="2" customFormat="1"/>
    <row r="14360" s="2" customFormat="1"/>
    <row r="14361" s="2" customFormat="1"/>
    <row r="14362" s="2" customFormat="1"/>
    <row r="14363" s="2" customFormat="1"/>
    <row r="14364" s="2" customFormat="1"/>
    <row r="14365" s="2" customFormat="1"/>
    <row r="14366" s="2" customFormat="1"/>
    <row r="14367" s="2" customFormat="1"/>
    <row r="14368" s="2" customFormat="1"/>
    <row r="14369" s="2" customFormat="1"/>
    <row r="14370" s="2" customFormat="1"/>
    <row r="14371" s="2" customFormat="1"/>
    <row r="14372" s="2" customFormat="1"/>
    <row r="14373" s="2" customFormat="1"/>
    <row r="14374" s="2" customFormat="1"/>
    <row r="14375" s="2" customFormat="1"/>
    <row r="14376" s="2" customFormat="1"/>
    <row r="14377" s="2" customFormat="1"/>
    <row r="14378" s="2" customFormat="1"/>
    <row r="14379" s="2" customFormat="1"/>
    <row r="14380" s="2" customFormat="1"/>
    <row r="14381" s="2" customFormat="1"/>
    <row r="14382" s="2" customFormat="1"/>
    <row r="14383" s="2" customFormat="1"/>
    <row r="14384" s="2" customFormat="1"/>
    <row r="14385" s="2" customFormat="1"/>
    <row r="14386" s="2" customFormat="1"/>
    <row r="14387" s="2" customFormat="1"/>
    <row r="14388" s="2" customFormat="1"/>
    <row r="14389" s="2" customFormat="1"/>
    <row r="14390" s="2" customFormat="1"/>
    <row r="14391" s="2" customFormat="1"/>
    <row r="14392" s="2" customFormat="1"/>
    <row r="14393" s="2" customFormat="1"/>
    <row r="14394" s="2" customFormat="1"/>
    <row r="14395" s="2" customFormat="1"/>
    <row r="14396" s="2" customFormat="1"/>
    <row r="14397" s="2" customFormat="1"/>
    <row r="14398" s="2" customFormat="1"/>
    <row r="14399" s="2" customFormat="1"/>
    <row r="14400" s="2" customFormat="1"/>
    <row r="14401" s="2" customFormat="1"/>
    <row r="14402" s="2" customFormat="1"/>
    <row r="14403" s="2" customFormat="1"/>
    <row r="14404" s="2" customFormat="1"/>
    <row r="14405" s="2" customFormat="1"/>
    <row r="14406" s="2" customFormat="1"/>
    <row r="14407" s="2" customFormat="1"/>
    <row r="14408" s="2" customFormat="1"/>
    <row r="14409" s="2" customFormat="1"/>
    <row r="14410" s="2" customFormat="1"/>
    <row r="14411" s="2" customFormat="1"/>
    <row r="14412" s="2" customFormat="1"/>
    <row r="14413" s="2" customFormat="1"/>
    <row r="14414" s="2" customFormat="1"/>
    <row r="14415" s="2" customFormat="1"/>
    <row r="14416" s="2" customFormat="1"/>
    <row r="14417" s="2" customFormat="1"/>
    <row r="14418" s="2" customFormat="1"/>
    <row r="14419" s="2" customFormat="1"/>
    <row r="14420" s="2" customFormat="1"/>
    <row r="14421" s="2" customFormat="1"/>
    <row r="14422" s="2" customFormat="1"/>
    <row r="14423" s="2" customFormat="1"/>
    <row r="14424" s="2" customFormat="1"/>
    <row r="14425" s="2" customFormat="1"/>
    <row r="14426" s="2" customFormat="1"/>
    <row r="14427" s="2" customFormat="1"/>
    <row r="14428" s="2" customFormat="1"/>
    <row r="14429" s="2" customFormat="1"/>
    <row r="14430" s="2" customFormat="1"/>
    <row r="14431" s="2" customFormat="1"/>
    <row r="14432" s="2" customFormat="1"/>
    <row r="14433" s="2" customFormat="1"/>
    <row r="14434" s="2" customFormat="1"/>
    <row r="14435" s="2" customFormat="1"/>
    <row r="14436" s="2" customFormat="1"/>
    <row r="14437" s="2" customFormat="1"/>
    <row r="14438" s="2" customFormat="1"/>
    <row r="14439" s="2" customFormat="1"/>
    <row r="14440" s="2" customFormat="1"/>
    <row r="14441" s="2" customFormat="1"/>
    <row r="14442" s="2" customFormat="1"/>
    <row r="14443" s="2" customFormat="1"/>
    <row r="14444" s="2" customFormat="1"/>
    <row r="14445" s="2" customFormat="1"/>
    <row r="14446" s="2" customFormat="1"/>
    <row r="14447" s="2" customFormat="1"/>
    <row r="14448" s="2" customFormat="1"/>
    <row r="14449" s="2" customFormat="1"/>
    <row r="14450" s="2" customFormat="1"/>
    <row r="14451" s="2" customFormat="1"/>
    <row r="14452" s="2" customFormat="1"/>
    <row r="14453" s="2" customFormat="1"/>
    <row r="14454" s="2" customFormat="1"/>
    <row r="14455" s="2" customFormat="1"/>
    <row r="14456" s="2" customFormat="1"/>
    <row r="14457" s="2" customFormat="1"/>
    <row r="14458" s="2" customFormat="1"/>
    <row r="14459" s="2" customFormat="1"/>
    <row r="14460" s="2" customFormat="1"/>
    <row r="14461" s="2" customFormat="1"/>
    <row r="14462" s="2" customFormat="1"/>
    <row r="14463" s="2" customFormat="1"/>
    <row r="14464" s="2" customFormat="1"/>
    <row r="14465" s="2" customFormat="1"/>
    <row r="14466" s="2" customFormat="1"/>
    <row r="14467" s="2" customFormat="1"/>
    <row r="14468" s="2" customFormat="1"/>
    <row r="14469" s="2" customFormat="1"/>
    <row r="14470" s="2" customFormat="1"/>
    <row r="14471" s="2" customFormat="1"/>
    <row r="14472" s="2" customFormat="1"/>
    <row r="14473" s="2" customFormat="1"/>
    <row r="14474" s="2" customFormat="1"/>
    <row r="14475" s="2" customFormat="1"/>
    <row r="14476" s="2" customFormat="1"/>
    <row r="14477" s="2" customFormat="1"/>
    <row r="14478" s="2" customFormat="1"/>
    <row r="14479" s="2" customFormat="1"/>
    <row r="14480" s="2" customFormat="1"/>
    <row r="14481" s="2" customFormat="1"/>
    <row r="14482" s="2" customFormat="1"/>
    <row r="14483" s="2" customFormat="1"/>
    <row r="14484" s="2" customFormat="1"/>
    <row r="14485" s="2" customFormat="1"/>
    <row r="14486" s="2" customFormat="1"/>
    <row r="14487" s="2" customFormat="1"/>
    <row r="14488" s="2" customFormat="1"/>
    <row r="14489" s="2" customFormat="1"/>
    <row r="14490" s="2" customFormat="1"/>
    <row r="14491" s="2" customFormat="1"/>
    <row r="14492" s="2" customFormat="1"/>
    <row r="14493" s="2" customFormat="1"/>
    <row r="14494" s="2" customFormat="1"/>
    <row r="14495" s="2" customFormat="1"/>
    <row r="14496" s="2" customFormat="1"/>
    <row r="14497" s="2" customFormat="1"/>
    <row r="14498" s="2" customFormat="1"/>
    <row r="14499" s="2" customFormat="1"/>
    <row r="14500" s="2" customFormat="1"/>
    <row r="14501" s="2" customFormat="1"/>
    <row r="14502" s="2" customFormat="1"/>
    <row r="14503" s="2" customFormat="1"/>
    <row r="14504" s="2" customFormat="1"/>
    <row r="14505" s="2" customFormat="1"/>
    <row r="14506" s="2" customFormat="1"/>
    <row r="14507" s="2" customFormat="1"/>
    <row r="14508" s="2" customFormat="1"/>
    <row r="14509" s="2" customFormat="1"/>
    <row r="14510" s="2" customFormat="1"/>
    <row r="14511" s="2" customFormat="1"/>
    <row r="14512" s="2" customFormat="1"/>
    <row r="14513" s="2" customFormat="1"/>
    <row r="14514" s="2" customFormat="1"/>
    <row r="14515" s="2" customFormat="1"/>
    <row r="14516" s="2" customFormat="1"/>
    <row r="14517" s="2" customFormat="1"/>
    <row r="14518" s="2" customFormat="1"/>
    <row r="14519" s="2" customFormat="1"/>
    <row r="14520" s="2" customFormat="1"/>
    <row r="14521" s="2" customFormat="1"/>
    <row r="14522" s="2" customFormat="1"/>
    <row r="14523" s="2" customFormat="1"/>
    <row r="14524" s="2" customFormat="1"/>
    <row r="14525" s="2" customFormat="1"/>
    <row r="14526" s="2" customFormat="1"/>
    <row r="14527" s="2" customFormat="1"/>
    <row r="14528" s="2" customFormat="1"/>
    <row r="14529" s="2" customFormat="1"/>
    <row r="14530" s="2" customFormat="1"/>
    <row r="14531" s="2" customFormat="1"/>
    <row r="14532" s="2" customFormat="1"/>
    <row r="14533" s="2" customFormat="1"/>
    <row r="14534" s="2" customFormat="1"/>
    <row r="14535" s="2" customFormat="1"/>
    <row r="14536" s="2" customFormat="1"/>
    <row r="14537" s="2" customFormat="1"/>
    <row r="14538" s="2" customFormat="1"/>
    <row r="14539" s="2" customFormat="1"/>
    <row r="14540" s="2" customFormat="1"/>
    <row r="14541" s="2" customFormat="1"/>
    <row r="14542" s="2" customFormat="1"/>
    <row r="14543" s="2" customFormat="1"/>
    <row r="14544" s="2" customFormat="1"/>
    <row r="14545" s="2" customFormat="1"/>
    <row r="14546" s="2" customFormat="1"/>
    <row r="14547" s="2" customFormat="1"/>
    <row r="14548" s="2" customFormat="1"/>
    <row r="14549" s="2" customFormat="1"/>
    <row r="14550" s="2" customFormat="1"/>
    <row r="14551" s="2" customFormat="1"/>
    <row r="14552" s="2" customFormat="1"/>
    <row r="14553" s="2" customFormat="1"/>
    <row r="14554" s="2" customFormat="1"/>
    <row r="14555" s="2" customFormat="1"/>
    <row r="14556" s="2" customFormat="1"/>
    <row r="14557" s="2" customFormat="1"/>
    <row r="14558" s="2" customFormat="1"/>
    <row r="14559" s="2" customFormat="1"/>
    <row r="14560" s="2" customFormat="1"/>
    <row r="14561" s="2" customFormat="1"/>
    <row r="14562" s="2" customFormat="1"/>
    <row r="14563" s="2" customFormat="1"/>
    <row r="14564" s="2" customFormat="1"/>
    <row r="14565" s="2" customFormat="1"/>
    <row r="14566" s="2" customFormat="1"/>
    <row r="14567" s="2" customFormat="1"/>
    <row r="14568" s="2" customFormat="1"/>
    <row r="14569" s="2" customFormat="1"/>
    <row r="14570" s="2" customFormat="1"/>
    <row r="14571" s="2" customFormat="1"/>
    <row r="14572" s="2" customFormat="1"/>
    <row r="14573" s="2" customFormat="1"/>
    <row r="14574" s="2" customFormat="1"/>
    <row r="14575" s="2" customFormat="1"/>
    <row r="14576" s="2" customFormat="1"/>
    <row r="14577" s="2" customFormat="1"/>
    <row r="14578" s="2" customFormat="1"/>
    <row r="14579" s="2" customFormat="1"/>
    <row r="14580" s="2" customFormat="1"/>
    <row r="14581" s="2" customFormat="1"/>
    <row r="14582" s="2" customFormat="1"/>
    <row r="14583" s="2" customFormat="1"/>
    <row r="14584" s="2" customFormat="1"/>
    <row r="14585" s="2" customFormat="1"/>
    <row r="14586" s="2" customFormat="1"/>
    <row r="14587" s="2" customFormat="1"/>
    <row r="14588" s="2" customFormat="1"/>
    <row r="14589" s="2" customFormat="1"/>
    <row r="14590" s="2" customFormat="1"/>
    <row r="14591" s="2" customFormat="1"/>
    <row r="14592" s="2" customFormat="1"/>
    <row r="14593" s="2" customFormat="1"/>
    <row r="14594" s="2" customFormat="1"/>
    <row r="14595" s="2" customFormat="1"/>
    <row r="14596" s="2" customFormat="1"/>
    <row r="14597" s="2" customFormat="1"/>
    <row r="14598" s="2" customFormat="1"/>
    <row r="14599" s="2" customFormat="1"/>
    <row r="14600" s="2" customFormat="1"/>
    <row r="14601" s="2" customFormat="1"/>
    <row r="14602" s="2" customFormat="1"/>
    <row r="14603" s="2" customFormat="1"/>
    <row r="14604" s="2" customFormat="1"/>
    <row r="14605" s="2" customFormat="1"/>
    <row r="14606" s="2" customFormat="1"/>
    <row r="14607" s="2" customFormat="1"/>
    <row r="14608" s="2" customFormat="1"/>
    <row r="14609" s="2" customFormat="1"/>
    <row r="14610" s="2" customFormat="1"/>
    <row r="14611" s="2" customFormat="1"/>
    <row r="14612" s="2" customFormat="1"/>
    <row r="14613" s="2" customFormat="1"/>
    <row r="14614" s="2" customFormat="1"/>
    <row r="14615" s="2" customFormat="1"/>
    <row r="14616" s="2" customFormat="1"/>
    <row r="14617" s="2" customFormat="1"/>
    <row r="14618" s="2" customFormat="1"/>
    <row r="14619" s="2" customFormat="1"/>
    <row r="14620" s="2" customFormat="1"/>
    <row r="14621" s="2" customFormat="1"/>
    <row r="14622" s="2" customFormat="1"/>
    <row r="14623" s="2" customFormat="1"/>
    <row r="14624" s="2" customFormat="1"/>
    <row r="14625" s="2" customFormat="1"/>
    <row r="14626" s="2" customFormat="1"/>
    <row r="14627" s="2" customFormat="1"/>
    <row r="14628" s="2" customFormat="1"/>
    <row r="14629" s="2" customFormat="1"/>
    <row r="14630" s="2" customFormat="1"/>
    <row r="14631" s="2" customFormat="1"/>
    <row r="14632" s="2" customFormat="1"/>
    <row r="14633" s="2" customFormat="1"/>
    <row r="14634" s="2" customFormat="1"/>
    <row r="14635" s="2" customFormat="1"/>
    <row r="14636" s="2" customFormat="1"/>
    <row r="14637" s="2" customFormat="1"/>
    <row r="14638" s="2" customFormat="1"/>
    <row r="14639" s="2" customFormat="1"/>
    <row r="14640" s="2" customFormat="1"/>
    <row r="14641" s="2" customFormat="1"/>
    <row r="14642" s="2" customFormat="1"/>
    <row r="14643" s="2" customFormat="1"/>
    <row r="14644" s="2" customFormat="1"/>
    <row r="14645" s="2" customFormat="1"/>
    <row r="14646" s="2" customFormat="1"/>
    <row r="14647" s="2" customFormat="1"/>
    <row r="14648" s="2" customFormat="1"/>
    <row r="14649" s="2" customFormat="1"/>
    <row r="14650" s="2" customFormat="1"/>
    <row r="14651" s="2" customFormat="1"/>
    <row r="14652" s="2" customFormat="1"/>
    <row r="14653" s="2" customFormat="1"/>
    <row r="14654" s="2" customFormat="1"/>
    <row r="14655" s="2" customFormat="1"/>
    <row r="14656" s="2" customFormat="1"/>
    <row r="14657" s="2" customFormat="1"/>
    <row r="14658" s="2" customFormat="1"/>
    <row r="14659" s="2" customFormat="1"/>
    <row r="14660" s="2" customFormat="1"/>
    <row r="14661" s="2" customFormat="1"/>
    <row r="14662" s="2" customFormat="1"/>
    <row r="14663" s="2" customFormat="1"/>
    <row r="14664" s="2" customFormat="1"/>
    <row r="14665" s="2" customFormat="1"/>
    <row r="14666" s="2" customFormat="1"/>
    <row r="14667" s="2" customFormat="1"/>
    <row r="14668" s="2" customFormat="1"/>
    <row r="14669" s="2" customFormat="1"/>
    <row r="14670" s="2" customFormat="1"/>
    <row r="14671" s="2" customFormat="1"/>
    <row r="14672" s="2" customFormat="1"/>
    <row r="14673" s="2" customFormat="1"/>
    <row r="14674" s="2" customFormat="1"/>
    <row r="14675" s="2" customFormat="1"/>
    <row r="14676" s="2" customFormat="1"/>
    <row r="14677" s="2" customFormat="1"/>
    <row r="14678" s="2" customFormat="1"/>
    <row r="14679" s="2" customFormat="1"/>
    <row r="14680" s="2" customFormat="1"/>
    <row r="14681" s="2" customFormat="1"/>
    <row r="14682" s="2" customFormat="1"/>
    <row r="14683" s="2" customFormat="1"/>
    <row r="14684" s="2" customFormat="1"/>
    <row r="14685" s="2" customFormat="1"/>
    <row r="14686" s="2" customFormat="1"/>
    <row r="14687" s="2" customFormat="1"/>
    <row r="14688" s="2" customFormat="1"/>
    <row r="14689" s="2" customFormat="1"/>
    <row r="14690" s="2" customFormat="1"/>
    <row r="14691" s="2" customFormat="1"/>
    <row r="14692" s="2" customFormat="1"/>
    <row r="14693" s="2" customFormat="1"/>
    <row r="14694" s="2" customFormat="1"/>
    <row r="14695" s="2" customFormat="1"/>
    <row r="14696" s="2" customFormat="1"/>
    <row r="14697" s="2" customFormat="1"/>
    <row r="14698" s="2" customFormat="1"/>
    <row r="14699" s="2" customFormat="1"/>
    <row r="14700" s="2" customFormat="1"/>
    <row r="14701" s="2" customFormat="1"/>
    <row r="14702" s="2" customFormat="1"/>
    <row r="14703" s="2" customFormat="1"/>
    <row r="14704" s="2" customFormat="1"/>
    <row r="14705" s="2" customFormat="1"/>
    <row r="14706" s="2" customFormat="1"/>
    <row r="14707" s="2" customFormat="1"/>
    <row r="14708" s="2" customFormat="1"/>
    <row r="14709" s="2" customFormat="1"/>
    <row r="14710" s="2" customFormat="1"/>
    <row r="14711" s="2" customFormat="1"/>
    <row r="14712" s="2" customFormat="1"/>
    <row r="14713" s="2" customFormat="1"/>
    <row r="14714" s="2" customFormat="1"/>
    <row r="14715" s="2" customFormat="1"/>
    <row r="14716" s="2" customFormat="1"/>
    <row r="14717" s="2" customFormat="1"/>
    <row r="14718" s="2" customFormat="1"/>
    <row r="14719" s="2" customFormat="1"/>
    <row r="14720" s="2" customFormat="1"/>
    <row r="14721" s="2" customFormat="1"/>
    <row r="14722" s="2" customFormat="1"/>
    <row r="14723" s="2" customFormat="1"/>
    <row r="14724" s="2" customFormat="1"/>
    <row r="14725" s="2" customFormat="1"/>
    <row r="14726" s="2" customFormat="1"/>
    <row r="14727" s="2" customFormat="1"/>
    <row r="14728" s="2" customFormat="1"/>
    <row r="14729" s="2" customFormat="1"/>
    <row r="14730" s="2" customFormat="1"/>
    <row r="14731" s="2" customFormat="1"/>
    <row r="14732" s="2" customFormat="1"/>
    <row r="14733" s="2" customFormat="1"/>
    <row r="14734" s="2" customFormat="1"/>
    <row r="14735" s="2" customFormat="1"/>
    <row r="14736" s="2" customFormat="1"/>
    <row r="14737" s="2" customFormat="1"/>
    <row r="14738" s="2" customFormat="1"/>
    <row r="14739" s="2" customFormat="1"/>
    <row r="14740" s="2" customFormat="1"/>
    <row r="14741" s="2" customFormat="1"/>
    <row r="14742" s="2" customFormat="1"/>
    <row r="14743" s="2" customFormat="1"/>
    <row r="14744" s="2" customFormat="1"/>
    <row r="14745" s="2" customFormat="1"/>
    <row r="14746" s="2" customFormat="1"/>
    <row r="14747" s="2" customFormat="1"/>
    <row r="14748" s="2" customFormat="1"/>
    <row r="14749" s="2" customFormat="1"/>
    <row r="14750" s="2" customFormat="1"/>
    <row r="14751" s="2" customFormat="1"/>
    <row r="14752" s="2" customFormat="1"/>
    <row r="14753" s="2" customFormat="1"/>
    <row r="14754" s="2" customFormat="1"/>
    <row r="14755" s="2" customFormat="1"/>
    <row r="14756" s="2" customFormat="1"/>
    <row r="14757" s="2" customFormat="1"/>
    <row r="14758" s="2" customFormat="1"/>
    <row r="14759" s="2" customFormat="1"/>
    <row r="14760" s="2" customFormat="1"/>
    <row r="14761" s="2" customFormat="1"/>
    <row r="14762" s="2" customFormat="1"/>
    <row r="14763" s="2" customFormat="1"/>
    <row r="14764" s="2" customFormat="1"/>
    <row r="14765" s="2" customFormat="1"/>
    <row r="14766" s="2" customFormat="1"/>
    <row r="14767" s="2" customFormat="1"/>
    <row r="14768" s="2" customFormat="1"/>
    <row r="14769" s="2" customFormat="1"/>
    <row r="14770" s="2" customFormat="1"/>
    <row r="14771" s="2" customFormat="1"/>
    <row r="14772" s="2" customFormat="1"/>
    <row r="14773" s="2" customFormat="1"/>
    <row r="14774" s="2" customFormat="1"/>
    <row r="14775" s="2" customFormat="1"/>
    <row r="14776" s="2" customFormat="1"/>
    <row r="14777" s="2" customFormat="1"/>
    <row r="14778" s="2" customFormat="1"/>
    <row r="14779" s="2" customFormat="1"/>
    <row r="14780" s="2" customFormat="1"/>
    <row r="14781" s="2" customFormat="1"/>
    <row r="14782" s="2" customFormat="1"/>
    <row r="14783" s="2" customFormat="1"/>
    <row r="14784" s="2" customFormat="1"/>
    <row r="14785" s="2" customFormat="1"/>
    <row r="14786" s="2" customFormat="1"/>
    <row r="14787" s="2" customFormat="1"/>
    <row r="14788" s="2" customFormat="1"/>
    <row r="14789" s="2" customFormat="1"/>
    <row r="14790" s="2" customFormat="1"/>
    <row r="14791" s="2" customFormat="1"/>
    <row r="14792" s="2" customFormat="1"/>
    <row r="14793" s="2" customFormat="1"/>
    <row r="14794" s="2" customFormat="1"/>
    <row r="14795" s="2" customFormat="1"/>
    <row r="14796" s="2" customFormat="1"/>
    <row r="14797" s="2" customFormat="1"/>
    <row r="14798" s="2" customFormat="1"/>
    <row r="14799" s="2" customFormat="1"/>
    <row r="14800" s="2" customFormat="1"/>
    <row r="14801" s="2" customFormat="1"/>
    <row r="14802" s="2" customFormat="1"/>
    <row r="14803" s="2" customFormat="1"/>
    <row r="14804" s="2" customFormat="1"/>
    <row r="14805" s="2" customFormat="1"/>
    <row r="14806" s="2" customFormat="1"/>
    <row r="14807" s="2" customFormat="1"/>
    <row r="14808" s="2" customFormat="1"/>
    <row r="14809" s="2" customFormat="1"/>
    <row r="14810" s="2" customFormat="1"/>
    <row r="14811" s="2" customFormat="1"/>
    <row r="14812" s="2" customFormat="1"/>
    <row r="14813" s="2" customFormat="1"/>
    <row r="14814" s="2" customFormat="1"/>
    <row r="14815" s="2" customFormat="1"/>
    <row r="14816" s="2" customFormat="1"/>
    <row r="14817" s="2" customFormat="1"/>
    <row r="14818" s="2" customFormat="1"/>
    <row r="14819" s="2" customFormat="1"/>
    <row r="14820" s="2" customFormat="1"/>
    <row r="14821" s="2" customFormat="1"/>
    <row r="14822" s="2" customFormat="1"/>
    <row r="14823" s="2" customFormat="1"/>
    <row r="14824" s="2" customFormat="1"/>
    <row r="14825" s="2" customFormat="1"/>
    <row r="14826" s="2" customFormat="1"/>
    <row r="14827" s="2" customFormat="1"/>
    <row r="14828" s="2" customFormat="1"/>
    <row r="14829" s="2" customFormat="1"/>
    <row r="14830" s="2" customFormat="1"/>
    <row r="14831" s="2" customFormat="1"/>
    <row r="14832" s="2" customFormat="1"/>
    <row r="14833" s="2" customFormat="1"/>
    <row r="14834" s="2" customFormat="1"/>
    <row r="14835" s="2" customFormat="1"/>
    <row r="14836" s="2" customFormat="1"/>
    <row r="14837" s="2" customFormat="1"/>
    <row r="14838" s="2" customFormat="1"/>
    <row r="14839" s="2" customFormat="1"/>
    <row r="14840" s="2" customFormat="1"/>
    <row r="14841" s="2" customFormat="1"/>
    <row r="14842" s="2" customFormat="1"/>
    <row r="14843" s="2" customFormat="1"/>
    <row r="14844" s="2" customFormat="1"/>
    <row r="14845" s="2" customFormat="1"/>
    <row r="14846" s="2" customFormat="1"/>
    <row r="14847" s="2" customFormat="1"/>
    <row r="14848" s="2" customFormat="1"/>
    <row r="14849" s="2" customFormat="1"/>
    <row r="14850" s="2" customFormat="1"/>
    <row r="14851" s="2" customFormat="1"/>
    <row r="14852" s="2" customFormat="1"/>
    <row r="14853" s="2" customFormat="1"/>
    <row r="14854" s="2" customFormat="1"/>
    <row r="14855" s="2" customFormat="1"/>
    <row r="14856" s="2" customFormat="1"/>
    <row r="14857" s="2" customFormat="1"/>
    <row r="14858" s="2" customFormat="1"/>
    <row r="14859" s="2" customFormat="1"/>
    <row r="14860" s="2" customFormat="1"/>
    <row r="14861" s="2" customFormat="1"/>
    <row r="14862" s="2" customFormat="1"/>
    <row r="14863" s="2" customFormat="1"/>
    <row r="14864" s="2" customFormat="1"/>
    <row r="14865" s="2" customFormat="1"/>
    <row r="14866" s="2" customFormat="1"/>
    <row r="14867" s="2" customFormat="1"/>
    <row r="14868" s="2" customFormat="1"/>
    <row r="14869" s="2" customFormat="1"/>
    <row r="14870" s="2" customFormat="1"/>
    <row r="14871" s="2" customFormat="1"/>
    <row r="14872" s="2" customFormat="1"/>
    <row r="14873" s="2" customFormat="1"/>
    <row r="14874" s="2" customFormat="1"/>
    <row r="14875" s="2" customFormat="1"/>
    <row r="14876" s="2" customFormat="1"/>
    <row r="14877" s="2" customFormat="1"/>
    <row r="14878" s="2" customFormat="1"/>
    <row r="14879" s="2" customFormat="1"/>
    <row r="14880" s="2" customFormat="1"/>
    <row r="14881" s="2" customFormat="1"/>
    <row r="14882" s="2" customFormat="1"/>
    <row r="14883" s="2" customFormat="1"/>
    <row r="14884" s="2" customFormat="1"/>
    <row r="14885" s="2" customFormat="1"/>
    <row r="14886" s="2" customFormat="1"/>
    <row r="14887" s="2" customFormat="1"/>
    <row r="14888" s="2" customFormat="1"/>
    <row r="14889" s="2" customFormat="1"/>
    <row r="14890" s="2" customFormat="1"/>
    <row r="14891" s="2" customFormat="1"/>
    <row r="14892" s="2" customFormat="1"/>
    <row r="14893" s="2" customFormat="1"/>
    <row r="14894" s="2" customFormat="1"/>
    <row r="14895" s="2" customFormat="1"/>
    <row r="14896" s="2" customFormat="1"/>
    <row r="14897" s="2" customFormat="1"/>
    <row r="14898" s="2" customFormat="1"/>
    <row r="14899" s="2" customFormat="1"/>
    <row r="14900" s="2" customFormat="1"/>
    <row r="14901" s="2" customFormat="1"/>
    <row r="14902" s="2" customFormat="1"/>
    <row r="14903" s="2" customFormat="1"/>
    <row r="14904" s="2" customFormat="1"/>
    <row r="14905" s="2" customFormat="1"/>
    <row r="14906" s="2" customFormat="1"/>
    <row r="14907" s="2" customFormat="1"/>
    <row r="14908" s="2" customFormat="1"/>
    <row r="14909" s="2" customFormat="1"/>
    <row r="14910" s="2" customFormat="1"/>
    <row r="14911" s="2" customFormat="1"/>
    <row r="14912" s="2" customFormat="1"/>
    <row r="14913" s="2" customFormat="1"/>
    <row r="14914" s="2" customFormat="1"/>
    <row r="14915" s="2" customFormat="1"/>
    <row r="14916" s="2" customFormat="1"/>
    <row r="14917" s="2" customFormat="1"/>
    <row r="14918" s="2" customFormat="1"/>
    <row r="14919" s="2" customFormat="1"/>
    <row r="14920" s="2" customFormat="1"/>
    <row r="14921" s="2" customFormat="1"/>
    <row r="14922" s="2" customFormat="1"/>
    <row r="14923" s="2" customFormat="1"/>
    <row r="14924" s="2" customFormat="1"/>
    <row r="14925" s="2" customFormat="1"/>
    <row r="14926" s="2" customFormat="1"/>
    <row r="14927" s="2" customFormat="1"/>
    <row r="14928" s="2" customFormat="1"/>
    <row r="14929" s="2" customFormat="1"/>
    <row r="14930" s="2" customFormat="1"/>
    <row r="14931" s="2" customFormat="1"/>
    <row r="14932" s="2" customFormat="1"/>
    <row r="14933" s="2" customFormat="1"/>
    <row r="14934" s="2" customFormat="1"/>
    <row r="14935" s="2" customFormat="1"/>
    <row r="14936" s="2" customFormat="1"/>
    <row r="14937" s="2" customFormat="1"/>
    <row r="14938" s="2" customFormat="1"/>
    <row r="14939" s="2" customFormat="1"/>
    <row r="14940" s="2" customFormat="1"/>
    <row r="14941" s="2" customFormat="1"/>
    <row r="14942" s="2" customFormat="1"/>
    <row r="14943" s="2" customFormat="1"/>
    <row r="14944" s="2" customFormat="1"/>
    <row r="14945" s="2" customFormat="1"/>
    <row r="14946" s="2" customFormat="1"/>
    <row r="14947" s="2" customFormat="1"/>
    <row r="14948" s="2" customFormat="1"/>
    <row r="14949" s="2" customFormat="1"/>
    <row r="14950" s="2" customFormat="1"/>
    <row r="14951" s="2" customFormat="1"/>
    <row r="14952" s="2" customFormat="1"/>
    <row r="14953" s="2" customFormat="1"/>
    <row r="14954" s="2" customFormat="1"/>
    <row r="14955" s="2" customFormat="1"/>
    <row r="14956" s="2" customFormat="1"/>
    <row r="14957" s="2" customFormat="1"/>
    <row r="14958" s="2" customFormat="1"/>
    <row r="14959" s="2" customFormat="1"/>
    <row r="14960" s="2" customFormat="1"/>
    <row r="14961" s="2" customFormat="1"/>
    <row r="14962" s="2" customFormat="1"/>
    <row r="14963" s="2" customFormat="1"/>
    <row r="14964" s="2" customFormat="1"/>
    <row r="14965" s="2" customFormat="1"/>
    <row r="14966" s="2" customFormat="1"/>
    <row r="14967" s="2" customFormat="1"/>
    <row r="14968" s="2" customFormat="1"/>
    <row r="14969" s="2" customFormat="1"/>
    <row r="14970" s="2" customFormat="1"/>
    <row r="14971" s="2" customFormat="1"/>
    <row r="14972" s="2" customFormat="1"/>
    <row r="14973" s="2" customFormat="1"/>
    <row r="14974" s="2" customFormat="1"/>
    <row r="14975" s="2" customFormat="1"/>
    <row r="14976" s="2" customFormat="1"/>
    <row r="14977" s="2" customFormat="1"/>
    <row r="14978" s="2" customFormat="1"/>
    <row r="14979" s="2" customFormat="1"/>
    <row r="14980" s="2" customFormat="1"/>
    <row r="14981" s="2" customFormat="1"/>
    <row r="14982" s="2" customFormat="1"/>
    <row r="14983" s="2" customFormat="1"/>
    <row r="14984" s="2" customFormat="1"/>
    <row r="14985" s="2" customFormat="1"/>
    <row r="14986" s="2" customFormat="1"/>
    <row r="14987" s="2" customFormat="1"/>
    <row r="14988" s="2" customFormat="1"/>
    <row r="14989" s="2" customFormat="1"/>
    <row r="14990" s="2" customFormat="1"/>
    <row r="14991" s="2" customFormat="1"/>
    <row r="14992" s="2" customFormat="1"/>
    <row r="14993" s="2" customFormat="1"/>
    <row r="14994" s="2" customFormat="1"/>
    <row r="14995" s="2" customFormat="1"/>
    <row r="14996" s="2" customFormat="1"/>
    <row r="14997" s="2" customFormat="1"/>
    <row r="14998" s="2" customFormat="1"/>
    <row r="14999" s="2" customFormat="1"/>
    <row r="15000" s="2" customFormat="1"/>
    <row r="15001" s="2" customFormat="1"/>
    <row r="15002" s="2" customFormat="1"/>
    <row r="15003" s="2" customFormat="1"/>
    <row r="15004" s="2" customFormat="1"/>
    <row r="15005" s="2" customFormat="1"/>
    <row r="15006" s="2" customFormat="1"/>
    <row r="15007" s="2" customFormat="1"/>
    <row r="15008" s="2" customFormat="1"/>
    <row r="15009" s="2" customFormat="1"/>
    <row r="15010" s="2" customFormat="1"/>
    <row r="15011" s="2" customFormat="1"/>
    <row r="15012" s="2" customFormat="1"/>
    <row r="15013" s="2" customFormat="1"/>
    <row r="15014" s="2" customFormat="1"/>
    <row r="15015" s="2" customFormat="1"/>
    <row r="15016" s="2" customFormat="1"/>
    <row r="15017" s="2" customFormat="1"/>
    <row r="15018" s="2" customFormat="1"/>
    <row r="15019" s="2" customFormat="1"/>
    <row r="15020" s="2" customFormat="1"/>
    <row r="15021" s="2" customFormat="1"/>
    <row r="15022" s="2" customFormat="1"/>
    <row r="15023" s="2" customFormat="1"/>
    <row r="15024" s="2" customFormat="1"/>
    <row r="15025" s="2" customFormat="1"/>
    <row r="15026" s="2" customFormat="1"/>
    <row r="15027" s="2" customFormat="1"/>
    <row r="15028" s="2" customFormat="1"/>
    <row r="15029" s="2" customFormat="1"/>
    <row r="15030" s="2" customFormat="1"/>
    <row r="15031" s="2" customFormat="1"/>
    <row r="15032" s="2" customFormat="1"/>
    <row r="15033" s="2" customFormat="1"/>
    <row r="15034" s="2" customFormat="1"/>
    <row r="15035" s="2" customFormat="1"/>
    <row r="15036" s="2" customFormat="1"/>
    <row r="15037" s="2" customFormat="1"/>
    <row r="15038" s="2" customFormat="1"/>
    <row r="15039" s="2" customFormat="1"/>
    <row r="15040" s="2" customFormat="1"/>
    <row r="15041" s="2" customFormat="1"/>
    <row r="15042" s="2" customFormat="1"/>
    <row r="15043" s="2" customFormat="1"/>
    <row r="15044" s="2" customFormat="1"/>
    <row r="15045" s="2" customFormat="1"/>
    <row r="15046" s="2" customFormat="1"/>
    <row r="15047" s="2" customFormat="1"/>
    <row r="15048" s="2" customFormat="1"/>
    <row r="15049" s="2" customFormat="1"/>
    <row r="15050" s="2" customFormat="1"/>
    <row r="15051" s="2" customFormat="1"/>
    <row r="15052" s="2" customFormat="1"/>
    <row r="15053" s="2" customFormat="1"/>
    <row r="15054" s="2" customFormat="1"/>
    <row r="15055" s="2" customFormat="1"/>
    <row r="15056" s="2" customFormat="1"/>
    <row r="15057" s="2" customFormat="1"/>
    <row r="15058" s="2" customFormat="1"/>
    <row r="15059" s="2" customFormat="1"/>
    <row r="15060" s="2" customFormat="1"/>
    <row r="15061" s="2" customFormat="1"/>
    <row r="15062" s="2" customFormat="1"/>
    <row r="15063" s="2" customFormat="1"/>
    <row r="15064" s="2" customFormat="1"/>
    <row r="15065" s="2" customFormat="1"/>
    <row r="15066" s="2" customFormat="1"/>
    <row r="15067" s="2" customFormat="1"/>
    <row r="15068" s="2" customFormat="1"/>
    <row r="15069" s="2" customFormat="1"/>
    <row r="15070" s="2" customFormat="1"/>
    <row r="15071" s="2" customFormat="1"/>
    <row r="15072" s="2" customFormat="1"/>
    <row r="15073" s="2" customFormat="1"/>
    <row r="15074" s="2" customFormat="1"/>
    <row r="15075" s="2" customFormat="1"/>
    <row r="15076" s="2" customFormat="1"/>
    <row r="15077" s="2" customFormat="1"/>
    <row r="15078" s="2" customFormat="1"/>
    <row r="15079" s="2" customFormat="1"/>
    <row r="15080" s="2" customFormat="1"/>
    <row r="15081" s="2" customFormat="1"/>
    <row r="15082" s="2" customFormat="1"/>
    <row r="15083" s="2" customFormat="1"/>
    <row r="15084" s="2" customFormat="1"/>
    <row r="15085" s="2" customFormat="1"/>
    <row r="15086" s="2" customFormat="1"/>
    <row r="15087" s="2" customFormat="1"/>
    <row r="15088" s="2" customFormat="1"/>
    <row r="15089" s="2" customFormat="1"/>
    <row r="15090" s="2" customFormat="1"/>
    <row r="15091" s="2" customFormat="1"/>
    <row r="15092" s="2" customFormat="1"/>
    <row r="15093" s="2" customFormat="1"/>
    <row r="15094" s="2" customFormat="1"/>
    <row r="15095" s="2" customFormat="1"/>
    <row r="15096" s="2" customFormat="1"/>
    <row r="15097" s="2" customFormat="1"/>
    <row r="15098" s="2" customFormat="1"/>
    <row r="15099" s="2" customFormat="1"/>
    <row r="15100" s="2" customFormat="1"/>
    <row r="15101" s="2" customFormat="1"/>
    <row r="15102" s="2" customFormat="1"/>
    <row r="15103" s="2" customFormat="1"/>
    <row r="15104" s="2" customFormat="1"/>
    <row r="15105" s="2" customFormat="1"/>
    <row r="15106" s="2" customFormat="1"/>
    <row r="15107" s="2" customFormat="1"/>
    <row r="15108" s="2" customFormat="1"/>
    <row r="15109" s="2" customFormat="1"/>
    <row r="15110" s="2" customFormat="1"/>
    <row r="15111" s="2" customFormat="1"/>
    <row r="15112" s="2" customFormat="1"/>
    <row r="15113" s="2" customFormat="1"/>
    <row r="15114" s="2" customFormat="1"/>
    <row r="15115" s="2" customFormat="1"/>
    <row r="15116" s="2" customFormat="1"/>
    <row r="15117" s="2" customFormat="1"/>
    <row r="15118" s="2" customFormat="1"/>
    <row r="15119" s="2" customFormat="1"/>
    <row r="15120" s="2" customFormat="1"/>
    <row r="15121" s="2" customFormat="1"/>
    <row r="15122" s="2" customFormat="1"/>
    <row r="15123" s="2" customFormat="1"/>
    <row r="15124" s="2" customFormat="1"/>
    <row r="15125" s="2" customFormat="1"/>
    <row r="15126" s="2" customFormat="1"/>
    <row r="15127" s="2" customFormat="1"/>
    <row r="15128" s="2" customFormat="1"/>
    <row r="15129" s="2" customFormat="1"/>
    <row r="15130" s="2" customFormat="1"/>
    <row r="15131" s="2" customFormat="1"/>
    <row r="15132" s="2" customFormat="1"/>
    <row r="15133" s="2" customFormat="1"/>
    <row r="15134" s="2" customFormat="1"/>
    <row r="15135" s="2" customFormat="1"/>
    <row r="15136" s="2" customFormat="1"/>
    <row r="15137" s="2" customFormat="1"/>
    <row r="15138" s="2" customFormat="1"/>
    <row r="15139" s="2" customFormat="1"/>
    <row r="15140" s="2" customFormat="1"/>
    <row r="15141" s="2" customFormat="1"/>
    <row r="15142" s="2" customFormat="1"/>
    <row r="15143" s="2" customFormat="1"/>
    <row r="15144" s="2" customFormat="1"/>
    <row r="15145" s="2" customFormat="1"/>
    <row r="15146" s="2" customFormat="1"/>
    <row r="15147" s="2" customFormat="1"/>
    <row r="15148" s="2" customFormat="1"/>
    <row r="15149" s="2" customFormat="1"/>
    <row r="15150" s="2" customFormat="1"/>
    <row r="15151" s="2" customFormat="1"/>
    <row r="15152" s="2" customFormat="1"/>
    <row r="15153" s="2" customFormat="1"/>
    <row r="15154" s="2" customFormat="1"/>
    <row r="15155" s="2" customFormat="1"/>
    <row r="15156" s="2" customFormat="1"/>
    <row r="15157" s="2" customFormat="1"/>
    <row r="15158" s="2" customFormat="1"/>
    <row r="15159" s="2" customFormat="1"/>
    <row r="15160" s="2" customFormat="1"/>
    <row r="15161" s="2" customFormat="1"/>
    <row r="15162" s="2" customFormat="1"/>
    <row r="15163" s="2" customFormat="1"/>
    <row r="15164" s="2" customFormat="1"/>
    <row r="15165" s="2" customFormat="1"/>
    <row r="15166" s="2" customFormat="1"/>
    <row r="15167" s="2" customFormat="1"/>
    <row r="15168" s="2" customFormat="1"/>
    <row r="15169" s="2" customFormat="1"/>
    <row r="15170" s="2" customFormat="1"/>
    <row r="15171" s="2" customFormat="1"/>
    <row r="15172" s="2" customFormat="1"/>
    <row r="15173" s="2" customFormat="1"/>
    <row r="15174" s="2" customFormat="1"/>
    <row r="15175" s="2" customFormat="1"/>
    <row r="15176" s="2" customFormat="1"/>
    <row r="15177" s="2" customFormat="1"/>
    <row r="15178" s="2" customFormat="1"/>
    <row r="15179" s="2" customFormat="1"/>
    <row r="15180" s="2" customFormat="1"/>
    <row r="15181" s="2" customFormat="1"/>
    <row r="15182" s="2" customFormat="1"/>
    <row r="15183" s="2" customFormat="1"/>
    <row r="15184" s="2" customFormat="1"/>
    <row r="15185" s="2" customFormat="1"/>
    <row r="15186" s="2" customFormat="1"/>
    <row r="15187" s="2" customFormat="1"/>
    <row r="15188" s="2" customFormat="1"/>
    <row r="15189" s="2" customFormat="1"/>
    <row r="15190" s="2" customFormat="1"/>
    <row r="15191" s="2" customFormat="1"/>
    <row r="15192" s="2" customFormat="1"/>
    <row r="15193" s="2" customFormat="1"/>
    <row r="15194" s="2" customFormat="1"/>
    <row r="15195" s="2" customFormat="1"/>
    <row r="15196" s="2" customFormat="1"/>
    <row r="15197" s="2" customFormat="1"/>
    <row r="15198" s="2" customFormat="1"/>
    <row r="15199" s="2" customFormat="1"/>
    <row r="15200" s="2" customFormat="1"/>
    <row r="15201" s="2" customFormat="1"/>
    <row r="15202" s="2" customFormat="1"/>
    <row r="15203" s="2" customFormat="1"/>
    <row r="15204" s="2" customFormat="1"/>
    <row r="15205" s="2" customFormat="1"/>
    <row r="15206" s="2" customFormat="1"/>
    <row r="15207" s="2" customFormat="1"/>
    <row r="15208" s="2" customFormat="1"/>
    <row r="15209" s="2" customFormat="1"/>
    <row r="15210" s="2" customFormat="1"/>
    <row r="15211" s="2" customFormat="1"/>
    <row r="15212" s="2" customFormat="1"/>
    <row r="15213" s="2" customFormat="1"/>
    <row r="15214" s="2" customFormat="1"/>
    <row r="15215" s="2" customFormat="1"/>
    <row r="15216" s="2" customFormat="1"/>
    <row r="15217" s="2" customFormat="1"/>
    <row r="15218" s="2" customFormat="1"/>
    <row r="15219" s="2" customFormat="1"/>
    <row r="15220" s="2" customFormat="1"/>
    <row r="15221" s="2" customFormat="1"/>
    <row r="15222" s="2" customFormat="1"/>
    <row r="15223" s="2" customFormat="1"/>
    <row r="15224" s="2" customFormat="1"/>
    <row r="15225" s="2" customFormat="1"/>
    <row r="15226" s="2" customFormat="1"/>
    <row r="15227" s="2" customFormat="1"/>
    <row r="15228" s="2" customFormat="1"/>
    <row r="15229" s="2" customFormat="1"/>
    <row r="15230" s="2" customFormat="1"/>
    <row r="15231" s="2" customFormat="1"/>
    <row r="15232" s="2" customFormat="1"/>
    <row r="15233" s="2" customFormat="1"/>
    <row r="15234" s="2" customFormat="1"/>
    <row r="15235" s="2" customFormat="1"/>
    <row r="15236" s="2" customFormat="1"/>
    <row r="15237" s="2" customFormat="1"/>
    <row r="15238" s="2" customFormat="1"/>
    <row r="15239" s="2" customFormat="1"/>
    <row r="15240" s="2" customFormat="1"/>
    <row r="15241" s="2" customFormat="1"/>
    <row r="15242" s="2" customFormat="1"/>
    <row r="15243" s="2" customFormat="1"/>
    <row r="15244" s="2" customFormat="1"/>
    <row r="15245" s="2" customFormat="1"/>
    <row r="15246" s="2" customFormat="1"/>
    <row r="15247" s="2" customFormat="1"/>
    <row r="15248" s="2" customFormat="1"/>
    <row r="15249" s="2" customFormat="1"/>
    <row r="15250" s="2" customFormat="1"/>
    <row r="15251" s="2" customFormat="1"/>
    <row r="15252" s="2" customFormat="1"/>
    <row r="15253" s="2" customFormat="1"/>
    <row r="15254" s="2" customFormat="1"/>
    <row r="15255" s="2" customFormat="1"/>
    <row r="15256" s="2" customFormat="1"/>
    <row r="15257" s="2" customFormat="1"/>
    <row r="15258" s="2" customFormat="1"/>
    <row r="15259" s="2" customFormat="1"/>
    <row r="15260" s="2" customFormat="1"/>
    <row r="15261" s="2" customFormat="1"/>
    <row r="15262" s="2" customFormat="1"/>
    <row r="15263" s="2" customFormat="1"/>
    <row r="15264" s="2" customFormat="1"/>
    <row r="15265" s="2" customFormat="1"/>
    <row r="15266" s="2" customFormat="1"/>
    <row r="15267" s="2" customFormat="1"/>
    <row r="15268" s="2" customFormat="1"/>
    <row r="15269" s="2" customFormat="1"/>
    <row r="15270" s="2" customFormat="1"/>
    <row r="15271" s="2" customFormat="1"/>
    <row r="15272" s="2" customFormat="1"/>
    <row r="15273" s="2" customFormat="1"/>
    <row r="15274" s="2" customFormat="1"/>
    <row r="15275" s="2" customFormat="1"/>
    <row r="15276" s="2" customFormat="1"/>
    <row r="15277" s="2" customFormat="1"/>
    <row r="15278" s="2" customFormat="1"/>
    <row r="15279" s="2" customFormat="1"/>
    <row r="15280" s="2" customFormat="1"/>
    <row r="15281" s="2" customFormat="1"/>
    <row r="15282" s="2" customFormat="1"/>
    <row r="15283" s="2" customFormat="1"/>
    <row r="15284" s="2" customFormat="1"/>
    <row r="15285" s="2" customFormat="1"/>
    <row r="15286" s="2" customFormat="1"/>
    <row r="15287" s="2" customFormat="1"/>
    <row r="15288" s="2" customFormat="1"/>
    <row r="15289" s="2" customFormat="1"/>
    <row r="15290" s="2" customFormat="1"/>
    <row r="15291" s="2" customFormat="1"/>
    <row r="15292" s="2" customFormat="1"/>
    <row r="15293" s="2" customFormat="1"/>
    <row r="15294" s="2" customFormat="1"/>
    <row r="15295" s="2" customFormat="1"/>
    <row r="15296" s="2" customFormat="1"/>
    <row r="15297" s="2" customFormat="1"/>
    <row r="15298" s="2" customFormat="1"/>
    <row r="15299" s="2" customFormat="1"/>
    <row r="15300" s="2" customFormat="1"/>
    <row r="15301" s="2" customFormat="1"/>
    <row r="15302" s="2" customFormat="1"/>
    <row r="15303" s="2" customFormat="1"/>
    <row r="15304" s="2" customFormat="1"/>
    <row r="15305" s="2" customFormat="1"/>
    <row r="15306" s="2" customFormat="1"/>
    <row r="15307" s="2" customFormat="1"/>
    <row r="15308" s="2" customFormat="1"/>
    <row r="15309" s="2" customFormat="1"/>
    <row r="15310" s="2" customFormat="1"/>
    <row r="15311" s="2" customFormat="1"/>
    <row r="15312" s="2" customFormat="1"/>
    <row r="15313" s="2" customFormat="1"/>
    <row r="15314" s="2" customFormat="1"/>
    <row r="15315" s="2" customFormat="1"/>
    <row r="15316" s="2" customFormat="1"/>
    <row r="15317" s="2" customFormat="1"/>
    <row r="15318" s="2" customFormat="1"/>
    <row r="15319" s="2" customFormat="1"/>
    <row r="15320" s="2" customFormat="1"/>
    <row r="15321" s="2" customFormat="1"/>
    <row r="15322" s="2" customFormat="1"/>
    <row r="15323" s="2" customFormat="1"/>
    <row r="15324" s="2" customFormat="1"/>
    <row r="15325" s="2" customFormat="1"/>
    <row r="15326" s="2" customFormat="1"/>
    <row r="15327" s="2" customFormat="1"/>
    <row r="15328" s="2" customFormat="1"/>
    <row r="15329" s="2" customFormat="1"/>
    <row r="15330" s="2" customFormat="1"/>
    <row r="15331" s="2" customFormat="1"/>
    <row r="15332" s="2" customFormat="1"/>
    <row r="15333" s="2" customFormat="1"/>
    <row r="15334" s="2" customFormat="1"/>
    <row r="15335" s="2" customFormat="1"/>
    <row r="15336" s="2" customFormat="1"/>
    <row r="15337" s="2" customFormat="1"/>
    <row r="15338" s="2" customFormat="1"/>
    <row r="15339" s="2" customFormat="1"/>
    <row r="15340" s="2" customFormat="1"/>
    <row r="15341" s="2" customFormat="1"/>
    <row r="15342" s="2" customFormat="1"/>
    <row r="15343" s="2" customFormat="1"/>
    <row r="15344" s="2" customFormat="1"/>
    <row r="15345" s="2" customFormat="1"/>
    <row r="15346" s="2" customFormat="1"/>
    <row r="15347" s="2" customFormat="1"/>
    <row r="15348" s="2" customFormat="1"/>
    <row r="15349" s="2" customFormat="1"/>
    <row r="15350" s="2" customFormat="1"/>
    <row r="15351" s="2" customFormat="1"/>
    <row r="15352" s="2" customFormat="1"/>
    <row r="15353" s="2" customFormat="1"/>
    <row r="15354" s="2" customFormat="1"/>
    <row r="15355" s="2" customFormat="1"/>
    <row r="15356" s="2" customFormat="1"/>
    <row r="15357" s="2" customFormat="1"/>
    <row r="15358" s="2" customFormat="1"/>
    <row r="15359" s="2" customFormat="1"/>
    <row r="15360" s="2" customFormat="1"/>
    <row r="15361" s="2" customFormat="1"/>
    <row r="15362" s="2" customFormat="1"/>
    <row r="15363" s="2" customFormat="1"/>
    <row r="15364" s="2" customFormat="1"/>
    <row r="15365" s="2" customFormat="1"/>
    <row r="15366" s="2" customFormat="1"/>
    <row r="15367" s="2" customFormat="1"/>
    <row r="15368" s="2" customFormat="1"/>
    <row r="15369" s="2" customFormat="1"/>
    <row r="15370" s="2" customFormat="1"/>
    <row r="15371" s="2" customFormat="1"/>
    <row r="15372" s="2" customFormat="1"/>
    <row r="15373" s="2" customFormat="1"/>
    <row r="15374" s="2" customFormat="1"/>
    <row r="15375" s="2" customFormat="1"/>
    <row r="15376" s="2" customFormat="1"/>
    <row r="15377" s="2" customFormat="1"/>
    <row r="15378" s="2" customFormat="1"/>
    <row r="15379" s="2" customFormat="1"/>
    <row r="15380" s="2" customFormat="1"/>
    <row r="15381" s="2" customFormat="1"/>
    <row r="15382" s="2" customFormat="1"/>
    <row r="15383" s="2" customFormat="1"/>
    <row r="15384" s="2" customFormat="1"/>
    <row r="15385" s="2" customFormat="1"/>
    <row r="15386" s="2" customFormat="1"/>
    <row r="15387" s="2" customFormat="1"/>
    <row r="15388" s="2" customFormat="1"/>
    <row r="15389" s="2" customFormat="1"/>
    <row r="15390" s="2" customFormat="1"/>
    <row r="15391" s="2" customFormat="1"/>
    <row r="15392" s="2" customFormat="1"/>
    <row r="15393" s="2" customFormat="1"/>
    <row r="15394" s="2" customFormat="1"/>
    <row r="15395" s="2" customFormat="1"/>
    <row r="15396" s="2" customFormat="1"/>
    <row r="15397" s="2" customFormat="1"/>
    <row r="15398" s="2" customFormat="1"/>
    <row r="15399" s="2" customFormat="1"/>
    <row r="15400" s="2" customFormat="1"/>
    <row r="15401" s="2" customFormat="1"/>
    <row r="15402" s="2" customFormat="1"/>
    <row r="15403" s="2" customFormat="1"/>
    <row r="15404" s="2" customFormat="1"/>
    <row r="15405" s="2" customFormat="1"/>
    <row r="15406" s="2" customFormat="1"/>
    <row r="15407" s="2" customFormat="1"/>
    <row r="15408" s="2" customFormat="1"/>
    <row r="15409" s="2" customFormat="1"/>
    <row r="15410" s="2" customFormat="1"/>
    <row r="15411" s="2" customFormat="1"/>
    <row r="15412" s="2" customFormat="1"/>
    <row r="15413" s="2" customFormat="1"/>
    <row r="15414" s="2" customFormat="1"/>
    <row r="15415" s="2" customFormat="1"/>
    <row r="15416" s="2" customFormat="1"/>
    <row r="15417" s="2" customFormat="1"/>
    <row r="15418" s="2" customFormat="1"/>
    <row r="15419" s="2" customFormat="1"/>
    <row r="15420" s="2" customFormat="1"/>
    <row r="15421" s="2" customFormat="1"/>
    <row r="15422" s="2" customFormat="1"/>
    <row r="15423" s="2" customFormat="1"/>
    <row r="15424" s="2" customFormat="1"/>
    <row r="15425" s="2" customFormat="1"/>
    <row r="15426" s="2" customFormat="1"/>
    <row r="15427" s="2" customFormat="1"/>
    <row r="15428" s="2" customFormat="1"/>
    <row r="15429" s="2" customFormat="1"/>
    <row r="15430" s="2" customFormat="1"/>
    <row r="15431" s="2" customFormat="1"/>
    <row r="15432" s="2" customFormat="1"/>
    <row r="15433" s="2" customFormat="1"/>
    <row r="15434" s="2" customFormat="1"/>
    <row r="15435" s="2" customFormat="1"/>
    <row r="15436" s="2" customFormat="1"/>
    <row r="15437" s="2" customFormat="1"/>
    <row r="15438" s="2" customFormat="1"/>
    <row r="15439" s="2" customFormat="1"/>
    <row r="15440" s="2" customFormat="1"/>
    <row r="15441" s="2" customFormat="1"/>
    <row r="15442" s="2" customFormat="1"/>
    <row r="15443" s="2" customFormat="1"/>
    <row r="15444" s="2" customFormat="1"/>
    <row r="15445" s="2" customFormat="1"/>
    <row r="15446" s="2" customFormat="1"/>
    <row r="15447" s="2" customFormat="1"/>
    <row r="15448" s="2" customFormat="1"/>
    <row r="15449" s="2" customFormat="1"/>
    <row r="15450" s="2" customFormat="1"/>
    <row r="15451" s="2" customFormat="1"/>
    <row r="15452" s="2" customFormat="1"/>
    <row r="15453" s="2" customFormat="1"/>
    <row r="15454" s="2" customFormat="1"/>
    <row r="15455" s="2" customFormat="1"/>
    <row r="15456" s="2" customFormat="1"/>
    <row r="15457" s="2" customFormat="1"/>
    <row r="15458" s="2" customFormat="1"/>
    <row r="15459" s="2" customFormat="1"/>
    <row r="15460" s="2" customFormat="1"/>
    <row r="15461" s="2" customFormat="1"/>
    <row r="15462" s="2" customFormat="1"/>
    <row r="15463" s="2" customFormat="1"/>
    <row r="15464" s="2" customFormat="1"/>
    <row r="15465" s="2" customFormat="1"/>
    <row r="15466" s="2" customFormat="1"/>
    <row r="15467" s="2" customFormat="1"/>
    <row r="15468" s="2" customFormat="1"/>
    <row r="15469" s="2" customFormat="1"/>
    <row r="15470" s="2" customFormat="1"/>
    <row r="15471" s="2" customFormat="1"/>
    <row r="15472" s="2" customFormat="1"/>
    <row r="15473" s="2" customFormat="1"/>
    <row r="15474" s="2" customFormat="1"/>
    <row r="15475" s="2" customFormat="1"/>
    <row r="15476" s="2" customFormat="1"/>
    <row r="15477" s="2" customFormat="1"/>
    <row r="15478" s="2" customFormat="1"/>
    <row r="15479" s="2" customFormat="1"/>
    <row r="15480" s="2" customFormat="1"/>
    <row r="15481" s="2" customFormat="1"/>
    <row r="15482" s="2" customFormat="1"/>
    <row r="15483" s="2" customFormat="1"/>
    <row r="15484" s="2" customFormat="1"/>
    <row r="15485" s="2" customFormat="1"/>
    <row r="15486" s="2" customFormat="1"/>
    <row r="15487" s="2" customFormat="1"/>
    <row r="15488" s="2" customFormat="1"/>
    <row r="15489" s="2" customFormat="1"/>
    <row r="15490" s="2" customFormat="1"/>
    <row r="15491" s="2" customFormat="1"/>
    <row r="15492" s="2" customFormat="1"/>
    <row r="15493" s="2" customFormat="1"/>
    <row r="15494" s="2" customFormat="1"/>
    <row r="15495" s="2" customFormat="1"/>
    <row r="15496" s="2" customFormat="1"/>
    <row r="15497" s="2" customFormat="1"/>
    <row r="15498" s="2" customFormat="1"/>
    <row r="15499" s="2" customFormat="1"/>
    <row r="15500" s="2" customFormat="1"/>
    <row r="15501" s="2" customFormat="1"/>
    <row r="15502" s="2" customFormat="1"/>
    <row r="15503" s="2" customFormat="1"/>
    <row r="15504" s="2" customFormat="1"/>
    <row r="15505" s="2" customFormat="1"/>
    <row r="15506" s="2" customFormat="1"/>
    <row r="15507" s="2" customFormat="1"/>
    <row r="15508" s="2" customFormat="1"/>
    <row r="15509" s="2" customFormat="1"/>
    <row r="15510" s="2" customFormat="1"/>
    <row r="15511" s="2" customFormat="1"/>
    <row r="15512" s="2" customFormat="1"/>
    <row r="15513" s="2" customFormat="1"/>
    <row r="15514" s="2" customFormat="1"/>
    <row r="15515" s="2" customFormat="1"/>
    <row r="15516" s="2" customFormat="1"/>
    <row r="15517" s="2" customFormat="1"/>
    <row r="15518" s="2" customFormat="1"/>
    <row r="15519" s="2" customFormat="1"/>
    <row r="15520" s="2" customFormat="1"/>
    <row r="15521" s="2" customFormat="1"/>
    <row r="15522" s="2" customFormat="1"/>
    <row r="15523" s="2" customFormat="1"/>
    <row r="15524" s="2" customFormat="1"/>
    <row r="15525" s="2" customFormat="1"/>
    <row r="15526" s="2" customFormat="1"/>
    <row r="15527" s="2" customFormat="1"/>
    <row r="15528" s="2" customFormat="1"/>
    <row r="15529" s="2" customFormat="1"/>
    <row r="15530" s="2" customFormat="1"/>
    <row r="15531" s="2" customFormat="1"/>
    <row r="15532" s="2" customFormat="1"/>
    <row r="15533" s="2" customFormat="1"/>
    <row r="15534" s="2" customFormat="1"/>
    <row r="15535" s="2" customFormat="1"/>
    <row r="15536" s="2" customFormat="1"/>
    <row r="15537" s="2" customFormat="1"/>
    <row r="15538" s="2" customFormat="1"/>
    <row r="15539" s="2" customFormat="1"/>
    <row r="15540" s="2" customFormat="1"/>
    <row r="15541" s="2" customFormat="1"/>
    <row r="15542" s="2" customFormat="1"/>
    <row r="15543" s="2" customFormat="1"/>
    <row r="15544" s="2" customFormat="1"/>
    <row r="15545" s="2" customFormat="1"/>
    <row r="15546" s="2" customFormat="1"/>
    <row r="15547" s="2" customFormat="1"/>
    <row r="15548" s="2" customFormat="1"/>
    <row r="15549" s="2" customFormat="1"/>
    <row r="15550" s="2" customFormat="1"/>
    <row r="15551" s="2" customFormat="1"/>
    <row r="15552" s="2" customFormat="1"/>
    <row r="15553" s="2" customFormat="1"/>
    <row r="15554" s="2" customFormat="1"/>
    <row r="15555" s="2" customFormat="1"/>
    <row r="15556" s="2" customFormat="1"/>
    <row r="15557" s="2" customFormat="1"/>
    <row r="15558" s="2" customFormat="1"/>
    <row r="15559" s="2" customFormat="1"/>
    <row r="15560" s="2" customFormat="1"/>
    <row r="15561" s="2" customFormat="1"/>
    <row r="15562" s="2" customFormat="1"/>
    <row r="15563" s="2" customFormat="1"/>
    <row r="15564" s="2" customFormat="1"/>
    <row r="15565" s="2" customFormat="1"/>
    <row r="15566" s="2" customFormat="1"/>
    <row r="15567" s="2" customFormat="1"/>
    <row r="15568" s="2" customFormat="1"/>
    <row r="15569" s="2" customFormat="1"/>
    <row r="15570" s="2" customFormat="1"/>
    <row r="15571" s="2" customFormat="1"/>
    <row r="15572" s="2" customFormat="1"/>
    <row r="15573" s="2" customFormat="1"/>
    <row r="15574" s="2" customFormat="1"/>
    <row r="15575" s="2" customFormat="1"/>
    <row r="15576" s="2" customFormat="1"/>
    <row r="15577" s="2" customFormat="1"/>
    <row r="15578" s="2" customFormat="1"/>
    <row r="15579" s="2" customFormat="1"/>
    <row r="15580" s="2" customFormat="1"/>
    <row r="15581" s="2" customFormat="1"/>
    <row r="15582" s="2" customFormat="1"/>
    <row r="15583" s="2" customFormat="1"/>
    <row r="15584" s="2" customFormat="1"/>
    <row r="15585" s="2" customFormat="1"/>
    <row r="15586" s="2" customFormat="1"/>
    <row r="15587" s="2" customFormat="1"/>
    <row r="15588" s="2" customFormat="1"/>
    <row r="15589" s="2" customFormat="1"/>
    <row r="15590" s="2" customFormat="1"/>
    <row r="15591" s="2" customFormat="1"/>
    <row r="15592" s="2" customFormat="1"/>
    <row r="15593" s="2" customFormat="1"/>
    <row r="15594" s="2" customFormat="1"/>
    <row r="15595" s="2" customFormat="1"/>
    <row r="15596" s="2" customFormat="1"/>
    <row r="15597" s="2" customFormat="1"/>
    <row r="15598" s="2" customFormat="1"/>
    <row r="15599" s="2" customFormat="1"/>
    <row r="15600" s="2" customFormat="1"/>
    <row r="15601" s="2" customFormat="1"/>
    <row r="15602" s="2" customFormat="1"/>
    <row r="15603" s="2" customFormat="1"/>
    <row r="15604" s="2" customFormat="1"/>
    <row r="15605" s="2" customFormat="1"/>
    <row r="15606" s="2" customFormat="1"/>
    <row r="15607" s="2" customFormat="1"/>
    <row r="15608" s="2" customFormat="1"/>
    <row r="15609" s="2" customFormat="1"/>
    <row r="15610" s="2" customFormat="1"/>
    <row r="15611" s="2" customFormat="1"/>
    <row r="15612" s="2" customFormat="1"/>
    <row r="15613" s="2" customFormat="1"/>
    <row r="15614" s="2" customFormat="1"/>
    <row r="15615" s="2" customFormat="1"/>
    <row r="15616" s="2" customFormat="1"/>
    <row r="15617" s="2" customFormat="1"/>
    <row r="15618" s="2" customFormat="1"/>
    <row r="15619" s="2" customFormat="1"/>
    <row r="15620" s="2" customFormat="1"/>
    <row r="15621" s="2" customFormat="1"/>
    <row r="15622" s="2" customFormat="1"/>
    <row r="15623" s="2" customFormat="1"/>
    <row r="15624" s="2" customFormat="1"/>
    <row r="15625" s="2" customFormat="1"/>
    <row r="15626" s="2" customFormat="1"/>
    <row r="15627" s="2" customFormat="1"/>
    <row r="15628" s="2" customFormat="1"/>
    <row r="15629" s="2" customFormat="1"/>
    <row r="15630" s="2" customFormat="1"/>
    <row r="15631" s="2" customFormat="1"/>
    <row r="15632" s="2" customFormat="1"/>
    <row r="15633" s="2" customFormat="1"/>
    <row r="15634" s="2" customFormat="1"/>
    <row r="15635" s="2" customFormat="1"/>
    <row r="15636" s="2" customFormat="1"/>
    <row r="15637" s="2" customFormat="1"/>
    <row r="15638" s="2" customFormat="1"/>
    <row r="15639" s="2" customFormat="1"/>
    <row r="15640" s="2" customFormat="1"/>
    <row r="15641" s="2" customFormat="1"/>
    <row r="15642" s="2" customFormat="1"/>
    <row r="15643" s="2" customFormat="1"/>
    <row r="15644" s="2" customFormat="1"/>
    <row r="15645" s="2" customFormat="1"/>
    <row r="15646" s="2" customFormat="1"/>
    <row r="15647" s="2" customFormat="1"/>
    <row r="15648" s="2" customFormat="1"/>
    <row r="15649" s="2" customFormat="1"/>
    <row r="15650" s="2" customFormat="1"/>
    <row r="15651" s="2" customFormat="1"/>
    <row r="15652" s="2" customFormat="1"/>
    <row r="15653" s="2" customFormat="1"/>
    <row r="15654" s="2" customFormat="1"/>
    <row r="15655" s="2" customFormat="1"/>
    <row r="15656" s="2" customFormat="1"/>
    <row r="15657" s="2" customFormat="1"/>
    <row r="15658" s="2" customFormat="1"/>
    <row r="15659" s="2" customFormat="1"/>
    <row r="15660" s="2" customFormat="1"/>
    <row r="15661" s="2" customFormat="1"/>
    <row r="15662" s="2" customFormat="1"/>
    <row r="15663" s="2" customFormat="1"/>
    <row r="15664" s="2" customFormat="1"/>
    <row r="15665" s="2" customFormat="1"/>
    <row r="15666" s="2" customFormat="1"/>
    <row r="15667" s="2" customFormat="1"/>
    <row r="15668" s="2" customFormat="1"/>
    <row r="15669" s="2" customFormat="1"/>
    <row r="15670" s="2" customFormat="1"/>
    <row r="15671" s="2" customFormat="1"/>
    <row r="15672" s="2" customFormat="1"/>
    <row r="15673" s="2" customFormat="1"/>
    <row r="15674" s="2" customFormat="1"/>
    <row r="15675" s="2" customFormat="1"/>
    <row r="15676" s="2" customFormat="1"/>
    <row r="15677" s="2" customFormat="1"/>
    <row r="15678" s="2" customFormat="1"/>
    <row r="15679" s="2" customFormat="1"/>
    <row r="15680" s="2" customFormat="1"/>
    <row r="15681" s="2" customFormat="1"/>
    <row r="15682" s="2" customFormat="1"/>
    <row r="15683" s="2" customFormat="1"/>
    <row r="15684" s="2" customFormat="1"/>
    <row r="15685" s="2" customFormat="1"/>
    <row r="15686" s="2" customFormat="1"/>
    <row r="15687" s="2" customFormat="1"/>
    <row r="15688" s="2" customFormat="1"/>
    <row r="15689" s="2" customFormat="1"/>
    <row r="15690" s="2" customFormat="1"/>
    <row r="15691" s="2" customFormat="1"/>
    <row r="15692" s="2" customFormat="1"/>
    <row r="15693" s="2" customFormat="1"/>
    <row r="15694" s="2" customFormat="1"/>
    <row r="15695" s="2" customFormat="1"/>
    <row r="15696" s="2" customFormat="1"/>
    <row r="15697" s="2" customFormat="1"/>
    <row r="15698" s="2" customFormat="1"/>
    <row r="15699" s="2" customFormat="1"/>
    <row r="15700" s="2" customFormat="1"/>
    <row r="15701" s="2" customFormat="1"/>
    <row r="15702" s="2" customFormat="1"/>
    <row r="15703" s="2" customFormat="1"/>
    <row r="15704" s="2" customFormat="1"/>
    <row r="15705" s="2" customFormat="1"/>
    <row r="15706" s="2" customFormat="1"/>
    <row r="15707" s="2" customFormat="1"/>
    <row r="15708" s="2" customFormat="1"/>
    <row r="15709" s="2" customFormat="1"/>
    <row r="15710" s="2" customFormat="1"/>
    <row r="15711" s="2" customFormat="1"/>
    <row r="15712" s="2" customFormat="1"/>
    <row r="15713" s="2" customFormat="1"/>
    <row r="15714" s="2" customFormat="1"/>
    <row r="15715" s="2" customFormat="1"/>
    <row r="15716" s="2" customFormat="1"/>
    <row r="15717" s="2" customFormat="1"/>
    <row r="15718" s="2" customFormat="1"/>
    <row r="15719" s="2" customFormat="1"/>
    <row r="15720" s="2" customFormat="1"/>
    <row r="15721" s="2" customFormat="1"/>
    <row r="15722" s="2" customFormat="1"/>
    <row r="15723" s="2" customFormat="1"/>
    <row r="15724" s="2" customFormat="1"/>
    <row r="15725" s="2" customFormat="1"/>
    <row r="15726" s="2" customFormat="1"/>
    <row r="15727" s="2" customFormat="1"/>
    <row r="15728" s="2" customFormat="1"/>
    <row r="15729" s="2" customFormat="1"/>
    <row r="15730" s="2" customFormat="1"/>
    <row r="15731" s="2" customFormat="1"/>
    <row r="15732" s="2" customFormat="1"/>
    <row r="15733" s="2" customFormat="1"/>
    <row r="15734" s="2" customFormat="1"/>
    <row r="15735" s="2" customFormat="1"/>
    <row r="15736" s="2" customFormat="1"/>
    <row r="15737" s="2" customFormat="1"/>
    <row r="15738" s="2" customFormat="1"/>
    <row r="15739" s="2" customFormat="1"/>
    <row r="15740" s="2" customFormat="1"/>
    <row r="15741" s="2" customFormat="1"/>
    <row r="15742" s="2" customFormat="1"/>
    <row r="15743" s="2" customFormat="1"/>
    <row r="15744" s="2" customFormat="1"/>
    <row r="15745" s="2" customFormat="1"/>
    <row r="15746" s="2" customFormat="1"/>
    <row r="15747" s="2" customFormat="1"/>
    <row r="15748" s="2" customFormat="1"/>
    <row r="15749" s="2" customFormat="1"/>
    <row r="15750" s="2" customFormat="1"/>
    <row r="15751" s="2" customFormat="1"/>
    <row r="15752" s="2" customFormat="1"/>
    <row r="15753" s="2" customFormat="1"/>
    <row r="15754" s="2" customFormat="1"/>
    <row r="15755" s="2" customFormat="1"/>
    <row r="15756" s="2" customFormat="1"/>
    <row r="15757" s="2" customFormat="1"/>
    <row r="15758" s="2" customFormat="1"/>
    <row r="15759" s="2" customFormat="1"/>
    <row r="15760" s="2" customFormat="1"/>
    <row r="15761" s="2" customFormat="1"/>
    <row r="15762" s="2" customFormat="1"/>
    <row r="15763" s="2" customFormat="1"/>
    <row r="15764" s="2" customFormat="1"/>
    <row r="15765" s="2" customFormat="1"/>
    <row r="15766" s="2" customFormat="1"/>
    <row r="15767" s="2" customFormat="1"/>
    <row r="15768" s="2" customFormat="1"/>
    <row r="15769" s="2" customFormat="1"/>
    <row r="15770" s="2" customFormat="1"/>
    <row r="15771" s="2" customFormat="1"/>
    <row r="15772" s="2" customFormat="1"/>
    <row r="15773" s="2" customFormat="1"/>
    <row r="15774" s="2" customFormat="1"/>
    <row r="15775" s="2" customFormat="1"/>
    <row r="15776" s="2" customFormat="1"/>
    <row r="15777" s="2" customFormat="1"/>
    <row r="15778" s="2" customFormat="1"/>
    <row r="15779" s="2" customFormat="1"/>
    <row r="15780" s="2" customFormat="1"/>
    <row r="15781" s="2" customFormat="1"/>
    <row r="15782" s="2" customFormat="1"/>
    <row r="15783" s="2" customFormat="1"/>
    <row r="15784" s="2" customFormat="1"/>
    <row r="15785" s="2" customFormat="1"/>
    <row r="15786" s="2" customFormat="1"/>
    <row r="15787" s="2" customFormat="1"/>
    <row r="15788" s="2" customFormat="1"/>
    <row r="15789" s="2" customFormat="1"/>
    <row r="15790" s="2" customFormat="1"/>
    <row r="15791" s="2" customFormat="1"/>
    <row r="15792" s="2" customFormat="1"/>
    <row r="15793" s="2" customFormat="1"/>
    <row r="15794" s="2" customFormat="1"/>
    <row r="15795" s="2" customFormat="1"/>
    <row r="15796" s="2" customFormat="1"/>
    <row r="15797" s="2" customFormat="1"/>
    <row r="15798" s="2" customFormat="1"/>
    <row r="15799" s="2" customFormat="1"/>
    <row r="15800" s="2" customFormat="1"/>
    <row r="15801" s="2" customFormat="1"/>
    <row r="15802" s="2" customFormat="1"/>
    <row r="15803" s="2" customFormat="1"/>
    <row r="15804" s="2" customFormat="1"/>
    <row r="15805" s="2" customFormat="1"/>
    <row r="15806" s="2" customFormat="1"/>
    <row r="15807" s="2" customFormat="1"/>
    <row r="15808" s="2" customFormat="1"/>
    <row r="15809" s="2" customFormat="1"/>
    <row r="15810" s="2" customFormat="1"/>
    <row r="15811" s="2" customFormat="1"/>
    <row r="15812" s="2" customFormat="1"/>
    <row r="15813" s="2" customFormat="1"/>
    <row r="15814" s="2" customFormat="1"/>
    <row r="15815" s="2" customFormat="1"/>
    <row r="15816" s="2" customFormat="1"/>
    <row r="15817" s="2" customFormat="1"/>
    <row r="15818" s="2" customFormat="1"/>
    <row r="15819" s="2" customFormat="1"/>
    <row r="15820" s="2" customFormat="1"/>
    <row r="15821" s="2" customFormat="1"/>
    <row r="15822" s="2" customFormat="1"/>
    <row r="15823" s="2" customFormat="1"/>
    <row r="15824" s="2" customFormat="1"/>
    <row r="15825" s="2" customFormat="1"/>
    <row r="15826" s="2" customFormat="1"/>
    <row r="15827" s="2" customFormat="1"/>
    <row r="15828" s="2" customFormat="1"/>
    <row r="15829" s="2" customFormat="1"/>
    <row r="15830" s="2" customFormat="1"/>
    <row r="15831" s="2" customFormat="1"/>
    <row r="15832" s="2" customFormat="1"/>
    <row r="15833" s="2" customFormat="1"/>
    <row r="15834" s="2" customFormat="1"/>
    <row r="15835" s="2" customFormat="1"/>
    <row r="15836" s="2" customFormat="1"/>
    <row r="15837" s="2" customFormat="1"/>
    <row r="15838" s="2" customFormat="1"/>
    <row r="15839" s="2" customFormat="1"/>
    <row r="15840" s="2" customFormat="1"/>
    <row r="15841" s="2" customFormat="1"/>
    <row r="15842" s="2" customFormat="1"/>
    <row r="15843" s="2" customFormat="1"/>
    <row r="15844" s="2" customFormat="1"/>
    <row r="15845" s="2" customFormat="1"/>
    <row r="15846" s="2" customFormat="1"/>
    <row r="15847" s="2" customFormat="1"/>
    <row r="15848" s="2" customFormat="1"/>
    <row r="15849" s="2" customFormat="1"/>
    <row r="15850" s="2" customFormat="1"/>
    <row r="15851" s="2" customFormat="1"/>
    <row r="15852" s="2" customFormat="1"/>
    <row r="15853" s="2" customFormat="1"/>
    <row r="15854" s="2" customFormat="1"/>
    <row r="15855" s="2" customFormat="1"/>
    <row r="15856" s="2" customFormat="1"/>
    <row r="15857" s="2" customFormat="1"/>
    <row r="15858" s="2" customFormat="1"/>
    <row r="15859" s="2" customFormat="1"/>
    <row r="15860" s="2" customFormat="1"/>
    <row r="15861" s="2" customFormat="1"/>
    <row r="15862" s="2" customFormat="1"/>
    <row r="15863" s="2" customFormat="1"/>
    <row r="15864" s="2" customFormat="1"/>
    <row r="15865" s="2" customFormat="1"/>
    <row r="15866" s="2" customFormat="1"/>
    <row r="15867" s="2" customFormat="1"/>
    <row r="15868" s="2" customFormat="1"/>
    <row r="15869" s="2" customFormat="1"/>
    <row r="15870" s="2" customFormat="1"/>
    <row r="15871" s="2" customFormat="1"/>
    <row r="15872" s="2" customFormat="1"/>
    <row r="15873" s="2" customFormat="1"/>
    <row r="15874" s="2" customFormat="1"/>
    <row r="15875" s="2" customFormat="1"/>
    <row r="15876" s="2" customFormat="1"/>
    <row r="15877" s="2" customFormat="1"/>
    <row r="15878" s="2" customFormat="1"/>
    <row r="15879" s="2" customFormat="1"/>
    <row r="15880" s="2" customFormat="1"/>
    <row r="15881" s="2" customFormat="1"/>
    <row r="15882" s="2" customFormat="1"/>
    <row r="15883" s="2" customFormat="1"/>
    <row r="15884" s="2" customFormat="1"/>
    <row r="15885" s="2" customFormat="1"/>
    <row r="15886" s="2" customFormat="1"/>
    <row r="15887" s="2" customFormat="1"/>
    <row r="15888" s="2" customFormat="1"/>
    <row r="15889" s="2" customFormat="1"/>
    <row r="15890" s="2" customFormat="1"/>
    <row r="15891" s="2" customFormat="1"/>
    <row r="15892" s="2" customFormat="1"/>
    <row r="15893" s="2" customFormat="1"/>
    <row r="15894" s="2" customFormat="1"/>
    <row r="15895" s="2" customFormat="1"/>
    <row r="15896" s="2" customFormat="1"/>
    <row r="15897" s="2" customFormat="1"/>
    <row r="15898" s="2" customFormat="1"/>
    <row r="15899" s="2" customFormat="1"/>
    <row r="15900" s="2" customFormat="1"/>
    <row r="15901" s="2" customFormat="1"/>
    <row r="15902" s="2" customFormat="1"/>
    <row r="15903" s="2" customFormat="1"/>
    <row r="15904" s="2" customFormat="1"/>
    <row r="15905" s="2" customFormat="1"/>
    <row r="15906" s="2" customFormat="1"/>
    <row r="15907" s="2" customFormat="1"/>
    <row r="15908" s="2" customFormat="1"/>
    <row r="15909" s="2" customFormat="1"/>
    <row r="15910" s="2" customFormat="1"/>
    <row r="15911" s="2" customFormat="1"/>
    <row r="15912" s="2" customFormat="1"/>
    <row r="15913" s="2" customFormat="1"/>
    <row r="15914" s="2" customFormat="1"/>
    <row r="15915" s="2" customFormat="1"/>
    <row r="15916" s="2" customFormat="1"/>
    <row r="15917" s="2" customFormat="1"/>
    <row r="15918" s="2" customFormat="1"/>
    <row r="15919" s="2" customFormat="1"/>
    <row r="15920" s="2" customFormat="1"/>
    <row r="15921" s="2" customFormat="1"/>
    <row r="15922" s="2" customFormat="1"/>
    <row r="15923" s="2" customFormat="1"/>
    <row r="15924" s="2" customFormat="1"/>
    <row r="15925" s="2" customFormat="1"/>
    <row r="15926" s="2" customFormat="1"/>
    <row r="15927" s="2" customFormat="1"/>
    <row r="15928" s="2" customFormat="1"/>
    <row r="15929" s="2" customFormat="1"/>
    <row r="15930" s="2" customFormat="1"/>
    <row r="15931" s="2" customFormat="1"/>
    <row r="15932" s="2" customFormat="1"/>
    <row r="15933" s="2" customFormat="1"/>
    <row r="15934" s="2" customFormat="1"/>
    <row r="15935" s="2" customFormat="1"/>
    <row r="15936" s="2" customFormat="1"/>
    <row r="15937" s="2" customFormat="1"/>
    <row r="15938" s="2" customFormat="1"/>
    <row r="15939" s="2" customFormat="1"/>
    <row r="15940" s="2" customFormat="1"/>
    <row r="15941" s="2" customFormat="1"/>
    <row r="15942" s="2" customFormat="1"/>
    <row r="15943" s="2" customFormat="1"/>
    <row r="15944" s="2" customFormat="1"/>
    <row r="15945" s="2" customFormat="1"/>
    <row r="15946" s="2" customFormat="1"/>
    <row r="15947" s="2" customFormat="1"/>
    <row r="15948" s="2" customFormat="1"/>
    <row r="15949" s="2" customFormat="1"/>
    <row r="15950" s="2" customFormat="1"/>
    <row r="15951" s="2" customFormat="1"/>
    <row r="15952" s="2" customFormat="1"/>
    <row r="15953" s="2" customFormat="1"/>
    <row r="15954" s="2" customFormat="1"/>
    <row r="15955" s="2" customFormat="1"/>
    <row r="15956" s="2" customFormat="1"/>
    <row r="15957" s="2" customFormat="1"/>
    <row r="15958" s="2" customFormat="1"/>
    <row r="15959" s="2" customFormat="1"/>
    <row r="15960" s="2" customFormat="1"/>
    <row r="15961" s="2" customFormat="1"/>
    <row r="15962" s="2" customFormat="1"/>
    <row r="15963" s="2" customFormat="1"/>
    <row r="15964" s="2" customFormat="1"/>
    <row r="15965" s="2" customFormat="1"/>
    <row r="15966" s="2" customFormat="1"/>
    <row r="15967" s="2" customFormat="1"/>
    <row r="15968" s="2" customFormat="1"/>
    <row r="15969" s="2" customFormat="1"/>
    <row r="15970" s="2" customFormat="1"/>
    <row r="15971" s="2" customFormat="1"/>
    <row r="15972" s="2" customFormat="1"/>
    <row r="15973" s="2" customFormat="1"/>
    <row r="15974" s="2" customFormat="1"/>
    <row r="15975" s="2" customFormat="1"/>
    <row r="15976" s="2" customFormat="1"/>
    <row r="15977" s="2" customFormat="1"/>
    <row r="15978" s="2" customFormat="1"/>
    <row r="15979" s="2" customFormat="1"/>
    <row r="15980" s="2" customFormat="1"/>
    <row r="15981" s="2" customFormat="1"/>
    <row r="15982" s="2" customFormat="1"/>
    <row r="15983" s="2" customFormat="1"/>
    <row r="15984" s="2" customFormat="1"/>
    <row r="15985" s="2" customFormat="1"/>
    <row r="15986" s="2" customFormat="1"/>
    <row r="15987" s="2" customFormat="1"/>
    <row r="15988" s="2" customFormat="1"/>
    <row r="15989" s="2" customFormat="1"/>
    <row r="15990" s="2" customFormat="1"/>
    <row r="15991" s="2" customFormat="1"/>
    <row r="15992" s="2" customFormat="1"/>
    <row r="15993" s="2" customFormat="1"/>
    <row r="15994" s="2" customFormat="1"/>
    <row r="15995" s="2" customFormat="1"/>
    <row r="15996" s="2" customFormat="1"/>
    <row r="15997" s="2" customFormat="1"/>
    <row r="15998" s="2" customFormat="1"/>
    <row r="15999" s="2" customFormat="1"/>
    <row r="16000" s="2" customFormat="1"/>
    <row r="16001" s="2" customFormat="1"/>
    <row r="16002" s="2" customFormat="1"/>
    <row r="16003" s="2" customFormat="1"/>
    <row r="16004" s="2" customFormat="1"/>
    <row r="16005" s="2" customFormat="1"/>
    <row r="16006" s="2" customFormat="1"/>
    <row r="16007" s="2" customFormat="1"/>
    <row r="16008" s="2" customFormat="1"/>
    <row r="16009" s="2" customFormat="1"/>
    <row r="16010" s="2" customFormat="1"/>
    <row r="16011" s="2" customFormat="1"/>
    <row r="16012" s="2" customFormat="1"/>
    <row r="16013" s="2" customFormat="1"/>
    <row r="16014" s="2" customFormat="1"/>
    <row r="16015" s="2" customFormat="1"/>
    <row r="16016" s="2" customFormat="1"/>
    <row r="16017" s="2" customFormat="1"/>
    <row r="16018" s="2" customFormat="1"/>
    <row r="16019" s="2" customFormat="1"/>
    <row r="16020" s="2" customFormat="1"/>
    <row r="16021" s="2" customFormat="1"/>
    <row r="16022" s="2" customFormat="1"/>
    <row r="16023" s="2" customFormat="1"/>
    <row r="16024" s="2" customFormat="1"/>
    <row r="16025" s="2" customFormat="1"/>
    <row r="16026" s="2" customFormat="1"/>
    <row r="16027" s="2" customFormat="1"/>
    <row r="16028" s="2" customFormat="1"/>
    <row r="16029" s="2" customFormat="1"/>
    <row r="16030" s="2" customFormat="1"/>
    <row r="16031" s="2" customFormat="1"/>
    <row r="16032" s="2" customFormat="1"/>
    <row r="16033" s="2" customFormat="1"/>
    <row r="16034" s="2" customFormat="1"/>
    <row r="16035" s="2" customFormat="1"/>
    <row r="16036" s="2" customFormat="1"/>
    <row r="16037" s="2" customFormat="1"/>
    <row r="16038" s="2" customFormat="1"/>
    <row r="16039" s="2" customFormat="1"/>
    <row r="16040" s="2" customFormat="1"/>
    <row r="16041" s="2" customFormat="1"/>
    <row r="16042" s="2" customFormat="1"/>
    <row r="16043" s="2" customFormat="1"/>
    <row r="16044" s="2" customFormat="1"/>
    <row r="16045" s="2" customFormat="1"/>
    <row r="16046" s="2" customFormat="1"/>
    <row r="16047" s="2" customFormat="1"/>
    <row r="16048" s="2" customFormat="1"/>
    <row r="16049" s="2" customFormat="1"/>
    <row r="16050" s="2" customFormat="1"/>
    <row r="16051" s="2" customFormat="1"/>
    <row r="16052" s="2" customFormat="1"/>
    <row r="16053" s="2" customFormat="1"/>
    <row r="16054" s="2" customFormat="1"/>
    <row r="16055" s="2" customFormat="1"/>
    <row r="16056" s="2" customFormat="1"/>
    <row r="16057" s="2" customFormat="1"/>
    <row r="16058" s="2" customFormat="1"/>
    <row r="16059" s="2" customFormat="1"/>
    <row r="16060" s="2" customFormat="1"/>
    <row r="16061" s="2" customFormat="1"/>
    <row r="16062" s="2" customFormat="1"/>
    <row r="16063" s="2" customFormat="1"/>
    <row r="16064" s="2" customFormat="1"/>
    <row r="16065" s="2" customFormat="1"/>
    <row r="16066" s="2" customFormat="1"/>
    <row r="16067" s="2" customFormat="1"/>
    <row r="16068" s="2" customFormat="1"/>
    <row r="16069" s="2" customFormat="1"/>
    <row r="16070" s="2" customFormat="1"/>
    <row r="16071" s="2" customFormat="1"/>
    <row r="16072" s="2" customFormat="1"/>
    <row r="16073" s="2" customFormat="1"/>
    <row r="16074" s="2" customFormat="1"/>
    <row r="16075" s="2" customFormat="1"/>
    <row r="16076" s="2" customFormat="1"/>
    <row r="16077" s="2" customFormat="1"/>
    <row r="16078" s="2" customFormat="1"/>
    <row r="16079" s="2" customFormat="1"/>
    <row r="16080" s="2" customFormat="1"/>
    <row r="16081" s="2" customFormat="1"/>
    <row r="16082" s="2" customFormat="1"/>
    <row r="16083" s="2" customFormat="1"/>
    <row r="16084" s="2" customFormat="1"/>
    <row r="16085" s="2" customFormat="1"/>
    <row r="16086" s="2" customFormat="1"/>
    <row r="16087" s="2" customFormat="1"/>
    <row r="16088" s="2" customFormat="1"/>
    <row r="16089" s="2" customFormat="1"/>
    <row r="16090" s="2" customFormat="1"/>
    <row r="16091" s="2" customFormat="1"/>
    <row r="16092" s="2" customFormat="1"/>
    <row r="16093" s="2" customFormat="1"/>
    <row r="16094" s="2" customFormat="1"/>
    <row r="16095" s="2" customFormat="1"/>
    <row r="16096" s="2" customFormat="1"/>
    <row r="16097" s="2" customFormat="1"/>
    <row r="16098" s="2" customFormat="1"/>
    <row r="16099" s="2" customFormat="1"/>
    <row r="16100" s="2" customFormat="1"/>
    <row r="16101" s="2" customFormat="1"/>
    <row r="16102" s="2" customFormat="1"/>
    <row r="16103" s="2" customFormat="1"/>
    <row r="16104" s="2" customFormat="1"/>
    <row r="16105" s="2" customFormat="1"/>
    <row r="16106" s="2" customFormat="1"/>
    <row r="16107" s="2" customFormat="1"/>
    <row r="16108" s="2" customFormat="1"/>
    <row r="16109" s="2" customFormat="1"/>
    <row r="16110" s="2" customFormat="1"/>
    <row r="16111" s="2" customFormat="1"/>
    <row r="16112" s="2" customFormat="1"/>
    <row r="16113" s="2" customFormat="1"/>
    <row r="16114" s="2" customFormat="1"/>
    <row r="16115" s="2" customFormat="1"/>
    <row r="16116" s="2" customFormat="1"/>
    <row r="16117" s="2" customFormat="1"/>
    <row r="16118" s="2" customFormat="1"/>
    <row r="16119" s="2" customFormat="1"/>
    <row r="16120" s="2" customFormat="1"/>
    <row r="16121" s="2" customFormat="1"/>
    <row r="16122" s="2" customFormat="1"/>
    <row r="16123" s="2" customFormat="1"/>
    <row r="16124" s="2" customFormat="1"/>
    <row r="16125" s="2" customFormat="1"/>
    <row r="16126" s="2" customFormat="1"/>
    <row r="16127" s="2" customFormat="1"/>
    <row r="16128" s="2" customFormat="1"/>
    <row r="16129" s="2" customFormat="1"/>
    <row r="16130" s="2" customFormat="1"/>
    <row r="16131" s="2" customFormat="1"/>
    <row r="16132" s="2" customFormat="1"/>
    <row r="16133" s="2" customFormat="1"/>
    <row r="16134" s="2" customFormat="1"/>
    <row r="16135" s="2" customFormat="1"/>
    <row r="16136" s="2" customFormat="1"/>
    <row r="16137" s="2" customFormat="1"/>
    <row r="16138" s="2" customFormat="1"/>
    <row r="16139" s="2" customFormat="1"/>
    <row r="16140" s="2" customFormat="1"/>
    <row r="16141" s="2" customFormat="1"/>
    <row r="16142" s="2" customFormat="1"/>
    <row r="16143" s="2" customFormat="1"/>
    <row r="16144" s="2" customFormat="1"/>
    <row r="16145" s="2" customFormat="1"/>
    <row r="16146" s="2" customFormat="1"/>
    <row r="16147" s="2" customFormat="1"/>
    <row r="16148" s="2" customFormat="1"/>
    <row r="16149" s="2" customFormat="1"/>
    <row r="16150" s="2" customFormat="1"/>
    <row r="16151" s="2" customFormat="1"/>
    <row r="16152" s="2" customFormat="1"/>
    <row r="16153" s="2" customFormat="1"/>
    <row r="16154" s="2" customFormat="1"/>
    <row r="16155" s="2" customFormat="1"/>
    <row r="16156" s="2" customFormat="1"/>
    <row r="16157" s="2" customFormat="1"/>
    <row r="16158" s="2" customFormat="1"/>
    <row r="16159" s="2" customFormat="1"/>
    <row r="16160" s="2" customFormat="1"/>
    <row r="16161" s="2" customFormat="1"/>
    <row r="16162" s="2" customFormat="1"/>
    <row r="16163" s="2" customFormat="1"/>
    <row r="16164" s="2" customFormat="1"/>
    <row r="16165" s="2" customFormat="1"/>
    <row r="16166" s="2" customFormat="1"/>
    <row r="16167" s="2" customFormat="1"/>
    <row r="16168" s="2" customFormat="1"/>
    <row r="16169" s="2" customFormat="1"/>
    <row r="16170" s="2" customFormat="1"/>
    <row r="16171" s="2" customFormat="1"/>
    <row r="16172" s="2" customFormat="1"/>
    <row r="16173" s="2" customFormat="1"/>
    <row r="16174" s="2" customFormat="1"/>
    <row r="16175" s="2" customFormat="1"/>
    <row r="16176" s="2" customFormat="1"/>
    <row r="16177" s="2" customFormat="1"/>
    <row r="16178" s="2" customFormat="1"/>
    <row r="16179" s="2" customFormat="1"/>
    <row r="16180" s="2" customFormat="1"/>
    <row r="16181" s="2" customFormat="1"/>
    <row r="16182" s="2" customFormat="1"/>
    <row r="16183" s="2" customFormat="1"/>
    <row r="16184" s="2" customFormat="1"/>
    <row r="16185" s="2" customFormat="1"/>
    <row r="16186" s="2" customFormat="1"/>
    <row r="16187" s="2" customFormat="1"/>
    <row r="16188" s="2" customFormat="1"/>
    <row r="16189" s="2" customFormat="1"/>
    <row r="16190" s="2" customFormat="1"/>
    <row r="16191" s="2" customFormat="1"/>
    <row r="16192" s="2" customFormat="1"/>
    <row r="16193" s="2" customFormat="1"/>
    <row r="16194" s="2" customFormat="1"/>
    <row r="16195" s="2" customFormat="1"/>
    <row r="16196" s="2" customFormat="1"/>
    <row r="16197" s="2" customFormat="1"/>
    <row r="16198" s="2" customFormat="1"/>
    <row r="16199" s="2" customFormat="1"/>
    <row r="16200" s="2" customFormat="1"/>
    <row r="16201" s="2" customFormat="1"/>
    <row r="16202" s="2" customFormat="1"/>
    <row r="16203" s="2" customFormat="1"/>
    <row r="16204" s="2" customFormat="1"/>
    <row r="16205" s="2" customFormat="1"/>
    <row r="16206" s="2" customFormat="1"/>
    <row r="16207" s="2" customFormat="1"/>
    <row r="16208" s="2" customFormat="1"/>
    <row r="16209" s="2" customFormat="1"/>
    <row r="16210" s="2" customFormat="1"/>
    <row r="16211" s="2" customFormat="1"/>
    <row r="16212" s="2" customFormat="1"/>
    <row r="16213" s="2" customFormat="1"/>
    <row r="16214" s="2" customFormat="1"/>
    <row r="16215" s="2" customFormat="1"/>
    <row r="16216" s="2" customFormat="1"/>
    <row r="16217" s="2" customFormat="1"/>
    <row r="16218" s="2" customFormat="1"/>
    <row r="16219" s="2" customFormat="1"/>
    <row r="16220" s="2" customFormat="1"/>
    <row r="16221" s="2" customFormat="1"/>
    <row r="16222" s="2" customFormat="1"/>
    <row r="16223" s="2" customFormat="1"/>
    <row r="16224" s="2" customFormat="1"/>
    <row r="16225" s="2" customFormat="1"/>
    <row r="16226" s="2" customFormat="1"/>
    <row r="16227" s="2" customFormat="1"/>
    <row r="16228" s="2" customFormat="1"/>
    <row r="16229" s="2" customFormat="1"/>
    <row r="16230" s="2" customFormat="1"/>
    <row r="16231" s="2" customFormat="1"/>
    <row r="16232" s="2" customFormat="1"/>
    <row r="16233" s="2" customFormat="1"/>
    <row r="16234" s="2" customFormat="1"/>
    <row r="16235" s="2" customFormat="1"/>
    <row r="16236" s="2" customFormat="1"/>
    <row r="16237" s="2" customFormat="1"/>
    <row r="16238" s="2" customFormat="1"/>
    <row r="16239" s="2" customFormat="1"/>
    <row r="16240" s="2" customFormat="1"/>
    <row r="16241" s="2" customFormat="1"/>
    <row r="16242" s="2" customFormat="1"/>
    <row r="16243" s="2" customFormat="1"/>
    <row r="16244" s="2" customFormat="1"/>
    <row r="16245" s="2" customFormat="1"/>
    <row r="16246" s="2" customFormat="1"/>
    <row r="16247" s="2" customFormat="1"/>
    <row r="16248" s="2" customFormat="1"/>
    <row r="16249" s="2" customFormat="1"/>
    <row r="16250" s="2" customFormat="1"/>
    <row r="16251" s="2" customFormat="1"/>
    <row r="16252" s="2" customFormat="1"/>
    <row r="16253" s="2" customFormat="1"/>
    <row r="16254" s="2" customFormat="1"/>
    <row r="16255" s="2" customFormat="1"/>
    <row r="16256" s="2" customFormat="1"/>
    <row r="16257" s="2" customFormat="1"/>
    <row r="16258" s="2" customFormat="1"/>
    <row r="16259" s="2" customFormat="1"/>
    <row r="16260" s="2" customFormat="1"/>
    <row r="16261" s="2" customFormat="1"/>
    <row r="16262" s="2" customFormat="1"/>
    <row r="16263" s="2" customFormat="1"/>
    <row r="16264" s="2" customFormat="1"/>
    <row r="16265" s="2" customFormat="1"/>
    <row r="16266" s="2" customFormat="1"/>
    <row r="16267" s="2" customFormat="1"/>
    <row r="16268" s="2" customFormat="1"/>
    <row r="16269" s="2" customFormat="1"/>
    <row r="16270" s="2" customFormat="1"/>
    <row r="16271" s="2" customFormat="1"/>
    <row r="16272" s="2" customFormat="1"/>
    <row r="16273" s="2" customFormat="1"/>
    <row r="16274" s="2" customFormat="1"/>
    <row r="16275" s="2" customFormat="1"/>
    <row r="16276" s="2" customFormat="1"/>
    <row r="16277" s="2" customFormat="1"/>
    <row r="16278" s="2" customFormat="1"/>
    <row r="16279" s="2" customFormat="1"/>
    <row r="16280" s="2" customFormat="1"/>
    <row r="16281" s="2" customFormat="1"/>
    <row r="16282" s="2" customFormat="1"/>
    <row r="16283" s="2" customFormat="1"/>
    <row r="16284" s="2" customFormat="1"/>
    <row r="16285" s="2" customFormat="1"/>
    <row r="16286" s="2" customFormat="1"/>
    <row r="16287" s="2" customFormat="1"/>
    <row r="16288" s="2" customFormat="1"/>
    <row r="16289" s="2" customFormat="1"/>
    <row r="16290" s="2" customFormat="1"/>
    <row r="16291" s="2" customFormat="1"/>
    <row r="16292" s="2" customFormat="1"/>
    <row r="16293" s="2" customFormat="1"/>
    <row r="16294" s="2" customFormat="1"/>
    <row r="16295" s="2" customFormat="1"/>
    <row r="16296" s="2" customFormat="1"/>
    <row r="16297" s="2" customFormat="1"/>
    <row r="16298" s="2" customFormat="1"/>
    <row r="16299" s="2" customFormat="1"/>
    <row r="16300" s="2" customFormat="1"/>
    <row r="16301" s="2" customFormat="1"/>
    <row r="16302" s="2" customFormat="1"/>
    <row r="16303" s="2" customFormat="1"/>
    <row r="16304" s="2" customFormat="1"/>
    <row r="16305" s="2" customFormat="1"/>
    <row r="16306" s="2" customFormat="1"/>
    <row r="16307" s="2" customFormat="1"/>
    <row r="16308" s="2" customFormat="1"/>
    <row r="16309" s="2" customFormat="1"/>
    <row r="16310" s="2" customFormat="1"/>
    <row r="16311" s="2" customFormat="1"/>
    <row r="16312" s="2" customFormat="1"/>
    <row r="16313" s="2" customFormat="1"/>
    <row r="16314" s="2" customFormat="1"/>
    <row r="16315" s="2" customFormat="1"/>
    <row r="16316" s="2" customFormat="1"/>
    <row r="16317" s="2" customFormat="1"/>
    <row r="16318" s="2" customFormat="1"/>
    <row r="16319" s="2" customFormat="1"/>
    <row r="16320" s="2" customFormat="1"/>
    <row r="16321" s="2" customFormat="1"/>
    <row r="16322" s="2" customFormat="1"/>
    <row r="16323" s="2" customFormat="1"/>
    <row r="16324" s="2" customFormat="1"/>
    <row r="16325" s="2" customFormat="1"/>
    <row r="16326" s="2" customFormat="1"/>
    <row r="16327" s="2" customFormat="1"/>
    <row r="16328" s="2" customFormat="1"/>
    <row r="16329" s="2" customFormat="1"/>
    <row r="16330" s="2" customFormat="1"/>
    <row r="16331" s="2" customFormat="1"/>
    <row r="16332" s="2" customFormat="1"/>
    <row r="16333" s="2" customFormat="1"/>
    <row r="16334" s="2" customFormat="1"/>
    <row r="16335" s="2" customFormat="1"/>
    <row r="16336" s="2" customFormat="1"/>
    <row r="16337" s="2" customFormat="1"/>
    <row r="16338" s="2" customFormat="1"/>
    <row r="16339" s="2" customFormat="1"/>
    <row r="16340" s="2" customFormat="1"/>
    <row r="16341" s="2" customFormat="1"/>
    <row r="16342" s="2" customFormat="1"/>
    <row r="16343" s="2" customFormat="1"/>
    <row r="16344" s="2" customFormat="1"/>
    <row r="16345" s="2" customFormat="1"/>
    <row r="16346" s="2" customFormat="1"/>
    <row r="16347" s="2" customFormat="1"/>
    <row r="16348" s="2" customFormat="1"/>
    <row r="16349" s="2" customFormat="1"/>
    <row r="16350" s="2" customFormat="1"/>
    <row r="16351" s="2" customFormat="1"/>
    <row r="16352" s="2" customFormat="1"/>
    <row r="16353" s="2" customFormat="1"/>
    <row r="16354" s="2" customFormat="1"/>
    <row r="16355" s="2" customFormat="1"/>
    <row r="16356" s="2" customFormat="1"/>
    <row r="16357" s="2" customFormat="1"/>
    <row r="16358" s="2" customFormat="1"/>
    <row r="16359" s="2" customFormat="1"/>
    <row r="16360" s="2" customFormat="1"/>
    <row r="16361" s="2" customFormat="1"/>
    <row r="16362" s="2" customFormat="1"/>
    <row r="16363" s="2" customFormat="1"/>
    <row r="16364" s="2" customFormat="1"/>
    <row r="16365" s="2" customFormat="1"/>
    <row r="16366" s="2" customFormat="1"/>
    <row r="16367" s="2" customFormat="1"/>
    <row r="16368" s="2" customFormat="1"/>
    <row r="16369" s="2" customFormat="1"/>
    <row r="16370" s="2" customFormat="1"/>
    <row r="16371" s="2" customFormat="1"/>
    <row r="16372" s="2" customFormat="1"/>
    <row r="16373" s="2" customFormat="1"/>
    <row r="16374" s="2" customFormat="1"/>
    <row r="16375" s="2" customFormat="1"/>
    <row r="16376" s="2" customFormat="1"/>
    <row r="16377" s="2" customFormat="1"/>
    <row r="16378" s="2" customFormat="1"/>
    <row r="16379" s="2" customFormat="1"/>
    <row r="16380" s="2" customFormat="1"/>
    <row r="16381" s="2" customFormat="1"/>
    <row r="16382" s="2" customFormat="1"/>
    <row r="16383" s="2" customFormat="1"/>
    <row r="16384" s="2" customFormat="1"/>
    <row r="16385" s="2" customFormat="1"/>
    <row r="16386" s="2" customFormat="1"/>
    <row r="16387" s="2" customFormat="1"/>
    <row r="16388" s="2" customFormat="1"/>
    <row r="16389" s="2" customFormat="1"/>
    <row r="16390" s="2" customFormat="1"/>
    <row r="16391" s="2" customFormat="1"/>
    <row r="16392" s="2" customFormat="1"/>
    <row r="16393" s="2" customFormat="1"/>
    <row r="16394" s="2" customFormat="1"/>
    <row r="16395" s="2" customFormat="1"/>
    <row r="16396" s="2" customFormat="1"/>
    <row r="16397" s="2" customFormat="1"/>
    <row r="16398" s="2" customFormat="1"/>
    <row r="16399" s="2" customFormat="1"/>
    <row r="16400" s="2" customFormat="1"/>
    <row r="16401" s="2" customFormat="1"/>
    <row r="16402" s="2" customFormat="1"/>
    <row r="16403" s="2" customFormat="1"/>
    <row r="16404" s="2" customFormat="1"/>
    <row r="16405" s="2" customFormat="1"/>
    <row r="16406" s="2" customFormat="1"/>
    <row r="16407" s="2" customFormat="1"/>
    <row r="16408" s="2" customFormat="1"/>
    <row r="16409" s="2" customFormat="1"/>
    <row r="16410" s="2" customFormat="1"/>
    <row r="16411" s="2" customFormat="1"/>
    <row r="16412" s="2" customFormat="1"/>
    <row r="16413" s="2" customFormat="1"/>
    <row r="16414" s="2" customFormat="1"/>
    <row r="16415" s="2" customFormat="1"/>
    <row r="16416" s="2" customFormat="1"/>
    <row r="16417" s="2" customFormat="1"/>
    <row r="16418" s="2" customFormat="1"/>
    <row r="16419" s="2" customFormat="1"/>
    <row r="16420" s="2" customFormat="1"/>
    <row r="16421" s="2" customFormat="1"/>
    <row r="16422" s="2" customFormat="1"/>
    <row r="16423" s="2" customFormat="1"/>
    <row r="16424" s="2" customFormat="1"/>
    <row r="16425" s="2" customFormat="1"/>
    <row r="16426" s="2" customFormat="1"/>
    <row r="16427" s="2" customFormat="1"/>
    <row r="16428" s="2" customFormat="1"/>
    <row r="16429" s="2" customFormat="1"/>
    <row r="16430" s="2" customFormat="1"/>
    <row r="16431" s="2" customFormat="1"/>
    <row r="16432" s="2" customFormat="1"/>
    <row r="16433" s="2" customFormat="1"/>
    <row r="16434" s="2" customFormat="1"/>
    <row r="16435" s="2" customFormat="1"/>
    <row r="16436" s="2" customFormat="1"/>
    <row r="16437" s="2" customFormat="1"/>
    <row r="16438" s="2" customFormat="1"/>
    <row r="16439" s="2" customFormat="1"/>
    <row r="16440" s="2" customFormat="1"/>
    <row r="16441" s="2" customFormat="1"/>
    <row r="16442" s="2" customFormat="1"/>
    <row r="16443" s="2" customFormat="1"/>
    <row r="16444" s="2" customFormat="1"/>
    <row r="16445" s="2" customFormat="1"/>
    <row r="16446" s="2" customFormat="1"/>
    <row r="16447" s="2" customFormat="1"/>
    <row r="16448" s="2" customFormat="1"/>
    <row r="16449" s="2" customFormat="1"/>
    <row r="16450" s="2" customFormat="1"/>
    <row r="16451" s="2" customFormat="1"/>
    <row r="16452" s="2" customFormat="1"/>
    <row r="16453" s="2" customFormat="1"/>
    <row r="16454" s="2" customFormat="1"/>
    <row r="16455" s="2" customFormat="1"/>
    <row r="16456" s="2" customFormat="1"/>
    <row r="16457" s="2" customFormat="1"/>
    <row r="16458" s="2" customFormat="1"/>
    <row r="16459" s="2" customFormat="1"/>
    <row r="16460" s="2" customFormat="1"/>
    <row r="16461" s="2" customFormat="1"/>
    <row r="16462" s="2" customFormat="1"/>
    <row r="16463" s="2" customFormat="1"/>
    <row r="16464" s="2" customFormat="1"/>
    <row r="16465" s="2" customFormat="1"/>
    <row r="16466" s="2" customFormat="1"/>
    <row r="16467" s="2" customFormat="1"/>
    <row r="16468" s="2" customFormat="1"/>
    <row r="16469" s="2" customFormat="1"/>
    <row r="16470" s="2" customFormat="1"/>
    <row r="16471" s="2" customFormat="1"/>
    <row r="16472" s="2" customFormat="1"/>
    <row r="16473" s="2" customFormat="1"/>
    <row r="16474" s="2" customFormat="1"/>
    <row r="16475" s="2" customFormat="1"/>
    <row r="16476" s="2" customFormat="1"/>
    <row r="16477" s="2" customFormat="1"/>
    <row r="16478" s="2" customFormat="1"/>
    <row r="16479" s="2" customFormat="1"/>
    <row r="16480" s="2" customFormat="1"/>
    <row r="16481" s="2" customFormat="1"/>
    <row r="16482" s="2" customFormat="1"/>
    <row r="16483" s="2" customFormat="1"/>
    <row r="16484" s="2" customFormat="1"/>
    <row r="16485" s="2" customFormat="1"/>
    <row r="16486" s="2" customFormat="1"/>
    <row r="16487" s="2" customFormat="1"/>
    <row r="16488" s="2" customFormat="1"/>
    <row r="16489" s="2" customFormat="1"/>
    <row r="16490" s="2" customFormat="1"/>
    <row r="16491" s="2" customFormat="1"/>
    <row r="16492" s="2" customFormat="1"/>
    <row r="16493" s="2" customFormat="1"/>
    <row r="16494" s="2" customFormat="1"/>
    <row r="16495" s="2" customFormat="1"/>
    <row r="16496" s="2" customFormat="1"/>
    <row r="16497" s="2" customFormat="1"/>
    <row r="16498" s="2" customFormat="1"/>
    <row r="16499" s="2" customFormat="1"/>
    <row r="16500" s="2" customFormat="1"/>
    <row r="16501" s="2" customFormat="1"/>
    <row r="16502" s="2" customFormat="1"/>
    <row r="16503" s="2" customFormat="1"/>
    <row r="16504" s="2" customFormat="1"/>
    <row r="16505" s="2" customFormat="1"/>
    <row r="16506" s="2" customFormat="1"/>
    <row r="16507" s="2" customFormat="1"/>
    <row r="16508" s="2" customFormat="1"/>
    <row r="16509" s="2" customFormat="1"/>
    <row r="16510" s="2" customFormat="1"/>
    <row r="16511" s="2" customFormat="1"/>
    <row r="16512" s="2" customFormat="1"/>
    <row r="16513" s="2" customFormat="1"/>
    <row r="16514" s="2" customFormat="1"/>
    <row r="16515" s="2" customFormat="1"/>
    <row r="16516" s="2" customFormat="1"/>
    <row r="16517" s="2" customFormat="1"/>
    <row r="16518" s="2" customFormat="1"/>
    <row r="16519" s="2" customFormat="1"/>
    <row r="16520" s="2" customFormat="1"/>
    <row r="16521" s="2" customFormat="1"/>
    <row r="16522" s="2" customFormat="1"/>
    <row r="16523" s="2" customFormat="1"/>
    <row r="16524" s="2" customFormat="1"/>
    <row r="16525" s="2" customFormat="1"/>
    <row r="16526" s="2" customFormat="1"/>
    <row r="16527" s="2" customFormat="1"/>
    <row r="16528" s="2" customFormat="1"/>
    <row r="16529" s="2" customFormat="1"/>
    <row r="16530" s="2" customFormat="1"/>
    <row r="16531" s="2" customFormat="1"/>
    <row r="16532" s="2" customFormat="1"/>
    <row r="16533" s="2" customFormat="1"/>
    <row r="16534" s="2" customFormat="1"/>
    <row r="16535" s="2" customFormat="1"/>
    <row r="16536" s="2" customFormat="1"/>
    <row r="16537" s="2" customFormat="1"/>
    <row r="16538" s="2" customFormat="1"/>
    <row r="16539" s="2" customFormat="1"/>
    <row r="16540" s="2" customFormat="1"/>
    <row r="16541" s="2" customFormat="1"/>
    <row r="16542" s="2" customFormat="1"/>
    <row r="16543" s="2" customFormat="1"/>
    <row r="16544" s="2" customFormat="1"/>
    <row r="16545" s="2" customFormat="1"/>
    <row r="16546" s="2" customFormat="1"/>
    <row r="16547" s="2" customFormat="1"/>
    <row r="16548" s="2" customFormat="1"/>
    <row r="16549" s="2" customFormat="1"/>
    <row r="16550" s="2" customFormat="1"/>
    <row r="16551" s="2" customFormat="1"/>
    <row r="16552" s="2" customFormat="1"/>
    <row r="16553" s="2" customFormat="1"/>
    <row r="16554" s="2" customFormat="1"/>
    <row r="16555" s="2" customFormat="1"/>
    <row r="16556" s="2" customFormat="1"/>
    <row r="16557" s="2" customFormat="1"/>
    <row r="16558" s="2" customFormat="1"/>
    <row r="16559" s="2" customFormat="1"/>
    <row r="16560" s="2" customFormat="1"/>
    <row r="16561" s="2" customFormat="1"/>
    <row r="16562" s="2" customFormat="1"/>
    <row r="16563" s="2" customFormat="1"/>
    <row r="16564" s="2" customFormat="1"/>
    <row r="16565" s="2" customFormat="1"/>
    <row r="16566" s="2" customFormat="1"/>
    <row r="16567" s="2" customFormat="1"/>
    <row r="16568" s="2" customFormat="1"/>
    <row r="16569" s="2" customFormat="1"/>
    <row r="16570" s="2" customFormat="1"/>
    <row r="16571" s="2" customFormat="1"/>
    <row r="16572" s="2" customFormat="1"/>
    <row r="16573" s="2" customFormat="1"/>
    <row r="16574" s="2" customFormat="1"/>
    <row r="16575" s="2" customFormat="1"/>
    <row r="16576" s="2" customFormat="1"/>
    <row r="16577" s="2" customFormat="1"/>
    <row r="16578" s="2" customFormat="1"/>
    <row r="16579" s="2" customFormat="1"/>
    <row r="16580" s="2" customFormat="1"/>
    <row r="16581" s="2" customFormat="1"/>
    <row r="16582" s="2" customFormat="1"/>
    <row r="16583" s="2" customFormat="1"/>
    <row r="16584" s="2" customFormat="1"/>
    <row r="16585" s="2" customFormat="1"/>
    <row r="16586" s="2" customFormat="1"/>
    <row r="16587" s="2" customFormat="1"/>
    <row r="16588" s="2" customFormat="1"/>
    <row r="16589" s="2" customFormat="1"/>
    <row r="16590" s="2" customFormat="1"/>
    <row r="16591" s="2" customFormat="1"/>
    <row r="16592" s="2" customFormat="1"/>
    <row r="16593" s="2" customFormat="1"/>
    <row r="16594" s="2" customFormat="1"/>
    <row r="16595" s="2" customFormat="1"/>
    <row r="16596" s="2" customFormat="1"/>
    <row r="16597" s="2" customFormat="1"/>
    <row r="16598" s="2" customFormat="1"/>
    <row r="16599" s="2" customFormat="1"/>
    <row r="16600" s="2" customFormat="1"/>
    <row r="16601" s="2" customFormat="1"/>
    <row r="16602" s="2" customFormat="1"/>
    <row r="16603" s="2" customFormat="1"/>
    <row r="16604" s="2" customFormat="1"/>
    <row r="16605" s="2" customFormat="1"/>
    <row r="16606" s="2" customFormat="1"/>
    <row r="16607" s="2" customFormat="1"/>
    <row r="16608" s="2" customFormat="1"/>
    <row r="16609" s="2" customFormat="1"/>
    <row r="16610" s="2" customFormat="1"/>
    <row r="16611" s="2" customFormat="1"/>
    <row r="16612" s="2" customFormat="1"/>
    <row r="16613" s="2" customFormat="1"/>
    <row r="16614" s="2" customFormat="1"/>
    <row r="16615" s="2" customFormat="1"/>
    <row r="16616" s="2" customFormat="1"/>
    <row r="16617" s="2" customFormat="1"/>
    <row r="16618" s="2" customFormat="1"/>
    <row r="16619" s="2" customFormat="1"/>
    <row r="16620" s="2" customFormat="1"/>
    <row r="16621" s="2" customFormat="1"/>
    <row r="16622" s="2" customFormat="1"/>
    <row r="16623" s="2" customFormat="1"/>
    <row r="16624" s="2" customFormat="1"/>
    <row r="16625" s="2" customFormat="1"/>
    <row r="16626" s="2" customFormat="1"/>
    <row r="16627" s="2" customFormat="1"/>
    <row r="16628" s="2" customFormat="1"/>
    <row r="16629" s="2" customFormat="1"/>
    <row r="16630" s="2" customFormat="1"/>
    <row r="16631" s="2" customFormat="1"/>
    <row r="16632" s="2" customFormat="1"/>
    <row r="16633" s="2" customFormat="1"/>
    <row r="16634" s="2" customFormat="1"/>
    <row r="16635" s="2" customFormat="1"/>
    <row r="16636" s="2" customFormat="1"/>
    <row r="16637" s="2" customFormat="1"/>
    <row r="16638" s="2" customFormat="1"/>
    <row r="16639" s="2" customFormat="1"/>
    <row r="16640" s="2" customFormat="1"/>
    <row r="16641" s="2" customFormat="1"/>
    <row r="16642" s="2" customFormat="1"/>
    <row r="16643" s="2" customFormat="1"/>
    <row r="16644" s="2" customFormat="1"/>
    <row r="16645" s="2" customFormat="1"/>
    <row r="16646" s="2" customFormat="1"/>
    <row r="16647" s="2" customFormat="1"/>
    <row r="16648" s="2" customFormat="1"/>
    <row r="16649" s="2" customFormat="1"/>
    <row r="16650" s="2" customFormat="1"/>
    <row r="16651" s="2" customFormat="1"/>
    <row r="16652" s="2" customFormat="1"/>
    <row r="16653" s="2" customFormat="1"/>
    <row r="16654" s="2" customFormat="1"/>
    <row r="16655" s="2" customFormat="1"/>
    <row r="16656" s="2" customFormat="1"/>
    <row r="16657" s="2" customFormat="1"/>
    <row r="16658" s="2" customFormat="1"/>
    <row r="16659" s="2" customFormat="1"/>
    <row r="16660" s="2" customFormat="1"/>
    <row r="16661" s="2" customFormat="1"/>
    <row r="16662" s="2" customFormat="1"/>
    <row r="16663" s="2" customFormat="1"/>
    <row r="16664" s="2" customFormat="1"/>
    <row r="16665" s="2" customFormat="1"/>
    <row r="16666" s="2" customFormat="1"/>
    <row r="16667" s="2" customFormat="1"/>
    <row r="16668" s="2" customFormat="1"/>
    <row r="16669" s="2" customFormat="1"/>
    <row r="16670" s="2" customFormat="1"/>
    <row r="16671" s="2" customFormat="1"/>
    <row r="16672" s="2" customFormat="1"/>
    <row r="16673" s="2" customFormat="1"/>
    <row r="16674" s="2" customFormat="1"/>
    <row r="16675" s="2" customFormat="1"/>
    <row r="16676" s="2" customFormat="1"/>
    <row r="16677" s="2" customFormat="1"/>
    <row r="16678" s="2" customFormat="1"/>
    <row r="16679" s="2" customFormat="1"/>
    <row r="16680" s="2" customFormat="1"/>
    <row r="16681" s="2" customFormat="1"/>
    <row r="16682" s="2" customFormat="1"/>
    <row r="16683" s="2" customFormat="1"/>
    <row r="16684" s="2" customFormat="1"/>
    <row r="16685" s="2" customFormat="1"/>
    <row r="16686" s="2" customFormat="1"/>
    <row r="16687" s="2" customFormat="1"/>
    <row r="16688" s="2" customFormat="1"/>
    <row r="16689" s="2" customFormat="1"/>
    <row r="16690" s="2" customFormat="1"/>
    <row r="16691" s="2" customFormat="1"/>
    <row r="16692" s="2" customFormat="1"/>
    <row r="16693" s="2" customFormat="1"/>
    <row r="16694" s="2" customFormat="1"/>
    <row r="16695" s="2" customFormat="1"/>
    <row r="16696" s="2" customFormat="1"/>
    <row r="16697" s="2" customFormat="1"/>
    <row r="16698" s="2" customFormat="1"/>
    <row r="16699" s="2" customFormat="1"/>
    <row r="16700" s="2" customFormat="1"/>
    <row r="16701" s="2" customFormat="1"/>
    <row r="16702" s="2" customFormat="1"/>
    <row r="16703" s="2" customFormat="1"/>
    <row r="16704" s="2" customFormat="1"/>
    <row r="16705" s="2" customFormat="1"/>
    <row r="16706" s="2" customFormat="1"/>
    <row r="16707" s="2" customFormat="1"/>
    <row r="16708" s="2" customFormat="1"/>
    <row r="16709" s="2" customFormat="1"/>
    <row r="16710" s="2" customFormat="1"/>
    <row r="16711" s="2" customFormat="1"/>
    <row r="16712" s="2" customFormat="1"/>
    <row r="16713" s="2" customFormat="1"/>
    <row r="16714" s="2" customFormat="1"/>
    <row r="16715" s="2" customFormat="1"/>
    <row r="16716" s="2" customFormat="1"/>
    <row r="16717" s="2" customFormat="1"/>
    <row r="16718" s="2" customFormat="1"/>
    <row r="16719" s="2" customFormat="1"/>
    <row r="16720" s="2" customFormat="1"/>
    <row r="16721" s="2" customFormat="1"/>
    <row r="16722" s="2" customFormat="1"/>
    <row r="16723" s="2" customFormat="1"/>
    <row r="16724" s="2" customFormat="1"/>
    <row r="16725" s="2" customFormat="1"/>
    <row r="16726" s="2" customFormat="1"/>
    <row r="16727" s="2" customFormat="1"/>
    <row r="16728" s="2" customFormat="1"/>
    <row r="16729" s="2" customFormat="1"/>
    <row r="16730" s="2" customFormat="1"/>
    <row r="16731" s="2" customFormat="1"/>
    <row r="16732" s="2" customFormat="1"/>
    <row r="16733" s="2" customFormat="1"/>
    <row r="16734" s="2" customFormat="1"/>
    <row r="16735" s="2" customFormat="1"/>
    <row r="16736" s="2" customFormat="1"/>
    <row r="16737" s="2" customFormat="1"/>
    <row r="16738" s="2" customFormat="1"/>
    <row r="16739" s="2" customFormat="1"/>
    <row r="16740" s="2" customFormat="1"/>
    <row r="16741" s="2" customFormat="1"/>
    <row r="16742" s="2" customFormat="1"/>
    <row r="16743" s="2" customFormat="1"/>
    <row r="16744" s="2" customFormat="1"/>
    <row r="16745" s="2" customFormat="1"/>
    <row r="16746" s="2" customFormat="1"/>
    <row r="16747" s="2" customFormat="1"/>
    <row r="16748" s="2" customFormat="1"/>
    <row r="16749" s="2" customFormat="1"/>
    <row r="16750" s="2" customFormat="1"/>
    <row r="16751" s="2" customFormat="1"/>
    <row r="16752" s="2" customFormat="1"/>
    <row r="16753" s="2" customFormat="1"/>
    <row r="16754" s="2" customFormat="1"/>
    <row r="16755" s="2" customFormat="1"/>
    <row r="16756" s="2" customFormat="1"/>
    <row r="16757" s="2" customFormat="1"/>
    <row r="16758" s="2" customFormat="1"/>
    <row r="16759" s="2" customFormat="1"/>
    <row r="16760" s="2" customFormat="1"/>
    <row r="16761" s="2" customFormat="1"/>
    <row r="16762" s="2" customFormat="1"/>
    <row r="16763" s="2" customFormat="1"/>
    <row r="16764" s="2" customFormat="1"/>
    <row r="16765" s="2" customFormat="1"/>
    <row r="16766" s="2" customFormat="1"/>
    <row r="16767" s="2" customFormat="1"/>
    <row r="16768" s="2" customFormat="1"/>
    <row r="16769" s="2" customFormat="1"/>
    <row r="16770" s="2" customFormat="1"/>
    <row r="16771" s="2" customFormat="1"/>
    <row r="16772" s="2" customFormat="1"/>
    <row r="16773" s="2" customFormat="1"/>
    <row r="16774" s="2" customFormat="1"/>
    <row r="16775" s="2" customFormat="1"/>
    <row r="16776" s="2" customFormat="1"/>
    <row r="16777" s="2" customFormat="1"/>
    <row r="16778" s="2" customFormat="1"/>
    <row r="16779" s="2" customFormat="1"/>
    <row r="16780" s="2" customFormat="1"/>
    <row r="16781" s="2" customFormat="1"/>
    <row r="16782" s="2" customFormat="1"/>
    <row r="16783" s="2" customFormat="1"/>
    <row r="16784" s="2" customFormat="1"/>
    <row r="16785" s="2" customFormat="1"/>
    <row r="16786" s="2" customFormat="1"/>
    <row r="16787" s="2" customFormat="1"/>
    <row r="16788" s="2" customFormat="1"/>
    <row r="16789" s="2" customFormat="1"/>
    <row r="16790" s="2" customFormat="1"/>
    <row r="16791" s="2" customFormat="1"/>
    <row r="16792" s="2" customFormat="1"/>
    <row r="16793" s="2" customFormat="1"/>
    <row r="16794" s="2" customFormat="1"/>
    <row r="16795" s="2" customFormat="1"/>
    <row r="16796" s="2" customFormat="1"/>
    <row r="16797" s="2" customFormat="1"/>
    <row r="16798" s="2" customFormat="1"/>
    <row r="16799" s="2" customFormat="1"/>
    <row r="16800" s="2" customFormat="1"/>
    <row r="16801" s="2" customFormat="1"/>
    <row r="16802" s="2" customFormat="1"/>
    <row r="16803" s="2" customFormat="1"/>
    <row r="16804" s="2" customFormat="1"/>
    <row r="16805" s="2" customFormat="1"/>
    <row r="16806" s="2" customFormat="1"/>
    <row r="16807" s="2" customFormat="1"/>
    <row r="16808" s="2" customFormat="1"/>
    <row r="16809" s="2" customFormat="1"/>
    <row r="16810" s="2" customFormat="1"/>
    <row r="16811" s="2" customFormat="1"/>
    <row r="16812" s="2" customFormat="1"/>
    <row r="16813" s="2" customFormat="1"/>
    <row r="16814" s="2" customFormat="1"/>
    <row r="16815" s="2" customFormat="1"/>
    <row r="16816" s="2" customFormat="1"/>
    <row r="16817" s="2" customFormat="1"/>
    <row r="16818" s="2" customFormat="1"/>
    <row r="16819" s="2" customFormat="1"/>
    <row r="16820" s="2" customFormat="1"/>
    <row r="16821" s="2" customFormat="1"/>
    <row r="16822" s="2" customFormat="1"/>
    <row r="16823" s="2" customFormat="1"/>
    <row r="16824" s="2" customFormat="1"/>
    <row r="16825" s="2" customFormat="1"/>
    <row r="16826" s="2" customFormat="1"/>
    <row r="16827" s="2" customFormat="1"/>
    <row r="16828" s="2" customFormat="1"/>
    <row r="16829" s="2" customFormat="1"/>
    <row r="16830" s="2" customFormat="1"/>
    <row r="16831" s="2" customFormat="1"/>
    <row r="16832" s="2" customFormat="1"/>
    <row r="16833" s="2" customFormat="1"/>
    <row r="16834" s="2" customFormat="1"/>
    <row r="16835" s="2" customFormat="1"/>
    <row r="16836" s="2" customFormat="1"/>
    <row r="16837" s="2" customFormat="1"/>
    <row r="16838" s="2" customFormat="1"/>
    <row r="16839" s="2" customFormat="1"/>
    <row r="16840" s="2" customFormat="1"/>
    <row r="16841" s="2" customFormat="1"/>
    <row r="16842" s="2" customFormat="1"/>
    <row r="16843" s="2" customFormat="1"/>
    <row r="16844" s="2" customFormat="1"/>
    <row r="16845" s="2" customFormat="1"/>
    <row r="16846" s="2" customFormat="1"/>
    <row r="16847" s="2" customFormat="1"/>
    <row r="16848" s="2" customFormat="1"/>
    <row r="16849" s="2" customFormat="1"/>
    <row r="16850" s="2" customFormat="1"/>
    <row r="16851" s="2" customFormat="1"/>
    <row r="16852" s="2" customFormat="1"/>
    <row r="16853" s="2" customFormat="1"/>
    <row r="16854" s="2" customFormat="1"/>
    <row r="16855" s="2" customFormat="1"/>
    <row r="16856" s="2" customFormat="1"/>
    <row r="16857" s="2" customFormat="1"/>
    <row r="16858" s="2" customFormat="1"/>
    <row r="16859" s="2" customFormat="1"/>
    <row r="16860" s="2" customFormat="1"/>
    <row r="16861" s="2" customFormat="1"/>
    <row r="16862" s="2" customFormat="1"/>
    <row r="16863" s="2" customFormat="1"/>
    <row r="16864" s="2" customFormat="1"/>
    <row r="16865" s="2" customFormat="1"/>
    <row r="16866" s="2" customFormat="1"/>
    <row r="16867" s="2" customFormat="1"/>
    <row r="16868" s="2" customFormat="1"/>
    <row r="16869" s="2" customFormat="1"/>
    <row r="16870" s="2" customFormat="1"/>
    <row r="16871" s="2" customFormat="1"/>
    <row r="16872" s="2" customFormat="1"/>
    <row r="16873" s="2" customFormat="1"/>
    <row r="16874" s="2" customFormat="1"/>
    <row r="16875" s="2" customFormat="1"/>
    <row r="16876" s="2" customFormat="1"/>
    <row r="16877" s="2" customFormat="1"/>
    <row r="16878" s="2" customFormat="1"/>
    <row r="16879" s="2" customFormat="1"/>
    <row r="16880" s="2" customFormat="1"/>
    <row r="16881" s="2" customFormat="1"/>
    <row r="16882" s="2" customFormat="1"/>
    <row r="16883" s="2" customFormat="1"/>
    <row r="16884" s="2" customFormat="1"/>
    <row r="16885" s="2" customFormat="1"/>
    <row r="16886" s="2" customFormat="1"/>
    <row r="16887" s="2" customFormat="1"/>
    <row r="16888" s="2" customFormat="1"/>
    <row r="16889" s="2" customFormat="1"/>
    <row r="16890" s="2" customFormat="1"/>
    <row r="16891" s="2" customFormat="1"/>
    <row r="16892" s="2" customFormat="1"/>
    <row r="16893" s="2" customFormat="1"/>
    <row r="16894" s="2" customFormat="1"/>
    <row r="16895" s="2" customFormat="1"/>
    <row r="16896" s="2" customFormat="1"/>
    <row r="16897" s="2" customFormat="1"/>
    <row r="16898" s="2" customFormat="1"/>
    <row r="16899" s="2" customFormat="1"/>
    <row r="16900" s="2" customFormat="1"/>
    <row r="16901" s="2" customFormat="1"/>
    <row r="16902" s="2" customFormat="1"/>
    <row r="16903" s="2" customFormat="1"/>
    <row r="16904" s="2" customFormat="1"/>
    <row r="16905" s="2" customFormat="1"/>
    <row r="16906" s="2" customFormat="1"/>
    <row r="16907" s="2" customFormat="1"/>
    <row r="16908" s="2" customFormat="1"/>
    <row r="16909" s="2" customFormat="1"/>
    <row r="16910" s="2" customFormat="1"/>
    <row r="16911" s="2" customFormat="1"/>
    <row r="16912" s="2" customFormat="1"/>
    <row r="16913" s="2" customFormat="1"/>
    <row r="16914" s="2" customFormat="1"/>
    <row r="16915" s="2" customFormat="1"/>
    <row r="16916" s="2" customFormat="1"/>
    <row r="16917" s="2" customFormat="1"/>
    <row r="16918" s="2" customFormat="1"/>
    <row r="16919" s="2" customFormat="1"/>
    <row r="16920" s="2" customFormat="1"/>
    <row r="16921" s="2" customFormat="1"/>
    <row r="16922" s="2" customFormat="1"/>
    <row r="16923" s="2" customFormat="1"/>
    <row r="16924" s="2" customFormat="1"/>
    <row r="16925" s="2" customFormat="1"/>
    <row r="16926" s="2" customFormat="1"/>
    <row r="16927" s="2" customFormat="1"/>
    <row r="16928" s="2" customFormat="1"/>
    <row r="16929" s="2" customFormat="1"/>
    <row r="16930" s="2" customFormat="1"/>
    <row r="16931" s="2" customFormat="1"/>
    <row r="16932" s="2" customFormat="1"/>
    <row r="16933" s="2" customFormat="1"/>
    <row r="16934" s="2" customFormat="1"/>
    <row r="16935" s="2" customFormat="1"/>
    <row r="16936" s="2" customFormat="1"/>
    <row r="16937" s="2" customFormat="1"/>
    <row r="16938" s="2" customFormat="1"/>
    <row r="16939" s="2" customFormat="1"/>
    <row r="16940" s="2" customFormat="1"/>
    <row r="16941" s="2" customFormat="1"/>
    <row r="16942" s="2" customFormat="1"/>
    <row r="16943" s="2" customFormat="1"/>
    <row r="16944" s="2" customFormat="1"/>
    <row r="16945" s="2" customFormat="1"/>
    <row r="16946" s="2" customFormat="1"/>
    <row r="16947" s="2" customFormat="1"/>
    <row r="16948" s="2" customFormat="1"/>
    <row r="16949" s="2" customFormat="1"/>
    <row r="16950" s="2" customFormat="1"/>
    <row r="16951" s="2" customFormat="1"/>
    <row r="16952" s="2" customFormat="1"/>
    <row r="16953" s="2" customFormat="1"/>
    <row r="16954" s="2" customFormat="1"/>
    <row r="16955" s="2" customFormat="1"/>
    <row r="16956" s="2" customFormat="1"/>
    <row r="16957" s="2" customFormat="1"/>
    <row r="16958" s="2" customFormat="1"/>
    <row r="16959" s="2" customFormat="1"/>
    <row r="16960" s="2" customFormat="1"/>
    <row r="16961" s="2" customFormat="1"/>
    <row r="16962" s="2" customFormat="1"/>
    <row r="16963" s="2" customFormat="1"/>
    <row r="16964" s="2" customFormat="1"/>
    <row r="16965" s="2" customFormat="1"/>
    <row r="16966" s="2" customFormat="1"/>
    <row r="16967" s="2" customFormat="1"/>
    <row r="16968" s="2" customFormat="1"/>
    <row r="16969" s="2" customFormat="1"/>
    <row r="16970" s="2" customFormat="1"/>
    <row r="16971" s="2" customFormat="1"/>
    <row r="16972" s="2" customFormat="1"/>
    <row r="16973" s="2" customFormat="1"/>
    <row r="16974" s="2" customFormat="1"/>
    <row r="16975" s="2" customFormat="1"/>
    <row r="16976" s="2" customFormat="1"/>
    <row r="16977" s="2" customFormat="1"/>
    <row r="16978" s="2" customFormat="1"/>
    <row r="16979" s="2" customFormat="1"/>
    <row r="16980" s="2" customFormat="1"/>
    <row r="16981" s="2" customFormat="1"/>
    <row r="16982" s="2" customFormat="1"/>
    <row r="16983" s="2" customFormat="1"/>
    <row r="16984" s="2" customFormat="1"/>
    <row r="16985" s="2" customFormat="1"/>
    <row r="16986" s="2" customFormat="1"/>
    <row r="16987" s="2" customFormat="1"/>
    <row r="16988" s="2" customFormat="1"/>
    <row r="16989" s="2" customFormat="1"/>
    <row r="16990" s="2" customFormat="1"/>
    <row r="16991" s="2" customFormat="1"/>
    <row r="16992" s="2" customFormat="1"/>
    <row r="16993" s="2" customFormat="1"/>
    <row r="16994" s="2" customFormat="1"/>
    <row r="16995" s="2" customFormat="1"/>
    <row r="16996" s="2" customFormat="1"/>
    <row r="16997" s="2" customFormat="1"/>
    <row r="16998" s="2" customFormat="1"/>
    <row r="16999" s="2" customFormat="1"/>
    <row r="17000" s="2" customFormat="1"/>
    <row r="17001" s="2" customFormat="1"/>
    <row r="17002" s="2" customFormat="1"/>
    <row r="17003" s="2" customFormat="1"/>
    <row r="17004" s="2" customFormat="1"/>
    <row r="17005" s="2" customFormat="1"/>
    <row r="17006" s="2" customFormat="1"/>
    <row r="17007" s="2" customFormat="1"/>
    <row r="17008" s="2" customFormat="1"/>
    <row r="17009" s="2" customFormat="1"/>
    <row r="17010" s="2" customFormat="1"/>
    <row r="17011" s="2" customFormat="1"/>
    <row r="17012" s="2" customFormat="1"/>
    <row r="17013" s="2" customFormat="1"/>
    <row r="17014" s="2" customFormat="1"/>
    <row r="17015" s="2" customFormat="1"/>
    <row r="17016" s="2" customFormat="1"/>
    <row r="17017" s="2" customFormat="1"/>
    <row r="17018" s="2" customFormat="1"/>
    <row r="17019" s="2" customFormat="1"/>
    <row r="17020" s="2" customFormat="1"/>
    <row r="17021" s="2" customFormat="1"/>
    <row r="17022" s="2" customFormat="1"/>
    <row r="17023" s="2" customFormat="1"/>
    <row r="17024" s="2" customFormat="1"/>
    <row r="17025" s="2" customFormat="1"/>
    <row r="17026" s="2" customFormat="1"/>
    <row r="17027" s="2" customFormat="1"/>
    <row r="17028" s="2" customFormat="1"/>
    <row r="17029" s="2" customFormat="1"/>
    <row r="17030" s="2" customFormat="1"/>
    <row r="17031" s="2" customFormat="1"/>
    <row r="17032" s="2" customFormat="1"/>
    <row r="17033" s="2" customFormat="1"/>
    <row r="17034" s="2" customFormat="1"/>
    <row r="17035" s="2" customFormat="1"/>
    <row r="17036" s="2" customFormat="1"/>
    <row r="17037" s="2" customFormat="1"/>
    <row r="17038" s="2" customFormat="1"/>
    <row r="17039" s="2" customFormat="1"/>
    <row r="17040" s="2" customFormat="1"/>
    <row r="17041" s="2" customFormat="1"/>
    <row r="17042" s="2" customFormat="1"/>
    <row r="17043" s="2" customFormat="1"/>
    <row r="17044" s="2" customFormat="1"/>
    <row r="17045" s="2" customFormat="1"/>
    <row r="17046" s="2" customFormat="1"/>
    <row r="17047" s="2" customFormat="1"/>
    <row r="17048" s="2" customFormat="1"/>
    <row r="17049" s="2" customFormat="1"/>
    <row r="17050" s="2" customFormat="1"/>
    <row r="17051" s="2" customFormat="1"/>
    <row r="17052" s="2" customFormat="1"/>
    <row r="17053" s="2" customFormat="1"/>
    <row r="17054" s="2" customFormat="1"/>
    <row r="17055" s="2" customFormat="1"/>
    <row r="17056" s="2" customFormat="1"/>
    <row r="17057" s="2" customFormat="1"/>
    <row r="17058" s="2" customFormat="1"/>
    <row r="17059" s="2" customFormat="1"/>
    <row r="17060" s="2" customFormat="1"/>
    <row r="17061" s="2" customFormat="1"/>
    <row r="17062" s="2" customFormat="1"/>
    <row r="17063" s="2" customFormat="1"/>
    <row r="17064" s="2" customFormat="1"/>
    <row r="17065" s="2" customFormat="1"/>
    <row r="17066" s="2" customFormat="1"/>
    <row r="17067" s="2" customFormat="1"/>
    <row r="17068" s="2" customFormat="1"/>
    <row r="17069" s="2" customFormat="1"/>
    <row r="17070" s="2" customFormat="1"/>
    <row r="17071" s="2" customFormat="1"/>
    <row r="17072" s="2" customFormat="1"/>
    <row r="17073" s="2" customFormat="1"/>
    <row r="17074" s="2" customFormat="1"/>
    <row r="17075" s="2" customFormat="1"/>
    <row r="17076" s="2" customFormat="1"/>
    <row r="17077" s="2" customFormat="1"/>
    <row r="17078" s="2" customFormat="1"/>
    <row r="17079" s="2" customFormat="1"/>
    <row r="17080" s="2" customFormat="1"/>
    <row r="17081" s="2" customFormat="1"/>
    <row r="17082" s="2" customFormat="1"/>
    <row r="17083" s="2" customFormat="1"/>
    <row r="17084" s="2" customFormat="1"/>
    <row r="17085" s="2" customFormat="1"/>
    <row r="17086" s="2" customFormat="1"/>
    <row r="17087" s="2" customFormat="1"/>
    <row r="17088" s="2" customFormat="1"/>
    <row r="17089" s="2" customFormat="1"/>
    <row r="17090" s="2" customFormat="1"/>
    <row r="17091" s="2" customFormat="1"/>
    <row r="17092" s="2" customFormat="1"/>
    <row r="17093" s="2" customFormat="1"/>
    <row r="17094" s="2" customFormat="1"/>
    <row r="17095" s="2" customFormat="1"/>
    <row r="17096" s="2" customFormat="1"/>
    <row r="17097" s="2" customFormat="1"/>
    <row r="17098" s="2" customFormat="1"/>
    <row r="17099" s="2" customFormat="1"/>
    <row r="17100" s="2" customFormat="1"/>
    <row r="17101" s="2" customFormat="1"/>
    <row r="17102" s="2" customFormat="1"/>
    <row r="17103" s="2" customFormat="1"/>
    <row r="17104" s="2" customFormat="1"/>
    <row r="17105" s="2" customFormat="1"/>
    <row r="17106" s="2" customFormat="1"/>
    <row r="17107" s="2" customFormat="1"/>
    <row r="17108" s="2" customFormat="1"/>
    <row r="17109" s="2" customFormat="1"/>
    <row r="17110" s="2" customFormat="1"/>
    <row r="17111" s="2" customFormat="1"/>
    <row r="17112" s="2" customFormat="1"/>
    <row r="17113" s="2" customFormat="1"/>
    <row r="17114" s="2" customFormat="1"/>
    <row r="17115" s="2" customFormat="1"/>
    <row r="17116" s="2" customFormat="1"/>
    <row r="17117" s="2" customFormat="1"/>
    <row r="17118" s="2" customFormat="1"/>
    <row r="17119" s="2" customFormat="1"/>
    <row r="17120" s="2" customFormat="1"/>
    <row r="17121" s="2" customFormat="1"/>
    <row r="17122" s="2" customFormat="1"/>
    <row r="17123" s="2" customFormat="1"/>
    <row r="17124" s="2" customFormat="1"/>
    <row r="17125" s="2" customFormat="1"/>
    <row r="17126" s="2" customFormat="1"/>
    <row r="17127" s="2" customFormat="1"/>
    <row r="17128" s="2" customFormat="1"/>
    <row r="17129" s="2" customFormat="1"/>
    <row r="17130" s="2" customFormat="1"/>
    <row r="17131" s="2" customFormat="1"/>
    <row r="17132" s="2" customFormat="1"/>
    <row r="17133" s="2" customFormat="1"/>
    <row r="17134" s="2" customFormat="1"/>
    <row r="17135" s="2" customFormat="1"/>
    <row r="17136" s="2" customFormat="1"/>
    <row r="17137" s="2" customFormat="1"/>
    <row r="17138" s="2" customFormat="1"/>
    <row r="17139" s="2" customFormat="1"/>
    <row r="17140" s="2" customFormat="1"/>
    <row r="17141" s="2" customFormat="1"/>
    <row r="17142" s="2" customFormat="1"/>
    <row r="17143" s="2" customFormat="1"/>
    <row r="17144" s="2" customFormat="1"/>
    <row r="17145" s="2" customFormat="1"/>
    <row r="17146" s="2" customFormat="1"/>
    <row r="17147" s="2" customFormat="1"/>
    <row r="17148" s="2" customFormat="1"/>
    <row r="17149" s="2" customFormat="1"/>
    <row r="17150" s="2" customFormat="1"/>
    <row r="17151" s="2" customFormat="1"/>
    <row r="17152" s="2" customFormat="1"/>
    <row r="17153" s="2" customFormat="1"/>
    <row r="17154" s="2" customFormat="1"/>
    <row r="17155" s="2" customFormat="1"/>
    <row r="17156" s="2" customFormat="1"/>
    <row r="17157" s="2" customFormat="1"/>
    <row r="17158" s="2" customFormat="1"/>
    <row r="17159" s="2" customFormat="1"/>
    <row r="17160" s="2" customFormat="1"/>
    <row r="17161" s="2" customFormat="1"/>
    <row r="17162" s="2" customFormat="1"/>
    <row r="17163" s="2" customFormat="1"/>
    <row r="17164" s="2" customFormat="1"/>
    <row r="17165" s="2" customFormat="1"/>
    <row r="17166" s="2" customFormat="1"/>
    <row r="17167" s="2" customFormat="1"/>
    <row r="17168" s="2" customFormat="1"/>
    <row r="17169" s="2" customFormat="1"/>
    <row r="17170" s="2" customFormat="1"/>
    <row r="17171" s="2" customFormat="1"/>
    <row r="17172" s="2" customFormat="1"/>
    <row r="17173" s="2" customFormat="1"/>
    <row r="17174" s="2" customFormat="1"/>
    <row r="17175" s="2" customFormat="1"/>
    <row r="17176" s="2" customFormat="1"/>
    <row r="17177" s="2" customFormat="1"/>
    <row r="17178" s="2" customFormat="1"/>
    <row r="17179" s="2" customFormat="1"/>
    <row r="17180" s="2" customFormat="1"/>
    <row r="17181" s="2" customFormat="1"/>
    <row r="17182" s="2" customFormat="1"/>
    <row r="17183" s="2" customFormat="1"/>
    <row r="17184" s="2" customFormat="1"/>
    <row r="17185" s="2" customFormat="1"/>
    <row r="17186" s="2" customFormat="1"/>
    <row r="17187" s="2" customFormat="1"/>
    <row r="17188" s="2" customFormat="1"/>
    <row r="17189" s="2" customFormat="1"/>
    <row r="17190" s="2" customFormat="1"/>
    <row r="17191" s="2" customFormat="1"/>
    <row r="17192" s="2" customFormat="1"/>
    <row r="17193" s="2" customFormat="1"/>
    <row r="17194" s="2" customFormat="1"/>
    <row r="17195" s="2" customFormat="1"/>
    <row r="17196" s="2" customFormat="1"/>
    <row r="17197" s="2" customFormat="1"/>
    <row r="17198" s="2" customFormat="1"/>
    <row r="17199" s="2" customFormat="1"/>
    <row r="17200" s="2" customFormat="1"/>
    <row r="17201" s="2" customFormat="1"/>
    <row r="17202" s="2" customFormat="1"/>
    <row r="17203" s="2" customFormat="1"/>
    <row r="17204" s="2" customFormat="1"/>
    <row r="17205" s="2" customFormat="1"/>
    <row r="17206" s="2" customFormat="1"/>
    <row r="17207" s="2" customFormat="1"/>
    <row r="17208" s="2" customFormat="1"/>
    <row r="17209" s="2" customFormat="1"/>
    <row r="17210" s="2" customFormat="1"/>
    <row r="17211" s="2" customFormat="1"/>
    <row r="17212" s="2" customFormat="1"/>
    <row r="17213" s="2" customFormat="1"/>
    <row r="17214" s="2" customFormat="1"/>
    <row r="17215" s="2" customFormat="1"/>
    <row r="17216" s="2" customFormat="1"/>
    <row r="17217" s="2" customFormat="1"/>
    <row r="17218" s="2" customFormat="1"/>
    <row r="17219" s="2" customFormat="1"/>
    <row r="17220" s="2" customFormat="1"/>
    <row r="17221" s="2" customFormat="1"/>
    <row r="17222" s="2" customFormat="1"/>
    <row r="17223" s="2" customFormat="1"/>
    <row r="17224" s="2" customFormat="1"/>
    <row r="17225" s="2" customFormat="1"/>
    <row r="17226" s="2" customFormat="1"/>
    <row r="17227" s="2" customFormat="1"/>
    <row r="17228" s="2" customFormat="1"/>
    <row r="17229" s="2" customFormat="1"/>
    <row r="17230" s="2" customFormat="1"/>
    <row r="17231" s="2" customFormat="1"/>
    <row r="17232" s="2" customFormat="1"/>
    <row r="17233" s="2" customFormat="1"/>
    <row r="17234" s="2" customFormat="1"/>
    <row r="17235" s="2" customFormat="1"/>
    <row r="17236" s="2" customFormat="1"/>
    <row r="17237" s="2" customFormat="1"/>
    <row r="17238" s="2" customFormat="1"/>
    <row r="17239" s="2" customFormat="1"/>
    <row r="17240" s="2" customFormat="1"/>
    <row r="17241" s="2" customFormat="1"/>
    <row r="17242" s="2" customFormat="1"/>
    <row r="17243" s="2" customFormat="1"/>
    <row r="17244" s="2" customFormat="1"/>
    <row r="17245" s="2" customFormat="1"/>
    <row r="17246" s="2" customFormat="1"/>
    <row r="17247" s="2" customFormat="1"/>
    <row r="17248" s="2" customFormat="1"/>
    <row r="17249" s="2" customFormat="1"/>
    <row r="17250" s="2" customFormat="1"/>
    <row r="17251" s="2" customFormat="1"/>
    <row r="17252" s="2" customFormat="1"/>
    <row r="17253" s="2" customFormat="1"/>
    <row r="17254" s="2" customFormat="1"/>
    <row r="17255" s="2" customFormat="1"/>
    <row r="17256" s="2" customFormat="1"/>
    <row r="17257" s="2" customFormat="1"/>
    <row r="17258" s="2" customFormat="1"/>
    <row r="17259" s="2" customFormat="1"/>
    <row r="17260" s="2" customFormat="1"/>
    <row r="17261" s="2" customFormat="1"/>
    <row r="17262" s="2" customFormat="1"/>
    <row r="17263" s="2" customFormat="1"/>
    <row r="17264" s="2" customFormat="1"/>
    <row r="17265" s="2" customFormat="1"/>
    <row r="17266" s="2" customFormat="1"/>
    <row r="17267" s="2" customFormat="1"/>
    <row r="17268" s="2" customFormat="1"/>
    <row r="17269" s="2" customFormat="1"/>
    <row r="17270" s="2" customFormat="1"/>
    <row r="17271" s="2" customFormat="1"/>
    <row r="17272" s="2" customFormat="1"/>
    <row r="17273" s="2" customFormat="1"/>
    <row r="17274" s="2" customFormat="1"/>
    <row r="17275" s="2" customFormat="1"/>
    <row r="17276" s="2" customFormat="1"/>
    <row r="17277" s="2" customFormat="1"/>
    <row r="17278" s="2" customFormat="1"/>
    <row r="17279" s="2" customFormat="1"/>
    <row r="17280" s="2" customFormat="1"/>
    <row r="17281" s="2" customFormat="1"/>
    <row r="17282" s="2" customFormat="1"/>
    <row r="17283" s="2" customFormat="1"/>
    <row r="17284" s="2" customFormat="1"/>
    <row r="17285" s="2" customFormat="1"/>
    <row r="17286" s="2" customFormat="1"/>
    <row r="17287" s="2" customFormat="1"/>
    <row r="17288" s="2" customFormat="1"/>
    <row r="17289" s="2" customFormat="1"/>
    <row r="17290" s="2" customFormat="1"/>
    <row r="17291" s="2" customFormat="1"/>
    <row r="17292" s="2" customFormat="1"/>
    <row r="17293" s="2" customFormat="1"/>
    <row r="17294" s="2" customFormat="1"/>
    <row r="17295" s="2" customFormat="1"/>
    <row r="17296" s="2" customFormat="1"/>
    <row r="17297" s="2" customFormat="1"/>
    <row r="17298" s="2" customFormat="1"/>
    <row r="17299" s="2" customFormat="1"/>
    <row r="17300" s="2" customFormat="1"/>
    <row r="17301" s="2" customFormat="1"/>
    <row r="17302" s="2" customFormat="1"/>
    <row r="17303" s="2" customFormat="1"/>
    <row r="17304" s="2" customFormat="1"/>
    <row r="17305" s="2" customFormat="1"/>
    <row r="17306" s="2" customFormat="1"/>
    <row r="17307" s="2" customFormat="1"/>
    <row r="17308" s="2" customFormat="1"/>
    <row r="17309" s="2" customFormat="1"/>
    <row r="17310" s="2" customFormat="1"/>
    <row r="17311" s="2" customFormat="1"/>
    <row r="17312" s="2" customFormat="1"/>
    <row r="17313" s="2" customFormat="1"/>
    <row r="17314" s="2" customFormat="1"/>
    <row r="17315" s="2" customFormat="1"/>
    <row r="17316" s="2" customFormat="1"/>
    <row r="17317" s="2" customFormat="1"/>
    <row r="17318" s="2" customFormat="1"/>
    <row r="17319" s="2" customFormat="1"/>
    <row r="17320" s="2" customFormat="1"/>
    <row r="17321" s="2" customFormat="1"/>
    <row r="17322" s="2" customFormat="1"/>
    <row r="17323" s="2" customFormat="1"/>
    <row r="17324" s="2" customFormat="1"/>
    <row r="17325" s="2" customFormat="1"/>
    <row r="17326" s="2" customFormat="1"/>
    <row r="17327" s="2" customFormat="1"/>
    <row r="17328" s="2" customFormat="1"/>
    <row r="17329" s="2" customFormat="1"/>
    <row r="17330" s="2" customFormat="1"/>
    <row r="17331" s="2" customFormat="1"/>
    <row r="17332" s="2" customFormat="1"/>
    <row r="17333" s="2" customFormat="1"/>
    <row r="17334" s="2" customFormat="1"/>
    <row r="17335" s="2" customFormat="1"/>
    <row r="17336" s="2" customFormat="1"/>
    <row r="17337" s="2" customFormat="1"/>
    <row r="17338" s="2" customFormat="1"/>
    <row r="17339" s="2" customFormat="1"/>
    <row r="17340" s="2" customFormat="1"/>
    <row r="17341" s="2" customFormat="1"/>
    <row r="17342" s="2" customFormat="1"/>
    <row r="17343" s="2" customFormat="1"/>
    <row r="17344" s="2" customFormat="1"/>
    <row r="17345" s="2" customFormat="1"/>
    <row r="17346" s="2" customFormat="1"/>
    <row r="17347" s="2" customFormat="1"/>
    <row r="17348" s="2" customFormat="1"/>
    <row r="17349" s="2" customFormat="1"/>
    <row r="17350" s="2" customFormat="1"/>
    <row r="17351" s="2" customFormat="1"/>
    <row r="17352" s="2" customFormat="1"/>
    <row r="17353" s="2" customFormat="1"/>
    <row r="17354" s="2" customFormat="1"/>
    <row r="17355" s="2" customFormat="1"/>
    <row r="17356" s="2" customFormat="1"/>
    <row r="17357" s="2" customFormat="1"/>
    <row r="17358" s="2" customFormat="1"/>
    <row r="17359" s="2" customFormat="1"/>
    <row r="17360" s="2" customFormat="1"/>
    <row r="17361" s="2" customFormat="1"/>
    <row r="17362" s="2" customFormat="1"/>
    <row r="17363" s="2" customFormat="1"/>
    <row r="17364" s="2" customFormat="1"/>
    <row r="17365" s="2" customFormat="1"/>
    <row r="17366" s="2" customFormat="1"/>
    <row r="17367" s="2" customFormat="1"/>
    <row r="17368" s="2" customFormat="1"/>
    <row r="17369" s="2" customFormat="1"/>
    <row r="17370" s="2" customFormat="1"/>
    <row r="17371" s="2" customFormat="1"/>
    <row r="17372" s="2" customFormat="1"/>
    <row r="17373" s="2" customFormat="1"/>
    <row r="17374" s="2" customFormat="1"/>
    <row r="17375" s="2" customFormat="1"/>
    <row r="17376" s="2" customFormat="1"/>
    <row r="17377" s="2" customFormat="1"/>
    <row r="17378" s="2" customFormat="1"/>
    <row r="17379" s="2" customFormat="1"/>
    <row r="17380" s="2" customFormat="1"/>
    <row r="17381" s="2" customFormat="1"/>
    <row r="17382" s="2" customFormat="1"/>
    <row r="17383" s="2" customFormat="1"/>
    <row r="17384" s="2" customFormat="1"/>
    <row r="17385" s="2" customFormat="1"/>
    <row r="17386" s="2" customFormat="1"/>
    <row r="17387" s="2" customFormat="1"/>
    <row r="17388" s="2" customFormat="1"/>
    <row r="17389" s="2" customFormat="1"/>
    <row r="17390" s="2" customFormat="1"/>
    <row r="17391" s="2" customFormat="1"/>
    <row r="17392" s="2" customFormat="1"/>
    <row r="17393" s="2" customFormat="1"/>
    <row r="17394" s="2" customFormat="1"/>
    <row r="17395" s="2" customFormat="1"/>
    <row r="17396" s="2" customFormat="1"/>
    <row r="17397" s="2" customFormat="1"/>
    <row r="17398" s="2" customFormat="1"/>
    <row r="17399" s="2" customFormat="1"/>
    <row r="17400" s="2" customFormat="1"/>
    <row r="17401" s="2" customFormat="1"/>
    <row r="17402" s="2" customFormat="1"/>
    <row r="17403" s="2" customFormat="1"/>
    <row r="17404" s="2" customFormat="1"/>
    <row r="17405" s="2" customFormat="1"/>
    <row r="17406" s="2" customFormat="1"/>
    <row r="17407" s="2" customFormat="1"/>
    <row r="17408" s="2" customFormat="1"/>
    <row r="17409" s="2" customFormat="1"/>
    <row r="17410" s="2" customFormat="1"/>
    <row r="17411" s="2" customFormat="1"/>
    <row r="17412" s="2" customFormat="1"/>
    <row r="17413" s="2" customFormat="1"/>
    <row r="17414" s="2" customFormat="1"/>
    <row r="17415" s="2" customFormat="1"/>
    <row r="17416" s="2" customFormat="1"/>
    <row r="17417" s="2" customFormat="1"/>
    <row r="17418" s="2" customFormat="1"/>
    <row r="17419" s="2" customFormat="1"/>
    <row r="17420" s="2" customFormat="1"/>
    <row r="17421" s="2" customFormat="1"/>
    <row r="17422" s="2" customFormat="1"/>
    <row r="17423" s="2" customFormat="1"/>
    <row r="17424" s="2" customFormat="1"/>
    <row r="17425" s="2" customFormat="1"/>
    <row r="17426" s="2" customFormat="1"/>
    <row r="17427" s="2" customFormat="1"/>
    <row r="17428" s="2" customFormat="1"/>
    <row r="17429" s="2" customFormat="1"/>
    <row r="17430" s="2" customFormat="1"/>
    <row r="17431" s="2" customFormat="1"/>
    <row r="17432" s="2" customFormat="1"/>
    <row r="17433" s="2" customFormat="1"/>
    <row r="17434" s="2" customFormat="1"/>
    <row r="17435" s="2" customFormat="1"/>
    <row r="17436" s="2" customFormat="1"/>
    <row r="17437" s="2" customFormat="1"/>
    <row r="17438" s="2" customFormat="1"/>
    <row r="17439" s="2" customFormat="1"/>
    <row r="17440" s="2" customFormat="1"/>
    <row r="17441" s="2" customFormat="1"/>
    <row r="17442" s="2" customFormat="1"/>
    <row r="17443" s="2" customFormat="1"/>
    <row r="17444" s="2" customFormat="1"/>
    <row r="17445" s="2" customFormat="1"/>
    <row r="17446" s="2" customFormat="1"/>
    <row r="17447" s="2" customFormat="1"/>
    <row r="17448" s="2" customFormat="1"/>
    <row r="17449" s="2" customFormat="1"/>
    <row r="17450" s="2" customFormat="1"/>
    <row r="17451" s="2" customFormat="1"/>
    <row r="17452" s="2" customFormat="1"/>
    <row r="17453" s="2" customFormat="1"/>
    <row r="17454" s="2" customFormat="1"/>
    <row r="17455" s="2" customFormat="1"/>
    <row r="17456" s="2" customFormat="1"/>
    <row r="17457" s="2" customFormat="1"/>
    <row r="17458" s="2" customFormat="1"/>
    <row r="17459" s="2" customFormat="1"/>
    <row r="17460" s="2" customFormat="1"/>
    <row r="17461" s="2" customFormat="1"/>
    <row r="17462" s="2" customFormat="1"/>
    <row r="17463" s="2" customFormat="1"/>
    <row r="17464" s="2" customFormat="1"/>
    <row r="17465" s="2" customFormat="1"/>
    <row r="17466" s="2" customFormat="1"/>
    <row r="17467" s="2" customFormat="1"/>
    <row r="17468" s="2" customFormat="1"/>
    <row r="17469" s="2" customFormat="1"/>
    <row r="17470" s="2" customFormat="1"/>
    <row r="17471" s="2" customFormat="1"/>
    <row r="17472" s="2" customFormat="1"/>
    <row r="17473" s="2" customFormat="1"/>
    <row r="17474" s="2" customFormat="1"/>
    <row r="17475" s="2" customFormat="1"/>
    <row r="17476" s="2" customFormat="1"/>
    <row r="17477" s="2" customFormat="1"/>
    <row r="17478" s="2" customFormat="1"/>
    <row r="17479" s="2" customFormat="1"/>
    <row r="17480" s="2" customFormat="1"/>
    <row r="17481" s="2" customFormat="1"/>
    <row r="17482" s="2" customFormat="1"/>
    <row r="17483" s="2" customFormat="1"/>
    <row r="17484" s="2" customFormat="1"/>
    <row r="17485" s="2" customFormat="1"/>
    <row r="17486" s="2" customFormat="1"/>
    <row r="17487" s="2" customFormat="1"/>
    <row r="17488" s="2" customFormat="1"/>
    <row r="17489" s="2" customFormat="1"/>
    <row r="17490" s="2" customFormat="1"/>
    <row r="17491" s="2" customFormat="1"/>
    <row r="17492" s="2" customFormat="1"/>
    <row r="17493" s="2" customFormat="1"/>
    <row r="17494" s="2" customFormat="1"/>
    <row r="17495" s="2" customFormat="1"/>
    <row r="17496" s="2" customFormat="1"/>
    <row r="17497" s="2" customFormat="1"/>
    <row r="17498" s="2" customFormat="1"/>
    <row r="17499" s="2" customFormat="1"/>
    <row r="17500" s="2" customFormat="1"/>
    <row r="17501" s="2" customFormat="1"/>
    <row r="17502" s="2" customFormat="1"/>
    <row r="17503" s="2" customFormat="1"/>
    <row r="17504" s="2" customFormat="1"/>
    <row r="17505" s="2" customFormat="1"/>
    <row r="17506" s="2" customFormat="1"/>
    <row r="17507" s="2" customFormat="1"/>
    <row r="17508" s="2" customFormat="1"/>
    <row r="17509" s="2" customFormat="1"/>
    <row r="17510" s="2" customFormat="1"/>
    <row r="17511" s="2" customFormat="1"/>
    <row r="17512" s="2" customFormat="1"/>
    <row r="17513" s="2" customFormat="1"/>
    <row r="17514" s="2" customFormat="1"/>
    <row r="17515" s="2" customFormat="1"/>
    <row r="17516" s="2" customFormat="1"/>
    <row r="17517" s="2" customFormat="1"/>
    <row r="17518" s="2" customFormat="1"/>
    <row r="17519" s="2" customFormat="1"/>
    <row r="17520" s="2" customFormat="1"/>
    <row r="17521" s="2" customFormat="1"/>
    <row r="17522" s="2" customFormat="1"/>
    <row r="17523" s="2" customFormat="1"/>
    <row r="17524" s="2" customFormat="1"/>
    <row r="17525" s="2" customFormat="1"/>
    <row r="17526" s="2" customFormat="1"/>
    <row r="17527" s="2" customFormat="1"/>
    <row r="17528" s="2" customFormat="1"/>
    <row r="17529" s="2" customFormat="1"/>
    <row r="17530" s="2" customFormat="1"/>
    <row r="17531" s="2" customFormat="1"/>
    <row r="17532" s="2" customFormat="1"/>
    <row r="17533" s="2" customFormat="1"/>
    <row r="17534" s="2" customFormat="1"/>
    <row r="17535" s="2" customFormat="1"/>
    <row r="17536" s="2" customFormat="1"/>
    <row r="17537" s="2" customFormat="1"/>
    <row r="17538" s="2" customFormat="1"/>
    <row r="17539" s="2" customFormat="1"/>
    <row r="17540" s="2" customFormat="1"/>
    <row r="17541" s="2" customFormat="1"/>
    <row r="17542" s="2" customFormat="1"/>
    <row r="17543" s="2" customFormat="1"/>
    <row r="17544" s="2" customFormat="1"/>
    <row r="17545" s="2" customFormat="1"/>
    <row r="17546" s="2" customFormat="1"/>
    <row r="17547" s="2" customFormat="1"/>
    <row r="17548" s="2" customFormat="1"/>
    <row r="17549" s="2" customFormat="1"/>
    <row r="17550" s="2" customFormat="1"/>
    <row r="17551" s="2" customFormat="1"/>
    <row r="17552" s="2" customFormat="1"/>
    <row r="17553" s="2" customFormat="1"/>
    <row r="17554" s="2" customFormat="1"/>
    <row r="17555" s="2" customFormat="1"/>
    <row r="17556" s="2" customFormat="1"/>
    <row r="17557" s="2" customFormat="1"/>
    <row r="17558" s="2" customFormat="1"/>
    <row r="17559" s="2" customFormat="1"/>
    <row r="17560" s="2" customFormat="1"/>
    <row r="17561" s="2" customFormat="1"/>
    <row r="17562" s="2" customFormat="1"/>
    <row r="17563" s="2" customFormat="1"/>
    <row r="17564" s="2" customFormat="1"/>
    <row r="17565" s="2" customFormat="1"/>
    <row r="17566" s="2" customFormat="1"/>
    <row r="17567" s="2" customFormat="1"/>
    <row r="17568" s="2" customFormat="1"/>
    <row r="17569" s="2" customFormat="1"/>
    <row r="17570" s="2" customFormat="1"/>
    <row r="17571" s="2" customFormat="1"/>
    <row r="17572" s="2" customFormat="1"/>
    <row r="17573" s="2" customFormat="1"/>
    <row r="17574" s="2" customFormat="1"/>
    <row r="17575" s="2" customFormat="1"/>
    <row r="17576" s="2" customFormat="1"/>
    <row r="17577" s="2" customFormat="1"/>
    <row r="17578" s="2" customFormat="1"/>
    <row r="17579" s="2" customFormat="1"/>
    <row r="17580" s="2" customFormat="1"/>
    <row r="17581" s="2" customFormat="1"/>
    <row r="17582" s="2" customFormat="1"/>
    <row r="17583" s="2" customFormat="1"/>
    <row r="17584" s="2" customFormat="1"/>
    <row r="17585" s="2" customFormat="1"/>
    <row r="17586" s="2" customFormat="1"/>
    <row r="17587" s="2" customFormat="1"/>
    <row r="17588" s="2" customFormat="1"/>
    <row r="17589" s="2" customFormat="1"/>
    <row r="17590" s="2" customFormat="1"/>
    <row r="17591" s="2" customFormat="1"/>
    <row r="17592" s="2" customFormat="1"/>
    <row r="17593" s="2" customFormat="1"/>
    <row r="17594" s="2" customFormat="1"/>
    <row r="17595" s="2" customFormat="1"/>
    <row r="17596" s="2" customFormat="1"/>
    <row r="17597" s="2" customFormat="1"/>
    <row r="17598" s="2" customFormat="1"/>
    <row r="17599" s="2" customFormat="1"/>
    <row r="17600" s="2" customFormat="1"/>
    <row r="17601" s="2" customFormat="1"/>
    <row r="17602" s="2" customFormat="1"/>
    <row r="17603" s="2" customFormat="1"/>
    <row r="17604" s="2" customFormat="1"/>
    <row r="17605" s="2" customFormat="1"/>
    <row r="17606" s="2" customFormat="1"/>
    <row r="17607" s="2" customFormat="1"/>
    <row r="17608" s="2" customFormat="1"/>
    <row r="17609" s="2" customFormat="1"/>
    <row r="17610" s="2" customFormat="1"/>
    <row r="17611" s="2" customFormat="1"/>
    <row r="17612" s="2" customFormat="1"/>
    <row r="17613" s="2" customFormat="1"/>
    <row r="17614" s="2" customFormat="1"/>
    <row r="17615" s="2" customFormat="1"/>
    <row r="17616" s="2" customFormat="1"/>
    <row r="17617" s="2" customFormat="1"/>
    <row r="17618" s="2" customFormat="1"/>
    <row r="17619" s="2" customFormat="1"/>
    <row r="17620" s="2" customFormat="1"/>
    <row r="17621" s="2" customFormat="1"/>
    <row r="17622" s="2" customFormat="1"/>
    <row r="17623" s="2" customFormat="1"/>
    <row r="17624" s="2" customFormat="1"/>
    <row r="17625" s="2" customFormat="1"/>
    <row r="17626" s="2" customFormat="1"/>
    <row r="17627" s="2" customFormat="1"/>
    <row r="17628" s="2" customFormat="1"/>
    <row r="17629" s="2" customFormat="1"/>
    <row r="17630" s="2" customFormat="1"/>
    <row r="17631" s="2" customFormat="1"/>
    <row r="17632" s="2" customFormat="1"/>
    <row r="17633" s="2" customFormat="1"/>
    <row r="17634" s="2" customFormat="1"/>
    <row r="17635" s="2" customFormat="1"/>
    <row r="17636" s="2" customFormat="1"/>
    <row r="17637" s="2" customFormat="1"/>
    <row r="17638" s="2" customFormat="1"/>
    <row r="17639" s="2" customFormat="1"/>
    <row r="17640" s="2" customFormat="1"/>
    <row r="17641" s="2" customFormat="1"/>
    <row r="17642" s="2" customFormat="1"/>
    <row r="17643" s="2" customFormat="1"/>
    <row r="17644" s="2" customFormat="1"/>
    <row r="17645" s="2" customFormat="1"/>
    <row r="17646" s="2" customFormat="1"/>
    <row r="17647" s="2" customFormat="1"/>
    <row r="17648" s="2" customFormat="1"/>
    <row r="17649" s="2" customFormat="1"/>
    <row r="17650" s="2" customFormat="1"/>
    <row r="17651" s="2" customFormat="1"/>
    <row r="17652" s="2" customFormat="1"/>
    <row r="17653" s="2" customFormat="1"/>
    <row r="17654" s="2" customFormat="1"/>
    <row r="17655" s="2" customFormat="1"/>
    <row r="17656" s="2" customFormat="1"/>
    <row r="17657" s="2" customFormat="1"/>
    <row r="17658" s="2" customFormat="1"/>
    <row r="17659" s="2" customFormat="1"/>
    <row r="17660" s="2" customFormat="1"/>
    <row r="17661" s="2" customFormat="1"/>
    <row r="17662" s="2" customFormat="1"/>
    <row r="17663" s="2" customFormat="1"/>
    <row r="17664" s="2" customFormat="1"/>
    <row r="17665" s="2" customFormat="1"/>
    <row r="17666" s="2" customFormat="1"/>
    <row r="17667" s="2" customFormat="1"/>
    <row r="17668" s="2" customFormat="1"/>
    <row r="17669" s="2" customFormat="1"/>
    <row r="17670" s="2" customFormat="1"/>
    <row r="17671" s="2" customFormat="1"/>
    <row r="17672" s="2" customFormat="1"/>
    <row r="17673" s="2" customFormat="1"/>
    <row r="17674" s="2" customFormat="1"/>
    <row r="17675" s="2" customFormat="1"/>
    <row r="17676" s="2" customFormat="1"/>
    <row r="17677" s="2" customFormat="1"/>
    <row r="17678" s="2" customFormat="1"/>
    <row r="17679" s="2" customFormat="1"/>
    <row r="17680" s="2" customFormat="1"/>
    <row r="17681" s="2" customFormat="1"/>
    <row r="17682" s="2" customFormat="1"/>
    <row r="17683" s="2" customFormat="1"/>
    <row r="17684" s="2" customFormat="1"/>
    <row r="17685" s="2" customFormat="1"/>
    <row r="17686" s="2" customFormat="1"/>
    <row r="17687" s="2" customFormat="1"/>
    <row r="17688" s="2" customFormat="1"/>
    <row r="17689" s="2" customFormat="1"/>
    <row r="17690" s="2" customFormat="1"/>
    <row r="17691" s="2" customFormat="1"/>
    <row r="17692" s="2" customFormat="1"/>
    <row r="17693" s="2" customFormat="1"/>
    <row r="17694" s="2" customFormat="1"/>
    <row r="17695" s="2" customFormat="1"/>
    <row r="17696" s="2" customFormat="1"/>
    <row r="17697" s="2" customFormat="1"/>
    <row r="17698" s="2" customFormat="1"/>
    <row r="17699" s="2" customFormat="1"/>
    <row r="17700" s="2" customFormat="1"/>
    <row r="17701" s="2" customFormat="1"/>
    <row r="17702" s="2" customFormat="1"/>
    <row r="17703" s="2" customFormat="1"/>
    <row r="17704" s="2" customFormat="1"/>
    <row r="17705" s="2" customFormat="1"/>
    <row r="17706" s="2" customFormat="1"/>
    <row r="17707" s="2" customFormat="1"/>
    <row r="17708" s="2" customFormat="1"/>
    <row r="17709" s="2" customFormat="1"/>
    <row r="17710" s="2" customFormat="1"/>
    <row r="17711" s="2" customFormat="1"/>
    <row r="17712" s="2" customFormat="1"/>
    <row r="17713" s="2" customFormat="1"/>
    <row r="17714" s="2" customFormat="1"/>
    <row r="17715" s="2" customFormat="1"/>
    <row r="17716" s="2" customFormat="1"/>
    <row r="17717" s="2" customFormat="1"/>
    <row r="17718" s="2" customFormat="1"/>
    <row r="17719" s="2" customFormat="1"/>
    <row r="17720" s="2" customFormat="1"/>
    <row r="17721" s="2" customFormat="1"/>
    <row r="17722" s="2" customFormat="1"/>
    <row r="17723" s="2" customFormat="1"/>
    <row r="17724" s="2" customFormat="1"/>
    <row r="17725" s="2" customFormat="1"/>
    <row r="17726" s="2" customFormat="1"/>
    <row r="17727" s="2" customFormat="1"/>
    <row r="17728" s="2" customFormat="1"/>
    <row r="17729" s="2" customFormat="1"/>
    <row r="17730" s="2" customFormat="1"/>
    <row r="17731" s="2" customFormat="1"/>
    <row r="17732" s="2" customFormat="1"/>
    <row r="17733" s="2" customFormat="1"/>
    <row r="17734" s="2" customFormat="1"/>
    <row r="17735" s="2" customFormat="1"/>
    <row r="17736" s="2" customFormat="1"/>
    <row r="17737" s="2" customFormat="1"/>
    <row r="17738" s="2" customFormat="1"/>
    <row r="17739" s="2" customFormat="1"/>
    <row r="17740" s="2" customFormat="1"/>
    <row r="17741" s="2" customFormat="1"/>
    <row r="17742" s="2" customFormat="1"/>
    <row r="17743" s="2" customFormat="1"/>
    <row r="17744" s="2" customFormat="1"/>
    <row r="17745" s="2" customFormat="1"/>
    <row r="17746" s="2" customFormat="1"/>
    <row r="17747" s="2" customFormat="1"/>
    <row r="17748" s="2" customFormat="1"/>
    <row r="17749" s="2" customFormat="1"/>
    <row r="17750" s="2" customFormat="1"/>
    <row r="17751" s="2" customFormat="1"/>
    <row r="17752" s="2" customFormat="1"/>
    <row r="17753" s="2" customFormat="1"/>
    <row r="17754" s="2" customFormat="1"/>
    <row r="17755" s="2" customFormat="1"/>
    <row r="17756" s="2" customFormat="1"/>
    <row r="17757" s="2" customFormat="1"/>
    <row r="17758" s="2" customFormat="1"/>
    <row r="17759" s="2" customFormat="1"/>
    <row r="17760" s="2" customFormat="1"/>
    <row r="17761" s="2" customFormat="1"/>
    <row r="17762" s="2" customFormat="1"/>
    <row r="17763" s="2" customFormat="1"/>
    <row r="17764" s="2" customFormat="1"/>
    <row r="17765" s="2" customFormat="1"/>
    <row r="17766" s="2" customFormat="1"/>
    <row r="17767" s="2" customFormat="1"/>
    <row r="17768" s="2" customFormat="1"/>
    <row r="17769" s="2" customFormat="1"/>
    <row r="17770" s="2" customFormat="1"/>
    <row r="17771" s="2" customFormat="1"/>
    <row r="17772" s="2" customFormat="1"/>
    <row r="17773" s="2" customFormat="1"/>
    <row r="17774" s="2" customFormat="1"/>
    <row r="17775" s="2" customFormat="1"/>
    <row r="17776" s="2" customFormat="1"/>
    <row r="17777" s="2" customFormat="1"/>
    <row r="17778" s="2" customFormat="1"/>
    <row r="17779" s="2" customFormat="1"/>
    <row r="17780" s="2" customFormat="1"/>
    <row r="17781" s="2" customFormat="1"/>
    <row r="17782" s="2" customFormat="1"/>
    <row r="17783" s="2" customFormat="1"/>
    <row r="17784" s="2" customFormat="1"/>
    <row r="17785" s="2" customFormat="1"/>
    <row r="17786" s="2" customFormat="1"/>
    <row r="17787" s="2" customFormat="1"/>
    <row r="17788" s="2" customFormat="1"/>
    <row r="17789" s="2" customFormat="1"/>
    <row r="17790" s="2" customFormat="1"/>
    <row r="17791" s="2" customFormat="1"/>
    <row r="17792" s="2" customFormat="1"/>
    <row r="17793" s="2" customFormat="1"/>
    <row r="17794" s="2" customFormat="1"/>
    <row r="17795" s="2" customFormat="1"/>
    <row r="17796" s="2" customFormat="1"/>
    <row r="17797" s="2" customFormat="1"/>
    <row r="17798" s="2" customFormat="1"/>
    <row r="17799" s="2" customFormat="1"/>
    <row r="17800" s="2" customFormat="1"/>
    <row r="17801" s="2" customFormat="1"/>
    <row r="17802" s="2" customFormat="1"/>
    <row r="17803" s="2" customFormat="1"/>
    <row r="17804" s="2" customFormat="1"/>
    <row r="17805" s="2" customFormat="1"/>
    <row r="17806" s="2" customFormat="1"/>
    <row r="17807" s="2" customFormat="1"/>
    <row r="17808" s="2" customFormat="1"/>
    <row r="17809" s="2" customFormat="1"/>
    <row r="17810" s="2" customFormat="1"/>
    <row r="17811" s="2" customFormat="1"/>
    <row r="17812" s="2" customFormat="1"/>
    <row r="17813" s="2" customFormat="1"/>
    <row r="17814" s="2" customFormat="1"/>
    <row r="17815" s="2" customFormat="1"/>
    <row r="17816" s="2" customFormat="1"/>
    <row r="17817" s="2" customFormat="1"/>
    <row r="17818" s="2" customFormat="1"/>
    <row r="17819" s="2" customFormat="1"/>
    <row r="17820" s="2" customFormat="1"/>
    <row r="17821" s="2" customFormat="1"/>
    <row r="17822" s="2" customFormat="1"/>
    <row r="17823" s="2" customFormat="1"/>
    <row r="17824" s="2" customFormat="1"/>
    <row r="17825" s="2" customFormat="1"/>
    <row r="17826" s="2" customFormat="1"/>
    <row r="17827" s="2" customFormat="1"/>
    <row r="17828" s="2" customFormat="1"/>
    <row r="17829" s="2" customFormat="1"/>
    <row r="17830" s="2" customFormat="1"/>
    <row r="17831" s="2" customFormat="1"/>
    <row r="17832" s="2" customFormat="1"/>
    <row r="17833" s="2" customFormat="1"/>
    <row r="17834" s="2" customFormat="1"/>
    <row r="17835" s="2" customFormat="1"/>
    <row r="17836" s="2" customFormat="1"/>
    <row r="17837" s="2" customFormat="1"/>
    <row r="17838" s="2" customFormat="1"/>
    <row r="17839" s="2" customFormat="1"/>
    <row r="17840" s="2" customFormat="1"/>
    <row r="17841" s="2" customFormat="1"/>
    <row r="17842" s="2" customFormat="1"/>
    <row r="17843" s="2" customFormat="1"/>
    <row r="17844" s="2" customFormat="1"/>
    <row r="17845" s="2" customFormat="1"/>
    <row r="17846" s="2" customFormat="1"/>
    <row r="17847" s="2" customFormat="1"/>
    <row r="17848" s="2" customFormat="1"/>
    <row r="17849" s="2" customFormat="1"/>
    <row r="17850" s="2" customFormat="1"/>
    <row r="17851" s="2" customFormat="1"/>
    <row r="17852" s="2" customFormat="1"/>
    <row r="17853" s="2" customFormat="1"/>
    <row r="17854" s="2" customFormat="1"/>
    <row r="17855" s="2" customFormat="1"/>
    <row r="17856" s="2" customFormat="1"/>
    <row r="17857" s="2" customFormat="1"/>
    <row r="17858" s="2" customFormat="1"/>
    <row r="17859" s="2" customFormat="1"/>
    <row r="17860" s="2" customFormat="1"/>
    <row r="17861" s="2" customFormat="1"/>
    <row r="17862" s="2" customFormat="1"/>
    <row r="17863" s="2" customFormat="1"/>
    <row r="17864" s="2" customFormat="1"/>
    <row r="17865" s="2" customFormat="1"/>
    <row r="17866" s="2" customFormat="1"/>
    <row r="17867" s="2" customFormat="1"/>
    <row r="17868" s="2" customFormat="1"/>
    <row r="17869" s="2" customFormat="1"/>
    <row r="17870" s="2" customFormat="1"/>
    <row r="17871" s="2" customFormat="1"/>
    <row r="17872" s="2" customFormat="1"/>
    <row r="17873" s="2" customFormat="1"/>
    <row r="17874" s="2" customFormat="1"/>
    <row r="17875" s="2" customFormat="1"/>
    <row r="17876" s="2" customFormat="1"/>
    <row r="17877" s="2" customFormat="1"/>
    <row r="17878" s="2" customFormat="1"/>
    <row r="17879" s="2" customFormat="1"/>
    <row r="17880" s="2" customFormat="1"/>
    <row r="17881" s="2" customFormat="1"/>
    <row r="17882" s="2" customFormat="1"/>
    <row r="17883" s="2" customFormat="1"/>
    <row r="17884" s="2" customFormat="1"/>
    <row r="17885" s="2" customFormat="1"/>
    <row r="17886" s="2" customFormat="1"/>
    <row r="17887" s="2" customFormat="1"/>
    <row r="17888" s="2" customFormat="1"/>
    <row r="17889" s="2" customFormat="1"/>
    <row r="17890" s="2" customFormat="1"/>
    <row r="17891" s="2" customFormat="1"/>
    <row r="17892" s="2" customFormat="1"/>
    <row r="17893" s="2" customFormat="1"/>
    <row r="17894" s="2" customFormat="1"/>
    <row r="17895" s="2" customFormat="1"/>
    <row r="17896" s="2" customFormat="1"/>
    <row r="17897" s="2" customFormat="1"/>
    <row r="17898" s="2" customFormat="1"/>
    <row r="17899" s="2" customFormat="1"/>
    <row r="17900" s="2" customFormat="1"/>
    <row r="17901" s="2" customFormat="1"/>
    <row r="17902" s="2" customFormat="1"/>
    <row r="17903" s="2" customFormat="1"/>
    <row r="17904" s="2" customFormat="1"/>
    <row r="17905" s="2" customFormat="1"/>
    <row r="17906" s="2" customFormat="1"/>
    <row r="17907" s="2" customFormat="1"/>
    <row r="17908" s="2" customFormat="1"/>
    <row r="17909" s="2" customFormat="1"/>
    <row r="17910" s="2" customFormat="1"/>
    <row r="17911" s="2" customFormat="1"/>
    <row r="17912" s="2" customFormat="1"/>
    <row r="17913" s="2" customFormat="1"/>
    <row r="17914" s="2" customFormat="1"/>
    <row r="17915" s="2" customFormat="1"/>
    <row r="17916" s="2" customFormat="1"/>
    <row r="17917" s="2" customFormat="1"/>
    <row r="17918" s="2" customFormat="1"/>
    <row r="17919" s="2" customFormat="1"/>
    <row r="17920" s="2" customFormat="1"/>
    <row r="17921" s="2" customFormat="1"/>
    <row r="17922" s="2" customFormat="1"/>
    <row r="17923" s="2" customFormat="1"/>
    <row r="17924" s="2" customFormat="1"/>
    <row r="17925" s="2" customFormat="1"/>
    <row r="17926" s="2" customFormat="1"/>
    <row r="17927" s="2" customFormat="1"/>
    <row r="17928" s="2" customFormat="1"/>
    <row r="17929" s="2" customFormat="1"/>
    <row r="17930" s="2" customFormat="1"/>
    <row r="17931" s="2" customFormat="1"/>
    <row r="17932" s="2" customFormat="1"/>
    <row r="17933" s="2" customFormat="1"/>
    <row r="17934" s="2" customFormat="1"/>
    <row r="17935" s="2" customFormat="1"/>
    <row r="17936" s="2" customFormat="1"/>
    <row r="17937" s="2" customFormat="1"/>
    <row r="17938" s="2" customFormat="1"/>
    <row r="17939" s="2" customFormat="1"/>
    <row r="17940" s="2" customFormat="1"/>
    <row r="17941" s="2" customFormat="1"/>
    <row r="17942" s="2" customFormat="1"/>
    <row r="17943" s="2" customFormat="1"/>
    <row r="17944" s="2" customFormat="1"/>
    <row r="17945" s="2" customFormat="1"/>
    <row r="17946" s="2" customFormat="1"/>
    <row r="17947" s="2" customFormat="1"/>
    <row r="17948" s="2" customFormat="1"/>
    <row r="17949" s="2" customFormat="1"/>
    <row r="17950" s="2" customFormat="1"/>
    <row r="17951" s="2" customFormat="1"/>
    <row r="17952" s="2" customFormat="1"/>
    <row r="17953" s="2" customFormat="1"/>
    <row r="17954" s="2" customFormat="1"/>
    <row r="17955" s="2" customFormat="1"/>
    <row r="17956" s="2" customFormat="1"/>
    <row r="17957" s="2" customFormat="1"/>
    <row r="17958" s="2" customFormat="1"/>
    <row r="17959" s="2" customFormat="1"/>
    <row r="17960" s="2" customFormat="1"/>
    <row r="17961" s="2" customFormat="1"/>
    <row r="17962" s="2" customFormat="1"/>
    <row r="17963" s="2" customFormat="1"/>
    <row r="17964" s="2" customFormat="1"/>
    <row r="17965" s="2" customFormat="1"/>
    <row r="17966" s="2" customFormat="1"/>
    <row r="17967" s="2" customFormat="1"/>
    <row r="17968" s="2" customFormat="1"/>
    <row r="17969" s="2" customFormat="1"/>
    <row r="17970" s="2" customFormat="1"/>
    <row r="17971" s="2" customFormat="1"/>
    <row r="17972" s="2" customFormat="1"/>
    <row r="17973" s="2" customFormat="1"/>
    <row r="17974" s="2" customFormat="1"/>
    <row r="17975" s="2" customFormat="1"/>
    <row r="17976" s="2" customFormat="1"/>
    <row r="17977" s="2" customFormat="1"/>
    <row r="17978" s="2" customFormat="1"/>
    <row r="17979" s="2" customFormat="1"/>
    <row r="17980" s="2" customFormat="1"/>
    <row r="17981" s="2" customFormat="1"/>
    <row r="17982" s="2" customFormat="1"/>
    <row r="17983" s="2" customFormat="1"/>
    <row r="17984" s="2" customFormat="1"/>
    <row r="17985" s="2" customFormat="1"/>
    <row r="17986" s="2" customFormat="1"/>
    <row r="17987" s="2" customFormat="1"/>
    <row r="17988" s="2" customFormat="1"/>
    <row r="17989" s="2" customFormat="1"/>
    <row r="17990" s="2" customFormat="1"/>
    <row r="17991" s="2" customFormat="1"/>
    <row r="17992" s="2" customFormat="1"/>
    <row r="17993" s="2" customFormat="1"/>
    <row r="17994" s="2" customFormat="1"/>
    <row r="17995" s="2" customFormat="1"/>
    <row r="17996" s="2" customFormat="1"/>
    <row r="17997" s="2" customFormat="1"/>
    <row r="17998" s="2" customFormat="1"/>
    <row r="17999" s="2" customFormat="1"/>
    <row r="18000" s="2" customFormat="1"/>
    <row r="18001" s="2" customFormat="1"/>
    <row r="18002" s="2" customFormat="1"/>
    <row r="18003" s="2" customFormat="1"/>
    <row r="18004" s="2" customFormat="1"/>
    <row r="18005" s="2" customFormat="1"/>
    <row r="18006" s="2" customFormat="1"/>
    <row r="18007" s="2" customFormat="1"/>
    <row r="18008" s="2" customFormat="1"/>
    <row r="18009" s="2" customFormat="1"/>
    <row r="18010" s="2" customFormat="1"/>
    <row r="18011" s="2" customFormat="1"/>
    <row r="18012" s="2" customFormat="1"/>
    <row r="18013" s="2" customFormat="1"/>
    <row r="18014" s="2" customFormat="1"/>
    <row r="18015" s="2" customFormat="1"/>
    <row r="18016" s="2" customFormat="1"/>
    <row r="18017" s="2" customFormat="1"/>
    <row r="18018" s="2" customFormat="1"/>
    <row r="18019" s="2" customFormat="1"/>
    <row r="18020" s="2" customFormat="1"/>
    <row r="18021" s="2" customFormat="1"/>
    <row r="18022" s="2" customFormat="1"/>
    <row r="18023" s="2" customFormat="1"/>
    <row r="18024" s="2" customFormat="1"/>
    <row r="18025" s="2" customFormat="1"/>
    <row r="18026" s="2" customFormat="1"/>
    <row r="18027" s="2" customFormat="1"/>
    <row r="18028" s="2" customFormat="1"/>
    <row r="18029" s="2" customFormat="1"/>
    <row r="18030" s="2" customFormat="1"/>
    <row r="18031" s="2" customFormat="1"/>
    <row r="18032" s="2" customFormat="1"/>
    <row r="18033" s="2" customFormat="1"/>
    <row r="18034" s="2" customFormat="1"/>
    <row r="18035" s="2" customFormat="1"/>
    <row r="18036" s="2" customFormat="1"/>
    <row r="18037" s="2" customFormat="1"/>
    <row r="18038" s="2" customFormat="1"/>
    <row r="18039" s="2" customFormat="1"/>
    <row r="18040" s="2" customFormat="1"/>
    <row r="18041" s="2" customFormat="1"/>
    <row r="18042" s="2" customFormat="1"/>
    <row r="18043" s="2" customFormat="1"/>
    <row r="18044" s="2" customFormat="1"/>
    <row r="18045" s="2" customFormat="1"/>
    <row r="18046" s="2" customFormat="1"/>
    <row r="18047" s="2" customFormat="1"/>
    <row r="18048" s="2" customFormat="1"/>
    <row r="18049" s="2" customFormat="1"/>
    <row r="18050" s="2" customFormat="1"/>
    <row r="18051" s="2" customFormat="1"/>
    <row r="18052" s="2" customFormat="1"/>
    <row r="18053" s="2" customFormat="1"/>
    <row r="18054" s="2" customFormat="1"/>
    <row r="18055" s="2" customFormat="1"/>
    <row r="18056" s="2" customFormat="1"/>
    <row r="18057" s="2" customFormat="1"/>
    <row r="18058" s="2" customFormat="1"/>
    <row r="18059" s="2" customFormat="1"/>
    <row r="18060" s="2" customFormat="1"/>
    <row r="18061" s="2" customFormat="1"/>
    <row r="18062" s="2" customFormat="1"/>
    <row r="18063" s="2" customFormat="1"/>
    <row r="18064" s="2" customFormat="1"/>
    <row r="18065" s="2" customFormat="1"/>
    <row r="18066" s="2" customFormat="1"/>
    <row r="18067" s="2" customFormat="1"/>
    <row r="18068" s="2" customFormat="1"/>
    <row r="18069" s="2" customFormat="1"/>
    <row r="18070" s="2" customFormat="1"/>
    <row r="18071" s="2" customFormat="1"/>
    <row r="18072" s="2" customFormat="1"/>
    <row r="18073" s="2" customFormat="1"/>
    <row r="18074" s="2" customFormat="1"/>
    <row r="18075" s="2" customFormat="1"/>
    <row r="18076" s="2" customFormat="1"/>
    <row r="18077" s="2" customFormat="1"/>
    <row r="18078" s="2" customFormat="1"/>
    <row r="18079" s="2" customFormat="1"/>
    <row r="18080" s="2" customFormat="1"/>
    <row r="18081" s="2" customFormat="1"/>
    <row r="18082" s="2" customFormat="1"/>
    <row r="18083" s="2" customFormat="1"/>
    <row r="18084" s="2" customFormat="1"/>
    <row r="18085" s="2" customFormat="1"/>
    <row r="18086" s="2" customFormat="1"/>
    <row r="18087" s="2" customFormat="1"/>
    <row r="18088" s="2" customFormat="1"/>
    <row r="18089" s="2" customFormat="1"/>
    <row r="18090" s="2" customFormat="1"/>
    <row r="18091" s="2" customFormat="1"/>
    <row r="18092" s="2" customFormat="1"/>
    <row r="18093" s="2" customFormat="1"/>
    <row r="18094" s="2" customFormat="1"/>
    <row r="18095" s="2" customFormat="1"/>
    <row r="18096" s="2" customFormat="1"/>
    <row r="18097" s="2" customFormat="1"/>
    <row r="18098" s="2" customFormat="1"/>
    <row r="18099" s="2" customFormat="1"/>
    <row r="18100" s="2" customFormat="1"/>
    <row r="18101" s="2" customFormat="1"/>
    <row r="18102" s="2" customFormat="1"/>
    <row r="18103" s="2" customFormat="1"/>
    <row r="18104" s="2" customFormat="1"/>
    <row r="18105" s="2" customFormat="1"/>
    <row r="18106" s="2" customFormat="1"/>
    <row r="18107" s="2" customFormat="1"/>
    <row r="18108" s="2" customFormat="1"/>
    <row r="18109" s="2" customFormat="1"/>
    <row r="18110" s="2" customFormat="1"/>
    <row r="18111" s="2" customFormat="1"/>
    <row r="18112" s="2" customFormat="1"/>
    <row r="18113" s="2" customFormat="1"/>
    <row r="18114" s="2" customFormat="1"/>
    <row r="18115" s="2" customFormat="1"/>
    <row r="18116" s="2" customFormat="1"/>
    <row r="18117" s="2" customFormat="1"/>
    <row r="18118" s="2" customFormat="1"/>
    <row r="18119" s="2" customFormat="1"/>
    <row r="18120" s="2" customFormat="1"/>
    <row r="18121" s="2" customFormat="1"/>
    <row r="18122" s="2" customFormat="1"/>
    <row r="18123" s="2" customFormat="1"/>
    <row r="18124" s="2" customFormat="1"/>
    <row r="18125" s="2" customFormat="1"/>
    <row r="18126" s="2" customFormat="1"/>
    <row r="18127" s="2" customFormat="1"/>
    <row r="18128" s="2" customFormat="1"/>
    <row r="18129" s="2" customFormat="1"/>
    <row r="18130" s="2" customFormat="1"/>
    <row r="18131" s="2" customFormat="1"/>
    <row r="18132" s="2" customFormat="1"/>
    <row r="18133" s="2" customFormat="1"/>
    <row r="18134" s="2" customFormat="1"/>
    <row r="18135" s="2" customFormat="1"/>
    <row r="18136" s="2" customFormat="1"/>
    <row r="18137" s="2" customFormat="1"/>
    <row r="18138" s="2" customFormat="1"/>
    <row r="18139" s="2" customFormat="1"/>
    <row r="18140" s="2" customFormat="1"/>
    <row r="18141" s="2" customFormat="1"/>
    <row r="18142" s="2" customFormat="1"/>
    <row r="18143" s="2" customFormat="1"/>
    <row r="18144" s="2" customFormat="1"/>
    <row r="18145" s="2" customFormat="1"/>
    <row r="18146" s="2" customFormat="1"/>
    <row r="18147" s="2" customFormat="1"/>
    <row r="18148" s="2" customFormat="1"/>
    <row r="18149" s="2" customFormat="1"/>
    <row r="18150" s="2" customFormat="1"/>
    <row r="18151" s="2" customFormat="1"/>
    <row r="18152" s="2" customFormat="1"/>
    <row r="18153" s="2" customFormat="1"/>
    <row r="18154" s="2" customFormat="1"/>
    <row r="18155" s="2" customFormat="1"/>
    <row r="18156" s="2" customFormat="1"/>
    <row r="18157" s="2" customFormat="1"/>
    <row r="18158" s="2" customFormat="1"/>
    <row r="18159" s="2" customFormat="1"/>
    <row r="18160" s="2" customFormat="1"/>
    <row r="18161" s="2" customFormat="1"/>
    <row r="18162" s="2" customFormat="1"/>
    <row r="18163" s="2" customFormat="1"/>
    <row r="18164" s="2" customFormat="1"/>
    <row r="18165" s="2" customFormat="1"/>
    <row r="18166" s="2" customFormat="1"/>
    <row r="18167" s="2" customFormat="1"/>
    <row r="18168" s="2" customFormat="1"/>
    <row r="18169" s="2" customFormat="1"/>
    <row r="18170" s="2" customFormat="1"/>
    <row r="18171" s="2" customFormat="1"/>
    <row r="18172" s="2" customFormat="1"/>
    <row r="18173" s="2" customFormat="1"/>
    <row r="18174" s="2" customFormat="1"/>
    <row r="18175" s="2" customFormat="1"/>
    <row r="18176" s="2" customFormat="1"/>
    <row r="18177" s="2" customFormat="1"/>
    <row r="18178" s="2" customFormat="1"/>
    <row r="18179" s="2" customFormat="1"/>
    <row r="18180" s="2" customFormat="1"/>
    <row r="18181" s="2" customFormat="1"/>
    <row r="18182" s="2" customFormat="1"/>
    <row r="18183" s="2" customFormat="1"/>
    <row r="18184" s="2" customFormat="1"/>
    <row r="18185" s="2" customFormat="1"/>
    <row r="18186" s="2" customFormat="1"/>
    <row r="18187" s="2" customFormat="1"/>
    <row r="18188" s="2" customFormat="1"/>
    <row r="18189" s="2" customFormat="1"/>
    <row r="18190" s="2" customFormat="1"/>
    <row r="18191" s="2" customFormat="1"/>
    <row r="18192" s="2" customFormat="1"/>
    <row r="18193" s="2" customFormat="1"/>
    <row r="18194" s="2" customFormat="1"/>
    <row r="18195" s="2" customFormat="1"/>
    <row r="18196" s="2" customFormat="1"/>
    <row r="18197" s="2" customFormat="1"/>
    <row r="18198" s="2" customFormat="1"/>
    <row r="18199" s="2" customFormat="1"/>
    <row r="18200" s="2" customFormat="1"/>
    <row r="18201" s="2" customFormat="1"/>
    <row r="18202" s="2" customFormat="1"/>
    <row r="18203" s="2" customFormat="1"/>
    <row r="18204" s="2" customFormat="1"/>
    <row r="18205" s="2" customFormat="1"/>
    <row r="18206" s="2" customFormat="1"/>
    <row r="18207" s="2" customFormat="1"/>
    <row r="18208" s="2" customFormat="1"/>
    <row r="18209" s="2" customFormat="1"/>
    <row r="18210" s="2" customFormat="1"/>
    <row r="18211" s="2" customFormat="1"/>
    <row r="18212" s="2" customFormat="1"/>
    <row r="18213" s="2" customFormat="1"/>
    <row r="18214" s="2" customFormat="1"/>
    <row r="18215" s="2" customFormat="1"/>
    <row r="18216" s="2" customFormat="1"/>
    <row r="18217" s="2" customFormat="1"/>
    <row r="18218" s="2" customFormat="1"/>
    <row r="18219" s="2" customFormat="1"/>
    <row r="18220" s="2" customFormat="1"/>
    <row r="18221" s="2" customFormat="1"/>
    <row r="18222" s="2" customFormat="1"/>
    <row r="18223" s="2" customFormat="1"/>
    <row r="18224" s="2" customFormat="1"/>
    <row r="18225" s="2" customFormat="1"/>
    <row r="18226" s="2" customFormat="1"/>
    <row r="18227" s="2" customFormat="1"/>
    <row r="18228" s="2" customFormat="1"/>
    <row r="18229" s="2" customFormat="1"/>
    <row r="18230" s="2" customFormat="1"/>
    <row r="18231" s="2" customFormat="1"/>
    <row r="18232" s="2" customFormat="1"/>
    <row r="18233" s="2" customFormat="1"/>
    <row r="18234" s="2" customFormat="1"/>
    <row r="18235" s="2" customFormat="1"/>
    <row r="18236" s="2" customFormat="1"/>
    <row r="18237" s="2" customFormat="1"/>
    <row r="18238" s="2" customFormat="1"/>
    <row r="18239" s="2" customFormat="1"/>
    <row r="18240" s="2" customFormat="1"/>
    <row r="18241" s="2" customFormat="1"/>
    <row r="18242" s="2" customFormat="1"/>
    <row r="18243" s="2" customFormat="1"/>
    <row r="18244" s="2" customFormat="1"/>
    <row r="18245" s="2" customFormat="1"/>
    <row r="18246" s="2" customFormat="1"/>
    <row r="18247" s="2" customFormat="1"/>
    <row r="18248" s="2" customFormat="1"/>
    <row r="18249" s="2" customFormat="1"/>
    <row r="18250" s="2" customFormat="1"/>
    <row r="18251" s="2" customFormat="1"/>
    <row r="18252" s="2" customFormat="1"/>
    <row r="18253" s="2" customFormat="1"/>
    <row r="18254" s="2" customFormat="1"/>
    <row r="18255" s="2" customFormat="1"/>
    <row r="18256" s="2" customFormat="1"/>
    <row r="18257" s="2" customFormat="1"/>
    <row r="18258" s="2" customFormat="1"/>
    <row r="18259" s="2" customFormat="1"/>
    <row r="18260" s="2" customFormat="1"/>
    <row r="18261" s="2" customFormat="1"/>
    <row r="18262" s="2" customFormat="1"/>
    <row r="18263" s="2" customFormat="1"/>
    <row r="18264" s="2" customFormat="1"/>
    <row r="18265" s="2" customFormat="1"/>
    <row r="18266" s="2" customFormat="1"/>
    <row r="18267" s="2" customFormat="1"/>
    <row r="18268" s="2" customFormat="1"/>
    <row r="18269" s="2" customFormat="1"/>
    <row r="18270" s="2" customFormat="1"/>
    <row r="18271" s="2" customFormat="1"/>
    <row r="18272" s="2" customFormat="1"/>
    <row r="18273" s="2" customFormat="1"/>
    <row r="18274" s="2" customFormat="1"/>
    <row r="18275" s="2" customFormat="1"/>
    <row r="18276" s="2" customFormat="1"/>
    <row r="18277" s="2" customFormat="1"/>
    <row r="18278" s="2" customFormat="1"/>
    <row r="18279" s="2" customFormat="1"/>
    <row r="18280" s="2" customFormat="1"/>
    <row r="18281" s="2" customFormat="1"/>
    <row r="18282" s="2" customFormat="1"/>
    <row r="18283" s="2" customFormat="1"/>
    <row r="18284" s="2" customFormat="1"/>
    <row r="18285" s="2" customFormat="1"/>
    <row r="18286" s="2" customFormat="1"/>
    <row r="18287" s="2" customFormat="1"/>
    <row r="18288" s="2" customFormat="1"/>
    <row r="18289" s="2" customFormat="1"/>
    <row r="18290" s="2" customFormat="1"/>
    <row r="18291" s="2" customFormat="1"/>
    <row r="18292" s="2" customFormat="1"/>
    <row r="18293" s="2" customFormat="1"/>
    <row r="18294" s="2" customFormat="1"/>
    <row r="18295" s="2" customFormat="1"/>
    <row r="18296" s="2" customFormat="1"/>
    <row r="18297" s="2" customFormat="1"/>
    <row r="18298" s="2" customFormat="1"/>
    <row r="18299" s="2" customFormat="1"/>
    <row r="18300" s="2" customFormat="1"/>
    <row r="18301" s="2" customFormat="1"/>
    <row r="18302" s="2" customFormat="1"/>
    <row r="18303" s="2" customFormat="1"/>
    <row r="18304" s="2" customFormat="1"/>
    <row r="18305" s="2" customFormat="1"/>
    <row r="18306" s="2" customFormat="1"/>
    <row r="18307" s="2" customFormat="1"/>
    <row r="18308" s="2" customFormat="1"/>
    <row r="18309" s="2" customFormat="1"/>
    <row r="18310" s="2" customFormat="1"/>
    <row r="18311" s="2" customFormat="1"/>
    <row r="18312" s="2" customFormat="1"/>
    <row r="18313" s="2" customFormat="1"/>
    <row r="18314" s="2" customFormat="1"/>
    <row r="18315" s="2" customFormat="1"/>
    <row r="18316" s="2" customFormat="1"/>
    <row r="18317" s="2" customFormat="1"/>
    <row r="18318" s="2" customFormat="1"/>
    <row r="18319" s="2" customFormat="1"/>
    <row r="18320" s="2" customFormat="1"/>
    <row r="18321" s="2" customFormat="1"/>
    <row r="18322" s="2" customFormat="1"/>
    <row r="18323" s="2" customFormat="1"/>
    <row r="18324" s="2" customFormat="1"/>
    <row r="18325" s="2" customFormat="1"/>
    <row r="18326" s="2" customFormat="1"/>
    <row r="18327" s="2" customFormat="1"/>
    <row r="18328" s="2" customFormat="1"/>
    <row r="18329" s="2" customFormat="1"/>
    <row r="18330" s="2" customFormat="1"/>
    <row r="18331" s="2" customFormat="1"/>
    <row r="18332" s="2" customFormat="1"/>
    <row r="18333" s="2" customFormat="1"/>
    <row r="18334" s="2" customFormat="1"/>
    <row r="18335" s="2" customFormat="1"/>
    <row r="18336" s="2" customFormat="1"/>
    <row r="18337" s="2" customFormat="1"/>
    <row r="18338" s="2" customFormat="1"/>
    <row r="18339" s="2" customFormat="1"/>
    <row r="18340" s="2" customFormat="1"/>
    <row r="18341" s="2" customFormat="1"/>
    <row r="18342" s="2" customFormat="1"/>
    <row r="18343" s="2" customFormat="1"/>
    <row r="18344" s="2" customFormat="1"/>
    <row r="18345" s="2" customFormat="1"/>
    <row r="18346" s="2" customFormat="1"/>
    <row r="18347" s="2" customFormat="1"/>
    <row r="18348" s="2" customFormat="1"/>
    <row r="18349" s="2" customFormat="1"/>
    <row r="18350" s="2" customFormat="1"/>
    <row r="18351" s="2" customFormat="1"/>
    <row r="18352" s="2" customFormat="1"/>
    <row r="18353" s="2" customFormat="1"/>
    <row r="18354" s="2" customFormat="1"/>
    <row r="18355" s="2" customFormat="1"/>
    <row r="18356" s="2" customFormat="1"/>
    <row r="18357" s="2" customFormat="1"/>
    <row r="18358" s="2" customFormat="1"/>
    <row r="18359" s="2" customFormat="1"/>
    <row r="18360" s="2" customFormat="1"/>
    <row r="18361" s="2" customFormat="1"/>
    <row r="18362" s="2" customFormat="1"/>
    <row r="18363" s="2" customFormat="1"/>
    <row r="18364" s="2" customFormat="1"/>
    <row r="18365" s="2" customFormat="1"/>
    <row r="18366" s="2" customFormat="1"/>
    <row r="18367" s="2" customFormat="1"/>
    <row r="18368" s="2" customFormat="1"/>
    <row r="18369" s="2" customFormat="1"/>
    <row r="18370" s="2" customFormat="1"/>
    <row r="18371" s="2" customFormat="1"/>
    <row r="18372" s="2" customFormat="1"/>
    <row r="18373" s="2" customFormat="1"/>
    <row r="18374" s="2" customFormat="1"/>
    <row r="18375" s="2" customFormat="1"/>
    <row r="18376" s="2" customFormat="1"/>
    <row r="18377" s="2" customFormat="1"/>
    <row r="18378" s="2" customFormat="1"/>
    <row r="18379" s="2" customFormat="1"/>
    <row r="18380" s="2" customFormat="1"/>
    <row r="18381" s="2" customFormat="1"/>
    <row r="18382" s="2" customFormat="1"/>
    <row r="18383" s="2" customFormat="1"/>
    <row r="18384" s="2" customFormat="1"/>
    <row r="18385" s="2" customFormat="1"/>
    <row r="18386" s="2" customFormat="1"/>
    <row r="18387" s="2" customFormat="1"/>
    <row r="18388" s="2" customFormat="1"/>
    <row r="18389" s="2" customFormat="1"/>
    <row r="18390" s="2" customFormat="1"/>
    <row r="18391" s="2" customFormat="1"/>
    <row r="18392" s="2" customFormat="1"/>
    <row r="18393" s="2" customFormat="1"/>
    <row r="18394" s="2" customFormat="1"/>
    <row r="18395" s="2" customFormat="1"/>
    <row r="18396" s="2" customFormat="1"/>
    <row r="18397" s="2" customFormat="1"/>
    <row r="18398" s="2" customFormat="1"/>
    <row r="18399" s="2" customFormat="1"/>
    <row r="18400" s="2" customFormat="1"/>
    <row r="18401" s="2" customFormat="1"/>
    <row r="18402" s="2" customFormat="1"/>
    <row r="18403" s="2" customFormat="1"/>
    <row r="18404" s="2" customFormat="1"/>
    <row r="18405" s="2" customFormat="1"/>
    <row r="18406" s="2" customFormat="1"/>
    <row r="18407" s="2" customFormat="1"/>
    <row r="18408" s="2" customFormat="1"/>
    <row r="18409" s="2" customFormat="1"/>
    <row r="18410" s="2" customFormat="1"/>
    <row r="18411" s="2" customFormat="1"/>
    <row r="18412" s="2" customFormat="1"/>
    <row r="18413" s="2" customFormat="1"/>
    <row r="18414" s="2" customFormat="1"/>
    <row r="18415" s="2" customFormat="1"/>
    <row r="18416" s="2" customFormat="1"/>
    <row r="18417" s="2" customFormat="1"/>
    <row r="18418" s="2" customFormat="1"/>
    <row r="18419" s="2" customFormat="1"/>
    <row r="18420" s="2" customFormat="1"/>
    <row r="18421" s="2" customFormat="1"/>
    <row r="18422" s="2" customFormat="1"/>
    <row r="18423" s="2" customFormat="1"/>
    <row r="18424" s="2" customFormat="1"/>
    <row r="18425" s="2" customFormat="1"/>
    <row r="18426" s="2" customFormat="1"/>
    <row r="18427" s="2" customFormat="1"/>
    <row r="18428" s="2" customFormat="1"/>
    <row r="18429" s="2" customFormat="1"/>
    <row r="18430" s="2" customFormat="1"/>
    <row r="18431" s="2" customFormat="1"/>
    <row r="18432" s="2" customFormat="1"/>
    <row r="18433" s="2" customFormat="1"/>
    <row r="18434" s="2" customFormat="1"/>
    <row r="18435" s="2" customFormat="1"/>
    <row r="18436" s="2" customFormat="1"/>
    <row r="18437" s="2" customFormat="1"/>
    <row r="18438" s="2" customFormat="1"/>
    <row r="18439" s="2" customFormat="1"/>
    <row r="18440" s="2" customFormat="1"/>
    <row r="18441" s="2" customFormat="1"/>
    <row r="18442" s="2" customFormat="1"/>
    <row r="18443" s="2" customFormat="1"/>
    <row r="18444" s="2" customFormat="1"/>
    <row r="18445" s="2" customFormat="1"/>
    <row r="18446" s="2" customFormat="1"/>
    <row r="18447" s="2" customFormat="1"/>
    <row r="18448" s="2" customFormat="1"/>
    <row r="18449" s="2" customFormat="1"/>
    <row r="18450" s="2" customFormat="1"/>
    <row r="18451" s="2" customFormat="1"/>
    <row r="18452" s="2" customFormat="1"/>
    <row r="18453" s="2" customFormat="1"/>
    <row r="18454" s="2" customFormat="1"/>
    <row r="18455" s="2" customFormat="1"/>
    <row r="18456" s="2" customFormat="1"/>
    <row r="18457" s="2" customFormat="1"/>
    <row r="18458" s="2" customFormat="1"/>
    <row r="18459" s="2" customFormat="1"/>
    <row r="18460" s="2" customFormat="1"/>
    <row r="18461" s="2" customFormat="1"/>
    <row r="18462" s="2" customFormat="1"/>
    <row r="18463" s="2" customFormat="1"/>
    <row r="18464" s="2" customFormat="1"/>
    <row r="18465" s="2" customFormat="1"/>
    <row r="18466" s="2" customFormat="1"/>
    <row r="18467" s="2" customFormat="1"/>
    <row r="18468" s="2" customFormat="1"/>
    <row r="18469" s="2" customFormat="1"/>
    <row r="18470" s="2" customFormat="1"/>
    <row r="18471" s="2" customFormat="1"/>
    <row r="18472" s="2" customFormat="1"/>
    <row r="18473" s="2" customFormat="1"/>
    <row r="18474" s="2" customFormat="1"/>
    <row r="18475" s="2" customFormat="1"/>
    <row r="18476" s="2" customFormat="1"/>
    <row r="18477" s="2" customFormat="1"/>
    <row r="18478" s="2" customFormat="1"/>
    <row r="18479" s="2" customFormat="1"/>
    <row r="18480" s="2" customFormat="1"/>
    <row r="18481" s="2" customFormat="1"/>
    <row r="18482" s="2" customFormat="1"/>
    <row r="18483" s="2" customFormat="1"/>
    <row r="18484" s="2" customFormat="1"/>
    <row r="18485" s="2" customFormat="1"/>
    <row r="18486" s="2" customFormat="1"/>
    <row r="18487" s="2" customFormat="1"/>
    <row r="18488" s="2" customFormat="1"/>
    <row r="18489" s="2" customFormat="1"/>
    <row r="18490" s="2" customFormat="1"/>
    <row r="18491" s="2" customFormat="1"/>
    <row r="18492" s="2" customFormat="1"/>
    <row r="18493" s="2" customFormat="1"/>
    <row r="18494" s="2" customFormat="1"/>
    <row r="18495" s="2" customFormat="1"/>
    <row r="18496" s="2" customFormat="1"/>
    <row r="18497" s="2" customFormat="1"/>
    <row r="18498" s="2" customFormat="1"/>
    <row r="18499" s="2" customFormat="1"/>
    <row r="18500" s="2" customFormat="1"/>
    <row r="18501" s="2" customFormat="1"/>
    <row r="18502" s="2" customFormat="1"/>
    <row r="18503" s="2" customFormat="1"/>
    <row r="18504" s="2" customFormat="1"/>
    <row r="18505" s="2" customFormat="1"/>
    <row r="18506" s="2" customFormat="1"/>
    <row r="18507" s="2" customFormat="1"/>
    <row r="18508" s="2" customFormat="1"/>
    <row r="18509" s="2" customFormat="1"/>
    <row r="18510" s="2" customFormat="1"/>
    <row r="18511" s="2" customFormat="1"/>
    <row r="18512" s="2" customFormat="1"/>
    <row r="18513" s="2" customFormat="1"/>
    <row r="18514" s="2" customFormat="1"/>
    <row r="18515" s="2" customFormat="1"/>
    <row r="18516" s="2" customFormat="1"/>
    <row r="18517" s="2" customFormat="1"/>
    <row r="18518" s="2" customFormat="1"/>
    <row r="18519" s="2" customFormat="1"/>
    <row r="18520" s="2" customFormat="1"/>
    <row r="18521" s="2" customFormat="1"/>
    <row r="18522" s="2" customFormat="1"/>
    <row r="18523" s="2" customFormat="1"/>
    <row r="18524" s="2" customFormat="1"/>
    <row r="18525" s="2" customFormat="1"/>
    <row r="18526" s="2" customFormat="1"/>
    <row r="18527" s="2" customFormat="1"/>
    <row r="18528" s="2" customFormat="1"/>
    <row r="18529" s="2" customFormat="1"/>
    <row r="18530" s="2" customFormat="1"/>
    <row r="18531" s="2" customFormat="1"/>
    <row r="18532" s="2" customFormat="1"/>
    <row r="18533" s="2" customFormat="1"/>
    <row r="18534" s="2" customFormat="1"/>
    <row r="18535" s="2" customFormat="1"/>
    <row r="18536" s="2" customFormat="1"/>
    <row r="18537" s="2" customFormat="1"/>
    <row r="18538" s="2" customFormat="1"/>
    <row r="18539" s="2" customFormat="1"/>
    <row r="18540" s="2" customFormat="1"/>
    <row r="18541" s="2" customFormat="1"/>
    <row r="18542" s="2" customFormat="1"/>
    <row r="18543" s="2" customFormat="1"/>
    <row r="18544" s="2" customFormat="1"/>
    <row r="18545" s="2" customFormat="1"/>
    <row r="18546" s="2" customFormat="1"/>
    <row r="18547" s="2" customFormat="1"/>
    <row r="18548" s="2" customFormat="1"/>
    <row r="18549" s="2" customFormat="1"/>
    <row r="18550" s="2" customFormat="1"/>
    <row r="18551" s="2" customFormat="1"/>
    <row r="18552" s="2" customFormat="1"/>
    <row r="18553" s="2" customFormat="1"/>
    <row r="18554" s="2" customFormat="1"/>
    <row r="18555" s="2" customFormat="1"/>
    <row r="18556" s="2" customFormat="1"/>
    <row r="18557" s="2" customFormat="1"/>
    <row r="18558" s="2" customFormat="1"/>
    <row r="18559" s="2" customFormat="1"/>
    <row r="18560" s="2" customFormat="1"/>
    <row r="18561" s="2" customFormat="1"/>
    <row r="18562" s="2" customFormat="1"/>
    <row r="18563" s="2" customFormat="1"/>
    <row r="18564" s="2" customFormat="1"/>
    <row r="18565" s="2" customFormat="1"/>
    <row r="18566" s="2" customFormat="1"/>
    <row r="18567" s="2" customFormat="1"/>
    <row r="18568" s="2" customFormat="1"/>
    <row r="18569" s="2" customFormat="1"/>
    <row r="18570" s="2" customFormat="1"/>
    <row r="18571" s="2" customFormat="1"/>
    <row r="18572" s="2" customFormat="1"/>
    <row r="18573" s="2" customFormat="1"/>
    <row r="18574" s="2" customFormat="1"/>
    <row r="18575" s="2" customFormat="1"/>
    <row r="18576" s="2" customFormat="1"/>
    <row r="18577" s="2" customFormat="1"/>
    <row r="18578" s="2" customFormat="1"/>
    <row r="18579" s="2" customFormat="1"/>
    <row r="18580" s="2" customFormat="1"/>
    <row r="18581" s="2" customFormat="1"/>
    <row r="18582" s="2" customFormat="1"/>
    <row r="18583" s="2" customFormat="1"/>
    <row r="18584" s="2" customFormat="1"/>
    <row r="18585" s="2" customFormat="1"/>
    <row r="18586" s="2" customFormat="1"/>
    <row r="18587" s="2" customFormat="1"/>
    <row r="18588" s="2" customFormat="1"/>
    <row r="18589" s="2" customFormat="1"/>
    <row r="18590" s="2" customFormat="1"/>
    <row r="18591" s="2" customFormat="1"/>
    <row r="18592" s="2" customFormat="1"/>
    <row r="18593" s="2" customFormat="1"/>
    <row r="18594" s="2" customFormat="1"/>
    <row r="18595" s="2" customFormat="1"/>
    <row r="18596" s="2" customFormat="1"/>
    <row r="18597" s="2" customFormat="1"/>
    <row r="18598" s="2" customFormat="1"/>
    <row r="18599" s="2" customFormat="1"/>
    <row r="18600" s="2" customFormat="1"/>
    <row r="18601" s="2" customFormat="1"/>
    <row r="18602" s="2" customFormat="1"/>
    <row r="18603" s="2" customFormat="1"/>
    <row r="18604" s="2" customFormat="1"/>
    <row r="18605" s="2" customFormat="1"/>
    <row r="18606" s="2" customFormat="1"/>
    <row r="18607" s="2" customFormat="1"/>
    <row r="18608" s="2" customFormat="1"/>
    <row r="18609" s="2" customFormat="1"/>
    <row r="18610" s="2" customFormat="1"/>
    <row r="18611" s="2" customFormat="1"/>
    <row r="18612" s="2" customFormat="1"/>
    <row r="18613" s="2" customFormat="1"/>
    <row r="18614" s="2" customFormat="1"/>
    <row r="18615" s="2" customFormat="1"/>
    <row r="18616" s="2" customFormat="1"/>
    <row r="18617" s="2" customFormat="1"/>
    <row r="18618" s="2" customFormat="1"/>
    <row r="18619" s="2" customFormat="1"/>
    <row r="18620" s="2" customFormat="1"/>
    <row r="18621" s="2" customFormat="1"/>
    <row r="18622" s="2" customFormat="1"/>
    <row r="18623" s="2" customFormat="1"/>
    <row r="18624" s="2" customFormat="1"/>
    <row r="18625" s="2" customFormat="1"/>
    <row r="18626" s="2" customFormat="1"/>
    <row r="18627" s="2" customFormat="1"/>
    <row r="18628" s="2" customFormat="1"/>
    <row r="18629" s="2" customFormat="1"/>
    <row r="18630" s="2" customFormat="1"/>
    <row r="18631" s="2" customFormat="1"/>
    <row r="18632" s="2" customFormat="1"/>
    <row r="18633" s="2" customFormat="1"/>
    <row r="18634" s="2" customFormat="1"/>
    <row r="18635" s="2" customFormat="1"/>
    <row r="18636" s="2" customFormat="1"/>
    <row r="18637" s="2" customFormat="1"/>
    <row r="18638" s="2" customFormat="1"/>
    <row r="18639" s="2" customFormat="1"/>
    <row r="18640" s="2" customFormat="1"/>
    <row r="18641" s="2" customFormat="1"/>
    <row r="18642" s="2" customFormat="1"/>
    <row r="18643" s="2" customFormat="1"/>
    <row r="18644" s="2" customFormat="1"/>
    <row r="18645" s="2" customFormat="1"/>
    <row r="18646" s="2" customFormat="1"/>
    <row r="18647" s="2" customFormat="1"/>
    <row r="18648" s="2" customFormat="1"/>
    <row r="18649" s="2" customFormat="1"/>
    <row r="18650" s="2" customFormat="1"/>
    <row r="18651" s="2" customFormat="1"/>
    <row r="18652" s="2" customFormat="1"/>
    <row r="18653" s="2" customFormat="1"/>
    <row r="18654" s="2" customFormat="1"/>
    <row r="18655" s="2" customFormat="1"/>
    <row r="18656" s="2" customFormat="1"/>
    <row r="18657" s="2" customFormat="1"/>
    <row r="18658" s="2" customFormat="1"/>
    <row r="18659" s="2" customFormat="1"/>
    <row r="18660" s="2" customFormat="1"/>
    <row r="18661" s="2" customFormat="1"/>
    <row r="18662" s="2" customFormat="1"/>
    <row r="18663" s="2" customFormat="1"/>
    <row r="18664" s="2" customFormat="1"/>
    <row r="18665" s="2" customFormat="1"/>
    <row r="18666" s="2" customFormat="1"/>
    <row r="18667" s="2" customFormat="1"/>
    <row r="18668" s="2" customFormat="1"/>
    <row r="18669" s="2" customFormat="1"/>
    <row r="18670" s="2" customFormat="1"/>
    <row r="18671" s="2" customFormat="1"/>
    <row r="18672" s="2" customFormat="1"/>
    <row r="18673" s="2" customFormat="1"/>
    <row r="18674" s="2" customFormat="1"/>
    <row r="18675" s="2" customFormat="1"/>
    <row r="18676" s="2" customFormat="1"/>
    <row r="18677" s="2" customFormat="1"/>
    <row r="18678" s="2" customFormat="1"/>
    <row r="18679" s="2" customFormat="1"/>
    <row r="18680" s="2" customFormat="1"/>
    <row r="18681" s="2" customFormat="1"/>
    <row r="18682" s="2" customFormat="1"/>
    <row r="18683" s="2" customFormat="1"/>
    <row r="18684" s="2" customFormat="1"/>
    <row r="18685" s="2" customFormat="1"/>
    <row r="18686" s="2" customFormat="1"/>
    <row r="18687" s="2" customFormat="1"/>
    <row r="18688" s="2" customFormat="1"/>
    <row r="18689" s="2" customFormat="1"/>
    <row r="18690" s="2" customFormat="1"/>
    <row r="18691" s="2" customFormat="1"/>
    <row r="18692" s="2" customFormat="1"/>
    <row r="18693" s="2" customFormat="1"/>
    <row r="18694" s="2" customFormat="1"/>
    <row r="18695" s="2" customFormat="1"/>
    <row r="18696" s="2" customFormat="1"/>
    <row r="18697" s="2" customFormat="1"/>
    <row r="18698" s="2" customFormat="1"/>
    <row r="18699" s="2" customFormat="1"/>
    <row r="18700" s="2" customFormat="1"/>
    <row r="18701" s="2" customFormat="1"/>
    <row r="18702" s="2" customFormat="1"/>
    <row r="18703" s="2" customFormat="1"/>
    <row r="18704" s="2" customFormat="1"/>
    <row r="18705" s="2" customFormat="1"/>
    <row r="18706" s="2" customFormat="1"/>
    <row r="18707" s="2" customFormat="1"/>
    <row r="18708" s="2" customFormat="1"/>
    <row r="18709" s="2" customFormat="1"/>
    <row r="18710" s="2" customFormat="1"/>
    <row r="18711" s="2" customFormat="1"/>
    <row r="18712" s="2" customFormat="1"/>
    <row r="18713" s="2" customFormat="1"/>
    <row r="18714" s="2" customFormat="1"/>
    <row r="18715" s="2" customFormat="1"/>
    <row r="18716" s="2" customFormat="1"/>
    <row r="18717" s="2" customFormat="1"/>
    <row r="18718" s="2" customFormat="1"/>
    <row r="18719" s="2" customFormat="1"/>
    <row r="18720" s="2" customFormat="1"/>
    <row r="18721" s="2" customFormat="1"/>
    <row r="18722" s="2" customFormat="1"/>
    <row r="18723" s="2" customFormat="1"/>
    <row r="18724" s="2" customFormat="1"/>
    <row r="18725" s="2" customFormat="1"/>
    <row r="18726" s="2" customFormat="1"/>
    <row r="18727" s="2" customFormat="1"/>
    <row r="18728" s="2" customFormat="1"/>
    <row r="18729" s="2" customFormat="1"/>
    <row r="18730" s="2" customFormat="1"/>
    <row r="18731" s="2" customFormat="1"/>
    <row r="18732" s="2" customFormat="1"/>
    <row r="18733" s="2" customFormat="1"/>
    <row r="18734" s="2" customFormat="1"/>
    <row r="18735" s="2" customFormat="1"/>
    <row r="18736" s="2" customFormat="1"/>
    <row r="18737" s="2" customFormat="1"/>
    <row r="18738" s="2" customFormat="1"/>
    <row r="18739" s="2" customFormat="1"/>
    <row r="18740" s="2" customFormat="1"/>
    <row r="18741" s="2" customFormat="1"/>
    <row r="18742" s="2" customFormat="1"/>
    <row r="18743" s="2" customFormat="1"/>
    <row r="18744" s="2" customFormat="1"/>
    <row r="18745" s="2" customFormat="1"/>
    <row r="18746" s="2" customFormat="1"/>
    <row r="18747" s="2" customFormat="1"/>
    <row r="18748" s="2" customFormat="1"/>
    <row r="18749" s="2" customFormat="1"/>
    <row r="18750" s="2" customFormat="1"/>
    <row r="18751" s="2" customFormat="1"/>
    <row r="18752" s="2" customFormat="1"/>
    <row r="18753" s="2" customFormat="1"/>
    <row r="18754" s="2" customFormat="1"/>
    <row r="18755" s="2" customFormat="1"/>
    <row r="18756" s="2" customFormat="1"/>
    <row r="18757" s="2" customFormat="1"/>
    <row r="18758" s="2" customFormat="1"/>
    <row r="18759" s="2" customFormat="1"/>
    <row r="18760" s="2" customFormat="1"/>
    <row r="18761" s="2" customFormat="1"/>
    <row r="18762" s="2" customFormat="1"/>
    <row r="18763" s="2" customFormat="1"/>
    <row r="18764" s="2" customFormat="1"/>
    <row r="18765" s="2" customFormat="1"/>
    <row r="18766" s="2" customFormat="1"/>
    <row r="18767" s="2" customFormat="1"/>
    <row r="18768" s="2" customFormat="1"/>
    <row r="18769" s="2" customFormat="1"/>
    <row r="18770" s="2" customFormat="1"/>
    <row r="18771" s="2" customFormat="1"/>
    <row r="18772" s="2" customFormat="1"/>
    <row r="18773" s="2" customFormat="1"/>
    <row r="18774" s="2" customFormat="1"/>
    <row r="18775" s="2" customFormat="1"/>
    <row r="18776" s="2" customFormat="1"/>
    <row r="18777" s="2" customFormat="1"/>
    <row r="18778" s="2" customFormat="1"/>
    <row r="18779" s="2" customFormat="1"/>
    <row r="18780" s="2" customFormat="1"/>
    <row r="18781" s="2" customFormat="1"/>
    <row r="18782" s="2" customFormat="1"/>
    <row r="18783" s="2" customFormat="1"/>
    <row r="18784" s="2" customFormat="1"/>
    <row r="18785" s="2" customFormat="1"/>
    <row r="18786" s="2" customFormat="1"/>
    <row r="18787" s="2" customFormat="1"/>
    <row r="18788" s="2" customFormat="1"/>
    <row r="18789" s="2" customFormat="1"/>
    <row r="18790" s="2" customFormat="1"/>
    <row r="18791" s="2" customFormat="1"/>
    <row r="18792" s="2" customFormat="1"/>
    <row r="18793" s="2" customFormat="1"/>
    <row r="18794" s="2" customFormat="1"/>
    <row r="18795" s="2" customFormat="1"/>
    <row r="18796" s="2" customFormat="1"/>
    <row r="18797" s="2" customFormat="1"/>
    <row r="18798" s="2" customFormat="1"/>
    <row r="18799" s="2" customFormat="1"/>
    <row r="18800" s="2" customFormat="1"/>
    <row r="18801" s="2" customFormat="1"/>
    <row r="18802" s="2" customFormat="1"/>
    <row r="18803" s="2" customFormat="1"/>
    <row r="18804" s="2" customFormat="1"/>
    <row r="18805" s="2" customFormat="1"/>
    <row r="18806" s="2" customFormat="1"/>
    <row r="18807" s="2" customFormat="1"/>
    <row r="18808" s="2" customFormat="1"/>
    <row r="18809" s="2" customFormat="1"/>
    <row r="18810" s="2" customFormat="1"/>
    <row r="18811" s="2" customFormat="1"/>
    <row r="18812" s="2" customFormat="1"/>
    <row r="18813" s="2" customFormat="1"/>
    <row r="18814" s="2" customFormat="1"/>
    <row r="18815" s="2" customFormat="1"/>
    <row r="18816" s="2" customFormat="1"/>
    <row r="18817" s="2" customFormat="1"/>
    <row r="18818" s="2" customFormat="1"/>
    <row r="18819" s="2" customFormat="1"/>
    <row r="18820" s="2" customFormat="1"/>
    <row r="18821" s="2" customFormat="1"/>
    <row r="18822" s="2" customFormat="1"/>
    <row r="18823" s="2" customFormat="1"/>
    <row r="18824" s="2" customFormat="1"/>
    <row r="18825" s="2" customFormat="1"/>
    <row r="18826" s="2" customFormat="1"/>
    <row r="18827" s="2" customFormat="1"/>
    <row r="18828" s="2" customFormat="1"/>
    <row r="18829" s="2" customFormat="1"/>
    <row r="18830" s="2" customFormat="1"/>
    <row r="18831" s="2" customFormat="1"/>
    <row r="18832" s="2" customFormat="1"/>
    <row r="18833" s="2" customFormat="1"/>
    <row r="18834" s="2" customFormat="1"/>
    <row r="18835" s="2" customFormat="1"/>
    <row r="18836" s="2" customFormat="1"/>
    <row r="18837" s="2" customFormat="1"/>
    <row r="18838" s="2" customFormat="1"/>
    <row r="18839" s="2" customFormat="1"/>
    <row r="18840" s="2" customFormat="1"/>
    <row r="18841" s="2" customFormat="1"/>
    <row r="18842" s="2" customFormat="1"/>
    <row r="18843" s="2" customFormat="1"/>
    <row r="18844" s="2" customFormat="1"/>
    <row r="18845" s="2" customFormat="1"/>
    <row r="18846" s="2" customFormat="1"/>
    <row r="18847" s="2" customFormat="1"/>
    <row r="18848" s="2" customFormat="1"/>
    <row r="18849" s="2" customFormat="1"/>
    <row r="18850" s="2" customFormat="1"/>
    <row r="18851" s="2" customFormat="1"/>
    <row r="18852" s="2" customFormat="1"/>
    <row r="18853" s="2" customFormat="1"/>
    <row r="18854" s="2" customFormat="1"/>
    <row r="18855" s="2" customFormat="1"/>
    <row r="18856" s="2" customFormat="1"/>
    <row r="18857" s="2" customFormat="1"/>
    <row r="18858" s="2" customFormat="1"/>
    <row r="18859" s="2" customFormat="1"/>
    <row r="18860" s="2" customFormat="1"/>
    <row r="18861" s="2" customFormat="1"/>
    <row r="18862" s="2" customFormat="1"/>
    <row r="18863" s="2" customFormat="1"/>
    <row r="18864" s="2" customFormat="1"/>
    <row r="18865" s="2" customFormat="1"/>
    <row r="18866" s="2" customFormat="1"/>
    <row r="18867" s="2" customFormat="1"/>
    <row r="18868" s="2" customFormat="1"/>
    <row r="18869" s="2" customFormat="1"/>
    <row r="18870" s="2" customFormat="1"/>
    <row r="18871" s="2" customFormat="1"/>
    <row r="18872" s="2" customFormat="1"/>
    <row r="18873" s="2" customFormat="1"/>
    <row r="18874" s="2" customFormat="1"/>
    <row r="18875" s="2" customFormat="1"/>
    <row r="18876" s="2" customFormat="1"/>
    <row r="18877" s="2" customFormat="1"/>
    <row r="18878" s="2" customFormat="1"/>
    <row r="18879" s="2" customFormat="1"/>
    <row r="18880" s="2" customFormat="1"/>
    <row r="18881" s="2" customFormat="1"/>
    <row r="18882" s="2" customFormat="1"/>
    <row r="18883" s="2" customFormat="1"/>
    <row r="18884" s="2" customFormat="1"/>
    <row r="18885" s="2" customFormat="1"/>
    <row r="18886" s="2" customFormat="1"/>
    <row r="18887" s="2" customFormat="1"/>
    <row r="18888" s="2" customFormat="1"/>
    <row r="18889" s="2" customFormat="1"/>
    <row r="18890" s="2" customFormat="1"/>
    <row r="18891" s="2" customFormat="1"/>
    <row r="18892" s="2" customFormat="1"/>
    <row r="18893" s="2" customFormat="1"/>
    <row r="18894" s="2" customFormat="1"/>
    <row r="18895" s="2" customFormat="1"/>
    <row r="18896" s="2" customFormat="1"/>
    <row r="18897" s="2" customFormat="1"/>
    <row r="18898" s="2" customFormat="1"/>
    <row r="18899" s="2" customFormat="1"/>
    <row r="18900" s="2" customFormat="1"/>
    <row r="18901" s="2" customFormat="1"/>
    <row r="18902" s="2" customFormat="1"/>
    <row r="18903" s="2" customFormat="1"/>
    <row r="18904" s="2" customFormat="1"/>
    <row r="18905" s="2" customFormat="1"/>
    <row r="18906" s="2" customFormat="1"/>
    <row r="18907" s="2" customFormat="1"/>
    <row r="18908" s="2" customFormat="1"/>
    <row r="18909" s="2" customFormat="1"/>
    <row r="18910" s="2" customFormat="1"/>
    <row r="18911" s="2" customFormat="1"/>
    <row r="18912" s="2" customFormat="1"/>
    <row r="18913" s="2" customFormat="1"/>
    <row r="18914" s="2" customFormat="1"/>
    <row r="18915" s="2" customFormat="1"/>
    <row r="18916" s="2" customFormat="1"/>
    <row r="18917" s="2" customFormat="1"/>
    <row r="18918" s="2" customFormat="1"/>
    <row r="18919" s="2" customFormat="1"/>
    <row r="18920" s="2" customFormat="1"/>
    <row r="18921" s="2" customFormat="1"/>
    <row r="18922" s="2" customFormat="1"/>
    <row r="18923" s="2" customFormat="1"/>
    <row r="18924" s="2" customFormat="1"/>
    <row r="18925" s="2" customFormat="1"/>
    <row r="18926" s="2" customFormat="1"/>
    <row r="18927" s="2" customFormat="1"/>
    <row r="18928" s="2" customFormat="1"/>
    <row r="18929" s="2" customFormat="1"/>
    <row r="18930" s="2" customFormat="1"/>
    <row r="18931" s="2" customFormat="1"/>
    <row r="18932" s="2" customFormat="1"/>
    <row r="18933" s="2" customFormat="1"/>
    <row r="18934" s="2" customFormat="1"/>
    <row r="18935" s="2" customFormat="1"/>
    <row r="18936" s="2" customFormat="1"/>
    <row r="18937" s="2" customFormat="1"/>
    <row r="18938" s="2" customFormat="1"/>
    <row r="18939" s="2" customFormat="1"/>
    <row r="18940" s="2" customFormat="1"/>
    <row r="18941" s="2" customFormat="1"/>
    <row r="18942" s="2" customFormat="1"/>
    <row r="18943" s="2" customFormat="1"/>
    <row r="18944" s="2" customFormat="1"/>
    <row r="18945" s="2" customFormat="1"/>
    <row r="18946" s="2" customFormat="1"/>
    <row r="18947" s="2" customFormat="1"/>
    <row r="18948" s="2" customFormat="1"/>
    <row r="18949" s="2" customFormat="1"/>
    <row r="18950" s="2" customFormat="1"/>
    <row r="18951" s="2" customFormat="1"/>
    <row r="18952" s="2" customFormat="1"/>
    <row r="18953" s="2" customFormat="1"/>
    <row r="18954" s="2" customFormat="1"/>
    <row r="18955" s="2" customFormat="1"/>
    <row r="18956" s="2" customFormat="1"/>
    <row r="18957" s="2" customFormat="1"/>
    <row r="18958" s="2" customFormat="1"/>
    <row r="18959" s="2" customFormat="1"/>
    <row r="18960" s="2" customFormat="1"/>
    <row r="18961" s="2" customFormat="1"/>
    <row r="18962" s="2" customFormat="1"/>
    <row r="18963" s="2" customFormat="1"/>
    <row r="18964" s="2" customFormat="1"/>
    <row r="18965" s="2" customFormat="1"/>
    <row r="18966" s="2" customFormat="1"/>
    <row r="18967" s="2" customFormat="1"/>
    <row r="18968" s="2" customFormat="1"/>
    <row r="18969" s="2" customFormat="1"/>
    <row r="18970" s="2" customFormat="1"/>
    <row r="18971" s="2" customFormat="1"/>
    <row r="18972" s="2" customFormat="1"/>
    <row r="18973" s="2" customFormat="1"/>
    <row r="18974" s="2" customFormat="1"/>
    <row r="18975" s="2" customFormat="1"/>
    <row r="18976" s="2" customFormat="1"/>
    <row r="18977" s="2" customFormat="1"/>
    <row r="18978" s="2" customFormat="1"/>
    <row r="18979" s="2" customFormat="1"/>
    <row r="18980" s="2" customFormat="1"/>
    <row r="18981" s="2" customFormat="1"/>
    <row r="18982" s="2" customFormat="1"/>
    <row r="18983" s="2" customFormat="1"/>
    <row r="18984" s="2" customFormat="1"/>
    <row r="18985" s="2" customFormat="1"/>
    <row r="18986" s="2" customFormat="1"/>
    <row r="18987" s="2" customFormat="1"/>
    <row r="18988" s="2" customFormat="1"/>
    <row r="18989" s="2" customFormat="1"/>
    <row r="18990" s="2" customFormat="1"/>
    <row r="18991" s="2" customFormat="1"/>
    <row r="18992" s="2" customFormat="1"/>
    <row r="18993" s="2" customFormat="1"/>
    <row r="18994" s="2" customFormat="1"/>
    <row r="18995" s="2" customFormat="1"/>
    <row r="18996" s="2" customFormat="1"/>
    <row r="18997" s="2" customFormat="1"/>
    <row r="18998" s="2" customFormat="1"/>
    <row r="18999" s="2" customFormat="1"/>
    <row r="19000" s="2" customFormat="1"/>
    <row r="19001" s="2" customFormat="1"/>
    <row r="19002" s="2" customFormat="1"/>
    <row r="19003" s="2" customFormat="1"/>
    <row r="19004" s="2" customFormat="1"/>
    <row r="19005" s="2" customFormat="1"/>
    <row r="19006" s="2" customFormat="1"/>
    <row r="19007" s="2" customFormat="1"/>
    <row r="19008" s="2" customFormat="1"/>
    <row r="19009" s="2" customFormat="1"/>
    <row r="19010" s="2" customFormat="1"/>
    <row r="19011" s="2" customFormat="1"/>
    <row r="19012" s="2" customFormat="1"/>
    <row r="19013" s="2" customFormat="1"/>
    <row r="19014" s="2" customFormat="1"/>
    <row r="19015" s="2" customFormat="1"/>
    <row r="19016" s="2" customFormat="1"/>
    <row r="19017" s="2" customFormat="1"/>
    <row r="19018" s="2" customFormat="1"/>
    <row r="19019" s="2" customFormat="1"/>
    <row r="19020" s="2" customFormat="1"/>
    <row r="19021" s="2" customFormat="1"/>
    <row r="19022" s="2" customFormat="1"/>
    <row r="19023" s="2" customFormat="1"/>
    <row r="19024" s="2" customFormat="1"/>
    <row r="19025" s="2" customFormat="1"/>
    <row r="19026" s="2" customFormat="1"/>
    <row r="19027" s="2" customFormat="1"/>
    <row r="19028" s="2" customFormat="1"/>
    <row r="19029" s="2" customFormat="1"/>
    <row r="19030" s="2" customFormat="1"/>
    <row r="19031" s="2" customFormat="1"/>
    <row r="19032" s="2" customFormat="1"/>
    <row r="19033" s="2" customFormat="1"/>
    <row r="19034" s="2" customFormat="1"/>
    <row r="19035" s="2" customFormat="1"/>
    <row r="19036" s="2" customFormat="1"/>
    <row r="19037" s="2" customFormat="1"/>
    <row r="19038" s="2" customFormat="1"/>
    <row r="19039" s="2" customFormat="1"/>
    <row r="19040" s="2" customFormat="1"/>
    <row r="19041" s="2" customFormat="1"/>
    <row r="19042" s="2" customFormat="1"/>
    <row r="19043" s="2" customFormat="1"/>
    <row r="19044" s="2" customFormat="1"/>
    <row r="19045" s="2" customFormat="1"/>
    <row r="19046" s="2" customFormat="1"/>
    <row r="19047" s="2" customFormat="1"/>
    <row r="19048" s="2" customFormat="1"/>
    <row r="19049" s="2" customFormat="1"/>
    <row r="19050" s="2" customFormat="1"/>
    <row r="19051" s="2" customFormat="1"/>
    <row r="19052" s="2" customFormat="1"/>
    <row r="19053" s="2" customFormat="1"/>
    <row r="19054" s="2" customFormat="1"/>
    <row r="19055" s="2" customFormat="1"/>
    <row r="19056" s="2" customFormat="1"/>
    <row r="19057" s="2" customFormat="1"/>
    <row r="19058" s="2" customFormat="1"/>
    <row r="19059" s="2" customFormat="1"/>
    <row r="19060" s="2" customFormat="1"/>
    <row r="19061" s="2" customFormat="1"/>
    <row r="19062" s="2" customFormat="1"/>
    <row r="19063" s="2" customFormat="1"/>
    <row r="19064" s="2" customFormat="1"/>
    <row r="19065" s="2" customFormat="1"/>
    <row r="19066" s="2" customFormat="1"/>
    <row r="19067" s="2" customFormat="1"/>
    <row r="19068" s="2" customFormat="1"/>
    <row r="19069" s="2" customFormat="1"/>
    <row r="19070" s="2" customFormat="1"/>
    <row r="19071" s="2" customFormat="1"/>
    <row r="19072" s="2" customFormat="1"/>
    <row r="19073" s="2" customFormat="1"/>
    <row r="19074" s="2" customFormat="1"/>
    <row r="19075" s="2" customFormat="1"/>
    <row r="19076" s="2" customFormat="1"/>
    <row r="19077" s="2" customFormat="1"/>
    <row r="19078" s="2" customFormat="1"/>
    <row r="19079" s="2" customFormat="1"/>
    <row r="19080" s="2" customFormat="1"/>
    <row r="19081" s="2" customFormat="1"/>
    <row r="19082" s="2" customFormat="1"/>
    <row r="19083" s="2" customFormat="1"/>
    <row r="19084" s="2" customFormat="1"/>
    <row r="19085" s="2" customFormat="1"/>
    <row r="19086" s="2" customFormat="1"/>
    <row r="19087" s="2" customFormat="1"/>
    <row r="19088" s="2" customFormat="1"/>
    <row r="19089" s="2" customFormat="1"/>
    <row r="19090" s="2" customFormat="1"/>
    <row r="19091" s="2" customFormat="1"/>
    <row r="19092" s="2" customFormat="1"/>
    <row r="19093" s="2" customFormat="1"/>
    <row r="19094" s="2" customFormat="1"/>
    <row r="19095" s="2" customFormat="1"/>
    <row r="19096" s="2" customFormat="1"/>
    <row r="19097" s="2" customFormat="1"/>
    <row r="19098" s="2" customFormat="1"/>
    <row r="19099" s="2" customFormat="1"/>
    <row r="19100" s="2" customFormat="1"/>
    <row r="19101" s="2" customFormat="1"/>
    <row r="19102" s="2" customFormat="1"/>
    <row r="19103" s="2" customFormat="1"/>
    <row r="19104" s="2" customFormat="1"/>
    <row r="19105" s="2" customFormat="1"/>
    <row r="19106" s="2" customFormat="1"/>
    <row r="19107" s="2" customFormat="1"/>
    <row r="19108" s="2" customFormat="1"/>
    <row r="19109" s="2" customFormat="1"/>
    <row r="19110" s="2" customFormat="1"/>
    <row r="19111" s="2" customFormat="1"/>
    <row r="19112" s="2" customFormat="1"/>
    <row r="19113" s="2" customFormat="1"/>
    <row r="19114" s="2" customFormat="1"/>
    <row r="19115" s="2" customFormat="1"/>
    <row r="19116" s="2" customFormat="1"/>
    <row r="19117" s="2" customFormat="1"/>
    <row r="19118" s="2" customFormat="1"/>
    <row r="19119" s="2" customFormat="1"/>
    <row r="19120" s="2" customFormat="1"/>
    <row r="19121" s="2" customFormat="1"/>
    <row r="19122" s="2" customFormat="1"/>
    <row r="19123" s="2" customFormat="1"/>
    <row r="19124" s="2" customFormat="1"/>
    <row r="19125" s="2" customFormat="1"/>
    <row r="19126" s="2" customFormat="1"/>
    <row r="19127" s="2" customFormat="1"/>
    <row r="19128" s="2" customFormat="1"/>
    <row r="19129" s="2" customFormat="1"/>
    <row r="19130" s="2" customFormat="1"/>
    <row r="19131" s="2" customFormat="1"/>
    <row r="19132" s="2" customFormat="1"/>
    <row r="19133" s="2" customFormat="1"/>
    <row r="19134" s="2" customFormat="1"/>
    <row r="19135" s="2" customFormat="1"/>
    <row r="19136" s="2" customFormat="1"/>
    <row r="19137" s="2" customFormat="1"/>
    <row r="19138" s="2" customFormat="1"/>
    <row r="19139" s="2" customFormat="1"/>
    <row r="19140" s="2" customFormat="1"/>
    <row r="19141" s="2" customFormat="1"/>
    <row r="19142" s="2" customFormat="1"/>
    <row r="19143" s="2" customFormat="1"/>
    <row r="19144" s="2" customFormat="1"/>
    <row r="19145" s="2" customFormat="1"/>
    <row r="19146" s="2" customFormat="1"/>
    <row r="19147" s="2" customFormat="1"/>
    <row r="19148" s="2" customFormat="1"/>
    <row r="19149" s="2" customFormat="1"/>
    <row r="19150" s="2" customFormat="1"/>
    <row r="19151" s="2" customFormat="1"/>
    <row r="19152" s="2" customFormat="1"/>
    <row r="19153" s="2" customFormat="1"/>
    <row r="19154" s="2" customFormat="1"/>
    <row r="19155" s="2" customFormat="1"/>
    <row r="19156" s="2" customFormat="1"/>
    <row r="19157" s="2" customFormat="1"/>
    <row r="19158" s="2" customFormat="1"/>
    <row r="19159" s="2" customFormat="1"/>
    <row r="19160" s="2" customFormat="1"/>
    <row r="19161" s="2" customFormat="1"/>
    <row r="19162" s="2" customFormat="1"/>
    <row r="19163" s="2" customFormat="1"/>
    <row r="19164" s="2" customFormat="1"/>
    <row r="19165" s="2" customFormat="1"/>
    <row r="19166" s="2" customFormat="1"/>
    <row r="19167" s="2" customFormat="1"/>
    <row r="19168" s="2" customFormat="1"/>
    <row r="19169" s="2" customFormat="1"/>
    <row r="19170" s="2" customFormat="1"/>
    <row r="19171" s="2" customFormat="1"/>
    <row r="19172" s="2" customFormat="1"/>
    <row r="19173" s="2" customFormat="1"/>
    <row r="19174" s="2" customFormat="1"/>
    <row r="19175" s="2" customFormat="1"/>
    <row r="19176" s="2" customFormat="1"/>
    <row r="19177" s="2" customFormat="1"/>
    <row r="19178" s="2" customFormat="1"/>
    <row r="19179" s="2" customFormat="1"/>
    <row r="19180" s="2" customFormat="1"/>
    <row r="19181" s="2" customFormat="1"/>
    <row r="19182" s="2" customFormat="1"/>
    <row r="19183" s="2" customFormat="1"/>
    <row r="19184" s="2" customFormat="1"/>
    <row r="19185" s="2" customFormat="1"/>
    <row r="19186" s="2" customFormat="1"/>
    <row r="19187" s="2" customFormat="1"/>
    <row r="19188" s="2" customFormat="1"/>
    <row r="19189" s="2" customFormat="1"/>
    <row r="19190" s="2" customFormat="1"/>
    <row r="19191" s="2" customFormat="1"/>
    <row r="19192" s="2" customFormat="1"/>
    <row r="19193" s="2" customFormat="1"/>
    <row r="19194" s="2" customFormat="1"/>
    <row r="19195" s="2" customFormat="1"/>
    <row r="19196" s="2" customFormat="1"/>
    <row r="19197" s="2" customFormat="1"/>
    <row r="19198" s="2" customFormat="1"/>
    <row r="19199" s="2" customFormat="1"/>
    <row r="19200" s="2" customFormat="1"/>
    <row r="19201" s="2" customFormat="1"/>
    <row r="19202" s="2" customFormat="1"/>
    <row r="19203" s="2" customFormat="1"/>
    <row r="19204" s="2" customFormat="1"/>
    <row r="19205" s="2" customFormat="1"/>
    <row r="19206" s="2" customFormat="1"/>
    <row r="19207" s="2" customFormat="1"/>
    <row r="19208" s="2" customFormat="1"/>
    <row r="19209" s="2" customFormat="1"/>
    <row r="19210" s="2" customFormat="1"/>
    <row r="19211" s="2" customFormat="1"/>
    <row r="19212" s="2" customFormat="1"/>
    <row r="19213" s="2" customFormat="1"/>
    <row r="19214" s="2" customFormat="1"/>
    <row r="19215" s="2" customFormat="1"/>
    <row r="19216" s="2" customFormat="1"/>
    <row r="19217" s="2" customFormat="1"/>
    <row r="19218" s="2" customFormat="1"/>
    <row r="19219" s="2" customFormat="1"/>
    <row r="19220" s="2" customFormat="1"/>
    <row r="19221" s="2" customFormat="1"/>
    <row r="19222" s="2" customFormat="1"/>
    <row r="19223" s="2" customFormat="1"/>
    <row r="19224" s="2" customFormat="1"/>
    <row r="19225" s="2" customFormat="1"/>
    <row r="19226" s="2" customFormat="1"/>
    <row r="19227" s="2" customFormat="1"/>
    <row r="19228" s="2" customFormat="1"/>
    <row r="19229" s="2" customFormat="1"/>
    <row r="19230" s="2" customFormat="1"/>
    <row r="19231" s="2" customFormat="1"/>
    <row r="19232" s="2" customFormat="1"/>
    <row r="19233" s="2" customFormat="1"/>
    <row r="19234" s="2" customFormat="1"/>
    <row r="19235" s="2" customFormat="1"/>
    <row r="19236" s="2" customFormat="1"/>
    <row r="19237" s="2" customFormat="1"/>
    <row r="19238" s="2" customFormat="1"/>
    <row r="19239" s="2" customFormat="1"/>
    <row r="19240" s="2" customFormat="1"/>
    <row r="19241" s="2" customFormat="1"/>
    <row r="19242" s="2" customFormat="1"/>
    <row r="19243" s="2" customFormat="1"/>
    <row r="19244" s="2" customFormat="1"/>
    <row r="19245" s="2" customFormat="1"/>
    <row r="19246" s="2" customFormat="1"/>
    <row r="19247" s="2" customFormat="1"/>
    <row r="19248" s="2" customFormat="1"/>
    <row r="19249" s="2" customFormat="1"/>
    <row r="19250" s="2" customFormat="1"/>
    <row r="19251" s="2" customFormat="1"/>
    <row r="19252" s="2" customFormat="1"/>
    <row r="19253" s="2" customFormat="1"/>
    <row r="19254" s="2" customFormat="1"/>
    <row r="19255" s="2" customFormat="1"/>
    <row r="19256" s="2" customFormat="1"/>
    <row r="19257" s="2" customFormat="1"/>
    <row r="19258" s="2" customFormat="1"/>
    <row r="19259" s="2" customFormat="1"/>
    <row r="19260" s="2" customFormat="1"/>
    <row r="19261" s="2" customFormat="1"/>
    <row r="19262" s="2" customFormat="1"/>
    <row r="19263" s="2" customFormat="1"/>
    <row r="19264" s="2" customFormat="1"/>
    <row r="19265" s="2" customFormat="1"/>
    <row r="19266" s="2" customFormat="1"/>
    <row r="19267" s="2" customFormat="1"/>
    <row r="19268" s="2" customFormat="1"/>
    <row r="19269" s="2" customFormat="1"/>
    <row r="19270" s="2" customFormat="1"/>
    <row r="19271" s="2" customFormat="1"/>
    <row r="19272" s="2" customFormat="1"/>
    <row r="19273" s="2" customFormat="1"/>
    <row r="19274" s="2" customFormat="1"/>
    <row r="19275" s="2" customFormat="1"/>
    <row r="19276" s="2" customFormat="1"/>
    <row r="19277" s="2" customFormat="1"/>
    <row r="19278" s="2" customFormat="1"/>
    <row r="19279" s="2" customFormat="1"/>
    <row r="19280" s="2" customFormat="1"/>
    <row r="19281" s="2" customFormat="1"/>
    <row r="19282" s="2" customFormat="1"/>
    <row r="19283" s="2" customFormat="1"/>
    <row r="19284" s="2" customFormat="1"/>
    <row r="19285" s="2" customFormat="1"/>
    <row r="19286" s="2" customFormat="1"/>
    <row r="19287" s="2" customFormat="1"/>
    <row r="19288" s="2" customFormat="1"/>
    <row r="19289" s="2" customFormat="1"/>
    <row r="19290" s="2" customFormat="1"/>
    <row r="19291" s="2" customFormat="1"/>
    <row r="19292" s="2" customFormat="1"/>
    <row r="19293" s="2" customFormat="1"/>
    <row r="19294" s="2" customFormat="1"/>
    <row r="19295" s="2" customFormat="1"/>
    <row r="19296" s="2" customFormat="1"/>
    <row r="19297" s="2" customFormat="1"/>
    <row r="19298" s="2" customFormat="1"/>
    <row r="19299" s="2" customFormat="1"/>
    <row r="19300" s="2" customFormat="1"/>
    <row r="19301" s="2" customFormat="1"/>
    <row r="19302" s="2" customFormat="1"/>
    <row r="19303" s="2" customFormat="1"/>
    <row r="19304" s="2" customFormat="1"/>
    <row r="19305" s="2" customFormat="1"/>
    <row r="19306" s="2" customFormat="1"/>
    <row r="19307" s="2" customFormat="1"/>
    <row r="19308" s="2" customFormat="1"/>
    <row r="19309" s="2" customFormat="1"/>
    <row r="19310" s="2" customFormat="1"/>
    <row r="19311" s="2" customFormat="1"/>
    <row r="19312" s="2" customFormat="1"/>
    <row r="19313" s="2" customFormat="1"/>
    <row r="19314" s="2" customFormat="1"/>
    <row r="19315" s="2" customFormat="1"/>
    <row r="19316" s="2" customFormat="1"/>
    <row r="19317" s="2" customFormat="1"/>
    <row r="19318" s="2" customFormat="1"/>
    <row r="19319" s="2" customFormat="1"/>
    <row r="19320" s="2" customFormat="1"/>
    <row r="19321" s="2" customFormat="1"/>
    <row r="19322" s="2" customFormat="1"/>
    <row r="19323" s="2" customFormat="1"/>
    <row r="19324" s="2" customFormat="1"/>
    <row r="19325" s="2" customFormat="1"/>
    <row r="19326" s="2" customFormat="1"/>
    <row r="19327" s="2" customFormat="1"/>
    <row r="19328" s="2" customFormat="1"/>
    <row r="19329" s="2" customFormat="1"/>
    <row r="19330" s="2" customFormat="1"/>
    <row r="19331" s="2" customFormat="1"/>
    <row r="19332" s="2" customFormat="1"/>
    <row r="19333" s="2" customFormat="1"/>
    <row r="19334" s="2" customFormat="1"/>
    <row r="19335" s="2" customFormat="1"/>
    <row r="19336" s="2" customFormat="1"/>
    <row r="19337" s="2" customFormat="1"/>
    <row r="19338" s="2" customFormat="1"/>
    <row r="19339" s="2" customFormat="1"/>
    <row r="19340" s="2" customFormat="1"/>
    <row r="19341" s="2" customFormat="1"/>
    <row r="19342" s="2" customFormat="1"/>
    <row r="19343" s="2" customFormat="1"/>
    <row r="19344" s="2" customFormat="1"/>
    <row r="19345" s="2" customFormat="1"/>
    <row r="19346" s="2" customFormat="1"/>
    <row r="19347" s="2" customFormat="1"/>
    <row r="19348" s="2" customFormat="1"/>
    <row r="19349" s="2" customFormat="1"/>
    <row r="19350" s="2" customFormat="1"/>
    <row r="19351" s="2" customFormat="1"/>
    <row r="19352" s="2" customFormat="1"/>
    <row r="19353" s="2" customFormat="1"/>
    <row r="19354" s="2" customFormat="1"/>
    <row r="19355" s="2" customFormat="1"/>
    <row r="19356" s="2" customFormat="1"/>
    <row r="19357" s="2" customFormat="1"/>
    <row r="19358" s="2" customFormat="1"/>
    <row r="19359" s="2" customFormat="1"/>
    <row r="19360" s="2" customFormat="1"/>
    <row r="19361" s="2" customFormat="1"/>
    <row r="19362" s="2" customFormat="1"/>
    <row r="19363" s="2" customFormat="1"/>
    <row r="19364" s="2" customFormat="1"/>
    <row r="19365" s="2" customFormat="1"/>
    <row r="19366" s="2" customFormat="1"/>
    <row r="19367" s="2" customFormat="1"/>
    <row r="19368" s="2" customFormat="1"/>
    <row r="19369" s="2" customFormat="1"/>
    <row r="19370" s="2" customFormat="1"/>
    <row r="19371" s="2" customFormat="1"/>
    <row r="19372" s="2" customFormat="1"/>
    <row r="19373" s="2" customFormat="1"/>
    <row r="19374" s="2" customFormat="1"/>
    <row r="19375" s="2" customFormat="1"/>
    <row r="19376" s="2" customFormat="1"/>
    <row r="19377" s="2" customFormat="1"/>
    <row r="19378" s="2" customFormat="1"/>
    <row r="19379" s="2" customFormat="1"/>
    <row r="19380" s="2" customFormat="1"/>
    <row r="19381" s="2" customFormat="1"/>
    <row r="19382" s="2" customFormat="1"/>
    <row r="19383" s="2" customFormat="1"/>
    <row r="19384" s="2" customFormat="1"/>
    <row r="19385" s="2" customFormat="1"/>
    <row r="19386" s="2" customFormat="1"/>
    <row r="19387" s="2" customFormat="1"/>
    <row r="19388" s="2" customFormat="1"/>
    <row r="19389" s="2" customFormat="1"/>
    <row r="19390" s="2" customFormat="1"/>
    <row r="19391" s="2" customFormat="1"/>
    <row r="19392" s="2" customFormat="1"/>
    <row r="19393" s="2" customFormat="1"/>
    <row r="19394" s="2" customFormat="1"/>
    <row r="19395" s="2" customFormat="1"/>
    <row r="19396" s="2" customFormat="1"/>
    <row r="19397" s="2" customFormat="1"/>
    <row r="19398" s="2" customFormat="1"/>
    <row r="19399" s="2" customFormat="1"/>
    <row r="19400" s="2" customFormat="1"/>
    <row r="19401" s="2" customFormat="1"/>
    <row r="19402" s="2" customFormat="1"/>
    <row r="19403" s="2" customFormat="1"/>
    <row r="19404" s="2" customFormat="1"/>
    <row r="19405" s="2" customFormat="1"/>
    <row r="19406" s="2" customFormat="1"/>
    <row r="19407" s="2" customFormat="1"/>
    <row r="19408" s="2" customFormat="1"/>
    <row r="19409" s="2" customFormat="1"/>
    <row r="19410" s="2" customFormat="1"/>
    <row r="19411" s="2" customFormat="1"/>
    <row r="19412" s="2" customFormat="1"/>
    <row r="19413" s="2" customFormat="1"/>
    <row r="19414" s="2" customFormat="1"/>
    <row r="19415" s="2" customFormat="1"/>
    <row r="19416" s="2" customFormat="1"/>
    <row r="19417" s="2" customFormat="1"/>
    <row r="19418" s="2" customFormat="1"/>
    <row r="19419" s="2" customFormat="1"/>
    <row r="19420" s="2" customFormat="1"/>
    <row r="19421" s="2" customFormat="1"/>
    <row r="19422" s="2" customFormat="1"/>
    <row r="19423" s="2" customFormat="1"/>
    <row r="19424" s="2" customFormat="1"/>
    <row r="19425" s="2" customFormat="1"/>
    <row r="19426" s="2" customFormat="1"/>
    <row r="19427" s="2" customFormat="1"/>
    <row r="19428" s="2" customFormat="1"/>
    <row r="19429" s="2" customFormat="1"/>
    <row r="19430" s="2" customFormat="1"/>
    <row r="19431" s="2" customFormat="1"/>
    <row r="19432" s="2" customFormat="1"/>
    <row r="19433" s="2" customFormat="1"/>
    <row r="19434" s="2" customFormat="1"/>
    <row r="19435" s="2" customFormat="1"/>
    <row r="19436" s="2" customFormat="1"/>
    <row r="19437" s="2" customFormat="1"/>
    <row r="19438" s="2" customFormat="1"/>
    <row r="19439" s="2" customFormat="1"/>
    <row r="19440" s="2" customFormat="1"/>
    <row r="19441" s="2" customFormat="1"/>
    <row r="19442" s="2" customFormat="1"/>
    <row r="19443" s="2" customFormat="1"/>
    <row r="19444" s="2" customFormat="1"/>
    <row r="19445" s="2" customFormat="1"/>
    <row r="19446" s="2" customFormat="1"/>
    <row r="19447" s="2" customFormat="1"/>
    <row r="19448" s="2" customFormat="1"/>
    <row r="19449" s="2" customFormat="1"/>
    <row r="19450" s="2" customFormat="1"/>
    <row r="19451" s="2" customFormat="1"/>
    <row r="19452" s="2" customFormat="1"/>
    <row r="19453" s="2" customFormat="1"/>
    <row r="19454" s="2" customFormat="1"/>
    <row r="19455" s="2" customFormat="1"/>
    <row r="19456" s="2" customFormat="1"/>
    <row r="19457" s="2" customFormat="1"/>
    <row r="19458" s="2" customFormat="1"/>
    <row r="19459" s="2" customFormat="1"/>
    <row r="19460" s="2" customFormat="1"/>
    <row r="19461" s="2" customFormat="1"/>
    <row r="19462" s="2" customFormat="1"/>
    <row r="19463" s="2" customFormat="1"/>
    <row r="19464" s="2" customFormat="1"/>
    <row r="19465" s="2" customFormat="1"/>
    <row r="19466" s="2" customFormat="1"/>
    <row r="19467" s="2" customFormat="1"/>
    <row r="19468" s="2" customFormat="1"/>
    <row r="19469" s="2" customFormat="1"/>
    <row r="19470" s="2" customFormat="1"/>
    <row r="19471" s="2" customFormat="1"/>
    <row r="19472" s="2" customFormat="1"/>
    <row r="19473" s="2" customFormat="1"/>
    <row r="19474" s="2" customFormat="1"/>
    <row r="19475" s="2" customFormat="1"/>
    <row r="19476" s="2" customFormat="1"/>
    <row r="19477" s="2" customFormat="1"/>
    <row r="19478" s="2" customFormat="1"/>
    <row r="19479" s="2" customFormat="1"/>
    <row r="19480" s="2" customFormat="1"/>
    <row r="19481" s="2" customFormat="1"/>
    <row r="19482" s="2" customFormat="1"/>
    <row r="19483" s="2" customFormat="1"/>
    <row r="19484" s="2" customFormat="1"/>
    <row r="19485" s="2" customFormat="1"/>
    <row r="19486" s="2" customFormat="1"/>
    <row r="19487" s="2" customFormat="1"/>
    <row r="19488" s="2" customFormat="1"/>
    <row r="19489" s="2" customFormat="1"/>
    <row r="19490" s="2" customFormat="1"/>
    <row r="19491" s="2" customFormat="1"/>
    <row r="19492" s="2" customFormat="1"/>
    <row r="19493" s="2" customFormat="1"/>
    <row r="19494" s="2" customFormat="1"/>
    <row r="19495" s="2" customFormat="1"/>
    <row r="19496" s="2" customFormat="1"/>
    <row r="19497" s="2" customFormat="1"/>
    <row r="19498" s="2" customFormat="1"/>
    <row r="19499" s="2" customFormat="1"/>
    <row r="19500" s="2" customFormat="1"/>
    <row r="19501" s="2" customFormat="1"/>
    <row r="19502" s="2" customFormat="1"/>
    <row r="19503" s="2" customFormat="1"/>
    <row r="19504" s="2" customFormat="1"/>
    <row r="19505" s="2" customFormat="1"/>
    <row r="19506" s="2" customFormat="1"/>
    <row r="19507" s="2" customFormat="1"/>
    <row r="19508" s="2" customFormat="1"/>
    <row r="19509" s="2" customFormat="1"/>
    <row r="19510" s="2" customFormat="1"/>
    <row r="19511" s="2" customFormat="1"/>
    <row r="19512" s="2" customFormat="1"/>
    <row r="19513" s="2" customFormat="1"/>
    <row r="19514" s="2" customFormat="1"/>
    <row r="19515" s="2" customFormat="1"/>
    <row r="19516" s="2" customFormat="1"/>
    <row r="19517" s="2" customFormat="1"/>
    <row r="19518" s="2" customFormat="1"/>
    <row r="19519" s="2" customFormat="1"/>
    <row r="19520" s="2" customFormat="1"/>
    <row r="19521" s="2" customFormat="1"/>
    <row r="19522" s="2" customFormat="1"/>
    <row r="19523" s="2" customFormat="1"/>
    <row r="19524" s="2" customFormat="1"/>
    <row r="19525" s="2" customFormat="1"/>
    <row r="19526" s="2" customFormat="1"/>
    <row r="19527" s="2" customFormat="1"/>
    <row r="19528" s="2" customFormat="1"/>
    <row r="19529" s="2" customFormat="1"/>
    <row r="19530" s="2" customFormat="1"/>
    <row r="19531" s="2" customFormat="1"/>
    <row r="19532" s="2" customFormat="1"/>
    <row r="19533" s="2" customFormat="1"/>
    <row r="19534" s="2" customFormat="1"/>
    <row r="19535" s="2" customFormat="1"/>
    <row r="19536" s="2" customFormat="1"/>
    <row r="19537" s="2" customFormat="1"/>
    <row r="19538" s="2" customFormat="1"/>
    <row r="19539" s="2" customFormat="1"/>
    <row r="19540" s="2" customFormat="1"/>
    <row r="19541" s="2" customFormat="1"/>
    <row r="19542" s="2" customFormat="1"/>
    <row r="19543" s="2" customFormat="1"/>
    <row r="19544" s="2" customFormat="1"/>
    <row r="19545" s="2" customFormat="1"/>
    <row r="19546" s="2" customFormat="1"/>
    <row r="19547" s="2" customFormat="1"/>
    <row r="19548" s="2" customFormat="1"/>
    <row r="19549" s="2" customFormat="1"/>
    <row r="19550" s="2" customFormat="1"/>
    <row r="19551" s="2" customFormat="1"/>
    <row r="19552" s="2" customFormat="1"/>
    <row r="19553" s="2" customFormat="1"/>
    <row r="19554" s="2" customFormat="1"/>
    <row r="19555" s="2" customFormat="1"/>
    <row r="19556" s="2" customFormat="1"/>
    <row r="19557" s="2" customFormat="1"/>
    <row r="19558" s="2" customFormat="1"/>
    <row r="19559" s="2" customFormat="1"/>
    <row r="19560" s="2" customFormat="1"/>
    <row r="19561" s="2" customFormat="1"/>
    <row r="19562" s="2" customFormat="1"/>
    <row r="19563" s="2" customFormat="1"/>
    <row r="19564" s="2" customFormat="1"/>
    <row r="19565" s="2" customFormat="1"/>
    <row r="19566" s="2" customFormat="1"/>
    <row r="19567" s="2" customFormat="1"/>
    <row r="19568" s="2" customFormat="1"/>
    <row r="19569" s="2" customFormat="1"/>
    <row r="19570" s="2" customFormat="1"/>
    <row r="19571" s="2" customFormat="1"/>
    <row r="19572" s="2" customFormat="1"/>
    <row r="19573" s="2" customFormat="1"/>
    <row r="19574" s="2" customFormat="1"/>
    <row r="19575" s="2" customFormat="1"/>
    <row r="19576" s="2" customFormat="1"/>
    <row r="19577" s="2" customFormat="1"/>
    <row r="19578" s="2" customFormat="1"/>
    <row r="19579" s="2" customFormat="1"/>
    <row r="19580" s="2" customFormat="1"/>
    <row r="19581" s="2" customFormat="1"/>
    <row r="19582" s="2" customFormat="1"/>
    <row r="19583" s="2" customFormat="1"/>
    <row r="19584" s="2" customFormat="1"/>
    <row r="19585" s="2" customFormat="1"/>
    <row r="19586" s="2" customFormat="1"/>
    <row r="19587" s="2" customFormat="1"/>
    <row r="19588" s="2" customFormat="1"/>
    <row r="19589" s="2" customFormat="1"/>
    <row r="19590" s="2" customFormat="1"/>
    <row r="19591" s="2" customFormat="1"/>
    <row r="19592" s="2" customFormat="1"/>
    <row r="19593" s="2" customFormat="1"/>
    <row r="19594" s="2" customFormat="1"/>
    <row r="19595" s="2" customFormat="1"/>
    <row r="19596" s="2" customFormat="1"/>
    <row r="19597" s="2" customFormat="1"/>
    <row r="19598" s="2" customFormat="1"/>
    <row r="19599" s="2" customFormat="1"/>
    <row r="19600" s="2" customFormat="1"/>
    <row r="19601" s="2" customFormat="1"/>
    <row r="19602" s="2" customFormat="1"/>
    <row r="19603" s="2" customFormat="1"/>
    <row r="19604" s="2" customFormat="1"/>
    <row r="19605" s="2" customFormat="1"/>
    <row r="19606" s="2" customFormat="1"/>
    <row r="19607" s="2" customFormat="1"/>
    <row r="19608" s="2" customFormat="1"/>
    <row r="19609" s="2" customFormat="1"/>
    <row r="19610" s="2" customFormat="1"/>
    <row r="19611" s="2" customFormat="1"/>
    <row r="19612" s="2" customFormat="1"/>
    <row r="19613" s="2" customFormat="1"/>
    <row r="19614" s="2" customFormat="1"/>
    <row r="19615" s="2" customFormat="1"/>
    <row r="19616" s="2" customFormat="1"/>
    <row r="19617" s="2" customFormat="1"/>
    <row r="19618" s="2" customFormat="1"/>
    <row r="19619" s="2" customFormat="1"/>
    <row r="19620" s="2" customFormat="1"/>
    <row r="19621" s="2" customFormat="1"/>
    <row r="19622" s="2" customFormat="1"/>
    <row r="19623" s="2" customFormat="1"/>
    <row r="19624" s="2" customFormat="1"/>
    <row r="19625" s="2" customFormat="1"/>
    <row r="19626" s="2" customFormat="1"/>
    <row r="19627" s="2" customFormat="1"/>
    <row r="19628" s="2" customFormat="1"/>
    <row r="19629" s="2" customFormat="1"/>
    <row r="19630" s="2" customFormat="1"/>
    <row r="19631" s="2" customFormat="1"/>
    <row r="19632" s="2" customFormat="1"/>
    <row r="19633" s="2" customFormat="1"/>
    <row r="19634" s="2" customFormat="1"/>
    <row r="19635" s="2" customFormat="1"/>
    <row r="19636" s="2" customFormat="1"/>
    <row r="19637" s="2" customFormat="1"/>
    <row r="19638" s="2" customFormat="1"/>
    <row r="19639" s="2" customFormat="1"/>
    <row r="19640" s="2" customFormat="1"/>
    <row r="19641" s="2" customFormat="1"/>
    <row r="19642" s="2" customFormat="1"/>
    <row r="19643" s="2" customFormat="1"/>
    <row r="19644" s="2" customFormat="1"/>
    <row r="19645" s="2" customFormat="1"/>
    <row r="19646" s="2" customFormat="1"/>
    <row r="19647" s="2" customFormat="1"/>
    <row r="19648" s="2" customFormat="1"/>
    <row r="19649" s="2" customFormat="1"/>
    <row r="19650" s="2" customFormat="1"/>
    <row r="19651" s="2" customFormat="1"/>
    <row r="19652" s="2" customFormat="1"/>
    <row r="19653" s="2" customFormat="1"/>
    <row r="19654" s="2" customFormat="1"/>
    <row r="19655" s="2" customFormat="1"/>
    <row r="19656" s="2" customFormat="1"/>
    <row r="19657" s="2" customFormat="1"/>
    <row r="19658" s="2" customFormat="1"/>
    <row r="19659" s="2" customFormat="1"/>
    <row r="19660" s="2" customFormat="1"/>
    <row r="19661" s="2" customFormat="1"/>
    <row r="19662" s="2" customFormat="1"/>
    <row r="19663" s="2" customFormat="1"/>
    <row r="19664" s="2" customFormat="1"/>
    <row r="19665" s="2" customFormat="1"/>
    <row r="19666" s="2" customFormat="1"/>
    <row r="19667" s="2" customFormat="1"/>
    <row r="19668" s="2" customFormat="1"/>
    <row r="19669" s="2" customFormat="1"/>
    <row r="19670" s="2" customFormat="1"/>
    <row r="19671" s="2" customFormat="1"/>
    <row r="19672" s="2" customFormat="1"/>
    <row r="19673" s="2" customFormat="1"/>
    <row r="19674" s="2" customFormat="1"/>
    <row r="19675" s="2" customFormat="1"/>
    <row r="19676" s="2" customFormat="1"/>
    <row r="19677" s="2" customFormat="1"/>
    <row r="19678" s="2" customFormat="1"/>
    <row r="19679" s="2" customFormat="1"/>
    <row r="19680" s="2" customFormat="1"/>
    <row r="19681" s="2" customFormat="1"/>
    <row r="19682" s="2" customFormat="1"/>
    <row r="19683" s="2" customFormat="1"/>
    <row r="19684" s="2" customFormat="1"/>
    <row r="19685" s="2" customFormat="1"/>
    <row r="19686" s="2" customFormat="1"/>
    <row r="19687" s="2" customFormat="1"/>
    <row r="19688" s="2" customFormat="1"/>
    <row r="19689" s="2" customFormat="1"/>
    <row r="19690" s="2" customFormat="1"/>
    <row r="19691" s="2" customFormat="1"/>
    <row r="19692" s="2" customFormat="1"/>
    <row r="19693" s="2" customFormat="1"/>
    <row r="19694" s="2" customFormat="1"/>
    <row r="19695" s="2" customFormat="1"/>
    <row r="19696" s="2" customFormat="1"/>
    <row r="19697" s="2" customFormat="1"/>
    <row r="19698" s="2" customFormat="1"/>
    <row r="19699" s="2" customFormat="1"/>
    <row r="19700" s="2" customFormat="1"/>
    <row r="19701" s="2" customFormat="1"/>
    <row r="19702" s="2" customFormat="1"/>
    <row r="19703" s="2" customFormat="1"/>
    <row r="19704" s="2" customFormat="1"/>
    <row r="19705" s="2" customFormat="1"/>
    <row r="19706" s="2" customFormat="1"/>
    <row r="19707" s="2" customFormat="1"/>
    <row r="19708" s="2" customFormat="1"/>
    <row r="19709" s="2" customFormat="1"/>
    <row r="19710" s="2" customFormat="1"/>
    <row r="19711" s="2" customFormat="1"/>
    <row r="19712" s="2" customFormat="1"/>
    <row r="19713" s="2" customFormat="1"/>
    <row r="19714" s="2" customFormat="1"/>
    <row r="19715" s="2" customFormat="1"/>
    <row r="19716" s="2" customFormat="1"/>
    <row r="19717" s="2" customFormat="1"/>
    <row r="19718" s="2" customFormat="1"/>
    <row r="19719" s="2" customFormat="1"/>
    <row r="19720" s="2" customFormat="1"/>
    <row r="19721" s="2" customFormat="1"/>
    <row r="19722" s="2" customFormat="1"/>
    <row r="19723" s="2" customFormat="1"/>
    <row r="19724" s="2" customFormat="1"/>
    <row r="19725" s="2" customFormat="1"/>
    <row r="19726" s="2" customFormat="1"/>
    <row r="19727" s="2" customFormat="1"/>
    <row r="19728" s="2" customFormat="1"/>
    <row r="19729" s="2" customFormat="1"/>
    <row r="19730" s="2" customFormat="1"/>
    <row r="19731" s="2" customFormat="1"/>
    <row r="19732" s="2" customFormat="1"/>
    <row r="19733" s="2" customFormat="1"/>
    <row r="19734" s="2" customFormat="1"/>
    <row r="19735" s="2" customFormat="1"/>
    <row r="19736" s="2" customFormat="1"/>
    <row r="19737" s="2" customFormat="1"/>
    <row r="19738" s="2" customFormat="1"/>
    <row r="19739" s="2" customFormat="1"/>
    <row r="19740" s="2" customFormat="1"/>
    <row r="19741" s="2" customFormat="1"/>
    <row r="19742" s="2" customFormat="1"/>
    <row r="19743" s="2" customFormat="1"/>
    <row r="19744" s="2" customFormat="1"/>
    <row r="19745" s="2" customFormat="1"/>
    <row r="19746" s="2" customFormat="1"/>
    <row r="19747" s="2" customFormat="1"/>
    <row r="19748" s="2" customFormat="1"/>
    <row r="19749" s="2" customFormat="1"/>
    <row r="19750" s="2" customFormat="1"/>
    <row r="19751" s="2" customFormat="1"/>
    <row r="19752" s="2" customFormat="1"/>
    <row r="19753" s="2" customFormat="1"/>
    <row r="19754" s="2" customFormat="1"/>
    <row r="19755" s="2" customFormat="1"/>
    <row r="19756" s="2" customFormat="1"/>
    <row r="19757" s="2" customFormat="1"/>
    <row r="19758" s="2" customFormat="1"/>
    <row r="19759" s="2" customFormat="1"/>
    <row r="19760" s="2" customFormat="1"/>
    <row r="19761" s="2" customFormat="1"/>
    <row r="19762" s="2" customFormat="1"/>
    <row r="19763" s="2" customFormat="1"/>
    <row r="19764" s="2" customFormat="1"/>
    <row r="19765" s="2" customFormat="1"/>
    <row r="19766" s="2" customFormat="1"/>
    <row r="19767" s="2" customFormat="1"/>
    <row r="19768" s="2" customFormat="1"/>
    <row r="19769" s="2" customFormat="1"/>
    <row r="19770" s="2" customFormat="1"/>
    <row r="19771" s="2" customFormat="1"/>
    <row r="19772" s="2" customFormat="1"/>
    <row r="19773" s="2" customFormat="1"/>
    <row r="19774" s="2" customFormat="1"/>
    <row r="19775" s="2" customFormat="1"/>
    <row r="19776" s="2" customFormat="1"/>
    <row r="19777" s="2" customFormat="1"/>
    <row r="19778" s="2" customFormat="1"/>
    <row r="19779" s="2" customFormat="1"/>
    <row r="19780" s="2" customFormat="1"/>
    <row r="19781" s="2" customFormat="1"/>
    <row r="19782" s="2" customFormat="1"/>
    <row r="19783" s="2" customFormat="1"/>
    <row r="19784" s="2" customFormat="1"/>
    <row r="19785" s="2" customFormat="1"/>
    <row r="19786" s="2" customFormat="1"/>
    <row r="19787" s="2" customFormat="1"/>
    <row r="19788" s="2" customFormat="1"/>
    <row r="19789" s="2" customFormat="1"/>
    <row r="19790" s="2" customFormat="1"/>
    <row r="19791" s="2" customFormat="1"/>
    <row r="19792" s="2" customFormat="1"/>
    <row r="19793" s="2" customFormat="1"/>
    <row r="19794" s="2" customFormat="1"/>
    <row r="19795" s="2" customFormat="1"/>
    <row r="19796" s="2" customFormat="1"/>
    <row r="19797" s="2" customFormat="1"/>
    <row r="19798" s="2" customFormat="1"/>
    <row r="19799" s="2" customFormat="1"/>
    <row r="19800" s="2" customFormat="1"/>
    <row r="19801" s="2" customFormat="1"/>
    <row r="19802" s="2" customFormat="1"/>
    <row r="19803" s="2" customFormat="1"/>
    <row r="19804" s="2" customFormat="1"/>
    <row r="19805" s="2" customFormat="1"/>
    <row r="19806" s="2" customFormat="1"/>
    <row r="19807" s="2" customFormat="1"/>
    <row r="19808" s="2" customFormat="1"/>
    <row r="19809" s="2" customFormat="1"/>
    <row r="19810" s="2" customFormat="1"/>
    <row r="19811" s="2" customFormat="1"/>
    <row r="19812" s="2" customFormat="1"/>
    <row r="19813" s="2" customFormat="1"/>
    <row r="19814" s="2" customFormat="1"/>
    <row r="19815" s="2" customFormat="1"/>
    <row r="19816" s="2" customFormat="1"/>
    <row r="19817" s="2" customFormat="1"/>
    <row r="19818" s="2" customFormat="1"/>
    <row r="19819" s="2" customFormat="1"/>
    <row r="19820" s="2" customFormat="1"/>
    <row r="19821" s="2" customFormat="1"/>
    <row r="19822" s="2" customFormat="1"/>
    <row r="19823" s="2" customFormat="1"/>
    <row r="19824" s="2" customFormat="1"/>
    <row r="19825" s="2" customFormat="1"/>
    <row r="19826" s="2" customFormat="1"/>
    <row r="19827" s="2" customFormat="1"/>
    <row r="19828" s="2" customFormat="1"/>
    <row r="19829" s="2" customFormat="1"/>
    <row r="19830" s="2" customFormat="1"/>
    <row r="19831" s="2" customFormat="1"/>
    <row r="19832" s="2" customFormat="1"/>
    <row r="19833" s="2" customFormat="1"/>
    <row r="19834" s="2" customFormat="1"/>
    <row r="19835" s="2" customFormat="1"/>
    <row r="19836" s="2" customFormat="1"/>
    <row r="19837" s="2" customFormat="1"/>
    <row r="19838" s="2" customFormat="1"/>
    <row r="19839" s="2" customFormat="1"/>
    <row r="19840" s="2" customFormat="1"/>
    <row r="19841" s="2" customFormat="1"/>
    <row r="19842" s="2" customFormat="1"/>
    <row r="19843" s="2" customFormat="1"/>
    <row r="19844" s="2" customFormat="1"/>
    <row r="19845" s="2" customFormat="1"/>
    <row r="19846" s="2" customFormat="1"/>
    <row r="19847" s="2" customFormat="1"/>
    <row r="19848" s="2" customFormat="1"/>
    <row r="19849" s="2" customFormat="1"/>
    <row r="19850" s="2" customFormat="1"/>
    <row r="19851" s="2" customFormat="1"/>
    <row r="19852" s="2" customFormat="1"/>
    <row r="19853" s="2" customFormat="1"/>
    <row r="19854" s="2" customFormat="1"/>
    <row r="19855" s="2" customFormat="1"/>
    <row r="19856" s="2" customFormat="1"/>
    <row r="19857" s="2" customFormat="1"/>
    <row r="19858" s="2" customFormat="1"/>
    <row r="19859" s="2" customFormat="1"/>
    <row r="19860" s="2" customFormat="1"/>
    <row r="19861" s="2" customFormat="1"/>
    <row r="19862" s="2" customFormat="1"/>
    <row r="19863" s="2" customFormat="1"/>
    <row r="19864" s="2" customFormat="1"/>
    <row r="19865" s="2" customFormat="1"/>
    <row r="19866" s="2" customFormat="1"/>
    <row r="19867" s="2" customFormat="1"/>
    <row r="19868" s="2" customFormat="1"/>
    <row r="19869" s="2" customFormat="1"/>
    <row r="19870" s="2" customFormat="1"/>
    <row r="19871" s="2" customFormat="1"/>
    <row r="19872" s="2" customFormat="1"/>
    <row r="19873" s="2" customFormat="1"/>
    <row r="19874" s="2" customFormat="1"/>
    <row r="19875" s="2" customFormat="1"/>
    <row r="19876" s="2" customFormat="1"/>
    <row r="19877" s="2" customFormat="1"/>
    <row r="19878" s="2" customFormat="1"/>
    <row r="19879" s="2" customFormat="1"/>
    <row r="19880" s="2" customFormat="1"/>
    <row r="19881" s="2" customFormat="1"/>
    <row r="19882" s="2" customFormat="1"/>
    <row r="19883" s="2" customFormat="1"/>
    <row r="19884" s="2" customFormat="1"/>
    <row r="19885" s="2" customFormat="1"/>
    <row r="19886" s="2" customFormat="1"/>
    <row r="19887" s="2" customFormat="1"/>
    <row r="19888" s="2" customFormat="1"/>
    <row r="19889" s="2" customFormat="1"/>
    <row r="19890" s="2" customFormat="1"/>
    <row r="19891" s="2" customFormat="1"/>
    <row r="19892" s="2" customFormat="1"/>
    <row r="19893" s="2" customFormat="1"/>
    <row r="19894" s="2" customFormat="1"/>
    <row r="19895" s="2" customFormat="1"/>
    <row r="19896" s="2" customFormat="1"/>
    <row r="19897" s="2" customFormat="1"/>
    <row r="19898" s="2" customFormat="1"/>
    <row r="19899" s="2" customFormat="1"/>
    <row r="19900" s="2" customFormat="1"/>
    <row r="19901" s="2" customFormat="1"/>
    <row r="19902" s="2" customFormat="1"/>
    <row r="19903" s="2" customFormat="1"/>
    <row r="19904" s="2" customFormat="1"/>
    <row r="19905" s="2" customFormat="1"/>
    <row r="19906" s="2" customFormat="1"/>
    <row r="19907" s="2" customFormat="1"/>
    <row r="19908" s="2" customFormat="1"/>
    <row r="19909" s="2" customFormat="1"/>
    <row r="19910" s="2" customFormat="1"/>
    <row r="19911" s="2" customFormat="1"/>
    <row r="19912" s="2" customFormat="1"/>
    <row r="19913" s="2" customFormat="1"/>
    <row r="19914" s="2" customFormat="1"/>
    <row r="19915" s="2" customFormat="1"/>
    <row r="19916" s="2" customFormat="1"/>
    <row r="19917" s="2" customFormat="1"/>
    <row r="19918" s="2" customFormat="1"/>
    <row r="19919" s="2" customFormat="1"/>
    <row r="19920" s="2" customFormat="1"/>
    <row r="19921" s="2" customFormat="1"/>
    <row r="19922" s="2" customFormat="1"/>
    <row r="19923" s="2" customFormat="1"/>
    <row r="19924" s="2" customFormat="1"/>
    <row r="19925" s="2" customFormat="1"/>
    <row r="19926" s="2" customFormat="1"/>
    <row r="19927" s="2" customFormat="1"/>
    <row r="19928" s="2" customFormat="1"/>
    <row r="19929" s="2" customFormat="1"/>
    <row r="19930" s="2" customFormat="1"/>
    <row r="19931" s="2" customFormat="1"/>
    <row r="19932" s="2" customFormat="1"/>
    <row r="19933" s="2" customFormat="1"/>
    <row r="19934" s="2" customFormat="1"/>
    <row r="19935" s="2" customFormat="1"/>
    <row r="19936" s="2" customFormat="1"/>
    <row r="19937" s="2" customFormat="1"/>
    <row r="19938" s="2" customFormat="1"/>
    <row r="19939" s="2" customFormat="1"/>
    <row r="19940" s="2" customFormat="1"/>
    <row r="19941" s="2" customFormat="1"/>
    <row r="19942" s="2" customFormat="1"/>
    <row r="19943" s="2" customFormat="1"/>
    <row r="19944" s="2" customFormat="1"/>
    <row r="19945" s="2" customFormat="1"/>
    <row r="19946" s="2" customFormat="1"/>
    <row r="19947" s="2" customFormat="1"/>
    <row r="19948" s="2" customFormat="1"/>
    <row r="19949" s="2" customFormat="1"/>
    <row r="19950" s="2" customFormat="1"/>
    <row r="19951" s="2" customFormat="1"/>
    <row r="19952" s="2" customFormat="1"/>
    <row r="19953" s="2" customFormat="1"/>
    <row r="19954" s="2" customFormat="1"/>
    <row r="19955" s="2" customFormat="1"/>
    <row r="19956" s="2" customFormat="1"/>
    <row r="19957" s="2" customFormat="1"/>
    <row r="19958" s="2" customFormat="1"/>
    <row r="19959" s="2" customFormat="1"/>
    <row r="19960" s="2" customFormat="1"/>
    <row r="19961" s="2" customFormat="1"/>
    <row r="19962" s="2" customFormat="1"/>
    <row r="19963" s="2" customFormat="1"/>
    <row r="19964" s="2" customFormat="1"/>
    <row r="19965" s="2" customFormat="1"/>
    <row r="19966" s="2" customFormat="1"/>
    <row r="19967" s="2" customFormat="1"/>
    <row r="19968" s="2" customFormat="1"/>
    <row r="19969" s="2" customFormat="1"/>
    <row r="19970" s="2" customFormat="1"/>
    <row r="19971" s="2" customFormat="1"/>
    <row r="19972" s="2" customFormat="1"/>
    <row r="19973" s="2" customFormat="1"/>
    <row r="19974" s="2" customFormat="1"/>
    <row r="19975" s="2" customFormat="1"/>
    <row r="19976" s="2" customFormat="1"/>
    <row r="19977" s="2" customFormat="1"/>
    <row r="19978" s="2" customFormat="1"/>
    <row r="19979" s="2" customFormat="1"/>
    <row r="19980" s="2" customFormat="1"/>
    <row r="19981" s="2" customFormat="1"/>
    <row r="19982" s="2" customFormat="1"/>
    <row r="19983" s="2" customFormat="1"/>
    <row r="19984" s="2" customFormat="1"/>
    <row r="19985" s="2" customFormat="1"/>
    <row r="19986" s="2" customFormat="1"/>
    <row r="19987" s="2" customFormat="1"/>
    <row r="19988" s="2" customFormat="1"/>
    <row r="19989" s="2" customFormat="1"/>
    <row r="19990" s="2" customFormat="1"/>
    <row r="19991" s="2" customFormat="1"/>
    <row r="19992" s="2" customFormat="1"/>
    <row r="19993" s="2" customFormat="1"/>
    <row r="19994" s="2" customFormat="1"/>
    <row r="19995" s="2" customFormat="1"/>
    <row r="19996" s="2" customFormat="1"/>
    <row r="19997" s="2" customFormat="1"/>
    <row r="19998" s="2" customFormat="1"/>
    <row r="19999" s="2" customFormat="1"/>
    <row r="20000" s="2" customFormat="1"/>
    <row r="20001" s="2" customFormat="1"/>
    <row r="20002" s="2" customFormat="1"/>
    <row r="20003" s="2" customFormat="1"/>
    <row r="20004" s="2" customFormat="1"/>
    <row r="20005" s="2" customFormat="1"/>
    <row r="20006" s="2" customFormat="1"/>
    <row r="20007" s="2" customFormat="1"/>
    <row r="20008" s="2" customFormat="1"/>
    <row r="20009" s="2" customFormat="1"/>
    <row r="20010" s="2" customFormat="1"/>
    <row r="20011" s="2" customFormat="1"/>
    <row r="20012" s="2" customFormat="1"/>
    <row r="20013" s="2" customFormat="1"/>
    <row r="20014" s="2" customFormat="1"/>
    <row r="20015" s="2" customFormat="1"/>
    <row r="20016" s="2" customFormat="1"/>
    <row r="20017" s="2" customFormat="1"/>
    <row r="20018" s="2" customFormat="1"/>
    <row r="20019" s="2" customFormat="1"/>
    <row r="20020" s="2" customFormat="1"/>
    <row r="20021" s="2" customFormat="1"/>
    <row r="20022" s="2" customFormat="1"/>
    <row r="20023" s="2" customFormat="1"/>
    <row r="20024" s="2" customFormat="1"/>
    <row r="20025" s="2" customFormat="1"/>
    <row r="20026" s="2" customFormat="1"/>
    <row r="20027" s="2" customFormat="1"/>
    <row r="20028" s="2" customFormat="1"/>
    <row r="20029" s="2" customFormat="1"/>
    <row r="20030" s="2" customFormat="1"/>
    <row r="20031" s="2" customFormat="1"/>
    <row r="20032" s="2" customFormat="1"/>
    <row r="20033" s="2" customFormat="1"/>
    <row r="20034" s="2" customFormat="1"/>
    <row r="20035" s="2" customFormat="1"/>
    <row r="20036" s="2" customFormat="1"/>
    <row r="20037" s="2" customFormat="1"/>
    <row r="20038" s="2" customFormat="1"/>
    <row r="20039" s="2" customFormat="1"/>
    <row r="20040" s="2" customFormat="1"/>
    <row r="20041" s="2" customFormat="1"/>
    <row r="20042" s="2" customFormat="1"/>
    <row r="20043" s="2" customFormat="1"/>
    <row r="20044" s="2" customFormat="1"/>
    <row r="20045" s="2" customFormat="1"/>
    <row r="20046" s="2" customFormat="1"/>
    <row r="20047" s="2" customFormat="1"/>
    <row r="20048" s="2" customFormat="1"/>
    <row r="20049" s="2" customFormat="1"/>
    <row r="20050" s="2" customFormat="1"/>
    <row r="20051" s="2" customFormat="1"/>
    <row r="20052" s="2" customFormat="1"/>
    <row r="20053" s="2" customFormat="1"/>
    <row r="20054" s="2" customFormat="1"/>
    <row r="20055" s="2" customFormat="1"/>
    <row r="20056" s="2" customFormat="1"/>
    <row r="20057" s="2" customFormat="1"/>
    <row r="20058" s="2" customFormat="1"/>
    <row r="20059" s="2" customFormat="1"/>
    <row r="20060" s="2" customFormat="1"/>
    <row r="20061" s="2" customFormat="1"/>
    <row r="20062" s="2" customFormat="1"/>
    <row r="20063" s="2" customFormat="1"/>
    <row r="20064" s="2" customFormat="1"/>
    <row r="20065" s="2" customFormat="1"/>
    <row r="20066" s="2" customFormat="1"/>
    <row r="20067" s="2" customFormat="1"/>
    <row r="20068" s="2" customFormat="1"/>
    <row r="20069" s="2" customFormat="1"/>
    <row r="20070" s="2" customFormat="1"/>
    <row r="20071" s="2" customFormat="1"/>
    <row r="20072" s="2" customFormat="1"/>
    <row r="20073" s="2" customFormat="1"/>
    <row r="20074" s="2" customFormat="1"/>
    <row r="20075" s="2" customFormat="1"/>
    <row r="20076" s="2" customFormat="1"/>
    <row r="20077" s="2" customFormat="1"/>
    <row r="20078" s="2" customFormat="1"/>
    <row r="20079" s="2" customFormat="1"/>
    <row r="20080" s="2" customFormat="1"/>
    <row r="20081" s="2" customFormat="1"/>
    <row r="20082" s="2" customFormat="1"/>
    <row r="20083" s="2" customFormat="1"/>
    <row r="20084" s="2" customFormat="1"/>
    <row r="20085" s="2" customFormat="1"/>
    <row r="20086" s="2" customFormat="1"/>
    <row r="20087" s="2" customFormat="1"/>
    <row r="20088" s="2" customFormat="1"/>
    <row r="20089" s="2" customFormat="1"/>
    <row r="20090" s="2" customFormat="1"/>
    <row r="20091" s="2" customFormat="1"/>
    <row r="20092" s="2" customFormat="1"/>
    <row r="20093" s="2" customFormat="1"/>
    <row r="20094" s="2" customFormat="1"/>
    <row r="20095" s="2" customFormat="1"/>
    <row r="20096" s="2" customFormat="1"/>
    <row r="20097" s="2" customFormat="1"/>
    <row r="20098" s="2" customFormat="1"/>
    <row r="20099" s="2" customFormat="1"/>
    <row r="20100" s="2" customFormat="1"/>
    <row r="20101" s="2" customFormat="1"/>
    <row r="20102" s="2" customFormat="1"/>
    <row r="20103" s="2" customFormat="1"/>
    <row r="20104" s="2" customFormat="1"/>
    <row r="20105" s="2" customFormat="1"/>
    <row r="20106" s="2" customFormat="1"/>
    <row r="20107" s="2" customFormat="1"/>
    <row r="20108" s="2" customFormat="1"/>
    <row r="20109" s="2" customFormat="1"/>
    <row r="20110" s="2" customFormat="1"/>
    <row r="20111" s="2" customFormat="1"/>
    <row r="20112" s="2" customFormat="1"/>
    <row r="20113" s="2" customFormat="1"/>
    <row r="20114" s="2" customFormat="1"/>
    <row r="20115" s="2" customFormat="1"/>
    <row r="20116" s="2" customFormat="1"/>
    <row r="20117" s="2" customFormat="1"/>
    <row r="20118" s="2" customFormat="1"/>
    <row r="20119" s="2" customFormat="1"/>
    <row r="20120" s="2" customFormat="1"/>
    <row r="20121" s="2" customFormat="1"/>
    <row r="20122" s="2" customFormat="1"/>
    <row r="20123" s="2" customFormat="1"/>
    <row r="20124" s="2" customFormat="1"/>
    <row r="20125" s="2" customFormat="1"/>
    <row r="20126" s="2" customFormat="1"/>
    <row r="20127" s="2" customFormat="1"/>
    <row r="20128" s="2" customFormat="1"/>
    <row r="20129" s="2" customFormat="1"/>
    <row r="20130" s="2" customFormat="1"/>
    <row r="20131" s="2" customFormat="1"/>
    <row r="20132" s="2" customFormat="1"/>
    <row r="20133" s="2" customFormat="1"/>
    <row r="20134" s="2" customFormat="1"/>
    <row r="20135" s="2" customFormat="1"/>
    <row r="20136" s="2" customFormat="1"/>
    <row r="20137" s="2" customFormat="1"/>
    <row r="20138" s="2" customFormat="1"/>
    <row r="20139" s="2" customFormat="1"/>
    <row r="20140" s="2" customFormat="1"/>
    <row r="20141" s="2" customFormat="1"/>
    <row r="20142" s="2" customFormat="1"/>
    <row r="20143" s="2" customFormat="1"/>
    <row r="20144" s="2" customFormat="1"/>
    <row r="20145" s="2" customFormat="1"/>
    <row r="20146" s="2" customFormat="1"/>
    <row r="20147" s="2" customFormat="1"/>
    <row r="20148" s="2" customFormat="1"/>
    <row r="20149" s="2" customFormat="1"/>
    <row r="20150" s="2" customFormat="1"/>
    <row r="20151" s="2" customFormat="1"/>
    <row r="20152" s="2" customFormat="1"/>
    <row r="20153" s="2" customFormat="1"/>
    <row r="20154" s="2" customFormat="1"/>
    <row r="20155" s="2" customFormat="1"/>
    <row r="20156" s="2" customFormat="1"/>
    <row r="20157" s="2" customFormat="1"/>
    <row r="20158" s="2" customFormat="1"/>
    <row r="20159" s="2" customFormat="1"/>
    <row r="20160" s="2" customFormat="1"/>
    <row r="20161" s="2" customFormat="1"/>
    <row r="20162" s="2" customFormat="1"/>
    <row r="20163" s="2" customFormat="1"/>
    <row r="20164" s="2" customFormat="1"/>
    <row r="20165" s="2" customFormat="1"/>
    <row r="20166" s="2" customFormat="1"/>
    <row r="20167" s="2" customFormat="1"/>
    <row r="20168" s="2" customFormat="1"/>
    <row r="20169" s="2" customFormat="1"/>
    <row r="20170" s="2" customFormat="1"/>
    <row r="20171" s="2" customFormat="1"/>
    <row r="20172" s="2" customFormat="1"/>
    <row r="20173" s="2" customFormat="1"/>
    <row r="20174" s="2" customFormat="1"/>
    <row r="20175" s="2" customFormat="1"/>
    <row r="20176" s="2" customFormat="1"/>
    <row r="20177" s="2" customFormat="1"/>
    <row r="20178" s="2" customFormat="1"/>
    <row r="20179" s="2" customFormat="1"/>
    <row r="20180" s="2" customFormat="1"/>
    <row r="20181" s="2" customFormat="1"/>
    <row r="20182" s="2" customFormat="1"/>
    <row r="20183" s="2" customFormat="1"/>
    <row r="20184" s="2" customFormat="1"/>
    <row r="20185" s="2" customFormat="1"/>
    <row r="20186" s="2" customFormat="1"/>
    <row r="20187" s="2" customFormat="1"/>
    <row r="20188" s="2" customFormat="1"/>
    <row r="20189" s="2" customFormat="1"/>
    <row r="20190" s="2" customFormat="1"/>
    <row r="20191" s="2" customFormat="1"/>
    <row r="20192" s="2" customFormat="1"/>
    <row r="20193" s="2" customFormat="1"/>
    <row r="20194" s="2" customFormat="1"/>
    <row r="20195" s="2" customFormat="1"/>
    <row r="20196" s="2" customFormat="1"/>
    <row r="20197" s="2" customFormat="1"/>
    <row r="20198" s="2" customFormat="1"/>
    <row r="20199" s="2" customFormat="1"/>
    <row r="20200" s="2" customFormat="1"/>
    <row r="20201" s="2" customFormat="1"/>
    <row r="20202" s="2" customFormat="1"/>
    <row r="20203" s="2" customFormat="1"/>
    <row r="20204" s="2" customFormat="1"/>
    <row r="20205" s="2" customFormat="1"/>
    <row r="20206" s="2" customFormat="1"/>
    <row r="20207" s="2" customFormat="1"/>
    <row r="20208" s="2" customFormat="1"/>
    <row r="20209" s="2" customFormat="1"/>
    <row r="20210" s="2" customFormat="1"/>
    <row r="20211" s="2" customFormat="1"/>
    <row r="20212" s="2" customFormat="1"/>
    <row r="20213" s="2" customFormat="1"/>
    <row r="20214" s="2" customFormat="1"/>
    <row r="20215" s="2" customFormat="1"/>
    <row r="20216" s="2" customFormat="1"/>
    <row r="20217" s="2" customFormat="1"/>
    <row r="20218" s="2" customFormat="1"/>
    <row r="20219" s="2" customFormat="1"/>
    <row r="20220" s="2" customFormat="1"/>
    <row r="20221" s="2" customFormat="1"/>
    <row r="20222" s="2" customFormat="1"/>
    <row r="20223" s="2" customFormat="1"/>
    <row r="20224" s="2" customFormat="1"/>
    <row r="20225" s="2" customFormat="1"/>
    <row r="20226" s="2" customFormat="1"/>
    <row r="20227" s="2" customFormat="1"/>
    <row r="20228" s="2" customFormat="1"/>
    <row r="20229" s="2" customFormat="1"/>
    <row r="20230" s="2" customFormat="1"/>
    <row r="20231" s="2" customFormat="1"/>
    <row r="20232" s="2" customFormat="1"/>
    <row r="20233" s="2" customFormat="1"/>
    <row r="20234" s="2" customFormat="1"/>
    <row r="20235" s="2" customFormat="1"/>
    <row r="20236" s="2" customFormat="1"/>
    <row r="20237" s="2" customFormat="1"/>
    <row r="20238" s="2" customFormat="1"/>
    <row r="20239" s="2" customFormat="1"/>
    <row r="20240" s="2" customFormat="1"/>
    <row r="20241" s="2" customFormat="1"/>
    <row r="20242" s="2" customFormat="1"/>
    <row r="20243" s="2" customFormat="1"/>
    <row r="20244" s="2" customFormat="1"/>
    <row r="20245" s="2" customFormat="1"/>
    <row r="20246" s="2" customFormat="1"/>
    <row r="20247" s="2" customFormat="1"/>
    <row r="20248" s="2" customFormat="1"/>
    <row r="20249" s="2" customFormat="1"/>
    <row r="20250" s="2" customFormat="1"/>
    <row r="20251" s="2" customFormat="1"/>
    <row r="20252" s="2" customFormat="1"/>
    <row r="20253" s="2" customFormat="1"/>
    <row r="20254" s="2" customFormat="1"/>
    <row r="20255" s="2" customFormat="1"/>
    <row r="20256" s="2" customFormat="1"/>
    <row r="20257" s="2" customFormat="1"/>
    <row r="20258" s="2" customFormat="1"/>
    <row r="20259" s="2" customFormat="1"/>
    <row r="20260" s="2" customFormat="1"/>
    <row r="20261" s="2" customFormat="1"/>
    <row r="20262" s="2" customFormat="1"/>
    <row r="20263" s="2" customFormat="1"/>
    <row r="20264" s="2" customFormat="1"/>
    <row r="20265" s="2" customFormat="1"/>
    <row r="20266" s="2" customFormat="1"/>
    <row r="20267" s="2" customFormat="1"/>
    <row r="20268" s="2" customFormat="1"/>
    <row r="20269" s="2" customFormat="1"/>
    <row r="20270" s="2" customFormat="1"/>
    <row r="20271" s="2" customFormat="1"/>
    <row r="20272" s="2" customFormat="1"/>
    <row r="20273" s="2" customFormat="1"/>
    <row r="20274" s="2" customFormat="1"/>
    <row r="20275" s="2" customFormat="1"/>
    <row r="20276" s="2" customFormat="1"/>
    <row r="20277" s="2" customFormat="1"/>
    <row r="20278" s="2" customFormat="1"/>
    <row r="20279" s="2" customFormat="1"/>
    <row r="20280" s="2" customFormat="1"/>
    <row r="20281" s="2" customFormat="1"/>
    <row r="20282" s="2" customFormat="1"/>
    <row r="20283" s="2" customFormat="1"/>
    <row r="20284" s="2" customFormat="1"/>
    <row r="20285" s="2" customFormat="1"/>
    <row r="20286" s="2" customFormat="1"/>
    <row r="20287" s="2" customFormat="1"/>
    <row r="20288" s="2" customFormat="1"/>
    <row r="20289" s="2" customFormat="1"/>
    <row r="20290" s="2" customFormat="1"/>
    <row r="20291" s="2" customFormat="1"/>
    <row r="20292" s="2" customFormat="1"/>
    <row r="20293" s="2" customFormat="1"/>
    <row r="20294" s="2" customFormat="1"/>
    <row r="20295" s="2" customFormat="1"/>
    <row r="20296" s="2" customFormat="1"/>
    <row r="20297" s="2" customFormat="1"/>
    <row r="20298" s="2" customFormat="1"/>
    <row r="20299" s="2" customFormat="1"/>
    <row r="20300" s="2" customFormat="1"/>
    <row r="20301" s="2" customFormat="1"/>
    <row r="20302" s="2" customFormat="1"/>
    <row r="20303" s="2" customFormat="1"/>
    <row r="20304" s="2" customFormat="1"/>
    <row r="20305" s="2" customFormat="1"/>
    <row r="20306" s="2" customFormat="1"/>
    <row r="20307" s="2" customFormat="1"/>
    <row r="20308" s="2" customFormat="1"/>
    <row r="20309" s="2" customFormat="1"/>
    <row r="20310" s="2" customFormat="1"/>
    <row r="20311" s="2" customFormat="1"/>
    <row r="20312" s="2" customFormat="1"/>
    <row r="20313" s="2" customFormat="1"/>
    <row r="20314" s="2" customFormat="1"/>
    <row r="20315" s="2" customFormat="1"/>
    <row r="20316" s="2" customFormat="1"/>
    <row r="20317" s="2" customFormat="1"/>
    <row r="20318" s="2" customFormat="1"/>
    <row r="20319" s="2" customFormat="1"/>
    <row r="20320" s="2" customFormat="1"/>
    <row r="20321" s="2" customFormat="1"/>
    <row r="20322" s="2" customFormat="1"/>
    <row r="20323" s="2" customFormat="1"/>
    <row r="20324" s="2" customFormat="1"/>
    <row r="20325" s="2" customFormat="1"/>
    <row r="20326" s="2" customFormat="1"/>
    <row r="20327" s="2" customFormat="1"/>
    <row r="20328" s="2" customFormat="1"/>
    <row r="20329" s="2" customFormat="1"/>
    <row r="20330" s="2" customFormat="1"/>
    <row r="20331" s="2" customFormat="1"/>
    <row r="20332" s="2" customFormat="1"/>
    <row r="20333" s="2" customFormat="1"/>
    <row r="20334" s="2" customFormat="1"/>
    <row r="20335" s="2" customFormat="1"/>
    <row r="20336" s="2" customFormat="1"/>
    <row r="20337" s="2" customFormat="1"/>
    <row r="20338" s="2" customFormat="1"/>
    <row r="20339" s="2" customFormat="1"/>
    <row r="20340" s="2" customFormat="1"/>
    <row r="20341" s="2" customFormat="1"/>
    <row r="20342" s="2" customFormat="1"/>
    <row r="20343" s="2" customFormat="1"/>
    <row r="20344" s="2" customFormat="1"/>
    <row r="20345" s="2" customFormat="1"/>
    <row r="20346" s="2" customFormat="1"/>
    <row r="20347" s="2" customFormat="1"/>
    <row r="20348" s="2" customFormat="1"/>
    <row r="20349" s="2" customFormat="1"/>
    <row r="20350" s="2" customFormat="1"/>
    <row r="20351" s="2" customFormat="1"/>
    <row r="20352" s="2" customFormat="1"/>
    <row r="20353" s="2" customFormat="1"/>
    <row r="20354" s="2" customFormat="1"/>
    <row r="20355" s="2" customFormat="1"/>
    <row r="20356" s="2" customFormat="1"/>
    <row r="20357" s="2" customFormat="1"/>
    <row r="20358" s="2" customFormat="1"/>
    <row r="20359" s="2" customFormat="1"/>
    <row r="20360" s="2" customFormat="1"/>
    <row r="20361" s="2" customFormat="1"/>
    <row r="20362" s="2" customFormat="1"/>
    <row r="20363" s="2" customFormat="1"/>
    <row r="20364" s="2" customFormat="1"/>
    <row r="20365" s="2" customFormat="1"/>
    <row r="20366" s="2" customFormat="1"/>
    <row r="20367" s="2" customFormat="1"/>
    <row r="20368" s="2" customFormat="1"/>
    <row r="20369" s="2" customFormat="1"/>
    <row r="20370" s="2" customFormat="1"/>
    <row r="20371" s="2" customFormat="1"/>
    <row r="20372" s="2" customFormat="1"/>
    <row r="20373" s="2" customFormat="1"/>
    <row r="20374" s="2" customFormat="1"/>
    <row r="20375" s="2" customFormat="1"/>
    <row r="20376" s="2" customFormat="1"/>
    <row r="20377" s="2" customFormat="1"/>
    <row r="20378" s="2" customFormat="1"/>
    <row r="20379" s="2" customFormat="1"/>
    <row r="20380" s="2" customFormat="1"/>
    <row r="20381" s="2" customFormat="1"/>
    <row r="20382" s="2" customFormat="1"/>
    <row r="20383" s="2" customFormat="1"/>
    <row r="20384" s="2" customFormat="1"/>
    <row r="20385" s="2" customFormat="1"/>
    <row r="20386" s="2" customFormat="1"/>
    <row r="20387" s="2" customFormat="1"/>
    <row r="20388" s="2" customFormat="1"/>
    <row r="20389" s="2" customFormat="1"/>
    <row r="20390" s="2" customFormat="1"/>
    <row r="20391" s="2" customFormat="1"/>
    <row r="20392" s="2" customFormat="1"/>
    <row r="20393" s="2" customFormat="1"/>
    <row r="20394" s="2" customFormat="1"/>
    <row r="20395" s="2" customFormat="1"/>
    <row r="20396" s="2" customFormat="1"/>
    <row r="20397" s="2" customFormat="1"/>
    <row r="20398" s="2" customFormat="1"/>
    <row r="20399" s="2" customFormat="1"/>
    <row r="20400" s="2" customFormat="1"/>
    <row r="20401" s="2" customFormat="1"/>
    <row r="20402" s="2" customFormat="1"/>
    <row r="20403" s="2" customFormat="1"/>
    <row r="20404" s="2" customFormat="1"/>
    <row r="20405" s="2" customFormat="1"/>
    <row r="20406" s="2" customFormat="1"/>
    <row r="20407" s="2" customFormat="1"/>
    <row r="20408" s="2" customFormat="1"/>
    <row r="20409" s="2" customFormat="1"/>
    <row r="20410" s="2" customFormat="1"/>
    <row r="20411" s="2" customFormat="1"/>
    <row r="20412" s="2" customFormat="1"/>
    <row r="20413" s="2" customFormat="1"/>
    <row r="20414" s="2" customFormat="1"/>
    <row r="20415" s="2" customFormat="1"/>
    <row r="20416" s="2" customFormat="1"/>
    <row r="20417" s="2" customFormat="1"/>
    <row r="20418" s="2" customFormat="1"/>
    <row r="20419" s="2" customFormat="1"/>
    <row r="20420" s="2" customFormat="1"/>
    <row r="20421" s="2" customFormat="1"/>
    <row r="20422" s="2" customFormat="1"/>
    <row r="20423" s="2" customFormat="1"/>
    <row r="20424" s="2" customFormat="1"/>
    <row r="20425" s="2" customFormat="1"/>
    <row r="20426" s="2" customFormat="1"/>
    <row r="20427" s="2" customFormat="1"/>
    <row r="20428" s="2" customFormat="1"/>
    <row r="20429" s="2" customFormat="1"/>
    <row r="20430" s="2" customFormat="1"/>
    <row r="20431" s="2" customFormat="1"/>
    <row r="20432" s="2" customFormat="1"/>
    <row r="20433" s="2" customFormat="1"/>
    <row r="20434" s="2" customFormat="1"/>
    <row r="20435" s="2" customFormat="1"/>
    <row r="20436" s="2" customFormat="1"/>
    <row r="20437" s="2" customFormat="1"/>
    <row r="20438" s="2" customFormat="1"/>
    <row r="20439" s="2" customFormat="1"/>
    <row r="20440" s="2" customFormat="1"/>
    <row r="20441" s="2" customFormat="1"/>
    <row r="20442" s="2" customFormat="1"/>
    <row r="20443" s="2" customFormat="1"/>
    <row r="20444" s="2" customFormat="1"/>
    <row r="20445" s="2" customFormat="1"/>
    <row r="20446" s="2" customFormat="1"/>
    <row r="20447" s="2" customFormat="1"/>
    <row r="20448" s="2" customFormat="1"/>
    <row r="20449" s="2" customFormat="1"/>
    <row r="20450" s="2" customFormat="1"/>
    <row r="20451" s="2" customFormat="1"/>
    <row r="20452" s="2" customFormat="1"/>
    <row r="20453" s="2" customFormat="1"/>
    <row r="20454" s="2" customFormat="1"/>
    <row r="20455" s="2" customFormat="1"/>
    <row r="20456" s="2" customFormat="1"/>
    <row r="20457" s="2" customFormat="1"/>
    <row r="20458" s="2" customFormat="1"/>
    <row r="20459" s="2" customFormat="1"/>
    <row r="20460" s="2" customFormat="1"/>
    <row r="20461" s="2" customFormat="1"/>
    <row r="20462" s="2" customFormat="1"/>
    <row r="20463" s="2" customFormat="1"/>
    <row r="20464" s="2" customFormat="1"/>
    <row r="20465" s="2" customFormat="1"/>
    <row r="20466" s="2" customFormat="1"/>
    <row r="20467" s="2" customFormat="1"/>
    <row r="20468" s="2" customFormat="1"/>
    <row r="20469" s="2" customFormat="1"/>
    <row r="20470" s="2" customFormat="1"/>
    <row r="20471" s="2" customFormat="1"/>
    <row r="20472" s="2" customFormat="1"/>
    <row r="20473" s="2" customFormat="1"/>
    <row r="20474" s="2" customFormat="1"/>
    <row r="20475" s="2" customFormat="1"/>
    <row r="20476" s="2" customFormat="1"/>
    <row r="20477" s="2" customFormat="1"/>
    <row r="20478" s="2" customFormat="1"/>
    <row r="20479" s="2" customFormat="1"/>
    <row r="20480" s="2" customFormat="1"/>
    <row r="20481" s="2" customFormat="1"/>
    <row r="20482" s="2" customFormat="1"/>
    <row r="20483" s="2" customFormat="1"/>
    <row r="20484" s="2" customFormat="1"/>
    <row r="20485" s="2" customFormat="1"/>
    <row r="20486" s="2" customFormat="1"/>
    <row r="20487" s="2" customFormat="1"/>
    <row r="20488" s="2" customFormat="1"/>
    <row r="20489" s="2" customFormat="1"/>
    <row r="20490" s="2" customFormat="1"/>
    <row r="20491" s="2" customFormat="1"/>
    <row r="20492" s="2" customFormat="1"/>
    <row r="20493" s="2" customFormat="1"/>
    <row r="20494" s="2" customFormat="1"/>
    <row r="20495" s="2" customFormat="1"/>
    <row r="20496" s="2" customFormat="1"/>
    <row r="20497" s="2" customFormat="1"/>
    <row r="20498" s="2" customFormat="1"/>
    <row r="20499" s="2" customFormat="1"/>
    <row r="20500" s="2" customFormat="1"/>
    <row r="20501" s="2" customFormat="1"/>
    <row r="20502" s="2" customFormat="1"/>
    <row r="20503" s="2" customFormat="1"/>
    <row r="20504" s="2" customFormat="1"/>
    <row r="20505" s="2" customFormat="1"/>
    <row r="20506" s="2" customFormat="1"/>
    <row r="20507" s="2" customFormat="1"/>
    <row r="20508" s="2" customFormat="1"/>
    <row r="20509" s="2" customFormat="1"/>
    <row r="20510" s="2" customFormat="1"/>
    <row r="20511" s="2" customFormat="1"/>
    <row r="20512" s="2" customFormat="1"/>
    <row r="20513" s="2" customFormat="1"/>
    <row r="20514" s="2" customFormat="1"/>
    <row r="20515" s="2" customFormat="1"/>
    <row r="20516" s="2" customFormat="1"/>
    <row r="20517" s="2" customFormat="1"/>
    <row r="20518" s="2" customFormat="1"/>
    <row r="20519" s="2" customFormat="1"/>
    <row r="20520" s="2" customFormat="1"/>
    <row r="20521" s="2" customFormat="1"/>
    <row r="20522" s="2" customFormat="1"/>
    <row r="20523" s="2" customFormat="1"/>
    <row r="20524" s="2" customFormat="1"/>
    <row r="20525" s="2" customFormat="1"/>
    <row r="20526" s="2" customFormat="1"/>
    <row r="20527" s="2" customFormat="1"/>
    <row r="20528" s="2" customFormat="1"/>
    <row r="20529" s="2" customFormat="1"/>
    <row r="20530" s="2" customFormat="1"/>
    <row r="20531" s="2" customFormat="1"/>
    <row r="20532" s="2" customFormat="1"/>
    <row r="20533" s="2" customFormat="1"/>
    <row r="20534" s="2" customFormat="1"/>
    <row r="20535" s="2" customFormat="1"/>
    <row r="20536" s="2" customFormat="1"/>
    <row r="20537" s="2" customFormat="1"/>
    <row r="20538" s="2" customFormat="1"/>
    <row r="20539" s="2" customFormat="1"/>
    <row r="20540" s="2" customFormat="1"/>
    <row r="20541" s="2" customFormat="1"/>
    <row r="20542" s="2" customFormat="1"/>
    <row r="20543" s="2" customFormat="1"/>
    <row r="20544" s="2" customFormat="1"/>
    <row r="20545" s="2" customFormat="1"/>
    <row r="20546" s="2" customFormat="1"/>
    <row r="20547" s="2" customFormat="1"/>
    <row r="20548" s="2" customFormat="1"/>
    <row r="20549" s="2" customFormat="1"/>
    <row r="20550" s="2" customFormat="1"/>
    <row r="20551" s="2" customFormat="1"/>
    <row r="20552" s="2" customFormat="1"/>
    <row r="20553" s="2" customFormat="1"/>
    <row r="20554" s="2" customFormat="1"/>
    <row r="20555" s="2" customFormat="1"/>
    <row r="20556" s="2" customFormat="1"/>
    <row r="20557" s="2" customFormat="1"/>
    <row r="20558" s="2" customFormat="1"/>
    <row r="20559" s="2" customFormat="1"/>
    <row r="20560" s="2" customFormat="1"/>
    <row r="20561" s="2" customFormat="1"/>
    <row r="20562" s="2" customFormat="1"/>
    <row r="20563" s="2" customFormat="1"/>
    <row r="20564" s="2" customFormat="1"/>
    <row r="20565" s="2" customFormat="1"/>
    <row r="20566" s="2" customFormat="1"/>
    <row r="20567" s="2" customFormat="1"/>
    <row r="20568" s="2" customFormat="1"/>
    <row r="20569" s="2" customFormat="1"/>
    <row r="20570" s="2" customFormat="1"/>
    <row r="20571" s="2" customFormat="1"/>
    <row r="20572" s="2" customFormat="1"/>
    <row r="20573" s="2" customFormat="1"/>
    <row r="20574" s="2" customFormat="1"/>
    <row r="20575" s="2" customFormat="1"/>
    <row r="20576" s="2" customFormat="1"/>
    <row r="20577" s="2" customFormat="1"/>
    <row r="20578" s="2" customFormat="1"/>
    <row r="20579" s="2" customFormat="1"/>
    <row r="20580" s="2" customFormat="1"/>
    <row r="20581" s="2" customFormat="1"/>
    <row r="20582" s="2" customFormat="1"/>
    <row r="20583" s="2" customFormat="1"/>
    <row r="20584" s="2" customFormat="1"/>
    <row r="20585" s="2" customFormat="1"/>
    <row r="20586" s="2" customFormat="1"/>
    <row r="20587" s="2" customFormat="1"/>
    <row r="20588" s="2" customFormat="1"/>
    <row r="20589" s="2" customFormat="1"/>
    <row r="20590" s="2" customFormat="1"/>
    <row r="20591" s="2" customFormat="1"/>
    <row r="20592" s="2" customFormat="1"/>
    <row r="20593" s="2" customFormat="1"/>
    <row r="20594" s="2" customFormat="1"/>
    <row r="20595" s="2" customFormat="1"/>
    <row r="20596" s="2" customFormat="1"/>
    <row r="20597" s="2" customFormat="1"/>
    <row r="20598" s="2" customFormat="1"/>
    <row r="20599" s="2" customFormat="1"/>
    <row r="20600" s="2" customFormat="1"/>
    <row r="20601" s="2" customFormat="1"/>
    <row r="20602" s="2" customFormat="1"/>
    <row r="20603" s="2" customFormat="1"/>
    <row r="20604" s="2" customFormat="1"/>
    <row r="20605" s="2" customFormat="1"/>
    <row r="20606" s="2" customFormat="1"/>
    <row r="20607" s="2" customFormat="1"/>
    <row r="20608" s="2" customFormat="1"/>
    <row r="20609" s="2" customFormat="1"/>
    <row r="20610" s="2" customFormat="1"/>
    <row r="20611" s="2" customFormat="1"/>
    <row r="20612" s="2" customFormat="1"/>
    <row r="20613" s="2" customFormat="1"/>
    <row r="20614" s="2" customFormat="1"/>
    <row r="20615" s="2" customFormat="1"/>
    <row r="20616" s="2" customFormat="1"/>
    <row r="20617" s="2" customFormat="1"/>
    <row r="20618" s="2" customFormat="1"/>
    <row r="20619" s="2" customFormat="1"/>
    <row r="20620" s="2" customFormat="1"/>
    <row r="20621" s="2" customFormat="1"/>
    <row r="20622" s="2" customFormat="1"/>
    <row r="20623" s="2" customFormat="1"/>
    <row r="20624" s="2" customFormat="1"/>
    <row r="20625" s="2" customFormat="1"/>
    <row r="20626" s="2" customFormat="1"/>
    <row r="20627" s="2" customFormat="1"/>
    <row r="20628" s="2" customFormat="1"/>
    <row r="20629" s="2" customFormat="1"/>
    <row r="20630" s="2" customFormat="1"/>
    <row r="20631" s="2" customFormat="1"/>
    <row r="20632" s="2" customFormat="1"/>
    <row r="20633" s="2" customFormat="1"/>
    <row r="20634" s="2" customFormat="1"/>
    <row r="20635" s="2" customFormat="1"/>
    <row r="20636" s="2" customFormat="1"/>
    <row r="20637" s="2" customFormat="1"/>
    <row r="20638" s="2" customFormat="1"/>
    <row r="20639" s="2" customFormat="1"/>
    <row r="20640" s="2" customFormat="1"/>
    <row r="20641" s="2" customFormat="1"/>
    <row r="20642" s="2" customFormat="1"/>
    <row r="20643" s="2" customFormat="1"/>
    <row r="20644" s="2" customFormat="1"/>
    <row r="20645" s="2" customFormat="1"/>
    <row r="20646" s="2" customFormat="1"/>
    <row r="20647" s="2" customFormat="1"/>
    <row r="20648" s="2" customFormat="1"/>
    <row r="20649" s="2" customFormat="1"/>
    <row r="20650" s="2" customFormat="1"/>
    <row r="20651" s="2" customFormat="1"/>
    <row r="20652" s="2" customFormat="1"/>
    <row r="20653" s="2" customFormat="1"/>
    <row r="20654" s="2" customFormat="1"/>
    <row r="20655" s="2" customFormat="1"/>
    <row r="20656" s="2" customFormat="1"/>
    <row r="20657" s="2" customFormat="1"/>
    <row r="20658" s="2" customFormat="1"/>
    <row r="20659" s="2" customFormat="1"/>
    <row r="20660" s="2" customFormat="1"/>
    <row r="20661" s="2" customFormat="1"/>
    <row r="20662" s="2" customFormat="1"/>
    <row r="20663" s="2" customFormat="1"/>
    <row r="20664" s="2" customFormat="1"/>
    <row r="20665" s="2" customFormat="1"/>
    <row r="20666" s="2" customFormat="1"/>
    <row r="20667" s="2" customFormat="1"/>
    <row r="20668" s="2" customFormat="1"/>
    <row r="20669" s="2" customFormat="1"/>
    <row r="20670" s="2" customFormat="1"/>
    <row r="20671" s="2" customFormat="1"/>
    <row r="20672" s="2" customFormat="1"/>
    <row r="20673" s="2" customFormat="1"/>
    <row r="20674" s="2" customFormat="1"/>
    <row r="20675" s="2" customFormat="1"/>
    <row r="20676" s="2" customFormat="1"/>
    <row r="20677" s="2" customFormat="1"/>
    <row r="20678" s="2" customFormat="1"/>
    <row r="20679" s="2" customFormat="1"/>
    <row r="20680" s="2" customFormat="1"/>
    <row r="20681" s="2" customFormat="1"/>
    <row r="20682" s="2" customFormat="1"/>
    <row r="20683" s="2" customFormat="1"/>
    <row r="20684" s="2" customFormat="1"/>
    <row r="20685" s="2" customFormat="1"/>
    <row r="20686" s="2" customFormat="1"/>
    <row r="20687" s="2" customFormat="1"/>
    <row r="20688" s="2" customFormat="1"/>
    <row r="20689" s="2" customFormat="1"/>
    <row r="20690" s="2" customFormat="1"/>
    <row r="20691" s="2" customFormat="1"/>
    <row r="20692" s="2" customFormat="1"/>
    <row r="20693" s="2" customFormat="1"/>
    <row r="20694" s="2" customFormat="1"/>
    <row r="20695" s="2" customFormat="1"/>
    <row r="20696" s="2" customFormat="1"/>
    <row r="20697" s="2" customFormat="1"/>
    <row r="20698" s="2" customFormat="1"/>
    <row r="20699" s="2" customFormat="1"/>
    <row r="20700" s="2" customFormat="1"/>
    <row r="20701" s="2" customFormat="1"/>
    <row r="20702" s="2" customFormat="1"/>
    <row r="20703" s="2" customFormat="1"/>
    <row r="20704" s="2" customFormat="1"/>
    <row r="20705" s="2" customFormat="1"/>
    <row r="20706" s="2" customFormat="1"/>
    <row r="20707" s="2" customFormat="1"/>
    <row r="20708" s="2" customFormat="1"/>
    <row r="20709" s="2" customFormat="1"/>
    <row r="20710" s="2" customFormat="1"/>
    <row r="20711" s="2" customFormat="1"/>
    <row r="20712" s="2" customFormat="1"/>
    <row r="20713" s="2" customFormat="1"/>
    <row r="20714" s="2" customFormat="1"/>
    <row r="20715" s="2" customFormat="1"/>
    <row r="20716" s="2" customFormat="1"/>
    <row r="20717" s="2" customFormat="1"/>
    <row r="20718" s="2" customFormat="1"/>
    <row r="20719" s="2" customFormat="1"/>
    <row r="20720" s="2" customFormat="1"/>
    <row r="20721" s="2" customFormat="1"/>
    <row r="20722" s="2" customFormat="1"/>
    <row r="20723" s="2" customFormat="1"/>
    <row r="20724" s="2" customFormat="1"/>
    <row r="20725" s="2" customFormat="1"/>
    <row r="20726" s="2" customFormat="1"/>
    <row r="20727" s="2" customFormat="1"/>
    <row r="20728" s="2" customFormat="1"/>
    <row r="20729" s="2" customFormat="1"/>
    <row r="20730" s="2" customFormat="1"/>
    <row r="20731" s="2" customFormat="1"/>
    <row r="20732" s="2" customFormat="1"/>
    <row r="20733" s="2" customFormat="1"/>
    <row r="20734" s="2" customFormat="1"/>
    <row r="20735" s="2" customFormat="1"/>
    <row r="20736" s="2" customFormat="1"/>
    <row r="20737" s="2" customFormat="1"/>
    <row r="20738" s="2" customFormat="1"/>
    <row r="20739" s="2" customFormat="1"/>
    <row r="20740" s="2" customFormat="1"/>
    <row r="20741" s="2" customFormat="1"/>
    <row r="20742" s="2" customFormat="1"/>
    <row r="20743" s="2" customFormat="1"/>
    <row r="20744" s="2" customFormat="1"/>
    <row r="20745" s="2" customFormat="1"/>
    <row r="20746" s="2" customFormat="1"/>
    <row r="20747" s="2" customFormat="1"/>
    <row r="20748" s="2" customFormat="1"/>
    <row r="20749" s="2" customFormat="1"/>
    <row r="20750" s="2" customFormat="1"/>
    <row r="20751" s="2" customFormat="1"/>
    <row r="20752" s="2" customFormat="1"/>
    <row r="20753" s="2" customFormat="1"/>
    <row r="20754" s="2" customFormat="1"/>
    <row r="20755" s="2" customFormat="1"/>
    <row r="20756" s="2" customFormat="1"/>
    <row r="20757" s="2" customFormat="1"/>
    <row r="20758" s="2" customFormat="1"/>
    <row r="20759" s="2" customFormat="1"/>
    <row r="20760" s="2" customFormat="1"/>
    <row r="20761" s="2" customFormat="1"/>
    <row r="20762" s="2" customFormat="1"/>
    <row r="20763" s="2" customFormat="1"/>
    <row r="20764" s="2" customFormat="1"/>
    <row r="20765" s="2" customFormat="1"/>
    <row r="20766" s="2" customFormat="1"/>
    <row r="20767" s="2" customFormat="1"/>
    <row r="20768" s="2" customFormat="1"/>
    <row r="20769" s="2" customFormat="1"/>
    <row r="20770" s="2" customFormat="1"/>
    <row r="20771" s="2" customFormat="1"/>
    <row r="20772" s="2" customFormat="1"/>
    <row r="20773" s="2" customFormat="1"/>
    <row r="20774" s="2" customFormat="1"/>
    <row r="20775" s="2" customFormat="1"/>
    <row r="20776" s="2" customFormat="1"/>
    <row r="20777" s="2" customFormat="1"/>
    <row r="20778" s="2" customFormat="1"/>
    <row r="20779" s="2" customFormat="1"/>
    <row r="20780" s="2" customFormat="1"/>
    <row r="20781" s="2" customFormat="1"/>
    <row r="20782" s="2" customFormat="1"/>
    <row r="20783" s="2" customFormat="1"/>
    <row r="20784" s="2" customFormat="1"/>
    <row r="20785" s="2" customFormat="1"/>
    <row r="20786" s="2" customFormat="1"/>
    <row r="20787" s="2" customFormat="1"/>
    <row r="20788" s="2" customFormat="1"/>
    <row r="20789" s="2" customFormat="1"/>
    <row r="20790" s="2" customFormat="1"/>
    <row r="20791" s="2" customFormat="1"/>
    <row r="20792" s="2" customFormat="1"/>
    <row r="20793" s="2" customFormat="1"/>
    <row r="20794" s="2" customFormat="1"/>
    <row r="20795" s="2" customFormat="1"/>
    <row r="20796" s="2" customFormat="1"/>
    <row r="20797" s="2" customFormat="1"/>
    <row r="20798" s="2" customFormat="1"/>
    <row r="20799" s="2" customFormat="1"/>
    <row r="20800" s="2" customFormat="1"/>
    <row r="20801" s="2" customFormat="1"/>
    <row r="20802" s="2" customFormat="1"/>
    <row r="20803" s="2" customFormat="1"/>
    <row r="20804" s="2" customFormat="1"/>
    <row r="20805" s="2" customFormat="1"/>
    <row r="20806" s="2" customFormat="1"/>
    <row r="20807" s="2" customFormat="1"/>
    <row r="20808" s="2" customFormat="1"/>
    <row r="20809" s="2" customFormat="1"/>
    <row r="20810" s="2" customFormat="1"/>
    <row r="20811" s="2" customFormat="1"/>
    <row r="20812" s="2" customFormat="1"/>
    <row r="20813" s="2" customFormat="1"/>
    <row r="20814" s="2" customFormat="1"/>
    <row r="20815" s="2" customFormat="1"/>
    <row r="20816" s="2" customFormat="1"/>
    <row r="20817" s="2" customFormat="1"/>
    <row r="20818" s="2" customFormat="1"/>
    <row r="20819" s="2" customFormat="1"/>
    <row r="20820" s="2" customFormat="1"/>
    <row r="20821" s="2" customFormat="1"/>
    <row r="20822" s="2" customFormat="1"/>
    <row r="20823" s="2" customFormat="1"/>
    <row r="20824" s="2" customFormat="1"/>
    <row r="20825" s="2" customFormat="1"/>
    <row r="20826" s="2" customFormat="1"/>
    <row r="20827" s="2" customFormat="1"/>
    <row r="20828" s="2" customFormat="1"/>
    <row r="20829" s="2" customFormat="1"/>
    <row r="20830" s="2" customFormat="1"/>
    <row r="20831" s="2" customFormat="1"/>
    <row r="20832" s="2" customFormat="1"/>
    <row r="20833" s="2" customFormat="1"/>
    <row r="20834" s="2" customFormat="1"/>
    <row r="20835" s="2" customFormat="1"/>
    <row r="20836" s="2" customFormat="1"/>
    <row r="20837" s="2" customFormat="1"/>
    <row r="20838" s="2" customFormat="1"/>
    <row r="20839" s="2" customFormat="1"/>
    <row r="20840" s="2" customFormat="1"/>
    <row r="20841" s="2" customFormat="1"/>
    <row r="20842" s="2" customFormat="1"/>
    <row r="20843" s="2" customFormat="1"/>
    <row r="20844" s="2" customFormat="1"/>
    <row r="20845" s="2" customFormat="1"/>
    <row r="20846" s="2" customFormat="1"/>
    <row r="20847" s="2" customFormat="1"/>
    <row r="20848" s="2" customFormat="1"/>
    <row r="20849" s="2" customFormat="1"/>
    <row r="20850" s="2" customFormat="1"/>
    <row r="20851" s="2" customFormat="1"/>
    <row r="20852" s="2" customFormat="1"/>
    <row r="20853" s="2" customFormat="1"/>
    <row r="20854" s="2" customFormat="1"/>
    <row r="20855" s="2" customFormat="1"/>
    <row r="20856" s="2" customFormat="1"/>
    <row r="20857" s="2" customFormat="1"/>
    <row r="20858" s="2" customFormat="1"/>
    <row r="20859" s="2" customFormat="1"/>
    <row r="20860" s="2" customFormat="1"/>
    <row r="20861" s="2" customFormat="1"/>
    <row r="20862" s="2" customFormat="1"/>
    <row r="20863" s="2" customFormat="1"/>
    <row r="20864" s="2" customFormat="1"/>
    <row r="20865" s="2" customFormat="1"/>
    <row r="20866" s="2" customFormat="1"/>
    <row r="20867" s="2" customFormat="1"/>
    <row r="20868" s="2" customFormat="1"/>
    <row r="20869" s="2" customFormat="1"/>
    <row r="20870" s="2" customFormat="1"/>
    <row r="20871" s="2" customFormat="1"/>
    <row r="20872" s="2" customFormat="1"/>
    <row r="20873" s="2" customFormat="1"/>
    <row r="20874" s="2" customFormat="1"/>
    <row r="20875" s="2" customFormat="1"/>
    <row r="20876" s="2" customFormat="1"/>
    <row r="20877" s="2" customFormat="1"/>
    <row r="20878" s="2" customFormat="1"/>
    <row r="20879" s="2" customFormat="1"/>
    <row r="20880" s="2" customFormat="1"/>
    <row r="20881" s="2" customFormat="1"/>
    <row r="20882" s="2" customFormat="1"/>
    <row r="20883" s="2" customFormat="1"/>
    <row r="20884" s="2" customFormat="1"/>
    <row r="20885" s="2" customFormat="1"/>
    <row r="20886" s="2" customFormat="1"/>
    <row r="20887" s="2" customFormat="1"/>
    <row r="20888" s="2" customFormat="1"/>
    <row r="20889" s="2" customFormat="1"/>
    <row r="20890" s="2" customFormat="1"/>
    <row r="20891" s="2" customFormat="1"/>
    <row r="20892" s="2" customFormat="1"/>
    <row r="20893" s="2" customFormat="1"/>
    <row r="20894" s="2" customFormat="1"/>
    <row r="20895" s="2" customFormat="1"/>
    <row r="20896" s="2" customFormat="1"/>
    <row r="20897" s="2" customFormat="1"/>
    <row r="20898" s="2" customFormat="1"/>
    <row r="20899" s="2" customFormat="1"/>
    <row r="20900" s="2" customFormat="1"/>
    <row r="20901" s="2" customFormat="1"/>
    <row r="20902" s="2" customFormat="1"/>
    <row r="20903" s="2" customFormat="1"/>
    <row r="20904" s="2" customFormat="1"/>
    <row r="20905" s="2" customFormat="1"/>
    <row r="20906" s="2" customFormat="1"/>
    <row r="20907" s="2" customFormat="1"/>
    <row r="20908" s="2" customFormat="1"/>
    <row r="20909" s="2" customFormat="1"/>
    <row r="20910" s="2" customFormat="1"/>
    <row r="20911" s="2" customFormat="1"/>
    <row r="20912" s="2" customFormat="1"/>
    <row r="20913" s="2" customFormat="1"/>
    <row r="20914" s="2" customFormat="1"/>
    <row r="20915" s="2" customFormat="1"/>
    <row r="20916" s="2" customFormat="1"/>
    <row r="20917" s="2" customFormat="1"/>
    <row r="20918" s="2" customFormat="1"/>
    <row r="20919" s="2" customFormat="1"/>
    <row r="20920" s="2" customFormat="1"/>
    <row r="20921" s="2" customFormat="1"/>
    <row r="20922" s="2" customFormat="1"/>
    <row r="20923" s="2" customFormat="1"/>
    <row r="20924" s="2" customFormat="1"/>
    <row r="20925" s="2" customFormat="1"/>
    <row r="20926" s="2" customFormat="1"/>
    <row r="20927" s="2" customFormat="1"/>
    <row r="20928" s="2" customFormat="1"/>
    <row r="20929" s="2" customFormat="1"/>
    <row r="20930" s="2" customFormat="1"/>
    <row r="20931" s="2" customFormat="1"/>
    <row r="20932" s="2" customFormat="1"/>
    <row r="20933" s="2" customFormat="1"/>
    <row r="20934" s="2" customFormat="1"/>
    <row r="20935" s="2" customFormat="1"/>
    <row r="20936" s="2" customFormat="1"/>
    <row r="20937" s="2" customFormat="1"/>
    <row r="20938" s="2" customFormat="1"/>
    <row r="20939" s="2" customFormat="1"/>
    <row r="20940" s="2" customFormat="1"/>
    <row r="20941" s="2" customFormat="1"/>
    <row r="20942" s="2" customFormat="1"/>
    <row r="20943" s="2" customFormat="1"/>
    <row r="20944" s="2" customFormat="1"/>
    <row r="20945" s="2" customFormat="1"/>
    <row r="20946" s="2" customFormat="1"/>
    <row r="20947" s="2" customFormat="1"/>
    <row r="20948" s="2" customFormat="1"/>
    <row r="20949" s="2" customFormat="1"/>
    <row r="20950" s="2" customFormat="1"/>
    <row r="20951" s="2" customFormat="1"/>
    <row r="20952" s="2" customFormat="1"/>
    <row r="20953" s="2" customFormat="1"/>
    <row r="20954" s="2" customFormat="1"/>
    <row r="20955" s="2" customFormat="1"/>
    <row r="20956" s="2" customFormat="1"/>
    <row r="20957" s="2" customFormat="1"/>
    <row r="20958" s="2" customFormat="1"/>
    <row r="20959" s="2" customFormat="1"/>
    <row r="20960" s="2" customFormat="1"/>
    <row r="20961" s="2" customFormat="1"/>
    <row r="20962" s="2" customFormat="1"/>
    <row r="20963" s="2" customFormat="1"/>
    <row r="20964" s="2" customFormat="1"/>
    <row r="20965" s="2" customFormat="1"/>
    <row r="20966" s="2" customFormat="1"/>
    <row r="20967" s="2" customFormat="1"/>
    <row r="20968" s="2" customFormat="1"/>
    <row r="20969" s="2" customFormat="1"/>
    <row r="20970" s="2" customFormat="1"/>
    <row r="20971" s="2" customFormat="1"/>
    <row r="20972" s="2" customFormat="1"/>
    <row r="20973" s="2" customFormat="1"/>
    <row r="20974" s="2" customFormat="1"/>
    <row r="20975" s="2" customFormat="1"/>
    <row r="20976" s="2" customFormat="1"/>
    <row r="20977" s="2" customFormat="1"/>
    <row r="20978" s="2" customFormat="1"/>
    <row r="20979" s="2" customFormat="1"/>
    <row r="20980" s="2" customFormat="1"/>
    <row r="20981" s="2" customFormat="1"/>
    <row r="20982" s="2" customFormat="1"/>
    <row r="20983" s="2" customFormat="1"/>
    <row r="20984" s="2" customFormat="1"/>
    <row r="20985" s="2" customFormat="1"/>
    <row r="20986" s="2" customFormat="1"/>
    <row r="20987" s="2" customFormat="1"/>
    <row r="20988" s="2" customFormat="1"/>
    <row r="20989" s="2" customFormat="1"/>
    <row r="20990" s="2" customFormat="1"/>
    <row r="20991" s="2" customFormat="1"/>
    <row r="20992" s="2" customFormat="1"/>
    <row r="20993" s="2" customFormat="1"/>
    <row r="20994" s="2" customFormat="1"/>
    <row r="20995" s="2" customFormat="1"/>
    <row r="20996" s="2" customFormat="1"/>
    <row r="20997" s="2" customFormat="1"/>
    <row r="20998" s="2" customFormat="1"/>
    <row r="20999" s="2" customFormat="1"/>
    <row r="21000" s="2" customFormat="1"/>
    <row r="21001" s="2" customFormat="1"/>
    <row r="21002" s="2" customFormat="1"/>
    <row r="21003" s="2" customFormat="1"/>
    <row r="21004" s="2" customFormat="1"/>
    <row r="21005" s="2" customFormat="1"/>
    <row r="21006" s="2" customFormat="1"/>
    <row r="21007" s="2" customFormat="1"/>
    <row r="21008" s="2" customFormat="1"/>
    <row r="21009" s="2" customFormat="1"/>
    <row r="21010" s="2" customFormat="1"/>
    <row r="21011" s="2" customFormat="1"/>
    <row r="21012" s="2" customFormat="1"/>
    <row r="21013" s="2" customFormat="1"/>
    <row r="21014" s="2" customFormat="1"/>
    <row r="21015" s="2" customFormat="1"/>
    <row r="21016" s="2" customFormat="1"/>
    <row r="21017" s="2" customFormat="1"/>
    <row r="21018" s="2" customFormat="1"/>
    <row r="21019" s="2" customFormat="1"/>
    <row r="21020" s="2" customFormat="1"/>
    <row r="21021" s="2" customFormat="1"/>
    <row r="21022" s="2" customFormat="1"/>
    <row r="21023" s="2" customFormat="1"/>
    <row r="21024" s="2" customFormat="1"/>
    <row r="21025" s="2" customFormat="1"/>
    <row r="21026" s="2" customFormat="1"/>
    <row r="21027" s="2" customFormat="1"/>
    <row r="21028" s="2" customFormat="1"/>
    <row r="21029" s="2" customFormat="1"/>
    <row r="21030" s="2" customFormat="1"/>
    <row r="21031" s="2" customFormat="1"/>
    <row r="21032" s="2" customFormat="1"/>
    <row r="21033" s="2" customFormat="1"/>
    <row r="21034" s="2" customFormat="1"/>
    <row r="21035" s="2" customFormat="1"/>
    <row r="21036" s="2" customFormat="1"/>
    <row r="21037" s="2" customFormat="1"/>
    <row r="21038" s="2" customFormat="1"/>
    <row r="21039" s="2" customFormat="1"/>
    <row r="21040" s="2" customFormat="1"/>
    <row r="21041" s="2" customFormat="1"/>
    <row r="21042" s="2" customFormat="1"/>
    <row r="21043" s="2" customFormat="1"/>
    <row r="21044" s="2" customFormat="1"/>
    <row r="21045" s="2" customFormat="1"/>
    <row r="21046" s="2" customFormat="1"/>
    <row r="21047" s="2" customFormat="1"/>
    <row r="21048" s="2" customFormat="1"/>
    <row r="21049" s="2" customFormat="1"/>
    <row r="21050" s="2" customFormat="1"/>
    <row r="21051" s="2" customFormat="1"/>
    <row r="21052" s="2" customFormat="1"/>
    <row r="21053" s="2" customFormat="1"/>
    <row r="21054" s="2" customFormat="1"/>
    <row r="21055" s="2" customFormat="1"/>
    <row r="21056" s="2" customFormat="1"/>
    <row r="21057" s="2" customFormat="1"/>
    <row r="21058" s="2" customFormat="1"/>
    <row r="21059" s="2" customFormat="1"/>
    <row r="21060" s="2" customFormat="1"/>
    <row r="21061" s="2" customFormat="1"/>
    <row r="21062" s="2" customFormat="1"/>
    <row r="21063" s="2" customFormat="1"/>
    <row r="21064" s="2" customFormat="1"/>
    <row r="21065" s="2" customFormat="1"/>
    <row r="21066" s="2" customFormat="1"/>
    <row r="21067" s="2" customFormat="1"/>
    <row r="21068" s="2" customFormat="1"/>
    <row r="21069" s="2" customFormat="1"/>
    <row r="21070" s="2" customFormat="1"/>
    <row r="21071" s="2" customFormat="1"/>
    <row r="21072" s="2" customFormat="1"/>
    <row r="21073" s="2" customFormat="1"/>
    <row r="21074" s="2" customFormat="1"/>
    <row r="21075" s="2" customFormat="1"/>
    <row r="21076" s="2" customFormat="1"/>
    <row r="21077" s="2" customFormat="1"/>
    <row r="21078" s="2" customFormat="1"/>
    <row r="21079" s="2" customFormat="1"/>
    <row r="21080" s="2" customFormat="1"/>
    <row r="21081" s="2" customFormat="1"/>
    <row r="21082" s="2" customFormat="1"/>
    <row r="21083" s="2" customFormat="1"/>
    <row r="21084" s="2" customFormat="1"/>
    <row r="21085" s="2" customFormat="1"/>
    <row r="21086" s="2" customFormat="1"/>
    <row r="21087" s="2" customFormat="1"/>
    <row r="21088" s="2" customFormat="1"/>
    <row r="21089" s="2" customFormat="1"/>
    <row r="21090" s="2" customFormat="1"/>
    <row r="21091" s="2" customFormat="1"/>
    <row r="21092" s="2" customFormat="1"/>
    <row r="21093" s="2" customFormat="1"/>
    <row r="21094" s="2" customFormat="1"/>
    <row r="21095" s="2" customFormat="1"/>
    <row r="21096" s="2" customFormat="1"/>
    <row r="21097" s="2" customFormat="1"/>
    <row r="21098" s="2" customFormat="1"/>
    <row r="21099" s="2" customFormat="1"/>
    <row r="21100" s="2" customFormat="1"/>
    <row r="21101" s="2" customFormat="1"/>
    <row r="21102" s="2" customFormat="1"/>
    <row r="21103" s="2" customFormat="1"/>
    <row r="21104" s="2" customFormat="1"/>
    <row r="21105" s="2" customFormat="1"/>
    <row r="21106" s="2" customFormat="1"/>
    <row r="21107" s="2" customFormat="1"/>
    <row r="21108" s="2" customFormat="1"/>
    <row r="21109" s="2" customFormat="1"/>
    <row r="21110" s="2" customFormat="1"/>
    <row r="21111" s="2" customFormat="1"/>
    <row r="21112" s="2" customFormat="1"/>
    <row r="21113" s="2" customFormat="1"/>
    <row r="21114" s="2" customFormat="1"/>
    <row r="21115" s="2" customFormat="1"/>
    <row r="21116" s="2" customFormat="1"/>
    <row r="21117" s="2" customFormat="1"/>
    <row r="21118" s="2" customFormat="1"/>
    <row r="21119" s="2" customFormat="1"/>
    <row r="21120" s="2" customFormat="1"/>
    <row r="21121" s="2" customFormat="1"/>
    <row r="21122" s="2" customFormat="1"/>
    <row r="21123" s="2" customFormat="1"/>
    <row r="21124" s="2" customFormat="1"/>
    <row r="21125" s="2" customFormat="1"/>
    <row r="21126" s="2" customFormat="1"/>
    <row r="21127" s="2" customFormat="1"/>
    <row r="21128" s="2" customFormat="1"/>
    <row r="21129" s="2" customFormat="1"/>
    <row r="21130" s="2" customFormat="1"/>
    <row r="21131" s="2" customFormat="1"/>
    <row r="21132" s="2" customFormat="1"/>
    <row r="21133" s="2" customFormat="1"/>
    <row r="21134" s="2" customFormat="1"/>
    <row r="21135" s="2" customFormat="1"/>
    <row r="21136" s="2" customFormat="1"/>
    <row r="21137" s="2" customFormat="1"/>
    <row r="21138" s="2" customFormat="1"/>
    <row r="21139" s="2" customFormat="1"/>
    <row r="21140" s="2" customFormat="1"/>
    <row r="21141" s="2" customFormat="1"/>
    <row r="21142" s="2" customFormat="1"/>
    <row r="21143" s="2" customFormat="1"/>
    <row r="21144" s="2" customFormat="1"/>
    <row r="21145" s="2" customFormat="1"/>
    <row r="21146" s="2" customFormat="1"/>
    <row r="21147" s="2" customFormat="1"/>
    <row r="21148" s="2" customFormat="1"/>
    <row r="21149" s="2" customFormat="1"/>
    <row r="21150" s="2" customFormat="1"/>
    <row r="21151" s="2" customFormat="1"/>
    <row r="21152" s="2" customFormat="1"/>
    <row r="21153" s="2" customFormat="1"/>
    <row r="21154" s="2" customFormat="1"/>
    <row r="21155" s="2" customFormat="1"/>
    <row r="21156" s="2" customFormat="1"/>
    <row r="21157" s="2" customFormat="1"/>
    <row r="21158" s="2" customFormat="1"/>
    <row r="21159" s="2" customFormat="1"/>
    <row r="21160" s="2" customFormat="1"/>
    <row r="21161" s="2" customFormat="1"/>
    <row r="21162" s="2" customFormat="1"/>
    <row r="21163" s="2" customFormat="1"/>
    <row r="21164" s="2" customFormat="1"/>
    <row r="21165" s="2" customFormat="1"/>
    <row r="21166" s="2" customFormat="1"/>
    <row r="21167" s="2" customFormat="1"/>
    <row r="21168" s="2" customFormat="1"/>
    <row r="21169" s="2" customFormat="1"/>
    <row r="21170" s="2" customFormat="1"/>
    <row r="21171" s="2" customFormat="1"/>
    <row r="21172" s="2" customFormat="1"/>
    <row r="21173" s="2" customFormat="1"/>
    <row r="21174" s="2" customFormat="1"/>
    <row r="21175" s="2" customFormat="1"/>
    <row r="21176" s="2" customFormat="1"/>
    <row r="21177" s="2" customFormat="1"/>
    <row r="21178" s="2" customFormat="1"/>
    <row r="21179" s="2" customFormat="1"/>
    <row r="21180" s="2" customFormat="1"/>
    <row r="21181" s="2" customFormat="1"/>
    <row r="21182" s="2" customFormat="1"/>
    <row r="21183" s="2" customFormat="1"/>
    <row r="21184" s="2" customFormat="1"/>
    <row r="21185" s="2" customFormat="1"/>
    <row r="21186" s="2" customFormat="1"/>
    <row r="21187" s="2" customFormat="1"/>
    <row r="21188" s="2" customFormat="1"/>
    <row r="21189" s="2" customFormat="1"/>
    <row r="21190" s="2" customFormat="1"/>
    <row r="21191" s="2" customFormat="1"/>
    <row r="21192" s="2" customFormat="1"/>
    <row r="21193" s="2" customFormat="1"/>
    <row r="21194" s="2" customFormat="1"/>
    <row r="21195" s="2" customFormat="1"/>
    <row r="21196" s="2" customFormat="1"/>
    <row r="21197" s="2" customFormat="1"/>
    <row r="21198" s="2" customFormat="1"/>
    <row r="21199" s="2" customFormat="1"/>
    <row r="21200" s="2" customFormat="1"/>
    <row r="21201" s="2" customFormat="1"/>
    <row r="21202" s="2" customFormat="1"/>
    <row r="21203" s="2" customFormat="1"/>
    <row r="21204" s="2" customFormat="1"/>
    <row r="21205" s="2" customFormat="1"/>
    <row r="21206" s="2" customFormat="1"/>
    <row r="21207" s="2" customFormat="1"/>
    <row r="21208" s="2" customFormat="1"/>
    <row r="21209" s="2" customFormat="1"/>
    <row r="21210" s="2" customFormat="1"/>
    <row r="21211" s="2" customFormat="1"/>
    <row r="21212" s="2" customFormat="1"/>
    <row r="21213" s="2" customFormat="1"/>
    <row r="21214" s="2" customFormat="1"/>
    <row r="21215" s="2" customFormat="1"/>
    <row r="21216" s="2" customFormat="1"/>
    <row r="21217" s="2" customFormat="1"/>
    <row r="21218" s="2" customFormat="1"/>
    <row r="21219" s="2" customFormat="1"/>
    <row r="21220" s="2" customFormat="1"/>
    <row r="21221" s="2" customFormat="1"/>
    <row r="21222" s="2" customFormat="1"/>
    <row r="21223" s="2" customFormat="1"/>
    <row r="21224" s="2" customFormat="1"/>
    <row r="21225" s="2" customFormat="1"/>
    <row r="21226" s="2" customFormat="1"/>
    <row r="21227" s="2" customFormat="1"/>
    <row r="21228" s="2" customFormat="1"/>
    <row r="21229" s="2" customFormat="1"/>
    <row r="21230" s="2" customFormat="1"/>
    <row r="21231" s="2" customFormat="1"/>
    <row r="21232" s="2" customFormat="1"/>
    <row r="21233" s="2" customFormat="1"/>
    <row r="21234" s="2" customFormat="1"/>
    <row r="21235" s="2" customFormat="1"/>
    <row r="21236" s="2" customFormat="1"/>
    <row r="21237" s="2" customFormat="1"/>
    <row r="21238" s="2" customFormat="1"/>
    <row r="21239" s="2" customFormat="1"/>
    <row r="21240" s="2" customFormat="1"/>
    <row r="21241" s="2" customFormat="1"/>
    <row r="21242" s="2" customFormat="1"/>
    <row r="21243" s="2" customFormat="1"/>
    <row r="21244" s="2" customFormat="1"/>
    <row r="21245" s="2" customFormat="1"/>
    <row r="21246" s="2" customFormat="1"/>
    <row r="21247" s="2" customFormat="1"/>
    <row r="21248" s="2" customFormat="1"/>
    <row r="21249" s="2" customFormat="1"/>
    <row r="21250" s="2" customFormat="1"/>
    <row r="21251" s="2" customFormat="1"/>
    <row r="21252" s="2" customFormat="1"/>
    <row r="21253" s="2" customFormat="1"/>
    <row r="21254" s="2" customFormat="1"/>
    <row r="21255" s="2" customFormat="1"/>
    <row r="21256" s="2" customFormat="1"/>
    <row r="21257" s="2" customFormat="1"/>
    <row r="21258" s="2" customFormat="1"/>
    <row r="21259" s="2" customFormat="1"/>
    <row r="21260" s="2" customFormat="1"/>
    <row r="21261" s="2" customFormat="1"/>
    <row r="21262" s="2" customFormat="1"/>
    <row r="21263" s="2" customFormat="1"/>
    <row r="21264" s="2" customFormat="1"/>
    <row r="21265" s="2" customFormat="1"/>
    <row r="21266" s="2" customFormat="1"/>
    <row r="21267" s="2" customFormat="1"/>
    <row r="21268" s="2" customFormat="1"/>
    <row r="21269" s="2" customFormat="1"/>
    <row r="21270" s="2" customFormat="1"/>
    <row r="21271" s="2" customFormat="1"/>
    <row r="21272" s="2" customFormat="1"/>
    <row r="21273" s="2" customFormat="1"/>
    <row r="21274" s="2" customFormat="1"/>
    <row r="21275" s="2" customFormat="1"/>
    <row r="21276" s="2" customFormat="1"/>
    <row r="21277" s="2" customFormat="1"/>
    <row r="21278" s="2" customFormat="1"/>
    <row r="21279" s="2" customFormat="1"/>
    <row r="21280" s="2" customFormat="1"/>
    <row r="21281" s="2" customFormat="1"/>
    <row r="21282" s="2" customFormat="1"/>
    <row r="21283" s="2" customFormat="1"/>
    <row r="21284" s="2" customFormat="1"/>
    <row r="21285" s="2" customFormat="1"/>
    <row r="21286" s="2" customFormat="1"/>
    <row r="21287" s="2" customFormat="1"/>
    <row r="21288" s="2" customFormat="1"/>
    <row r="21289" s="2" customFormat="1"/>
    <row r="21290" s="2" customFormat="1"/>
    <row r="21291" s="2" customFormat="1"/>
    <row r="21292" s="2" customFormat="1"/>
    <row r="21293" s="2" customFormat="1"/>
    <row r="21294" s="2" customFormat="1"/>
    <row r="21295" s="2" customFormat="1"/>
    <row r="21296" s="2" customFormat="1"/>
    <row r="21297" s="2" customFormat="1"/>
    <row r="21298" s="2" customFormat="1"/>
    <row r="21299" s="2" customFormat="1"/>
    <row r="21300" s="2" customFormat="1"/>
    <row r="21301" s="2" customFormat="1"/>
    <row r="21302" s="2" customFormat="1"/>
    <row r="21303" s="2" customFormat="1"/>
    <row r="21304" s="2" customFormat="1"/>
    <row r="21305" s="2" customFormat="1"/>
    <row r="21306" s="2" customFormat="1"/>
    <row r="21307" s="2" customFormat="1"/>
    <row r="21308" s="2" customFormat="1"/>
    <row r="21309" s="2" customFormat="1"/>
    <row r="21310" s="2" customFormat="1"/>
    <row r="21311" s="2" customFormat="1"/>
    <row r="21312" s="2" customFormat="1"/>
    <row r="21313" s="2" customFormat="1"/>
    <row r="21314" s="2" customFormat="1"/>
    <row r="21315" s="2" customFormat="1"/>
    <row r="21316" s="2" customFormat="1"/>
    <row r="21317" s="2" customFormat="1"/>
    <row r="21318" s="2" customFormat="1"/>
    <row r="21319" s="2" customFormat="1"/>
    <row r="21320" s="2" customFormat="1"/>
    <row r="21321" s="2" customFormat="1"/>
    <row r="21322" s="2" customFormat="1"/>
    <row r="21323" s="2" customFormat="1"/>
    <row r="21324" s="2" customFormat="1"/>
    <row r="21325" s="2" customFormat="1"/>
    <row r="21326" s="2" customFormat="1"/>
    <row r="21327" s="2" customFormat="1"/>
    <row r="21328" s="2" customFormat="1"/>
    <row r="21329" s="2" customFormat="1"/>
    <row r="21330" s="2" customFormat="1"/>
    <row r="21331" s="2" customFormat="1"/>
    <row r="21332" s="2" customFormat="1"/>
    <row r="21333" s="2" customFormat="1"/>
    <row r="21334" s="2" customFormat="1"/>
    <row r="21335" s="2" customFormat="1"/>
    <row r="21336" s="2" customFormat="1"/>
    <row r="21337" s="2" customFormat="1"/>
    <row r="21338" s="2" customFormat="1"/>
    <row r="21339" s="2" customFormat="1"/>
    <row r="21340" s="2" customFormat="1"/>
    <row r="21341" s="2" customFormat="1"/>
    <row r="21342" s="2" customFormat="1"/>
    <row r="21343" s="2" customFormat="1"/>
    <row r="21344" s="2" customFormat="1"/>
    <row r="21345" s="2" customFormat="1"/>
    <row r="21346" s="2" customFormat="1"/>
    <row r="21347" s="2" customFormat="1"/>
    <row r="21348" s="2" customFormat="1"/>
    <row r="21349" s="2" customFormat="1"/>
    <row r="21350" s="2" customFormat="1"/>
    <row r="21351" s="2" customFormat="1"/>
    <row r="21352" s="2" customFormat="1"/>
    <row r="21353" s="2" customFormat="1"/>
    <row r="21354" s="2" customFormat="1"/>
    <row r="21355" s="2" customFormat="1"/>
    <row r="21356" s="2" customFormat="1"/>
    <row r="21357" s="2" customFormat="1"/>
    <row r="21358" s="2" customFormat="1"/>
    <row r="21359" s="2" customFormat="1"/>
    <row r="21360" s="2" customFormat="1"/>
    <row r="21361" s="2" customFormat="1"/>
    <row r="21362" s="2" customFormat="1"/>
    <row r="21363" s="2" customFormat="1"/>
    <row r="21364" s="2" customFormat="1"/>
    <row r="21365" s="2" customFormat="1"/>
    <row r="21366" s="2" customFormat="1"/>
    <row r="21367" s="2" customFormat="1"/>
    <row r="21368" s="2" customFormat="1"/>
    <row r="21369" s="2" customFormat="1"/>
    <row r="21370" s="2" customFormat="1"/>
    <row r="21371" s="2" customFormat="1"/>
    <row r="21372" s="2" customFormat="1"/>
    <row r="21373" s="2" customFormat="1"/>
    <row r="21374" s="2" customFormat="1"/>
    <row r="21375" s="2" customFormat="1"/>
    <row r="21376" s="2" customFormat="1"/>
    <row r="21377" s="2" customFormat="1"/>
    <row r="21378" s="2" customFormat="1"/>
    <row r="21379" s="2" customFormat="1"/>
    <row r="21380" s="2" customFormat="1"/>
    <row r="21381" s="2" customFormat="1"/>
    <row r="21382" s="2" customFormat="1"/>
    <row r="21383" s="2" customFormat="1"/>
    <row r="21384" s="2" customFormat="1"/>
    <row r="21385" s="2" customFormat="1"/>
    <row r="21386" s="2" customFormat="1"/>
    <row r="21387" s="2" customFormat="1"/>
    <row r="21388" s="2" customFormat="1"/>
    <row r="21389" s="2" customFormat="1"/>
    <row r="21390" s="2" customFormat="1"/>
    <row r="21391" s="2" customFormat="1"/>
    <row r="21392" s="2" customFormat="1"/>
    <row r="21393" s="2" customFormat="1"/>
    <row r="21394" s="2" customFormat="1"/>
    <row r="21395" s="2" customFormat="1"/>
    <row r="21396" s="2" customFormat="1"/>
    <row r="21397" s="2" customFormat="1"/>
    <row r="21398" s="2" customFormat="1"/>
    <row r="21399" s="2" customFormat="1"/>
    <row r="21400" s="2" customFormat="1"/>
    <row r="21401" s="2" customFormat="1"/>
    <row r="21402" s="2" customFormat="1"/>
    <row r="21403" s="2" customFormat="1"/>
    <row r="21404" s="2" customFormat="1"/>
    <row r="21405" s="2" customFormat="1"/>
    <row r="21406" s="2" customFormat="1"/>
    <row r="21407" s="2" customFormat="1"/>
    <row r="21408" s="2" customFormat="1"/>
    <row r="21409" s="2" customFormat="1"/>
    <row r="21410" s="2" customFormat="1"/>
    <row r="21411" s="2" customFormat="1"/>
    <row r="21412" s="2" customFormat="1"/>
    <row r="21413" s="2" customFormat="1"/>
    <row r="21414" s="2" customFormat="1"/>
    <row r="21415" s="2" customFormat="1"/>
    <row r="21416" s="2" customFormat="1"/>
    <row r="21417" s="2" customFormat="1"/>
    <row r="21418" s="2" customFormat="1"/>
    <row r="21419" s="2" customFormat="1"/>
    <row r="21420" s="2" customFormat="1"/>
    <row r="21421" s="2" customFormat="1"/>
    <row r="21422" s="2" customFormat="1"/>
    <row r="21423" s="2" customFormat="1"/>
    <row r="21424" s="2" customFormat="1"/>
    <row r="21425" s="2" customFormat="1"/>
    <row r="21426" s="2" customFormat="1"/>
    <row r="21427" s="2" customFormat="1"/>
    <row r="21428" s="2" customFormat="1"/>
    <row r="21429" s="2" customFormat="1"/>
    <row r="21430" s="2" customFormat="1"/>
    <row r="21431" s="2" customFormat="1"/>
    <row r="21432" s="2" customFormat="1"/>
    <row r="21433" s="2" customFormat="1"/>
    <row r="21434" s="2" customFormat="1"/>
    <row r="21435" s="2" customFormat="1"/>
    <row r="21436" s="2" customFormat="1"/>
    <row r="21437" s="2" customFormat="1"/>
    <row r="21438" s="2" customFormat="1"/>
    <row r="21439" s="2" customFormat="1"/>
    <row r="21440" s="2" customFormat="1"/>
    <row r="21441" s="2" customFormat="1"/>
    <row r="21442" s="2" customFormat="1"/>
    <row r="21443" s="2" customFormat="1"/>
    <row r="21444" s="2" customFormat="1"/>
    <row r="21445" s="2" customFormat="1"/>
    <row r="21446" s="2" customFormat="1"/>
    <row r="21447" s="2" customFormat="1"/>
    <row r="21448" s="2" customFormat="1"/>
    <row r="21449" s="2" customFormat="1"/>
    <row r="21450" s="2" customFormat="1"/>
    <row r="21451" s="2" customFormat="1"/>
    <row r="21452" s="2" customFormat="1"/>
    <row r="21453" s="2" customFormat="1"/>
    <row r="21454" s="2" customFormat="1"/>
    <row r="21455" s="2" customFormat="1"/>
    <row r="21456" s="2" customFormat="1"/>
    <row r="21457" s="2" customFormat="1"/>
    <row r="21458" s="2" customFormat="1"/>
    <row r="21459" s="2" customFormat="1"/>
    <row r="21460" s="2" customFormat="1"/>
    <row r="21461" s="2" customFormat="1"/>
    <row r="21462" s="2" customFormat="1"/>
    <row r="21463" s="2" customFormat="1"/>
    <row r="21464" s="2" customFormat="1"/>
    <row r="21465" s="2" customFormat="1"/>
    <row r="21466" s="2" customFormat="1"/>
    <row r="21467" s="2" customFormat="1"/>
    <row r="21468" s="2" customFormat="1"/>
    <row r="21469" s="2" customFormat="1"/>
    <row r="21470" s="2" customFormat="1"/>
    <row r="21471" s="2" customFormat="1"/>
    <row r="21472" s="2" customFormat="1"/>
    <row r="21473" s="2" customFormat="1"/>
    <row r="21474" s="2" customFormat="1"/>
    <row r="21475" s="2" customFormat="1"/>
    <row r="21476" s="2" customFormat="1"/>
    <row r="21477" s="2" customFormat="1"/>
    <row r="21478" s="2" customFormat="1"/>
    <row r="21479" s="2" customFormat="1"/>
    <row r="21480" s="2" customFormat="1"/>
    <row r="21481" s="2" customFormat="1"/>
    <row r="21482" s="2" customFormat="1"/>
    <row r="21483" s="2" customFormat="1"/>
    <row r="21484" s="2" customFormat="1"/>
    <row r="21485" s="2" customFormat="1"/>
    <row r="21486" s="2" customFormat="1"/>
    <row r="21487" s="2" customFormat="1"/>
    <row r="21488" s="2" customFormat="1"/>
    <row r="21489" s="2" customFormat="1"/>
    <row r="21490" s="2" customFormat="1"/>
    <row r="21491" s="2" customFormat="1"/>
    <row r="21492" s="2" customFormat="1"/>
    <row r="21493" s="2" customFormat="1"/>
    <row r="21494" s="2" customFormat="1"/>
    <row r="21495" s="2" customFormat="1"/>
    <row r="21496" s="2" customFormat="1"/>
    <row r="21497" s="2" customFormat="1"/>
    <row r="21498" s="2" customFormat="1"/>
    <row r="21499" s="2" customFormat="1"/>
    <row r="21500" s="2" customFormat="1"/>
    <row r="21501" s="2" customFormat="1"/>
    <row r="21502" s="2" customFormat="1"/>
    <row r="21503" s="2" customFormat="1"/>
    <row r="21504" s="2" customFormat="1"/>
    <row r="21505" s="2" customFormat="1"/>
    <row r="21506" s="2" customFormat="1"/>
    <row r="21507" s="2" customFormat="1"/>
    <row r="21508" s="2" customFormat="1"/>
    <row r="21509" s="2" customFormat="1"/>
    <row r="21510" s="2" customFormat="1"/>
    <row r="21511" s="2" customFormat="1"/>
    <row r="21512" s="2" customFormat="1"/>
    <row r="21513" s="2" customFormat="1"/>
    <row r="21514" s="2" customFormat="1"/>
    <row r="21515" s="2" customFormat="1"/>
    <row r="21516" s="2" customFormat="1"/>
    <row r="21517" s="2" customFormat="1"/>
    <row r="21518" s="2" customFormat="1"/>
    <row r="21519" s="2" customFormat="1"/>
    <row r="21520" s="2" customFormat="1"/>
    <row r="21521" s="2" customFormat="1"/>
    <row r="21522" s="2" customFormat="1"/>
    <row r="21523" s="2" customFormat="1"/>
    <row r="21524" s="2" customFormat="1"/>
    <row r="21525" s="2" customFormat="1"/>
    <row r="21526" s="2" customFormat="1"/>
    <row r="21527" s="2" customFormat="1"/>
    <row r="21528" s="2" customFormat="1"/>
    <row r="21529" s="2" customFormat="1"/>
    <row r="21530" s="2" customFormat="1"/>
    <row r="21531" s="2" customFormat="1"/>
    <row r="21532" s="2" customFormat="1"/>
    <row r="21533" s="2" customFormat="1"/>
    <row r="21534" s="2" customFormat="1"/>
    <row r="21535" s="2" customFormat="1"/>
    <row r="21536" s="2" customFormat="1"/>
    <row r="21537" s="2" customFormat="1"/>
    <row r="21538" s="2" customFormat="1"/>
    <row r="21539" s="2" customFormat="1"/>
    <row r="21540" s="2" customFormat="1"/>
    <row r="21541" s="2" customFormat="1"/>
    <row r="21542" s="2" customFormat="1"/>
    <row r="21543" s="2" customFormat="1"/>
    <row r="21544" s="2" customFormat="1"/>
    <row r="21545" s="2" customFormat="1"/>
    <row r="21546" s="2" customFormat="1"/>
    <row r="21547" s="2" customFormat="1"/>
    <row r="21548" s="2" customFormat="1"/>
    <row r="21549" s="2" customFormat="1"/>
    <row r="21550" s="2" customFormat="1"/>
    <row r="21551" s="2" customFormat="1"/>
    <row r="21552" s="2" customFormat="1"/>
    <row r="21553" s="2" customFormat="1"/>
    <row r="21554" s="2" customFormat="1"/>
    <row r="21555" s="2" customFormat="1"/>
    <row r="21556" s="2" customFormat="1"/>
    <row r="21557" s="2" customFormat="1"/>
    <row r="21558" s="2" customFormat="1"/>
    <row r="21559" s="2" customFormat="1"/>
    <row r="21560" s="2" customFormat="1"/>
    <row r="21561" s="2" customFormat="1"/>
    <row r="21562" s="2" customFormat="1"/>
    <row r="21563" s="2" customFormat="1"/>
    <row r="21564" s="2" customFormat="1"/>
    <row r="21565" s="2" customFormat="1"/>
    <row r="21566" s="2" customFormat="1"/>
    <row r="21567" s="2" customFormat="1"/>
    <row r="21568" s="2" customFormat="1"/>
    <row r="21569" s="2" customFormat="1"/>
    <row r="21570" s="2" customFormat="1"/>
    <row r="21571" s="2" customFormat="1"/>
    <row r="21572" s="2" customFormat="1"/>
    <row r="21573" s="2" customFormat="1"/>
    <row r="21574" s="2" customFormat="1"/>
    <row r="21575" s="2" customFormat="1"/>
    <row r="21576" s="2" customFormat="1"/>
    <row r="21577" s="2" customFormat="1"/>
    <row r="21578" s="2" customFormat="1"/>
    <row r="21579" s="2" customFormat="1"/>
    <row r="21580" s="2" customFormat="1"/>
    <row r="21581" s="2" customFormat="1"/>
    <row r="21582" s="2" customFormat="1"/>
    <row r="21583" s="2" customFormat="1"/>
    <row r="21584" s="2" customFormat="1"/>
    <row r="21585" s="2" customFormat="1"/>
    <row r="21586" s="2" customFormat="1"/>
    <row r="21587" s="2" customFormat="1"/>
    <row r="21588" s="2" customFormat="1"/>
    <row r="21589" s="2" customFormat="1"/>
    <row r="21590" s="2" customFormat="1"/>
    <row r="21591" s="2" customFormat="1"/>
    <row r="21592" s="2" customFormat="1"/>
    <row r="21593" s="2" customFormat="1"/>
    <row r="21594" s="2" customFormat="1"/>
    <row r="21595" s="2" customFormat="1"/>
    <row r="21596" s="2" customFormat="1"/>
    <row r="21597" s="2" customFormat="1"/>
    <row r="21598" s="2" customFormat="1"/>
    <row r="21599" s="2" customFormat="1"/>
    <row r="21600" s="2" customFormat="1"/>
    <row r="21601" s="2" customFormat="1"/>
    <row r="21602" s="2" customFormat="1"/>
    <row r="21603" s="2" customFormat="1"/>
    <row r="21604" s="2" customFormat="1"/>
    <row r="21605" s="2" customFormat="1"/>
    <row r="21606" s="2" customFormat="1"/>
    <row r="21607" s="2" customFormat="1"/>
    <row r="21608" s="2" customFormat="1"/>
    <row r="21609" s="2" customFormat="1"/>
    <row r="21610" s="2" customFormat="1"/>
    <row r="21611" s="2" customFormat="1"/>
    <row r="21612" s="2" customFormat="1"/>
    <row r="21613" s="2" customFormat="1"/>
    <row r="21614" s="2" customFormat="1"/>
    <row r="21615" s="2" customFormat="1"/>
    <row r="21616" s="2" customFormat="1"/>
    <row r="21617" s="2" customFormat="1"/>
    <row r="21618" s="2" customFormat="1"/>
    <row r="21619" s="2" customFormat="1"/>
    <row r="21620" s="2" customFormat="1"/>
    <row r="21621" s="2" customFormat="1"/>
    <row r="21622" s="2" customFormat="1"/>
    <row r="21623" s="2" customFormat="1"/>
    <row r="21624" s="2" customFormat="1"/>
    <row r="21625" s="2" customFormat="1"/>
    <row r="21626" s="2" customFormat="1"/>
    <row r="21627" s="2" customFormat="1"/>
    <row r="21628" s="2" customFormat="1"/>
    <row r="21629" s="2" customFormat="1"/>
    <row r="21630" s="2" customFormat="1"/>
    <row r="21631" s="2" customFormat="1"/>
    <row r="21632" s="2" customFormat="1"/>
    <row r="21633" s="2" customFormat="1"/>
    <row r="21634" s="2" customFormat="1"/>
    <row r="21635" s="2" customFormat="1"/>
    <row r="21636" s="2" customFormat="1"/>
    <row r="21637" s="2" customFormat="1"/>
    <row r="21638" s="2" customFormat="1"/>
    <row r="21639" s="2" customFormat="1"/>
    <row r="21640" s="2" customFormat="1"/>
    <row r="21641" s="2" customFormat="1"/>
    <row r="21642" s="2" customFormat="1"/>
    <row r="21643" s="2" customFormat="1"/>
    <row r="21644" s="2" customFormat="1"/>
    <row r="21645" s="2" customFormat="1"/>
    <row r="21646" s="2" customFormat="1"/>
    <row r="21647" s="2" customFormat="1"/>
    <row r="21648" s="2" customFormat="1"/>
    <row r="21649" s="2" customFormat="1"/>
    <row r="21650" s="2" customFormat="1"/>
    <row r="21651" s="2" customFormat="1"/>
    <row r="21652" s="2" customFormat="1"/>
    <row r="21653" s="2" customFormat="1"/>
    <row r="21654" s="2" customFormat="1"/>
    <row r="21655" s="2" customFormat="1"/>
    <row r="21656" s="2" customFormat="1"/>
    <row r="21657" s="2" customFormat="1"/>
    <row r="21658" s="2" customFormat="1"/>
    <row r="21659" s="2" customFormat="1"/>
    <row r="21660" s="2" customFormat="1"/>
    <row r="21661" s="2" customFormat="1"/>
    <row r="21662" s="2" customFormat="1"/>
    <row r="21663" s="2" customFormat="1"/>
    <row r="21664" s="2" customFormat="1"/>
    <row r="21665" s="2" customFormat="1"/>
    <row r="21666" s="2" customFormat="1"/>
    <row r="21667" s="2" customFormat="1"/>
    <row r="21668" s="2" customFormat="1"/>
    <row r="21669" s="2" customFormat="1"/>
    <row r="21670" s="2" customFormat="1"/>
    <row r="21671" s="2" customFormat="1"/>
    <row r="21672" s="2" customFormat="1"/>
    <row r="21673" s="2" customFormat="1"/>
    <row r="21674" s="2" customFormat="1"/>
    <row r="21675" s="2" customFormat="1"/>
    <row r="21676" s="2" customFormat="1"/>
    <row r="21677" s="2" customFormat="1"/>
    <row r="21678" s="2" customFormat="1"/>
    <row r="21679" s="2" customFormat="1"/>
    <row r="21680" s="2" customFormat="1"/>
    <row r="21681" s="2" customFormat="1"/>
    <row r="21682" s="2" customFormat="1"/>
    <row r="21683" s="2" customFormat="1"/>
    <row r="21684" s="2" customFormat="1"/>
    <row r="21685" s="2" customFormat="1"/>
    <row r="21686" s="2" customFormat="1"/>
    <row r="21687" s="2" customFormat="1"/>
    <row r="21688" s="2" customFormat="1"/>
    <row r="21689" s="2" customFormat="1"/>
    <row r="21690" s="2" customFormat="1"/>
    <row r="21691" s="2" customFormat="1"/>
    <row r="21692" s="2" customFormat="1"/>
    <row r="21693" s="2" customFormat="1"/>
    <row r="21694" s="2" customFormat="1"/>
    <row r="21695" s="2" customFormat="1"/>
    <row r="21696" s="2" customFormat="1"/>
    <row r="21697" s="2" customFormat="1"/>
    <row r="21698" s="2" customFormat="1"/>
    <row r="21699" s="2" customFormat="1"/>
    <row r="21700" s="2" customFormat="1"/>
    <row r="21701" s="2" customFormat="1"/>
    <row r="21702" s="2" customFormat="1"/>
    <row r="21703" s="2" customFormat="1"/>
    <row r="21704" s="2" customFormat="1"/>
    <row r="21705" s="2" customFormat="1"/>
    <row r="21706" s="2" customFormat="1"/>
    <row r="21707" s="2" customFormat="1"/>
    <row r="21708" s="2" customFormat="1"/>
    <row r="21709" s="2" customFormat="1"/>
    <row r="21710" s="2" customFormat="1"/>
    <row r="21711" s="2" customFormat="1"/>
    <row r="21712" s="2" customFormat="1"/>
    <row r="21713" s="2" customFormat="1"/>
    <row r="21714" s="2" customFormat="1"/>
    <row r="21715" s="2" customFormat="1"/>
    <row r="21716" s="2" customFormat="1"/>
    <row r="21717" s="2" customFormat="1"/>
    <row r="21718" s="2" customFormat="1"/>
    <row r="21719" s="2" customFormat="1"/>
    <row r="21720" s="2" customFormat="1"/>
    <row r="21721" s="2" customFormat="1"/>
    <row r="21722" s="2" customFormat="1"/>
    <row r="21723" s="2" customFormat="1"/>
    <row r="21724" s="2" customFormat="1"/>
    <row r="21725" s="2" customFormat="1"/>
    <row r="21726" s="2" customFormat="1"/>
    <row r="21727" s="2" customFormat="1"/>
    <row r="21728" s="2" customFormat="1"/>
    <row r="21729" s="2" customFormat="1"/>
    <row r="21730" s="2" customFormat="1"/>
    <row r="21731" s="2" customFormat="1"/>
    <row r="21732" s="2" customFormat="1"/>
    <row r="21733" s="2" customFormat="1"/>
    <row r="21734" s="2" customFormat="1"/>
    <row r="21735" s="2" customFormat="1"/>
    <row r="21736" s="2" customFormat="1"/>
    <row r="21737" s="2" customFormat="1"/>
    <row r="21738" s="2" customFormat="1"/>
    <row r="21739" s="2" customFormat="1"/>
    <row r="21740" s="2" customFormat="1"/>
    <row r="21741" s="2" customFormat="1"/>
    <row r="21742" s="2" customFormat="1"/>
    <row r="21743" s="2" customFormat="1"/>
    <row r="21744" s="2" customFormat="1"/>
    <row r="21745" s="2" customFormat="1"/>
    <row r="21746" s="2" customFormat="1"/>
    <row r="21747" s="2" customFormat="1"/>
    <row r="21748" s="2" customFormat="1"/>
    <row r="21749" s="2" customFormat="1"/>
    <row r="21750" s="2" customFormat="1"/>
    <row r="21751" s="2" customFormat="1"/>
    <row r="21752" s="2" customFormat="1"/>
    <row r="21753" s="2" customFormat="1"/>
    <row r="21754" s="2" customFormat="1"/>
    <row r="21755" s="2" customFormat="1"/>
    <row r="21756" s="2" customFormat="1"/>
    <row r="21757" s="2" customFormat="1"/>
    <row r="21758" s="2" customFormat="1"/>
    <row r="21759" s="2" customFormat="1"/>
    <row r="21760" s="2" customFormat="1"/>
    <row r="21761" s="2" customFormat="1"/>
    <row r="21762" s="2" customFormat="1"/>
    <row r="21763" s="2" customFormat="1"/>
    <row r="21764" s="2" customFormat="1"/>
    <row r="21765" s="2" customFormat="1"/>
    <row r="21766" s="2" customFormat="1"/>
    <row r="21767" s="2" customFormat="1"/>
    <row r="21768" s="2" customFormat="1"/>
    <row r="21769" s="2" customFormat="1"/>
    <row r="21770" s="2" customFormat="1"/>
    <row r="21771" s="2" customFormat="1"/>
    <row r="21772" s="2" customFormat="1"/>
    <row r="21773" s="2" customFormat="1"/>
    <row r="21774" s="2" customFormat="1"/>
    <row r="21775" s="2" customFormat="1"/>
    <row r="21776" s="2" customFormat="1"/>
    <row r="21777" s="2" customFormat="1"/>
    <row r="21778" s="2" customFormat="1"/>
    <row r="21779" s="2" customFormat="1"/>
    <row r="21780" s="2" customFormat="1"/>
    <row r="21781" s="2" customFormat="1"/>
    <row r="21782" s="2" customFormat="1"/>
    <row r="21783" s="2" customFormat="1"/>
    <row r="21784" s="2" customFormat="1"/>
    <row r="21785" s="2" customFormat="1"/>
    <row r="21786" s="2" customFormat="1"/>
    <row r="21787" s="2" customFormat="1"/>
    <row r="21788" s="2" customFormat="1"/>
    <row r="21789" s="2" customFormat="1"/>
    <row r="21790" s="2" customFormat="1"/>
    <row r="21791" s="2" customFormat="1"/>
    <row r="21792" s="2" customFormat="1"/>
    <row r="21793" s="2" customFormat="1"/>
    <row r="21794" s="2" customFormat="1"/>
    <row r="21795" s="2" customFormat="1"/>
    <row r="21796" s="2" customFormat="1"/>
    <row r="21797" s="2" customFormat="1"/>
    <row r="21798" s="2" customFormat="1"/>
    <row r="21799" s="2" customFormat="1"/>
    <row r="21800" s="2" customFormat="1"/>
    <row r="21801" s="2" customFormat="1"/>
    <row r="21802" s="2" customFormat="1"/>
    <row r="21803" s="2" customFormat="1"/>
    <row r="21804" s="2" customFormat="1"/>
    <row r="21805" s="2" customFormat="1"/>
    <row r="21806" s="2" customFormat="1"/>
    <row r="21807" s="2" customFormat="1"/>
    <row r="21808" s="2" customFormat="1"/>
    <row r="21809" s="2" customFormat="1"/>
    <row r="21810" s="2" customFormat="1"/>
    <row r="21811" s="2" customFormat="1"/>
    <row r="21812" s="2" customFormat="1"/>
    <row r="21813" s="2" customFormat="1"/>
    <row r="21814" s="2" customFormat="1"/>
    <row r="21815" s="2" customFormat="1"/>
    <row r="21816" s="2" customFormat="1"/>
    <row r="21817" s="2" customFormat="1"/>
    <row r="21818" s="2" customFormat="1"/>
    <row r="21819" s="2" customFormat="1"/>
    <row r="21820" s="2" customFormat="1"/>
    <row r="21821" s="2" customFormat="1"/>
    <row r="21822" s="2" customFormat="1"/>
    <row r="21823" s="2" customFormat="1"/>
    <row r="21824" s="2" customFormat="1"/>
    <row r="21825" s="2" customFormat="1"/>
    <row r="21826" s="2" customFormat="1"/>
    <row r="21827" s="2" customFormat="1"/>
    <row r="21828" s="2" customFormat="1"/>
    <row r="21829" s="2" customFormat="1"/>
    <row r="21830" s="2" customFormat="1"/>
    <row r="21831" s="2" customFormat="1"/>
    <row r="21832" s="2" customFormat="1"/>
    <row r="21833" s="2" customFormat="1"/>
    <row r="21834" s="2" customFormat="1"/>
    <row r="21835" s="2" customFormat="1"/>
    <row r="21836" s="2" customFormat="1"/>
    <row r="21837" s="2" customFormat="1"/>
    <row r="21838" s="2" customFormat="1"/>
    <row r="21839" s="2" customFormat="1"/>
    <row r="21840" s="2" customFormat="1"/>
    <row r="21841" s="2" customFormat="1"/>
    <row r="21842" s="2" customFormat="1"/>
    <row r="21843" s="2" customFormat="1"/>
    <row r="21844" s="2" customFormat="1"/>
    <row r="21845" s="2" customFormat="1"/>
    <row r="21846" s="2" customFormat="1"/>
    <row r="21847" s="2" customFormat="1"/>
    <row r="21848" s="2" customFormat="1"/>
    <row r="21849" s="2" customFormat="1"/>
    <row r="21850" s="2" customFormat="1"/>
    <row r="21851" s="2" customFormat="1"/>
    <row r="21852" s="2" customFormat="1"/>
    <row r="21853" s="2" customFormat="1"/>
    <row r="21854" s="2" customFormat="1"/>
    <row r="21855" s="2" customFormat="1"/>
    <row r="21856" s="2" customFormat="1"/>
    <row r="21857" s="2" customFormat="1"/>
    <row r="21858" s="2" customFormat="1"/>
    <row r="21859" s="2" customFormat="1"/>
    <row r="21860" s="2" customFormat="1"/>
    <row r="21861" s="2" customFormat="1"/>
    <row r="21862" s="2" customFormat="1"/>
    <row r="21863" s="2" customFormat="1"/>
    <row r="21864" s="2" customFormat="1"/>
    <row r="21865" s="2" customFormat="1"/>
    <row r="21866" s="2" customFormat="1"/>
    <row r="21867" s="2" customFormat="1"/>
    <row r="21868" s="2" customFormat="1"/>
    <row r="21869" s="2" customFormat="1"/>
    <row r="21870" s="2" customFormat="1"/>
    <row r="21871" s="2" customFormat="1"/>
    <row r="21872" s="2" customFormat="1"/>
    <row r="21873" s="2" customFormat="1"/>
    <row r="21874" s="2" customFormat="1"/>
    <row r="21875" s="2" customFormat="1"/>
    <row r="21876" s="2" customFormat="1"/>
    <row r="21877" s="2" customFormat="1"/>
    <row r="21878" s="2" customFormat="1"/>
    <row r="21879" s="2" customFormat="1"/>
    <row r="21880" s="2" customFormat="1"/>
    <row r="21881" s="2" customFormat="1"/>
    <row r="21882" s="2" customFormat="1"/>
    <row r="21883" s="2" customFormat="1"/>
    <row r="21884" s="2" customFormat="1"/>
    <row r="21885" s="2" customFormat="1"/>
    <row r="21886" s="2" customFormat="1"/>
    <row r="21887" s="2" customFormat="1"/>
    <row r="21888" s="2" customFormat="1"/>
    <row r="21889" s="2" customFormat="1"/>
    <row r="21890" s="2" customFormat="1"/>
    <row r="21891" s="2" customFormat="1"/>
    <row r="21892" s="2" customFormat="1"/>
    <row r="21893" s="2" customFormat="1"/>
    <row r="21894" s="2" customFormat="1"/>
    <row r="21895" s="2" customFormat="1"/>
    <row r="21896" s="2" customFormat="1"/>
    <row r="21897" s="2" customFormat="1"/>
    <row r="21898" s="2" customFormat="1"/>
    <row r="21899" s="2" customFormat="1"/>
    <row r="21900" s="2" customFormat="1"/>
    <row r="21901" s="2" customFormat="1"/>
    <row r="21902" s="2" customFormat="1"/>
    <row r="21903" s="2" customFormat="1"/>
    <row r="21904" s="2" customFormat="1"/>
    <row r="21905" s="2" customFormat="1"/>
    <row r="21906" s="2" customFormat="1"/>
    <row r="21907" s="2" customFormat="1"/>
    <row r="21908" s="2" customFormat="1"/>
    <row r="21909" s="2" customFormat="1"/>
    <row r="21910" s="2" customFormat="1"/>
    <row r="21911" s="2" customFormat="1"/>
    <row r="21912" s="2" customFormat="1"/>
    <row r="21913" s="2" customFormat="1"/>
    <row r="21914" s="2" customFormat="1"/>
    <row r="21915" s="2" customFormat="1"/>
    <row r="21916" s="2" customFormat="1"/>
    <row r="21917" s="2" customFormat="1"/>
    <row r="21918" s="2" customFormat="1"/>
    <row r="21919" s="2" customFormat="1"/>
    <row r="21920" s="2" customFormat="1"/>
    <row r="21921" s="2" customFormat="1"/>
    <row r="21922" s="2" customFormat="1"/>
    <row r="21923" s="2" customFormat="1"/>
    <row r="21924" s="2" customFormat="1"/>
    <row r="21925" s="2" customFormat="1"/>
    <row r="21926" s="2" customFormat="1"/>
    <row r="21927" s="2" customFormat="1"/>
    <row r="21928" s="2" customFormat="1"/>
    <row r="21929" s="2" customFormat="1"/>
    <row r="21930" s="2" customFormat="1"/>
    <row r="21931" s="2" customFormat="1"/>
    <row r="21932" s="2" customFormat="1"/>
    <row r="21933" s="2" customFormat="1"/>
    <row r="21934" s="2" customFormat="1"/>
    <row r="21935" s="2" customFormat="1"/>
    <row r="21936" s="2" customFormat="1"/>
    <row r="21937" s="2" customFormat="1"/>
    <row r="21938" s="2" customFormat="1"/>
    <row r="21939" s="2" customFormat="1"/>
    <row r="21940" s="2" customFormat="1"/>
    <row r="21941" s="2" customFormat="1"/>
    <row r="21942" s="2" customFormat="1"/>
    <row r="21943" s="2" customFormat="1"/>
    <row r="21944" s="2" customFormat="1"/>
    <row r="21945" s="2" customFormat="1"/>
    <row r="21946" s="2" customFormat="1"/>
    <row r="21947" s="2" customFormat="1"/>
    <row r="21948" s="2" customFormat="1"/>
    <row r="21949" s="2" customFormat="1"/>
    <row r="21950" s="2" customFormat="1"/>
    <row r="21951" s="2" customFormat="1"/>
    <row r="21952" s="2" customFormat="1"/>
    <row r="21953" s="2" customFormat="1"/>
    <row r="21954" s="2" customFormat="1"/>
    <row r="21955" s="2" customFormat="1"/>
    <row r="21956" s="2" customFormat="1"/>
    <row r="21957" s="2" customFormat="1"/>
    <row r="21958" s="2" customFormat="1"/>
    <row r="21959" s="2" customFormat="1"/>
    <row r="21960" s="2" customFormat="1"/>
    <row r="21961" s="2" customFormat="1"/>
    <row r="21962" s="2" customFormat="1"/>
    <row r="21963" s="2" customFormat="1"/>
    <row r="21964" s="2" customFormat="1"/>
    <row r="21965" s="2" customFormat="1"/>
    <row r="21966" s="2" customFormat="1"/>
    <row r="21967" s="2" customFormat="1"/>
    <row r="21968" s="2" customFormat="1"/>
    <row r="21969" s="2" customFormat="1"/>
    <row r="21970" s="2" customFormat="1"/>
    <row r="21971" s="2" customFormat="1"/>
    <row r="21972" s="2" customFormat="1"/>
    <row r="21973" s="2" customFormat="1"/>
    <row r="21974" s="2" customFormat="1"/>
    <row r="21975" s="2" customFormat="1"/>
    <row r="21976" s="2" customFormat="1"/>
    <row r="21977" s="2" customFormat="1"/>
    <row r="21978" s="2" customFormat="1"/>
    <row r="21979" s="2" customFormat="1"/>
    <row r="21980" s="2" customFormat="1"/>
    <row r="21981" s="2" customFormat="1"/>
    <row r="21982" s="2" customFormat="1"/>
    <row r="21983" s="2" customFormat="1"/>
    <row r="21984" s="2" customFormat="1"/>
    <row r="21985" s="2" customFormat="1"/>
    <row r="21986" s="2" customFormat="1"/>
    <row r="21987" s="2" customFormat="1"/>
    <row r="21988" s="2" customFormat="1"/>
    <row r="21989" s="2" customFormat="1"/>
    <row r="21990" s="2" customFormat="1"/>
    <row r="21991" s="2" customFormat="1"/>
    <row r="21992" s="2" customFormat="1"/>
    <row r="21993" s="2" customFormat="1"/>
    <row r="21994" s="2" customFormat="1"/>
    <row r="21995" s="2" customFormat="1"/>
    <row r="21996" s="2" customFormat="1"/>
    <row r="21997" s="2" customFormat="1"/>
    <row r="21998" s="2" customFormat="1"/>
    <row r="21999" s="2" customFormat="1"/>
    <row r="22000" s="2" customFormat="1"/>
    <row r="22001" s="2" customFormat="1"/>
    <row r="22002" s="2" customFormat="1"/>
    <row r="22003" s="2" customFormat="1"/>
    <row r="22004" s="2" customFormat="1"/>
    <row r="22005" s="2" customFormat="1"/>
    <row r="22006" s="2" customFormat="1"/>
    <row r="22007" s="2" customFormat="1"/>
    <row r="22008" s="2" customFormat="1"/>
    <row r="22009" s="2" customFormat="1"/>
    <row r="22010" s="2" customFormat="1"/>
    <row r="22011" s="2" customFormat="1"/>
    <row r="22012" s="2" customFormat="1"/>
    <row r="22013" s="2" customFormat="1"/>
    <row r="22014" s="2" customFormat="1"/>
    <row r="22015" s="2" customFormat="1"/>
    <row r="22016" s="2" customFormat="1"/>
    <row r="22017" s="2" customFormat="1"/>
    <row r="22018" s="2" customFormat="1"/>
    <row r="22019" s="2" customFormat="1"/>
    <row r="22020" s="2" customFormat="1"/>
    <row r="22021" s="2" customFormat="1"/>
    <row r="22022" s="2" customFormat="1"/>
    <row r="22023" s="2" customFormat="1"/>
    <row r="22024" s="2" customFormat="1"/>
    <row r="22025" s="2" customFormat="1"/>
    <row r="22026" s="2" customFormat="1"/>
    <row r="22027" s="2" customFormat="1"/>
    <row r="22028" s="2" customFormat="1"/>
    <row r="22029" s="2" customFormat="1"/>
    <row r="22030" s="2" customFormat="1"/>
    <row r="22031" s="2" customFormat="1"/>
    <row r="22032" s="2" customFormat="1"/>
    <row r="22033" s="2" customFormat="1"/>
    <row r="22034" s="2" customFormat="1"/>
    <row r="22035" s="2" customFormat="1"/>
    <row r="22036" s="2" customFormat="1"/>
    <row r="22037" s="2" customFormat="1"/>
    <row r="22038" s="2" customFormat="1"/>
    <row r="22039" s="2" customFormat="1"/>
    <row r="22040" s="2" customFormat="1"/>
    <row r="22041" s="2" customFormat="1"/>
    <row r="22042" s="2" customFormat="1"/>
    <row r="22043" s="2" customFormat="1"/>
    <row r="22044" s="2" customFormat="1"/>
    <row r="22045" s="2" customFormat="1"/>
    <row r="22046" s="2" customFormat="1"/>
    <row r="22047" s="2" customFormat="1"/>
    <row r="22048" s="2" customFormat="1"/>
    <row r="22049" s="2" customFormat="1"/>
    <row r="22050" s="2" customFormat="1"/>
    <row r="22051" s="2" customFormat="1"/>
    <row r="22052" s="2" customFormat="1"/>
    <row r="22053" s="2" customFormat="1"/>
    <row r="22054" s="2" customFormat="1"/>
    <row r="22055" s="2" customFormat="1"/>
    <row r="22056" s="2" customFormat="1"/>
    <row r="22057" s="2" customFormat="1"/>
    <row r="22058" s="2" customFormat="1"/>
    <row r="22059" s="2" customFormat="1"/>
    <row r="22060" s="2" customFormat="1"/>
    <row r="22061" s="2" customFormat="1"/>
    <row r="22062" s="2" customFormat="1"/>
    <row r="22063" s="2" customFormat="1"/>
    <row r="22064" s="2" customFormat="1"/>
    <row r="22065" s="2" customFormat="1"/>
    <row r="22066" s="2" customFormat="1"/>
    <row r="22067" s="2" customFormat="1"/>
    <row r="22068" s="2" customFormat="1"/>
    <row r="22069" s="2" customFormat="1"/>
    <row r="22070" s="2" customFormat="1"/>
    <row r="22071" s="2" customFormat="1"/>
    <row r="22072" s="2" customFormat="1"/>
    <row r="22073" s="2" customFormat="1"/>
    <row r="22074" s="2" customFormat="1"/>
    <row r="22075" s="2" customFormat="1"/>
    <row r="22076" s="2" customFormat="1"/>
    <row r="22077" s="2" customFormat="1"/>
    <row r="22078" s="2" customFormat="1"/>
    <row r="22079" s="2" customFormat="1"/>
    <row r="22080" s="2" customFormat="1"/>
    <row r="22081" s="2" customFormat="1"/>
    <row r="22082" s="2" customFormat="1"/>
    <row r="22083" s="2" customFormat="1"/>
    <row r="22084" s="2" customFormat="1"/>
    <row r="22085" s="2" customFormat="1"/>
    <row r="22086" s="2" customFormat="1"/>
    <row r="22087" s="2" customFormat="1"/>
    <row r="22088" s="2" customFormat="1"/>
    <row r="22089" s="2" customFormat="1"/>
    <row r="22090" s="2" customFormat="1"/>
    <row r="22091" s="2" customFormat="1"/>
    <row r="22092" s="2" customFormat="1"/>
    <row r="22093" s="2" customFormat="1"/>
    <row r="22094" s="2" customFormat="1"/>
    <row r="22095" s="2" customFormat="1"/>
    <row r="22096" s="2" customFormat="1"/>
    <row r="22097" s="2" customFormat="1"/>
    <row r="22098" s="2" customFormat="1"/>
    <row r="22099" s="2" customFormat="1"/>
    <row r="22100" s="2" customFormat="1"/>
    <row r="22101" s="2" customFormat="1"/>
    <row r="22102" s="2" customFormat="1"/>
    <row r="22103" s="2" customFormat="1"/>
    <row r="22104" s="2" customFormat="1"/>
    <row r="22105" s="2" customFormat="1"/>
    <row r="22106" s="2" customFormat="1"/>
    <row r="22107" s="2" customFormat="1"/>
    <row r="22108" s="2" customFormat="1"/>
    <row r="22109" s="2" customFormat="1"/>
    <row r="22110" s="2" customFormat="1"/>
    <row r="22111" s="2" customFormat="1"/>
    <row r="22112" s="2" customFormat="1"/>
    <row r="22113" s="2" customFormat="1"/>
    <row r="22114" s="2" customFormat="1"/>
    <row r="22115" s="2" customFormat="1"/>
    <row r="22116" s="2" customFormat="1"/>
    <row r="22117" s="2" customFormat="1"/>
    <row r="22118" s="2" customFormat="1"/>
    <row r="22119" s="2" customFormat="1"/>
    <row r="22120" s="2" customFormat="1"/>
    <row r="22121" s="2" customFormat="1"/>
    <row r="22122" s="2" customFormat="1"/>
    <row r="22123" s="2" customFormat="1"/>
    <row r="22124" s="2" customFormat="1"/>
    <row r="22125" s="2" customFormat="1"/>
    <row r="22126" s="2" customFormat="1"/>
    <row r="22127" s="2" customFormat="1"/>
    <row r="22128" s="2" customFormat="1"/>
    <row r="22129" s="2" customFormat="1"/>
    <row r="22130" s="2" customFormat="1"/>
    <row r="22131" s="2" customFormat="1"/>
    <row r="22132" s="2" customFormat="1"/>
    <row r="22133" s="2" customFormat="1"/>
    <row r="22134" s="2" customFormat="1"/>
    <row r="22135" s="2" customFormat="1"/>
    <row r="22136" s="2" customFormat="1"/>
    <row r="22137" s="2" customFormat="1"/>
    <row r="22138" s="2" customFormat="1"/>
    <row r="22139" s="2" customFormat="1"/>
    <row r="22140" s="2" customFormat="1"/>
    <row r="22141" s="2" customFormat="1"/>
    <row r="22142" s="2" customFormat="1"/>
    <row r="22143" s="2" customFormat="1"/>
    <row r="22144" s="2" customFormat="1"/>
    <row r="22145" s="2" customFormat="1"/>
    <row r="22146" s="2" customFormat="1"/>
    <row r="22147" s="2" customFormat="1"/>
    <row r="22148" s="2" customFormat="1"/>
    <row r="22149" s="2" customFormat="1"/>
    <row r="22150" s="2" customFormat="1"/>
    <row r="22151" s="2" customFormat="1"/>
    <row r="22152" s="2" customFormat="1"/>
    <row r="22153" s="2" customFormat="1"/>
    <row r="22154" s="2" customFormat="1"/>
    <row r="22155" s="2" customFormat="1"/>
    <row r="22156" s="2" customFormat="1"/>
    <row r="22157" s="2" customFormat="1"/>
    <row r="22158" s="2" customFormat="1"/>
    <row r="22159" s="2" customFormat="1"/>
    <row r="22160" s="2" customFormat="1"/>
    <row r="22161" s="2" customFormat="1"/>
    <row r="22162" s="2" customFormat="1"/>
    <row r="22163" s="2" customFormat="1"/>
    <row r="22164" s="2" customFormat="1"/>
    <row r="22165" s="2" customFormat="1"/>
    <row r="22166" s="2" customFormat="1"/>
    <row r="22167" s="2" customFormat="1"/>
    <row r="22168" s="2" customFormat="1"/>
    <row r="22169" s="2" customFormat="1"/>
    <row r="22170" s="2" customFormat="1"/>
    <row r="22171" s="2" customFormat="1"/>
    <row r="22172" s="2" customFormat="1"/>
    <row r="22173" s="2" customFormat="1"/>
    <row r="22174" s="2" customFormat="1"/>
    <row r="22175" s="2" customFormat="1"/>
    <row r="22176" s="2" customFormat="1"/>
    <row r="22177" s="2" customFormat="1"/>
    <row r="22178" s="2" customFormat="1"/>
    <row r="22179" s="2" customFormat="1"/>
    <row r="22180" s="2" customFormat="1"/>
    <row r="22181" s="2" customFormat="1"/>
    <row r="22182" s="2" customFormat="1"/>
    <row r="22183" s="2" customFormat="1"/>
    <row r="22184" s="2" customFormat="1"/>
    <row r="22185" s="2" customFormat="1"/>
    <row r="22186" s="2" customFormat="1"/>
    <row r="22187" s="2" customFormat="1"/>
    <row r="22188" s="2" customFormat="1"/>
    <row r="22189" s="2" customFormat="1"/>
    <row r="22190" s="2" customFormat="1"/>
    <row r="22191" s="2" customFormat="1"/>
    <row r="22192" s="2" customFormat="1"/>
    <row r="22193" s="2" customFormat="1"/>
    <row r="22194" s="2" customFormat="1"/>
    <row r="22195" s="2" customFormat="1"/>
    <row r="22196" s="2" customFormat="1"/>
    <row r="22197" s="2" customFormat="1"/>
    <row r="22198" s="2" customFormat="1"/>
    <row r="22199" s="2" customFormat="1"/>
    <row r="22200" s="2" customFormat="1"/>
    <row r="22201" s="2" customFormat="1"/>
    <row r="22202" s="2" customFormat="1"/>
    <row r="22203" s="2" customFormat="1"/>
    <row r="22204" s="2" customFormat="1"/>
    <row r="22205" s="2" customFormat="1"/>
    <row r="22206" s="2" customFormat="1"/>
    <row r="22207" s="2" customFormat="1"/>
    <row r="22208" s="2" customFormat="1"/>
    <row r="22209" s="2" customFormat="1"/>
    <row r="22210" s="2" customFormat="1"/>
    <row r="22211" s="2" customFormat="1"/>
    <row r="22212" s="2" customFormat="1"/>
    <row r="22213" s="2" customFormat="1"/>
    <row r="22214" s="2" customFormat="1"/>
    <row r="22215" s="2" customFormat="1"/>
    <row r="22216" s="2" customFormat="1"/>
    <row r="22217" s="2" customFormat="1"/>
    <row r="22218" s="2" customFormat="1"/>
    <row r="22219" s="2" customFormat="1"/>
    <row r="22220" s="2" customFormat="1"/>
    <row r="22221" s="2" customFormat="1"/>
    <row r="22222" s="2" customFormat="1"/>
    <row r="22223" s="2" customFormat="1"/>
    <row r="22224" s="2" customFormat="1"/>
    <row r="22225" s="2" customFormat="1"/>
    <row r="22226" s="2" customFormat="1"/>
    <row r="22227" s="2" customFormat="1"/>
    <row r="22228" s="2" customFormat="1"/>
    <row r="22229" s="2" customFormat="1"/>
    <row r="22230" s="2" customFormat="1"/>
    <row r="22231" s="2" customFormat="1"/>
    <row r="22232" s="2" customFormat="1"/>
    <row r="22233" s="2" customFormat="1"/>
    <row r="22234" s="2" customFormat="1"/>
    <row r="22235" s="2" customFormat="1"/>
    <row r="22236" s="2" customFormat="1"/>
    <row r="22237" s="2" customFormat="1"/>
    <row r="22238" s="2" customFormat="1"/>
    <row r="22239" s="2" customFormat="1"/>
    <row r="22240" s="2" customFormat="1"/>
    <row r="22241" s="2" customFormat="1"/>
    <row r="22242" s="2" customFormat="1"/>
    <row r="22243" s="2" customFormat="1"/>
    <row r="22244" s="2" customFormat="1"/>
    <row r="22245" s="2" customFormat="1"/>
    <row r="22246" s="2" customFormat="1"/>
    <row r="22247" s="2" customFormat="1"/>
    <row r="22248" s="2" customFormat="1"/>
    <row r="22249" s="2" customFormat="1"/>
    <row r="22250" s="2" customFormat="1"/>
    <row r="22251" s="2" customFormat="1"/>
    <row r="22252" s="2" customFormat="1"/>
    <row r="22253" s="2" customFormat="1"/>
    <row r="22254" s="2" customFormat="1"/>
    <row r="22255" s="2" customFormat="1"/>
    <row r="22256" s="2" customFormat="1"/>
    <row r="22257" s="2" customFormat="1"/>
    <row r="22258" s="2" customFormat="1"/>
    <row r="22259" s="2" customFormat="1"/>
    <row r="22260" s="2" customFormat="1"/>
    <row r="22261" s="2" customFormat="1"/>
    <row r="22262" s="2" customFormat="1"/>
    <row r="22263" s="2" customFormat="1"/>
    <row r="22264" s="2" customFormat="1"/>
    <row r="22265" s="2" customFormat="1"/>
    <row r="22266" s="2" customFormat="1"/>
    <row r="22267" s="2" customFormat="1"/>
    <row r="22268" s="2" customFormat="1"/>
    <row r="22269" s="2" customFormat="1"/>
    <row r="22270" s="2" customFormat="1"/>
    <row r="22271" s="2" customFormat="1"/>
    <row r="22272" s="2" customFormat="1"/>
    <row r="22273" s="2" customFormat="1"/>
    <row r="22274" s="2" customFormat="1"/>
    <row r="22275" s="2" customFormat="1"/>
    <row r="22276" s="2" customFormat="1"/>
    <row r="22277" s="2" customFormat="1"/>
    <row r="22278" s="2" customFormat="1"/>
    <row r="22279" s="2" customFormat="1"/>
    <row r="22280" s="2" customFormat="1"/>
    <row r="22281" s="2" customFormat="1"/>
    <row r="22282" s="2" customFormat="1"/>
    <row r="22283" s="2" customFormat="1"/>
    <row r="22284" s="2" customFormat="1"/>
    <row r="22285" s="2" customFormat="1"/>
    <row r="22286" s="2" customFormat="1"/>
    <row r="22287" s="2" customFormat="1"/>
    <row r="22288" s="2" customFormat="1"/>
    <row r="22289" s="2" customFormat="1"/>
    <row r="22290" s="2" customFormat="1"/>
    <row r="22291" s="2" customFormat="1"/>
    <row r="22292" s="2" customFormat="1"/>
    <row r="22293" s="2" customFormat="1"/>
    <row r="22294" s="2" customFormat="1"/>
    <row r="22295" s="2" customFormat="1"/>
    <row r="22296" s="2" customFormat="1"/>
    <row r="22297" s="2" customFormat="1"/>
    <row r="22298" s="2" customFormat="1"/>
    <row r="22299" s="2" customFormat="1"/>
    <row r="22300" s="2" customFormat="1"/>
    <row r="22301" s="2" customFormat="1"/>
    <row r="22302" s="2" customFormat="1"/>
    <row r="22303" s="2" customFormat="1"/>
    <row r="22304" s="2" customFormat="1"/>
    <row r="22305" s="2" customFormat="1"/>
    <row r="22306" s="2" customFormat="1"/>
    <row r="22307" s="2" customFormat="1"/>
    <row r="22308" s="2" customFormat="1"/>
    <row r="22309" s="2" customFormat="1"/>
    <row r="22310" s="2" customFormat="1"/>
    <row r="22311" s="2" customFormat="1"/>
    <row r="22312" s="2" customFormat="1"/>
    <row r="22313" s="2" customFormat="1"/>
    <row r="22314" s="2" customFormat="1"/>
    <row r="22315" s="2" customFormat="1"/>
    <row r="22316" s="2" customFormat="1"/>
    <row r="22317" s="2" customFormat="1"/>
    <row r="22318" s="2" customFormat="1"/>
    <row r="22319" s="2" customFormat="1"/>
    <row r="22320" s="2" customFormat="1"/>
    <row r="22321" s="2" customFormat="1"/>
    <row r="22322" s="2" customFormat="1"/>
    <row r="22323" s="2" customFormat="1"/>
    <row r="22324" s="2" customFormat="1"/>
    <row r="22325" s="2" customFormat="1"/>
    <row r="22326" s="2" customFormat="1"/>
    <row r="22327" s="2" customFormat="1"/>
    <row r="22328" s="2" customFormat="1"/>
    <row r="22329" s="2" customFormat="1"/>
    <row r="22330" s="2" customFormat="1"/>
    <row r="22331" s="2" customFormat="1"/>
    <row r="22332" s="2" customFormat="1"/>
    <row r="22333" s="2" customFormat="1"/>
    <row r="22334" s="2" customFormat="1"/>
    <row r="22335" s="2" customFormat="1"/>
    <row r="22336" s="2" customFormat="1"/>
    <row r="22337" s="2" customFormat="1"/>
    <row r="22338" s="2" customFormat="1"/>
    <row r="22339" s="2" customFormat="1"/>
    <row r="22340" s="2" customFormat="1"/>
    <row r="22341" s="2" customFormat="1"/>
    <row r="22342" s="2" customFormat="1"/>
    <row r="22343" s="2" customFormat="1"/>
    <row r="22344" s="2" customFormat="1"/>
    <row r="22345" s="2" customFormat="1"/>
    <row r="22346" s="2" customFormat="1"/>
    <row r="22347" s="2" customFormat="1"/>
    <row r="22348" s="2" customFormat="1"/>
    <row r="22349" s="2" customFormat="1"/>
    <row r="22350" s="2" customFormat="1"/>
    <row r="22351" s="2" customFormat="1"/>
    <row r="22352" s="2" customFormat="1"/>
    <row r="22353" s="2" customFormat="1"/>
    <row r="22354" s="2" customFormat="1"/>
    <row r="22355" s="2" customFormat="1"/>
    <row r="22356" s="2" customFormat="1"/>
    <row r="22357" s="2" customFormat="1"/>
    <row r="22358" s="2" customFormat="1"/>
    <row r="22359" s="2" customFormat="1"/>
    <row r="22360" s="2" customFormat="1"/>
    <row r="22361" s="2" customFormat="1"/>
    <row r="22362" s="2" customFormat="1"/>
    <row r="22363" s="2" customFormat="1"/>
    <row r="22364" s="2" customFormat="1"/>
    <row r="22365" s="2" customFormat="1"/>
    <row r="22366" s="2" customFormat="1"/>
    <row r="22367" s="2" customFormat="1"/>
    <row r="22368" s="2" customFormat="1"/>
    <row r="22369" s="2" customFormat="1"/>
    <row r="22370" s="2" customFormat="1"/>
    <row r="22371" s="2" customFormat="1"/>
    <row r="22372" s="2" customFormat="1"/>
    <row r="22373" s="2" customFormat="1"/>
    <row r="22374" s="2" customFormat="1"/>
    <row r="22375" s="2" customFormat="1"/>
    <row r="22376" s="2" customFormat="1"/>
    <row r="22377" s="2" customFormat="1"/>
    <row r="22378" s="2" customFormat="1"/>
    <row r="22379" s="2" customFormat="1"/>
    <row r="22380" s="2" customFormat="1"/>
    <row r="22381" s="2" customFormat="1"/>
    <row r="22382" s="2" customFormat="1"/>
    <row r="22383" s="2" customFormat="1"/>
    <row r="22384" s="2" customFormat="1"/>
    <row r="22385" s="2" customFormat="1"/>
    <row r="22386" s="2" customFormat="1"/>
    <row r="22387" s="2" customFormat="1"/>
    <row r="22388" s="2" customFormat="1"/>
    <row r="22389" s="2" customFormat="1"/>
    <row r="22390" s="2" customFormat="1"/>
    <row r="22391" s="2" customFormat="1"/>
    <row r="22392" s="2" customFormat="1"/>
    <row r="22393" s="2" customFormat="1"/>
    <row r="22394" s="2" customFormat="1"/>
    <row r="22395" s="2" customFormat="1"/>
    <row r="22396" s="2" customFormat="1"/>
    <row r="22397" s="2" customFormat="1"/>
    <row r="22398" s="2" customFormat="1"/>
    <row r="22399" s="2" customFormat="1"/>
    <row r="22400" s="2" customFormat="1"/>
    <row r="22401" s="2" customFormat="1"/>
    <row r="22402" s="2" customFormat="1"/>
    <row r="22403" s="2" customFormat="1"/>
    <row r="22404" s="2" customFormat="1"/>
    <row r="22405" s="2" customFormat="1"/>
    <row r="22406" s="2" customFormat="1"/>
    <row r="22407" s="2" customFormat="1"/>
    <row r="22408" s="2" customFormat="1"/>
    <row r="22409" s="2" customFormat="1"/>
    <row r="22410" s="2" customFormat="1"/>
    <row r="22411" s="2" customFormat="1"/>
    <row r="22412" s="2" customFormat="1"/>
    <row r="22413" s="2" customFormat="1"/>
    <row r="22414" s="2" customFormat="1"/>
    <row r="22415" s="2" customFormat="1"/>
    <row r="22416" s="2" customFormat="1"/>
    <row r="22417" s="2" customFormat="1"/>
    <row r="22418" s="2" customFormat="1"/>
    <row r="22419" s="2" customFormat="1"/>
    <row r="22420" s="2" customFormat="1"/>
    <row r="22421" s="2" customFormat="1"/>
    <row r="22422" s="2" customFormat="1"/>
    <row r="22423" s="2" customFormat="1"/>
    <row r="22424" s="2" customFormat="1"/>
    <row r="22425" s="2" customFormat="1"/>
    <row r="22426" s="2" customFormat="1"/>
    <row r="22427" s="2" customFormat="1"/>
    <row r="22428" s="2" customFormat="1"/>
    <row r="22429" s="2" customFormat="1"/>
    <row r="22430" s="2" customFormat="1"/>
    <row r="22431" s="2" customFormat="1"/>
    <row r="22432" s="2" customFormat="1"/>
    <row r="22433" s="2" customFormat="1"/>
    <row r="22434" s="2" customFormat="1"/>
    <row r="22435" s="2" customFormat="1"/>
    <row r="22436" s="2" customFormat="1"/>
    <row r="22437" s="2" customFormat="1"/>
    <row r="22438" s="2" customFormat="1"/>
    <row r="22439" s="2" customFormat="1"/>
    <row r="22440" s="2" customFormat="1"/>
    <row r="22441" s="2" customFormat="1"/>
    <row r="22442" s="2" customFormat="1"/>
    <row r="22443" s="2" customFormat="1"/>
    <row r="22444" s="2" customFormat="1"/>
    <row r="22445" s="2" customFormat="1"/>
    <row r="22446" s="2" customFormat="1"/>
    <row r="22447" s="2" customFormat="1"/>
    <row r="22448" s="2" customFormat="1"/>
    <row r="22449" s="2" customFormat="1"/>
    <row r="22450" s="2" customFormat="1"/>
    <row r="22451" s="2" customFormat="1"/>
    <row r="22452" s="2" customFormat="1"/>
    <row r="22453" s="2" customFormat="1"/>
    <row r="22454" s="2" customFormat="1"/>
    <row r="22455" s="2" customFormat="1"/>
    <row r="22456" s="2" customFormat="1"/>
    <row r="22457" s="2" customFormat="1"/>
    <row r="22458" s="2" customFormat="1"/>
    <row r="22459" s="2" customFormat="1"/>
    <row r="22460" s="2" customFormat="1"/>
    <row r="22461" s="2" customFormat="1"/>
    <row r="22462" s="2" customFormat="1"/>
    <row r="22463" s="2" customFormat="1"/>
    <row r="22464" s="2" customFormat="1"/>
    <row r="22465" s="2" customFormat="1"/>
    <row r="22466" s="2" customFormat="1"/>
    <row r="22467" s="2" customFormat="1"/>
    <row r="22468" s="2" customFormat="1"/>
    <row r="22469" s="2" customFormat="1"/>
    <row r="22470" s="2" customFormat="1"/>
    <row r="22471" s="2" customFormat="1"/>
    <row r="22472" s="2" customFormat="1"/>
    <row r="22473" s="2" customFormat="1"/>
    <row r="22474" s="2" customFormat="1"/>
    <row r="22475" s="2" customFormat="1"/>
    <row r="22476" s="2" customFormat="1"/>
    <row r="22477" s="2" customFormat="1"/>
    <row r="22478" s="2" customFormat="1"/>
    <row r="22479" s="2" customFormat="1"/>
    <row r="22480" s="2" customFormat="1"/>
    <row r="22481" s="2" customFormat="1"/>
    <row r="22482" s="2" customFormat="1"/>
    <row r="22483" s="2" customFormat="1"/>
    <row r="22484" s="2" customFormat="1"/>
    <row r="22485" s="2" customFormat="1"/>
    <row r="22486" s="2" customFormat="1"/>
    <row r="22487" s="2" customFormat="1"/>
    <row r="22488" s="2" customFormat="1"/>
    <row r="22489" s="2" customFormat="1"/>
    <row r="22490" s="2" customFormat="1"/>
    <row r="22491" s="2" customFormat="1"/>
    <row r="22492" s="2" customFormat="1"/>
    <row r="22493" s="2" customFormat="1"/>
    <row r="22494" s="2" customFormat="1"/>
    <row r="22495" s="2" customFormat="1"/>
    <row r="22496" s="2" customFormat="1"/>
    <row r="22497" s="2" customFormat="1"/>
    <row r="22498" s="2" customFormat="1"/>
    <row r="22499" s="2" customFormat="1"/>
    <row r="22500" s="2" customFormat="1"/>
    <row r="22501" s="2" customFormat="1"/>
    <row r="22502" s="2" customFormat="1"/>
    <row r="22503" s="2" customFormat="1"/>
    <row r="22504" s="2" customFormat="1"/>
    <row r="22505" s="2" customFormat="1"/>
    <row r="22506" s="2" customFormat="1"/>
    <row r="22507" s="2" customFormat="1"/>
    <row r="22508" s="2" customFormat="1"/>
    <row r="22509" s="2" customFormat="1"/>
    <row r="22510" s="2" customFormat="1"/>
    <row r="22511" s="2" customFormat="1"/>
    <row r="22512" s="2" customFormat="1"/>
    <row r="22513" s="2" customFormat="1"/>
    <row r="22514" s="2" customFormat="1"/>
    <row r="22515" s="2" customFormat="1"/>
    <row r="22516" s="2" customFormat="1"/>
    <row r="22517" s="2" customFormat="1"/>
    <row r="22518" s="2" customFormat="1"/>
    <row r="22519" s="2" customFormat="1"/>
    <row r="22520" s="2" customFormat="1"/>
    <row r="22521" s="2" customFormat="1"/>
    <row r="22522" s="2" customFormat="1"/>
    <row r="22523" s="2" customFormat="1"/>
    <row r="22524" s="2" customFormat="1"/>
    <row r="22525" s="2" customFormat="1"/>
    <row r="22526" s="2" customFormat="1"/>
    <row r="22527" s="2" customFormat="1"/>
    <row r="22528" s="2" customFormat="1"/>
    <row r="22529" s="2" customFormat="1"/>
    <row r="22530" s="2" customFormat="1"/>
    <row r="22531" s="2" customFormat="1"/>
    <row r="22532" s="2" customFormat="1"/>
    <row r="22533" s="2" customFormat="1"/>
    <row r="22534" s="2" customFormat="1"/>
    <row r="22535" s="2" customFormat="1"/>
    <row r="22536" s="2" customFormat="1"/>
    <row r="22537" s="2" customFormat="1"/>
    <row r="22538" s="2" customFormat="1"/>
    <row r="22539" s="2" customFormat="1"/>
    <row r="22540" s="2" customFormat="1"/>
    <row r="22541" s="2" customFormat="1"/>
    <row r="22542" s="2" customFormat="1"/>
    <row r="22543" s="2" customFormat="1"/>
    <row r="22544" s="2" customFormat="1"/>
    <row r="22545" s="2" customFormat="1"/>
    <row r="22546" s="2" customFormat="1"/>
    <row r="22547" s="2" customFormat="1"/>
    <row r="22548" s="2" customFormat="1"/>
    <row r="22549" s="2" customFormat="1"/>
    <row r="22550" s="2" customFormat="1"/>
    <row r="22551" s="2" customFormat="1"/>
    <row r="22552" s="2" customFormat="1"/>
    <row r="22553" s="2" customFormat="1"/>
    <row r="22554" s="2" customFormat="1"/>
    <row r="22555" s="2" customFormat="1"/>
    <row r="22556" s="2" customFormat="1"/>
    <row r="22557" s="2" customFormat="1"/>
    <row r="22558" s="2" customFormat="1"/>
    <row r="22559" s="2" customFormat="1"/>
    <row r="22560" s="2" customFormat="1"/>
    <row r="22561" s="2" customFormat="1"/>
    <row r="22562" s="2" customFormat="1"/>
    <row r="22563" s="2" customFormat="1"/>
    <row r="22564" s="2" customFormat="1"/>
    <row r="22565" s="2" customFormat="1"/>
    <row r="22566" s="2" customFormat="1"/>
    <row r="22567" s="2" customFormat="1"/>
    <row r="22568" s="2" customFormat="1"/>
    <row r="22569" s="2" customFormat="1"/>
    <row r="22570" s="2" customFormat="1"/>
    <row r="22571" s="2" customFormat="1"/>
    <row r="22572" s="2" customFormat="1"/>
    <row r="22573" s="2" customFormat="1"/>
    <row r="22574" s="2" customFormat="1"/>
    <row r="22575" s="2" customFormat="1"/>
    <row r="22576" s="2" customFormat="1"/>
    <row r="22577" s="2" customFormat="1"/>
    <row r="22578" s="2" customFormat="1"/>
    <row r="22579" s="2" customFormat="1"/>
    <row r="22580" s="2" customFormat="1"/>
    <row r="22581" s="2" customFormat="1"/>
    <row r="22582" s="2" customFormat="1"/>
    <row r="22583" s="2" customFormat="1"/>
    <row r="22584" s="2" customFormat="1"/>
    <row r="22585" s="2" customFormat="1"/>
    <row r="22586" s="2" customFormat="1"/>
    <row r="22587" s="2" customFormat="1"/>
    <row r="22588" s="2" customFormat="1"/>
    <row r="22589" s="2" customFormat="1"/>
    <row r="22590" s="2" customFormat="1"/>
    <row r="22591" s="2" customFormat="1"/>
    <row r="22592" s="2" customFormat="1"/>
    <row r="22593" s="2" customFormat="1"/>
    <row r="22594" s="2" customFormat="1"/>
    <row r="22595" s="2" customFormat="1"/>
    <row r="22596" s="2" customFormat="1"/>
    <row r="22597" s="2" customFormat="1"/>
    <row r="22598" s="2" customFormat="1"/>
    <row r="22599" s="2" customFormat="1"/>
    <row r="22600" s="2" customFormat="1"/>
    <row r="22601" s="2" customFormat="1"/>
    <row r="22602" s="2" customFormat="1"/>
    <row r="22603" s="2" customFormat="1"/>
    <row r="22604" s="2" customFormat="1"/>
    <row r="22605" s="2" customFormat="1"/>
    <row r="22606" s="2" customFormat="1"/>
    <row r="22607" s="2" customFormat="1"/>
    <row r="22608" s="2" customFormat="1"/>
    <row r="22609" s="2" customFormat="1"/>
    <row r="22610" s="2" customFormat="1"/>
    <row r="22611" s="2" customFormat="1"/>
    <row r="22612" s="2" customFormat="1"/>
    <row r="22613" s="2" customFormat="1"/>
    <row r="22614" s="2" customFormat="1"/>
    <row r="22615" s="2" customFormat="1"/>
    <row r="22616" s="2" customFormat="1"/>
    <row r="22617" s="2" customFormat="1"/>
    <row r="22618" s="2" customFormat="1"/>
    <row r="22619" s="2" customFormat="1"/>
    <row r="22620" s="2" customFormat="1"/>
    <row r="22621" s="2" customFormat="1"/>
    <row r="22622" s="2" customFormat="1"/>
    <row r="22623" s="2" customFormat="1"/>
    <row r="22624" s="2" customFormat="1"/>
    <row r="22625" s="2" customFormat="1"/>
    <row r="22626" s="2" customFormat="1"/>
    <row r="22627" s="2" customFormat="1"/>
    <row r="22628" s="2" customFormat="1"/>
    <row r="22629" s="2" customFormat="1"/>
    <row r="22630" s="2" customFormat="1"/>
    <row r="22631" s="2" customFormat="1"/>
    <row r="22632" s="2" customFormat="1"/>
    <row r="22633" s="2" customFormat="1"/>
    <row r="22634" s="2" customFormat="1"/>
    <row r="22635" s="2" customFormat="1"/>
    <row r="22636" s="2" customFormat="1"/>
    <row r="22637" s="2" customFormat="1"/>
    <row r="22638" s="2" customFormat="1"/>
    <row r="22639" s="2" customFormat="1"/>
    <row r="22640" s="2" customFormat="1"/>
    <row r="22641" s="2" customFormat="1"/>
    <row r="22642" s="2" customFormat="1"/>
    <row r="22643" s="2" customFormat="1"/>
    <row r="22644" s="2" customFormat="1"/>
    <row r="22645" s="2" customFormat="1"/>
    <row r="22646" s="2" customFormat="1"/>
    <row r="22647" s="2" customFormat="1"/>
    <row r="22648" s="2" customFormat="1"/>
    <row r="22649" s="2" customFormat="1"/>
    <row r="22650" s="2" customFormat="1"/>
    <row r="22651" s="2" customFormat="1"/>
    <row r="22652" s="2" customFormat="1"/>
    <row r="22653" s="2" customFormat="1"/>
    <row r="22654" s="2" customFormat="1"/>
    <row r="22655" s="2" customFormat="1"/>
    <row r="22656" s="2" customFormat="1"/>
    <row r="22657" s="2" customFormat="1"/>
    <row r="22658" s="2" customFormat="1"/>
    <row r="22659" s="2" customFormat="1"/>
    <row r="22660" s="2" customFormat="1"/>
    <row r="22661" s="2" customFormat="1"/>
    <row r="22662" s="2" customFormat="1"/>
    <row r="22663" s="2" customFormat="1"/>
    <row r="22664" s="2" customFormat="1"/>
    <row r="22665" s="2" customFormat="1"/>
    <row r="22666" s="2" customFormat="1"/>
    <row r="22667" s="2" customFormat="1"/>
    <row r="22668" s="2" customFormat="1"/>
    <row r="22669" s="2" customFormat="1"/>
    <row r="22670" s="2" customFormat="1"/>
    <row r="22671" s="2" customFormat="1"/>
    <row r="22672" s="2" customFormat="1"/>
    <row r="22673" s="2" customFormat="1"/>
    <row r="22674" s="2" customFormat="1"/>
    <row r="22675" s="2" customFormat="1"/>
    <row r="22676" s="2" customFormat="1"/>
    <row r="22677" s="2" customFormat="1"/>
    <row r="22678" s="2" customFormat="1"/>
    <row r="22679" s="2" customFormat="1"/>
    <row r="22680" s="2" customFormat="1"/>
    <row r="22681" s="2" customFormat="1"/>
    <row r="22682" s="2" customFormat="1"/>
    <row r="22683" s="2" customFormat="1"/>
    <row r="22684" s="2" customFormat="1"/>
    <row r="22685" s="2" customFormat="1"/>
    <row r="22686" s="2" customFormat="1"/>
    <row r="22687" s="2" customFormat="1"/>
    <row r="22688" s="2" customFormat="1"/>
    <row r="22689" s="2" customFormat="1"/>
    <row r="22690" s="2" customFormat="1"/>
    <row r="22691" s="2" customFormat="1"/>
    <row r="22692" s="2" customFormat="1"/>
    <row r="22693" s="2" customFormat="1"/>
    <row r="22694" s="2" customFormat="1"/>
    <row r="22695" s="2" customFormat="1"/>
    <row r="22696" s="2" customFormat="1"/>
    <row r="22697" s="2" customFormat="1"/>
    <row r="22698" s="2" customFormat="1"/>
    <row r="22699" s="2" customFormat="1"/>
    <row r="22700" s="2" customFormat="1"/>
    <row r="22701" s="2" customFormat="1"/>
    <row r="22702" s="2" customFormat="1"/>
    <row r="22703" s="2" customFormat="1"/>
    <row r="22704" s="2" customFormat="1"/>
    <row r="22705" s="2" customFormat="1"/>
    <row r="22706" s="2" customFormat="1"/>
    <row r="22707" s="2" customFormat="1"/>
    <row r="22708" s="2" customFormat="1"/>
    <row r="22709" s="2" customFormat="1"/>
    <row r="22710" s="2" customFormat="1"/>
    <row r="22711" s="2" customFormat="1"/>
    <row r="22712" s="2" customFormat="1"/>
    <row r="22713" s="2" customFormat="1"/>
    <row r="22714" s="2" customFormat="1"/>
    <row r="22715" s="2" customFormat="1"/>
    <row r="22716" s="2" customFormat="1"/>
    <row r="22717" s="2" customFormat="1"/>
    <row r="22718" s="2" customFormat="1"/>
    <row r="22719" s="2" customFormat="1"/>
    <row r="22720" s="2" customFormat="1"/>
    <row r="22721" s="2" customFormat="1"/>
    <row r="22722" s="2" customFormat="1"/>
    <row r="22723" s="2" customFormat="1"/>
    <row r="22724" s="2" customFormat="1"/>
    <row r="22725" s="2" customFormat="1"/>
    <row r="22726" s="2" customFormat="1"/>
    <row r="22727" s="2" customFormat="1"/>
    <row r="22728" s="2" customFormat="1"/>
    <row r="22729" s="2" customFormat="1"/>
    <row r="22730" s="2" customFormat="1"/>
    <row r="22731" s="2" customFormat="1"/>
    <row r="22732" s="2" customFormat="1"/>
    <row r="22733" s="2" customFormat="1"/>
    <row r="22734" s="2" customFormat="1"/>
    <row r="22735" s="2" customFormat="1"/>
    <row r="22736" s="2" customFormat="1"/>
    <row r="22737" s="2" customFormat="1"/>
    <row r="22738" s="2" customFormat="1"/>
    <row r="22739" s="2" customFormat="1"/>
    <row r="22740" s="2" customFormat="1"/>
    <row r="22741" s="2" customFormat="1"/>
    <row r="22742" s="2" customFormat="1"/>
    <row r="22743" s="2" customFormat="1"/>
    <row r="22744" s="2" customFormat="1"/>
    <row r="22745" s="2" customFormat="1"/>
    <row r="22746" s="2" customFormat="1"/>
    <row r="22747" s="2" customFormat="1"/>
    <row r="22748" s="2" customFormat="1"/>
    <row r="22749" s="2" customFormat="1"/>
    <row r="22750" s="2" customFormat="1"/>
    <row r="22751" s="2" customFormat="1"/>
    <row r="22752" s="2" customFormat="1"/>
    <row r="22753" s="2" customFormat="1"/>
    <row r="22754" s="2" customFormat="1"/>
    <row r="22755" s="2" customFormat="1"/>
    <row r="22756" s="2" customFormat="1"/>
    <row r="22757" s="2" customFormat="1"/>
    <row r="22758" s="2" customFormat="1"/>
    <row r="22759" s="2" customFormat="1"/>
    <row r="22760" s="2" customFormat="1"/>
    <row r="22761" s="2" customFormat="1"/>
    <row r="22762" s="2" customFormat="1"/>
    <row r="22763" s="2" customFormat="1"/>
    <row r="22764" s="2" customFormat="1"/>
    <row r="22765" s="2" customFormat="1"/>
    <row r="22766" s="2" customFormat="1"/>
    <row r="22767" s="2" customFormat="1"/>
    <row r="22768" s="2" customFormat="1"/>
    <row r="22769" s="2" customFormat="1"/>
    <row r="22770" s="2" customFormat="1"/>
    <row r="22771" s="2" customFormat="1"/>
    <row r="22772" s="2" customFormat="1"/>
    <row r="22773" s="2" customFormat="1"/>
    <row r="22774" s="2" customFormat="1"/>
    <row r="22775" s="2" customFormat="1"/>
    <row r="22776" s="2" customFormat="1"/>
    <row r="22777" s="2" customFormat="1"/>
    <row r="22778" s="2" customFormat="1"/>
    <row r="22779" s="2" customFormat="1"/>
    <row r="22780" s="2" customFormat="1"/>
    <row r="22781" s="2" customFormat="1"/>
    <row r="22782" s="2" customFormat="1"/>
    <row r="22783" s="2" customFormat="1"/>
    <row r="22784" s="2" customFormat="1"/>
    <row r="22785" s="2" customFormat="1"/>
    <row r="22786" s="2" customFormat="1"/>
    <row r="22787" s="2" customFormat="1"/>
    <row r="22788" s="2" customFormat="1"/>
    <row r="22789" s="2" customFormat="1"/>
    <row r="22790" s="2" customFormat="1"/>
    <row r="22791" s="2" customFormat="1"/>
    <row r="22792" s="2" customFormat="1"/>
    <row r="22793" s="2" customFormat="1"/>
    <row r="22794" s="2" customFormat="1"/>
    <row r="22795" s="2" customFormat="1"/>
    <row r="22796" s="2" customFormat="1"/>
    <row r="22797" s="2" customFormat="1"/>
    <row r="22798" s="2" customFormat="1"/>
    <row r="22799" s="2" customFormat="1"/>
    <row r="22800" s="2" customFormat="1"/>
    <row r="22801" s="2" customFormat="1"/>
    <row r="22802" s="2" customFormat="1"/>
    <row r="22803" s="2" customFormat="1"/>
    <row r="22804" s="2" customFormat="1"/>
    <row r="22805" s="2" customFormat="1"/>
    <row r="22806" s="2" customFormat="1"/>
    <row r="22807" s="2" customFormat="1"/>
    <row r="22808" s="2" customFormat="1"/>
    <row r="22809" s="2" customFormat="1"/>
    <row r="22810" s="2" customFormat="1"/>
    <row r="22811" s="2" customFormat="1"/>
    <row r="22812" s="2" customFormat="1"/>
    <row r="22813" s="2" customFormat="1"/>
    <row r="22814" s="2" customFormat="1"/>
    <row r="22815" s="2" customFormat="1"/>
    <row r="22816" s="2" customFormat="1"/>
    <row r="22817" s="2" customFormat="1"/>
    <row r="22818" s="2" customFormat="1"/>
    <row r="22819" s="2" customFormat="1"/>
    <row r="22820" s="2" customFormat="1"/>
    <row r="22821" s="2" customFormat="1"/>
    <row r="22822" s="2" customFormat="1"/>
    <row r="22823" s="2" customFormat="1"/>
    <row r="22824" s="2" customFormat="1"/>
    <row r="22825" s="2" customFormat="1"/>
    <row r="22826" s="2" customFormat="1"/>
    <row r="22827" s="2" customFormat="1"/>
    <row r="22828" s="2" customFormat="1"/>
    <row r="22829" s="2" customFormat="1"/>
    <row r="22830" s="2" customFormat="1"/>
    <row r="22831" s="2" customFormat="1"/>
    <row r="22832" s="2" customFormat="1"/>
    <row r="22833" s="2" customFormat="1"/>
    <row r="22834" s="2" customFormat="1"/>
    <row r="22835" s="2" customFormat="1"/>
    <row r="22836" s="2" customFormat="1"/>
    <row r="22837" s="2" customFormat="1"/>
    <row r="22838" s="2" customFormat="1"/>
    <row r="22839" s="2" customFormat="1"/>
    <row r="22840" s="2" customFormat="1"/>
    <row r="22841" s="2" customFormat="1"/>
    <row r="22842" s="2" customFormat="1"/>
    <row r="22843" s="2" customFormat="1"/>
    <row r="22844" s="2" customFormat="1"/>
    <row r="22845" s="2" customFormat="1"/>
    <row r="22846" s="2" customFormat="1"/>
    <row r="22847" s="2" customFormat="1"/>
    <row r="22848" s="2" customFormat="1"/>
    <row r="22849" s="2" customFormat="1"/>
    <row r="22850" s="2" customFormat="1"/>
    <row r="22851" s="2" customFormat="1"/>
    <row r="22852" s="2" customFormat="1"/>
    <row r="22853" s="2" customFormat="1"/>
    <row r="22854" s="2" customFormat="1"/>
    <row r="22855" s="2" customFormat="1"/>
    <row r="22856" s="2" customFormat="1"/>
    <row r="22857" s="2" customFormat="1"/>
    <row r="22858" s="2" customFormat="1"/>
    <row r="22859" s="2" customFormat="1"/>
    <row r="22860" s="2" customFormat="1"/>
    <row r="22861" s="2" customFormat="1"/>
    <row r="22862" s="2" customFormat="1"/>
    <row r="22863" s="2" customFormat="1"/>
    <row r="22864" s="2" customFormat="1"/>
    <row r="22865" s="2" customFormat="1"/>
    <row r="22866" s="2" customFormat="1"/>
    <row r="22867" s="2" customFormat="1"/>
    <row r="22868" s="2" customFormat="1"/>
    <row r="22869" s="2" customFormat="1"/>
    <row r="22870" s="2" customFormat="1"/>
    <row r="22871" s="2" customFormat="1"/>
    <row r="22872" s="2" customFormat="1"/>
    <row r="22873" s="2" customFormat="1"/>
    <row r="22874" s="2" customFormat="1"/>
    <row r="22875" s="2" customFormat="1"/>
    <row r="22876" s="2" customFormat="1"/>
    <row r="22877" s="2" customFormat="1"/>
    <row r="22878" s="2" customFormat="1"/>
    <row r="22879" s="2" customFormat="1"/>
    <row r="22880" s="2" customFormat="1"/>
    <row r="22881" s="2" customFormat="1"/>
    <row r="22882" s="2" customFormat="1"/>
    <row r="22883" s="2" customFormat="1"/>
    <row r="22884" s="2" customFormat="1"/>
    <row r="22885" s="2" customFormat="1"/>
    <row r="22886" s="2" customFormat="1"/>
    <row r="22887" s="2" customFormat="1"/>
    <row r="22888" s="2" customFormat="1"/>
    <row r="22889" s="2" customFormat="1"/>
    <row r="22890" s="2" customFormat="1"/>
    <row r="22891" s="2" customFormat="1"/>
    <row r="22892" s="2" customFormat="1"/>
    <row r="22893" s="2" customFormat="1"/>
    <row r="22894" s="2" customFormat="1"/>
    <row r="22895" s="2" customFormat="1"/>
    <row r="22896" s="2" customFormat="1"/>
    <row r="22897" s="2" customFormat="1"/>
    <row r="22898" s="2" customFormat="1"/>
    <row r="22899" s="2" customFormat="1"/>
    <row r="22900" s="2" customFormat="1"/>
    <row r="22901" s="2" customFormat="1"/>
    <row r="22902" s="2" customFormat="1"/>
    <row r="22903" s="2" customFormat="1"/>
    <row r="22904" s="2" customFormat="1"/>
    <row r="22905" s="2" customFormat="1"/>
    <row r="22906" s="2" customFormat="1"/>
    <row r="22907" s="2" customFormat="1"/>
    <row r="22908" s="2" customFormat="1"/>
    <row r="22909" s="2" customFormat="1"/>
    <row r="22910" s="2" customFormat="1"/>
    <row r="22911" s="2" customFormat="1"/>
    <row r="22912" s="2" customFormat="1"/>
    <row r="22913" s="2" customFormat="1"/>
    <row r="22914" s="2" customFormat="1"/>
    <row r="22915" s="2" customFormat="1"/>
    <row r="22916" s="2" customFormat="1"/>
    <row r="22917" s="2" customFormat="1"/>
    <row r="22918" s="2" customFormat="1"/>
    <row r="22919" s="2" customFormat="1"/>
    <row r="22920" s="2" customFormat="1"/>
    <row r="22921" s="2" customFormat="1"/>
    <row r="22922" s="2" customFormat="1"/>
    <row r="22923" s="2" customFormat="1"/>
    <row r="22924" s="2" customFormat="1"/>
    <row r="22925" s="2" customFormat="1"/>
    <row r="22926" s="2" customFormat="1"/>
    <row r="22927" s="2" customFormat="1"/>
    <row r="22928" s="2" customFormat="1"/>
    <row r="22929" s="2" customFormat="1"/>
    <row r="22930" s="2" customFormat="1"/>
    <row r="22931" s="2" customFormat="1"/>
    <row r="22932" s="2" customFormat="1"/>
    <row r="22933" s="2" customFormat="1"/>
    <row r="22934" s="2" customFormat="1"/>
    <row r="22935" s="2" customFormat="1"/>
    <row r="22936" s="2" customFormat="1"/>
    <row r="22937" s="2" customFormat="1"/>
    <row r="22938" s="2" customFormat="1"/>
    <row r="22939" s="2" customFormat="1"/>
    <row r="22940" s="2" customFormat="1"/>
    <row r="22941" s="2" customFormat="1"/>
    <row r="22942" s="2" customFormat="1"/>
    <row r="22943" s="2" customFormat="1"/>
    <row r="22944" s="2" customFormat="1"/>
    <row r="22945" s="2" customFormat="1"/>
    <row r="22946" s="2" customFormat="1"/>
    <row r="22947" s="2" customFormat="1"/>
    <row r="22948" s="2" customFormat="1"/>
    <row r="22949" s="2" customFormat="1"/>
    <row r="22950" s="2" customFormat="1"/>
    <row r="22951" s="2" customFormat="1"/>
    <row r="22952" s="2" customFormat="1"/>
    <row r="22953" s="2" customFormat="1"/>
    <row r="22954" s="2" customFormat="1"/>
    <row r="22955" s="2" customFormat="1"/>
    <row r="22956" s="2" customFormat="1"/>
    <row r="22957" s="2" customFormat="1"/>
    <row r="22958" s="2" customFormat="1"/>
    <row r="22959" s="2" customFormat="1"/>
    <row r="22960" s="2" customFormat="1"/>
    <row r="22961" s="2" customFormat="1"/>
    <row r="22962" s="2" customFormat="1"/>
    <row r="22963" s="2" customFormat="1"/>
    <row r="22964" s="2" customFormat="1"/>
    <row r="22965" s="2" customFormat="1"/>
    <row r="22966" s="2" customFormat="1"/>
    <row r="22967" s="2" customFormat="1"/>
    <row r="22968" s="2" customFormat="1"/>
    <row r="22969" s="2" customFormat="1"/>
    <row r="22970" s="2" customFormat="1"/>
    <row r="22971" s="2" customFormat="1"/>
    <row r="22972" s="2" customFormat="1"/>
    <row r="22973" s="2" customFormat="1"/>
    <row r="22974" s="2" customFormat="1"/>
    <row r="22975" s="2" customFormat="1"/>
    <row r="22976" s="2" customFormat="1"/>
    <row r="22977" s="2" customFormat="1"/>
    <row r="22978" s="2" customFormat="1"/>
    <row r="22979" s="2" customFormat="1"/>
    <row r="22980" s="2" customFormat="1"/>
    <row r="22981" s="2" customFormat="1"/>
    <row r="22982" s="2" customFormat="1"/>
    <row r="22983" s="2" customFormat="1"/>
    <row r="22984" s="2" customFormat="1"/>
    <row r="22985" s="2" customFormat="1"/>
    <row r="22986" s="2" customFormat="1"/>
    <row r="22987" s="2" customFormat="1"/>
    <row r="22988" s="2" customFormat="1"/>
    <row r="22989" s="2" customFormat="1"/>
    <row r="22990" s="2" customFormat="1"/>
    <row r="22991" s="2" customFormat="1"/>
    <row r="22992" s="2" customFormat="1"/>
    <row r="22993" s="2" customFormat="1"/>
    <row r="22994" s="2" customFormat="1"/>
    <row r="22995" s="2" customFormat="1"/>
    <row r="22996" s="2" customFormat="1"/>
    <row r="22997" s="2" customFormat="1"/>
    <row r="22998" s="2" customFormat="1"/>
    <row r="22999" s="2" customFormat="1"/>
    <row r="23000" s="2" customFormat="1"/>
    <row r="23001" s="2" customFormat="1"/>
    <row r="23002" s="2" customFormat="1"/>
    <row r="23003" s="2" customFormat="1"/>
    <row r="23004" s="2" customFormat="1"/>
    <row r="23005" s="2" customFormat="1"/>
    <row r="23006" s="2" customFormat="1"/>
    <row r="23007" s="2" customFormat="1"/>
    <row r="23008" s="2" customFormat="1"/>
    <row r="23009" s="2" customFormat="1"/>
    <row r="23010" s="2" customFormat="1"/>
    <row r="23011" s="2" customFormat="1"/>
    <row r="23012" s="2" customFormat="1"/>
    <row r="23013" s="2" customFormat="1"/>
    <row r="23014" s="2" customFormat="1"/>
    <row r="23015" s="2" customFormat="1"/>
    <row r="23016" s="2" customFormat="1"/>
    <row r="23017" s="2" customFormat="1"/>
    <row r="23018" s="2" customFormat="1"/>
    <row r="23019" s="2" customFormat="1"/>
    <row r="23020" s="2" customFormat="1"/>
    <row r="23021" s="2" customFormat="1"/>
    <row r="23022" s="2" customFormat="1"/>
    <row r="23023" s="2" customFormat="1"/>
    <row r="23024" s="2" customFormat="1"/>
    <row r="23025" s="2" customFormat="1"/>
    <row r="23026" s="2" customFormat="1"/>
    <row r="23027" s="2" customFormat="1"/>
    <row r="23028" s="2" customFormat="1"/>
    <row r="23029" s="2" customFormat="1"/>
    <row r="23030" s="2" customFormat="1"/>
    <row r="23031" s="2" customFormat="1"/>
    <row r="23032" s="2" customFormat="1"/>
    <row r="23033" s="2" customFormat="1"/>
    <row r="23034" s="2" customFormat="1"/>
    <row r="23035" s="2" customFormat="1"/>
    <row r="23036" s="2" customFormat="1"/>
    <row r="23037" s="2" customFormat="1"/>
    <row r="23038" s="2" customFormat="1"/>
    <row r="23039" s="2" customFormat="1"/>
    <row r="23040" s="2" customFormat="1"/>
    <row r="23041" s="2" customFormat="1"/>
    <row r="23042" s="2" customFormat="1"/>
    <row r="23043" s="2" customFormat="1"/>
    <row r="23044" s="2" customFormat="1"/>
    <row r="23045" s="2" customFormat="1"/>
    <row r="23046" s="2" customFormat="1"/>
    <row r="23047" s="2" customFormat="1"/>
    <row r="23048" s="2" customFormat="1"/>
    <row r="23049" s="2" customFormat="1"/>
    <row r="23050" s="2" customFormat="1"/>
    <row r="23051" s="2" customFormat="1"/>
    <row r="23052" s="2" customFormat="1"/>
    <row r="23053" s="2" customFormat="1"/>
    <row r="23054" s="2" customFormat="1"/>
    <row r="23055" s="2" customFormat="1"/>
    <row r="23056" s="2" customFormat="1"/>
    <row r="23057" s="2" customFormat="1"/>
    <row r="23058" s="2" customFormat="1"/>
    <row r="23059" s="2" customFormat="1"/>
    <row r="23060" s="2" customFormat="1"/>
    <row r="23061" s="2" customFormat="1"/>
    <row r="23062" s="2" customFormat="1"/>
    <row r="23063" s="2" customFormat="1"/>
    <row r="23064" s="2" customFormat="1"/>
    <row r="23065" s="2" customFormat="1"/>
    <row r="23066" s="2" customFormat="1"/>
    <row r="23067" s="2" customFormat="1"/>
    <row r="23068" s="2" customFormat="1"/>
    <row r="23069" s="2" customFormat="1"/>
    <row r="23070" s="2" customFormat="1"/>
    <row r="23071" s="2" customFormat="1"/>
    <row r="23072" s="2" customFormat="1"/>
    <row r="23073" s="2" customFormat="1"/>
    <row r="23074" s="2" customFormat="1"/>
    <row r="23075" s="2" customFormat="1"/>
    <row r="23076" s="2" customFormat="1"/>
    <row r="23077" s="2" customFormat="1"/>
    <row r="23078" s="2" customFormat="1"/>
    <row r="23079" s="2" customFormat="1"/>
    <row r="23080" s="2" customFormat="1"/>
    <row r="23081" s="2" customFormat="1"/>
    <row r="23082" s="2" customFormat="1"/>
    <row r="23083" s="2" customFormat="1"/>
    <row r="23084" s="2" customFormat="1"/>
    <row r="23085" s="2" customFormat="1"/>
    <row r="23086" s="2" customFormat="1"/>
    <row r="23087" s="2" customFormat="1"/>
    <row r="23088" s="2" customFormat="1"/>
    <row r="23089" s="2" customFormat="1"/>
    <row r="23090" s="2" customFormat="1"/>
    <row r="23091" s="2" customFormat="1"/>
    <row r="23092" s="2" customFormat="1"/>
    <row r="23093" s="2" customFormat="1"/>
    <row r="23094" s="2" customFormat="1"/>
    <row r="23095" s="2" customFormat="1"/>
    <row r="23096" s="2" customFormat="1"/>
    <row r="23097" s="2" customFormat="1"/>
    <row r="23098" s="2" customFormat="1"/>
    <row r="23099" s="2" customFormat="1"/>
    <row r="23100" s="2" customFormat="1"/>
    <row r="23101" s="2" customFormat="1"/>
    <row r="23102" s="2" customFormat="1"/>
    <row r="23103" s="2" customFormat="1"/>
    <row r="23104" s="2" customFormat="1"/>
    <row r="23105" s="2" customFormat="1"/>
    <row r="23106" s="2" customFormat="1"/>
    <row r="23107" s="2" customFormat="1"/>
    <row r="23108" s="2" customFormat="1"/>
    <row r="23109" s="2" customFormat="1"/>
    <row r="23110" s="2" customFormat="1"/>
    <row r="23111" s="2" customFormat="1"/>
    <row r="23112" s="2" customFormat="1"/>
    <row r="23113" s="2" customFormat="1"/>
    <row r="23114" s="2" customFormat="1"/>
    <row r="23115" s="2" customFormat="1"/>
    <row r="23116" s="2" customFormat="1"/>
    <row r="23117" s="2" customFormat="1"/>
    <row r="23118" s="2" customFormat="1"/>
    <row r="23119" s="2" customFormat="1"/>
    <row r="23120" s="2" customFormat="1"/>
    <row r="23121" s="2" customFormat="1"/>
    <row r="23122" s="2" customFormat="1"/>
    <row r="23123" s="2" customFormat="1"/>
    <row r="23124" s="2" customFormat="1"/>
    <row r="23125" s="2" customFormat="1"/>
    <row r="23126" s="2" customFormat="1"/>
    <row r="23127" s="2" customFormat="1"/>
    <row r="23128" s="2" customFormat="1"/>
    <row r="23129" s="2" customFormat="1"/>
    <row r="23130" s="2" customFormat="1"/>
    <row r="23131" s="2" customFormat="1"/>
    <row r="23132" s="2" customFormat="1"/>
    <row r="23133" s="2" customFormat="1"/>
    <row r="23134" s="2" customFormat="1"/>
    <row r="23135" s="2" customFormat="1"/>
    <row r="23136" s="2" customFormat="1"/>
    <row r="23137" s="2" customFormat="1"/>
    <row r="23138" s="2" customFormat="1"/>
    <row r="23139" s="2" customFormat="1"/>
    <row r="23140" s="2" customFormat="1"/>
    <row r="23141" s="2" customFormat="1"/>
    <row r="23142" s="2" customFormat="1"/>
    <row r="23143" s="2" customFormat="1"/>
    <row r="23144" s="2" customFormat="1"/>
    <row r="23145" s="2" customFormat="1"/>
    <row r="23146" s="2" customFormat="1"/>
    <row r="23147" s="2" customFormat="1"/>
    <row r="23148" s="2" customFormat="1"/>
    <row r="23149" s="2" customFormat="1"/>
    <row r="23150" s="2" customFormat="1"/>
    <row r="23151" s="2" customFormat="1"/>
    <row r="23152" s="2" customFormat="1"/>
    <row r="23153" s="2" customFormat="1"/>
    <row r="23154" s="2" customFormat="1"/>
    <row r="23155" s="2" customFormat="1"/>
    <row r="23156" s="2" customFormat="1"/>
    <row r="23157" s="2" customFormat="1"/>
    <row r="23158" s="2" customFormat="1"/>
    <row r="23159" s="2" customFormat="1"/>
    <row r="23160" s="2" customFormat="1"/>
    <row r="23161" s="2" customFormat="1"/>
    <row r="23162" s="2" customFormat="1"/>
    <row r="23163" s="2" customFormat="1"/>
    <row r="23164" s="2" customFormat="1"/>
    <row r="23165" s="2" customFormat="1"/>
    <row r="23166" s="2" customFormat="1"/>
    <row r="23167" s="2" customFormat="1"/>
    <row r="23168" s="2" customFormat="1"/>
    <row r="23169" s="2" customFormat="1"/>
    <row r="23170" s="2" customFormat="1"/>
    <row r="23171" s="2" customFormat="1"/>
    <row r="23172" s="2" customFormat="1"/>
    <row r="23173" s="2" customFormat="1"/>
    <row r="23174" s="2" customFormat="1"/>
    <row r="23175" s="2" customFormat="1"/>
    <row r="23176" s="2" customFormat="1"/>
    <row r="23177" s="2" customFormat="1"/>
    <row r="23178" s="2" customFormat="1"/>
    <row r="23179" s="2" customFormat="1"/>
    <row r="23180" s="2" customFormat="1"/>
    <row r="23181" s="2" customFormat="1"/>
    <row r="23182" s="2" customFormat="1"/>
    <row r="23183" s="2" customFormat="1"/>
    <row r="23184" s="2" customFormat="1"/>
    <row r="23185" s="2" customFormat="1"/>
    <row r="23186" s="2" customFormat="1"/>
    <row r="23187" s="2" customFormat="1"/>
    <row r="23188" s="2" customFormat="1"/>
    <row r="23189" s="2" customFormat="1"/>
    <row r="23190" s="2" customFormat="1"/>
    <row r="23191" s="2" customFormat="1"/>
    <row r="23192" s="2" customFormat="1"/>
    <row r="23193" s="2" customFormat="1"/>
    <row r="23194" s="2" customFormat="1"/>
    <row r="23195" s="2" customFormat="1"/>
    <row r="23196" s="2" customFormat="1"/>
    <row r="23197" s="2" customFormat="1"/>
    <row r="23198" s="2" customFormat="1"/>
    <row r="23199" s="2" customFormat="1"/>
    <row r="23200" s="2" customFormat="1"/>
    <row r="23201" s="2" customFormat="1"/>
    <row r="23202" s="2" customFormat="1"/>
    <row r="23203" s="2" customFormat="1"/>
    <row r="23204" s="2" customFormat="1"/>
    <row r="23205" s="2" customFormat="1"/>
    <row r="23206" s="2" customFormat="1"/>
    <row r="23207" s="2" customFormat="1"/>
    <row r="23208" s="2" customFormat="1"/>
    <row r="23209" s="2" customFormat="1"/>
    <row r="23210" s="2" customFormat="1"/>
    <row r="23211" s="2" customFormat="1"/>
    <row r="23212" s="2" customFormat="1"/>
    <row r="23213" s="2" customFormat="1"/>
    <row r="23214" s="2" customFormat="1"/>
    <row r="23215" s="2" customFormat="1"/>
    <row r="23216" s="2" customFormat="1"/>
    <row r="23217" s="2" customFormat="1"/>
    <row r="23218" s="2" customFormat="1"/>
    <row r="23219" s="2" customFormat="1"/>
    <row r="23220" s="2" customFormat="1"/>
    <row r="23221" s="2" customFormat="1"/>
    <row r="23222" s="2" customFormat="1"/>
    <row r="23223" s="2" customFormat="1"/>
    <row r="23224" s="2" customFormat="1"/>
    <row r="23225" s="2" customFormat="1"/>
    <row r="23226" s="2" customFormat="1"/>
    <row r="23227" s="2" customFormat="1"/>
    <row r="23228" s="2" customFormat="1"/>
    <row r="23229" s="2" customFormat="1"/>
    <row r="23230" s="2" customFormat="1"/>
    <row r="23231" s="2" customFormat="1"/>
    <row r="23232" s="2" customFormat="1"/>
    <row r="23233" s="2" customFormat="1"/>
    <row r="23234" s="2" customFormat="1"/>
    <row r="23235" s="2" customFormat="1"/>
    <row r="23236" s="2" customFormat="1"/>
    <row r="23237" s="2" customFormat="1"/>
    <row r="23238" s="2" customFormat="1"/>
    <row r="23239" s="2" customFormat="1"/>
    <row r="23240" s="2" customFormat="1"/>
    <row r="23241" s="2" customFormat="1"/>
    <row r="23242" s="2" customFormat="1"/>
    <row r="23243" s="2" customFormat="1"/>
    <row r="23244" s="2" customFormat="1"/>
    <row r="23245" s="2" customFormat="1"/>
    <row r="23246" s="2" customFormat="1"/>
    <row r="23247" s="2" customFormat="1"/>
    <row r="23248" s="2" customFormat="1"/>
    <row r="23249" s="2" customFormat="1"/>
    <row r="23250" s="2" customFormat="1"/>
    <row r="23251" s="2" customFormat="1"/>
    <row r="23252" s="2" customFormat="1"/>
    <row r="23253" s="2" customFormat="1"/>
    <row r="23254" s="2" customFormat="1"/>
    <row r="23255" s="2" customFormat="1"/>
    <row r="23256" s="2" customFormat="1"/>
    <row r="23257" s="2" customFormat="1"/>
    <row r="23258" s="2" customFormat="1"/>
    <row r="23259" s="2" customFormat="1"/>
    <row r="23260" s="2" customFormat="1"/>
    <row r="23261" s="2" customFormat="1"/>
    <row r="23262" s="2" customFormat="1"/>
    <row r="23263" s="2" customFormat="1"/>
    <row r="23264" s="2" customFormat="1"/>
    <row r="23265" s="2" customFormat="1"/>
    <row r="23266" s="2" customFormat="1"/>
    <row r="23267" s="2" customFormat="1"/>
    <row r="23268" s="2" customFormat="1"/>
    <row r="23269" s="2" customFormat="1"/>
    <row r="23270" s="2" customFormat="1"/>
    <row r="23271" s="2" customFormat="1"/>
    <row r="23272" s="2" customFormat="1"/>
    <row r="23273" s="2" customFormat="1"/>
    <row r="23274" s="2" customFormat="1"/>
    <row r="23275" s="2" customFormat="1"/>
    <row r="23276" s="2" customFormat="1"/>
    <row r="23277" s="2" customFormat="1"/>
    <row r="23278" s="2" customFormat="1"/>
    <row r="23279" s="2" customFormat="1"/>
    <row r="23280" s="2" customFormat="1"/>
    <row r="23281" s="2" customFormat="1"/>
    <row r="23282" s="2" customFormat="1"/>
    <row r="23283" s="2" customFormat="1"/>
    <row r="23284" s="2" customFormat="1"/>
    <row r="23285" s="2" customFormat="1"/>
    <row r="23286" s="2" customFormat="1"/>
    <row r="23287" s="2" customFormat="1"/>
    <row r="23288" s="2" customFormat="1"/>
    <row r="23289" s="2" customFormat="1"/>
    <row r="23290" s="2" customFormat="1"/>
    <row r="23291" s="2" customFormat="1"/>
    <row r="23292" s="2" customFormat="1"/>
    <row r="23293" s="2" customFormat="1"/>
    <row r="23294" s="2" customFormat="1"/>
    <row r="23295" s="2" customFormat="1"/>
    <row r="23296" s="2" customFormat="1"/>
    <row r="23297" s="2" customFormat="1"/>
    <row r="23298" s="2" customFormat="1"/>
    <row r="23299" s="2" customFormat="1"/>
    <row r="23300" s="2" customFormat="1"/>
    <row r="23301" s="2" customFormat="1"/>
    <row r="23302" s="2" customFormat="1"/>
    <row r="23303" s="2" customFormat="1"/>
    <row r="23304" s="2" customFormat="1"/>
    <row r="23305" s="2" customFormat="1"/>
    <row r="23306" s="2" customFormat="1"/>
    <row r="23307" s="2" customFormat="1"/>
    <row r="23308" s="2" customFormat="1"/>
    <row r="23309" s="2" customFormat="1"/>
    <row r="23310" s="2" customFormat="1"/>
    <row r="23311" s="2" customFormat="1"/>
    <row r="23312" s="2" customFormat="1"/>
    <row r="23313" s="2" customFormat="1"/>
    <row r="23314" s="2" customFormat="1"/>
    <row r="23315" s="2" customFormat="1"/>
    <row r="23316" s="2" customFormat="1"/>
    <row r="23317" s="2" customFormat="1"/>
    <row r="23318" s="2" customFormat="1"/>
    <row r="23319" s="2" customFormat="1"/>
    <row r="23320" s="2" customFormat="1"/>
    <row r="23321" s="2" customFormat="1"/>
    <row r="23322" s="2" customFormat="1"/>
    <row r="23323" s="2" customFormat="1"/>
    <row r="23324" s="2" customFormat="1"/>
    <row r="23325" s="2" customFormat="1"/>
    <row r="23326" s="2" customFormat="1"/>
    <row r="23327" s="2" customFormat="1"/>
    <row r="23328" s="2" customFormat="1"/>
    <row r="23329" s="2" customFormat="1"/>
    <row r="23330" s="2" customFormat="1"/>
    <row r="23331" s="2" customFormat="1"/>
    <row r="23332" s="2" customFormat="1"/>
    <row r="23333" s="2" customFormat="1"/>
    <row r="23334" s="2" customFormat="1"/>
    <row r="23335" s="2" customFormat="1"/>
    <row r="23336" s="2" customFormat="1"/>
    <row r="23337" s="2" customFormat="1"/>
    <row r="23338" s="2" customFormat="1"/>
    <row r="23339" s="2" customFormat="1"/>
    <row r="23340" s="2" customFormat="1"/>
    <row r="23341" s="2" customFormat="1"/>
    <row r="23342" s="2" customFormat="1"/>
    <row r="23343" s="2" customFormat="1"/>
    <row r="23344" s="2" customFormat="1"/>
    <row r="23345" s="2" customFormat="1"/>
    <row r="23346" s="2" customFormat="1"/>
    <row r="23347" s="2" customFormat="1"/>
    <row r="23348" s="2" customFormat="1"/>
    <row r="23349" s="2" customFormat="1"/>
    <row r="23350" s="2" customFormat="1"/>
    <row r="23351" s="2" customFormat="1"/>
    <row r="23352" s="2" customFormat="1"/>
    <row r="23353" s="2" customFormat="1"/>
    <row r="23354" s="2" customFormat="1"/>
    <row r="23355" s="2" customFormat="1"/>
    <row r="23356" s="2" customFormat="1"/>
    <row r="23357" s="2" customFormat="1"/>
    <row r="23358" s="2" customFormat="1"/>
    <row r="23359" s="2" customFormat="1"/>
    <row r="23360" s="2" customFormat="1"/>
    <row r="23361" s="2" customFormat="1"/>
    <row r="23362" s="2" customFormat="1"/>
    <row r="23363" s="2" customFormat="1"/>
    <row r="23364" s="2" customFormat="1"/>
    <row r="23365" s="2" customFormat="1"/>
    <row r="23366" s="2" customFormat="1"/>
    <row r="23367" s="2" customFormat="1"/>
    <row r="23368" s="2" customFormat="1"/>
    <row r="23369" s="2" customFormat="1"/>
    <row r="23370" s="2" customFormat="1"/>
    <row r="23371" s="2" customFormat="1"/>
    <row r="23372" s="2" customFormat="1"/>
    <row r="23373" s="2" customFormat="1"/>
    <row r="23374" s="2" customFormat="1"/>
    <row r="23375" s="2" customFormat="1"/>
    <row r="23376" s="2" customFormat="1"/>
    <row r="23377" s="2" customFormat="1"/>
    <row r="23378" s="2" customFormat="1"/>
    <row r="23379" s="2" customFormat="1"/>
    <row r="23380" s="2" customFormat="1"/>
    <row r="23381" s="2" customFormat="1"/>
    <row r="23382" s="2" customFormat="1"/>
    <row r="23383" s="2" customFormat="1"/>
    <row r="23384" s="2" customFormat="1"/>
    <row r="23385" s="2" customFormat="1"/>
    <row r="23386" s="2" customFormat="1"/>
    <row r="23387" s="2" customFormat="1"/>
    <row r="23388" s="2" customFormat="1"/>
    <row r="23389" s="2" customFormat="1"/>
    <row r="23390" s="2" customFormat="1"/>
    <row r="23391" s="2" customFormat="1"/>
    <row r="23392" s="2" customFormat="1"/>
    <row r="23393" s="2" customFormat="1"/>
    <row r="23394" s="2" customFormat="1"/>
    <row r="23395" s="2" customFormat="1"/>
    <row r="23396" s="2" customFormat="1"/>
    <row r="23397" s="2" customFormat="1"/>
    <row r="23398" s="2" customFormat="1"/>
    <row r="23399" s="2" customFormat="1"/>
    <row r="23400" s="2" customFormat="1"/>
    <row r="23401" s="2" customFormat="1"/>
    <row r="23402" s="2" customFormat="1"/>
    <row r="23403" s="2" customFormat="1"/>
    <row r="23404" s="2" customFormat="1"/>
    <row r="23405" s="2" customFormat="1"/>
    <row r="23406" s="2" customFormat="1"/>
    <row r="23407" s="2" customFormat="1"/>
    <row r="23408" s="2" customFormat="1"/>
    <row r="23409" s="2" customFormat="1"/>
    <row r="23410" s="2" customFormat="1"/>
    <row r="23411" s="2" customFormat="1"/>
    <row r="23412" s="2" customFormat="1"/>
    <row r="23413" s="2" customFormat="1"/>
    <row r="23414" s="2" customFormat="1"/>
    <row r="23415" s="2" customFormat="1"/>
    <row r="23416" s="2" customFormat="1"/>
    <row r="23417" s="2" customFormat="1"/>
    <row r="23418" s="2" customFormat="1"/>
    <row r="23419" s="2" customFormat="1"/>
    <row r="23420" s="2" customFormat="1"/>
    <row r="23421" s="2" customFormat="1"/>
    <row r="23422" s="2" customFormat="1"/>
    <row r="23423" s="2" customFormat="1"/>
    <row r="23424" s="2" customFormat="1"/>
    <row r="23425" s="2" customFormat="1"/>
    <row r="23426" s="2" customFormat="1"/>
    <row r="23427" s="2" customFormat="1"/>
    <row r="23428" s="2" customFormat="1"/>
    <row r="23429" s="2" customFormat="1"/>
    <row r="23430" s="2" customFormat="1"/>
    <row r="23431" s="2" customFormat="1"/>
    <row r="23432" s="2" customFormat="1"/>
    <row r="23433" s="2" customFormat="1"/>
    <row r="23434" s="2" customFormat="1"/>
    <row r="23435" s="2" customFormat="1"/>
    <row r="23436" s="2" customFormat="1"/>
    <row r="23437" s="2" customFormat="1"/>
    <row r="23438" s="2" customFormat="1"/>
    <row r="23439" s="2" customFormat="1"/>
    <row r="23440" s="2" customFormat="1"/>
    <row r="23441" s="2" customFormat="1"/>
    <row r="23442" s="2" customFormat="1"/>
    <row r="23443" s="2" customFormat="1"/>
    <row r="23444" s="2" customFormat="1"/>
    <row r="23445" s="2" customFormat="1"/>
    <row r="23446" s="2" customFormat="1"/>
    <row r="23447" s="2" customFormat="1"/>
    <row r="23448" s="2" customFormat="1"/>
    <row r="23449" s="2" customFormat="1"/>
    <row r="23450" s="2" customFormat="1"/>
    <row r="23451" s="2" customFormat="1"/>
    <row r="23452" s="2" customFormat="1"/>
    <row r="23453" s="2" customFormat="1"/>
    <row r="23454" s="2" customFormat="1"/>
    <row r="23455" s="2" customFormat="1"/>
    <row r="23456" s="2" customFormat="1"/>
    <row r="23457" s="2" customFormat="1"/>
    <row r="23458" s="2" customFormat="1"/>
    <row r="23459" s="2" customFormat="1"/>
    <row r="23460" s="2" customFormat="1"/>
    <row r="23461" s="2" customFormat="1"/>
    <row r="23462" s="2" customFormat="1"/>
    <row r="23463" s="2" customFormat="1"/>
    <row r="23464" s="2" customFormat="1"/>
    <row r="23465" s="2" customFormat="1"/>
    <row r="23466" s="2" customFormat="1"/>
    <row r="23467" s="2" customFormat="1"/>
    <row r="23468" s="2" customFormat="1"/>
    <row r="23469" s="2" customFormat="1"/>
    <row r="23470" s="2" customFormat="1"/>
    <row r="23471" s="2" customFormat="1"/>
    <row r="23472" s="2" customFormat="1"/>
    <row r="23473" s="2" customFormat="1"/>
    <row r="23474" s="2" customFormat="1"/>
    <row r="23475" s="2" customFormat="1"/>
    <row r="23476" s="2" customFormat="1"/>
    <row r="23477" s="2" customFormat="1"/>
    <row r="23478" s="2" customFormat="1"/>
    <row r="23479" s="2" customFormat="1"/>
    <row r="23480" s="2" customFormat="1"/>
    <row r="23481" s="2" customFormat="1"/>
    <row r="23482" s="2" customFormat="1"/>
    <row r="23483" s="2" customFormat="1"/>
    <row r="23484" s="2" customFormat="1"/>
    <row r="23485" s="2" customFormat="1"/>
    <row r="23486" s="2" customFormat="1"/>
    <row r="23487" s="2" customFormat="1"/>
    <row r="23488" s="2" customFormat="1"/>
    <row r="23489" s="2" customFormat="1"/>
    <row r="23490" s="2" customFormat="1"/>
    <row r="23491" s="2" customFormat="1"/>
    <row r="23492" s="2" customFormat="1"/>
    <row r="23493" s="2" customFormat="1"/>
    <row r="23494" s="2" customFormat="1"/>
    <row r="23495" s="2" customFormat="1"/>
    <row r="23496" s="2" customFormat="1"/>
    <row r="23497" s="2" customFormat="1"/>
    <row r="23498" s="2" customFormat="1"/>
    <row r="23499" s="2" customFormat="1"/>
    <row r="23500" s="2" customFormat="1"/>
    <row r="23501" s="2" customFormat="1"/>
    <row r="23502" s="2" customFormat="1"/>
    <row r="23503" s="2" customFormat="1"/>
    <row r="23504" s="2" customFormat="1"/>
    <row r="23505" s="2" customFormat="1"/>
    <row r="23506" s="2" customFormat="1"/>
    <row r="23507" s="2" customFormat="1"/>
    <row r="23508" s="2" customFormat="1"/>
    <row r="23509" s="2" customFormat="1"/>
    <row r="23510" s="2" customFormat="1"/>
    <row r="23511" s="2" customFormat="1"/>
    <row r="23512" s="2" customFormat="1"/>
    <row r="23513" s="2" customFormat="1"/>
    <row r="23514" s="2" customFormat="1"/>
    <row r="23515" s="2" customFormat="1"/>
    <row r="23516" s="2" customFormat="1"/>
    <row r="23517" s="2" customFormat="1"/>
    <row r="23518" s="2" customFormat="1"/>
    <row r="23519" s="2" customFormat="1"/>
    <row r="23520" s="2" customFormat="1"/>
    <row r="23521" s="2" customFormat="1"/>
    <row r="23522" s="2" customFormat="1"/>
    <row r="23523" s="2" customFormat="1"/>
    <row r="23524" s="2" customFormat="1"/>
    <row r="23525" s="2" customFormat="1"/>
    <row r="23526" s="2" customFormat="1"/>
    <row r="23527" s="2" customFormat="1"/>
    <row r="23528" s="2" customFormat="1"/>
    <row r="23529" s="2" customFormat="1"/>
    <row r="23530" s="2" customFormat="1"/>
    <row r="23531" s="2" customFormat="1"/>
    <row r="23532" s="2" customFormat="1"/>
    <row r="23533" s="2" customFormat="1"/>
    <row r="23534" s="2" customFormat="1"/>
    <row r="23535" s="2" customFormat="1"/>
    <row r="23536" s="2" customFormat="1"/>
    <row r="23537" s="2" customFormat="1"/>
    <row r="23538" s="2" customFormat="1"/>
    <row r="23539" s="2" customFormat="1"/>
    <row r="23540" s="2" customFormat="1"/>
    <row r="23541" s="2" customFormat="1"/>
    <row r="23542" s="2" customFormat="1"/>
    <row r="23543" s="2" customFormat="1"/>
    <row r="23544" s="2" customFormat="1"/>
    <row r="23545" s="2" customFormat="1"/>
    <row r="23546" s="2" customFormat="1"/>
    <row r="23547" s="2" customFormat="1"/>
    <row r="23548" s="2" customFormat="1"/>
    <row r="23549" s="2" customFormat="1"/>
    <row r="23550" s="2" customFormat="1"/>
    <row r="23551" s="2" customFormat="1"/>
    <row r="23552" s="2" customFormat="1"/>
    <row r="23553" s="2" customFormat="1"/>
    <row r="23554" s="2" customFormat="1"/>
    <row r="23555" s="2" customFormat="1"/>
    <row r="23556" s="2" customFormat="1"/>
    <row r="23557" s="2" customFormat="1"/>
    <row r="23558" s="2" customFormat="1"/>
    <row r="23559" s="2" customFormat="1"/>
    <row r="23560" s="2" customFormat="1"/>
    <row r="23561" s="2" customFormat="1"/>
    <row r="23562" s="2" customFormat="1"/>
    <row r="23563" s="2" customFormat="1"/>
    <row r="23564" s="2" customFormat="1"/>
    <row r="23565" s="2" customFormat="1"/>
    <row r="23566" s="2" customFormat="1"/>
    <row r="23567" s="2" customFormat="1"/>
    <row r="23568" s="2" customFormat="1"/>
    <row r="23569" s="2" customFormat="1"/>
    <row r="23570" s="2" customFormat="1"/>
    <row r="23571" s="2" customFormat="1"/>
    <row r="23572" s="2" customFormat="1"/>
    <row r="23573" s="2" customFormat="1"/>
    <row r="23574" s="2" customFormat="1"/>
    <row r="23575" s="2" customFormat="1"/>
    <row r="23576" s="2" customFormat="1"/>
    <row r="23577" s="2" customFormat="1"/>
    <row r="23578" s="2" customFormat="1"/>
    <row r="23579" s="2" customFormat="1"/>
    <row r="23580" s="2" customFormat="1"/>
    <row r="23581" s="2" customFormat="1"/>
    <row r="23582" s="2" customFormat="1"/>
    <row r="23583" s="2" customFormat="1"/>
    <row r="23584" s="2" customFormat="1"/>
    <row r="23585" s="2" customFormat="1"/>
    <row r="23586" s="2" customFormat="1"/>
    <row r="23587" s="2" customFormat="1"/>
    <row r="23588" s="2" customFormat="1"/>
    <row r="23589" s="2" customFormat="1"/>
    <row r="23590" s="2" customFormat="1"/>
    <row r="23591" s="2" customFormat="1"/>
    <row r="23592" s="2" customFormat="1"/>
    <row r="23593" s="2" customFormat="1"/>
    <row r="23594" s="2" customFormat="1"/>
    <row r="23595" s="2" customFormat="1"/>
    <row r="23596" s="2" customFormat="1"/>
    <row r="23597" s="2" customFormat="1"/>
    <row r="23598" s="2" customFormat="1"/>
    <row r="23599" s="2" customFormat="1"/>
    <row r="23600" s="2" customFormat="1"/>
    <row r="23601" s="2" customFormat="1"/>
    <row r="23602" s="2" customFormat="1"/>
    <row r="23603" s="2" customFormat="1"/>
    <row r="23604" s="2" customFormat="1"/>
    <row r="23605" s="2" customFormat="1"/>
    <row r="23606" s="2" customFormat="1"/>
    <row r="23607" s="2" customFormat="1"/>
    <row r="23608" s="2" customFormat="1"/>
    <row r="23609" s="2" customFormat="1"/>
    <row r="23610" s="2" customFormat="1"/>
    <row r="23611" s="2" customFormat="1"/>
    <row r="23612" s="2" customFormat="1"/>
    <row r="23613" s="2" customFormat="1"/>
    <row r="23614" s="2" customFormat="1"/>
    <row r="23615" s="2" customFormat="1"/>
    <row r="23616" s="2" customFormat="1"/>
    <row r="23617" s="2" customFormat="1"/>
    <row r="23618" s="2" customFormat="1"/>
    <row r="23619" s="2" customFormat="1"/>
    <row r="23620" s="2" customFormat="1"/>
    <row r="23621" s="2" customFormat="1"/>
    <row r="23622" s="2" customFormat="1"/>
    <row r="23623" s="2" customFormat="1"/>
    <row r="23624" s="2" customFormat="1"/>
    <row r="23625" s="2" customFormat="1"/>
    <row r="23626" s="2" customFormat="1"/>
    <row r="23627" s="2" customFormat="1"/>
    <row r="23628" s="2" customFormat="1"/>
    <row r="23629" s="2" customFormat="1"/>
    <row r="23630" s="2" customFormat="1"/>
    <row r="23631" s="2" customFormat="1"/>
    <row r="23632" s="2" customFormat="1"/>
    <row r="23633" s="2" customFormat="1"/>
    <row r="23634" s="2" customFormat="1"/>
    <row r="23635" s="2" customFormat="1"/>
    <row r="23636" s="2" customFormat="1"/>
    <row r="23637" s="2" customFormat="1"/>
    <row r="23638" s="2" customFormat="1"/>
    <row r="23639" s="2" customFormat="1"/>
    <row r="23640" s="2" customFormat="1"/>
    <row r="23641" s="2" customFormat="1"/>
    <row r="23642" s="2" customFormat="1"/>
    <row r="23643" s="2" customFormat="1"/>
    <row r="23644" s="2" customFormat="1"/>
    <row r="23645" s="2" customFormat="1"/>
    <row r="23646" s="2" customFormat="1"/>
    <row r="23647" s="2" customFormat="1"/>
    <row r="23648" s="2" customFormat="1"/>
    <row r="23649" s="2" customFormat="1"/>
    <row r="23650" s="2" customFormat="1"/>
    <row r="23651" s="2" customFormat="1"/>
    <row r="23652" s="2" customFormat="1"/>
    <row r="23653" s="2" customFormat="1"/>
    <row r="23654" s="2" customFormat="1"/>
    <row r="23655" s="2" customFormat="1"/>
    <row r="23656" s="2" customFormat="1"/>
    <row r="23657" s="2" customFormat="1"/>
    <row r="23658" s="2" customFormat="1"/>
    <row r="23659" s="2" customFormat="1"/>
    <row r="23660" s="2" customFormat="1"/>
    <row r="23661" s="2" customFormat="1"/>
    <row r="23662" s="2" customFormat="1"/>
    <row r="23663" s="2" customFormat="1"/>
    <row r="23664" s="2" customFormat="1"/>
    <row r="23665" s="2" customFormat="1"/>
    <row r="23666" s="2" customFormat="1"/>
    <row r="23667" s="2" customFormat="1"/>
    <row r="23668" s="2" customFormat="1"/>
    <row r="23669" s="2" customFormat="1"/>
    <row r="23670" s="2" customFormat="1"/>
    <row r="23671" s="2" customFormat="1"/>
    <row r="23672" s="2" customFormat="1"/>
    <row r="23673" s="2" customFormat="1"/>
    <row r="23674" s="2" customFormat="1"/>
    <row r="23675" s="2" customFormat="1"/>
    <row r="23676" s="2" customFormat="1"/>
    <row r="23677" s="2" customFormat="1"/>
    <row r="23678" s="2" customFormat="1"/>
    <row r="23679" s="2" customFormat="1"/>
    <row r="23680" s="2" customFormat="1"/>
    <row r="23681" s="2" customFormat="1"/>
    <row r="23682" s="2" customFormat="1"/>
    <row r="23683" s="2" customFormat="1"/>
    <row r="23684" s="2" customFormat="1"/>
    <row r="23685" s="2" customFormat="1"/>
    <row r="23686" s="2" customFormat="1"/>
    <row r="23687" s="2" customFormat="1"/>
    <row r="23688" s="2" customFormat="1"/>
    <row r="23689" s="2" customFormat="1"/>
    <row r="23690" s="2" customFormat="1"/>
    <row r="23691" s="2" customFormat="1"/>
    <row r="23692" s="2" customFormat="1"/>
    <row r="23693" s="2" customFormat="1"/>
    <row r="23694" s="2" customFormat="1"/>
    <row r="23695" s="2" customFormat="1"/>
    <row r="23696" s="2" customFormat="1"/>
    <row r="23697" s="2" customFormat="1"/>
    <row r="23698" s="2" customFormat="1"/>
    <row r="23699" s="2" customFormat="1"/>
    <row r="23700" s="2" customFormat="1"/>
    <row r="23701" s="2" customFormat="1"/>
    <row r="23702" s="2" customFormat="1"/>
    <row r="23703" s="2" customFormat="1"/>
    <row r="23704" s="2" customFormat="1"/>
    <row r="23705" s="2" customFormat="1"/>
    <row r="23706" s="2" customFormat="1"/>
    <row r="23707" s="2" customFormat="1"/>
    <row r="23708" s="2" customFormat="1"/>
    <row r="23709" s="2" customFormat="1"/>
    <row r="23710" s="2" customFormat="1"/>
    <row r="23711" s="2" customFormat="1"/>
    <row r="23712" s="2" customFormat="1"/>
    <row r="23713" s="2" customFormat="1"/>
    <row r="23714" s="2" customFormat="1"/>
    <row r="23715" s="2" customFormat="1"/>
    <row r="23716" s="2" customFormat="1"/>
    <row r="23717" s="2" customFormat="1"/>
    <row r="23718" s="2" customFormat="1"/>
    <row r="23719" s="2" customFormat="1"/>
    <row r="23720" s="2" customFormat="1"/>
    <row r="23721" s="2" customFormat="1"/>
    <row r="23722" s="2" customFormat="1"/>
    <row r="23723" s="2" customFormat="1"/>
    <row r="23724" s="2" customFormat="1"/>
    <row r="23725" s="2" customFormat="1"/>
    <row r="23726" s="2" customFormat="1"/>
    <row r="23727" s="2" customFormat="1"/>
    <row r="23728" s="2" customFormat="1"/>
    <row r="23729" s="2" customFormat="1"/>
    <row r="23730" s="2" customFormat="1"/>
    <row r="23731" s="2" customFormat="1"/>
    <row r="23732" s="2" customFormat="1"/>
    <row r="23733" s="2" customFormat="1"/>
    <row r="23734" s="2" customFormat="1"/>
    <row r="23735" s="2" customFormat="1"/>
    <row r="23736" s="2" customFormat="1"/>
    <row r="23737" s="2" customFormat="1"/>
    <row r="23738" s="2" customFormat="1"/>
    <row r="23739" s="2" customFormat="1"/>
    <row r="23740" s="2" customFormat="1"/>
    <row r="23741" s="2" customFormat="1"/>
    <row r="23742" s="2" customFormat="1"/>
    <row r="23743" s="2" customFormat="1"/>
    <row r="23744" s="2" customFormat="1"/>
    <row r="23745" s="2" customFormat="1"/>
    <row r="23746" s="2" customFormat="1"/>
    <row r="23747" s="2" customFormat="1"/>
    <row r="23748" s="2" customFormat="1"/>
    <row r="23749" s="2" customFormat="1"/>
    <row r="23750" s="2" customFormat="1"/>
    <row r="23751" s="2" customFormat="1"/>
    <row r="23752" s="2" customFormat="1"/>
    <row r="23753" s="2" customFormat="1"/>
    <row r="23754" s="2" customFormat="1"/>
    <row r="23755" s="2" customFormat="1"/>
    <row r="23756" s="2" customFormat="1"/>
    <row r="23757" s="2" customFormat="1"/>
    <row r="23758" s="2" customFormat="1"/>
    <row r="23759" s="2" customFormat="1"/>
    <row r="23760" s="2" customFormat="1"/>
    <row r="23761" s="2" customFormat="1"/>
    <row r="23762" s="2" customFormat="1"/>
    <row r="23763" s="2" customFormat="1"/>
    <row r="23764" s="2" customFormat="1"/>
    <row r="23765" s="2" customFormat="1"/>
    <row r="23766" s="2" customFormat="1"/>
    <row r="23767" s="2" customFormat="1"/>
    <row r="23768" s="2" customFormat="1"/>
    <row r="23769" s="2" customFormat="1"/>
    <row r="23770" s="2" customFormat="1"/>
    <row r="23771" s="2" customFormat="1"/>
    <row r="23772" s="2" customFormat="1"/>
    <row r="23773" s="2" customFormat="1"/>
    <row r="23774" s="2" customFormat="1"/>
    <row r="23775" s="2" customFormat="1"/>
    <row r="23776" s="2" customFormat="1"/>
    <row r="23777" s="2" customFormat="1"/>
    <row r="23778" s="2" customFormat="1"/>
    <row r="23779" s="2" customFormat="1"/>
    <row r="23780" s="2" customFormat="1"/>
    <row r="23781" s="2" customFormat="1"/>
    <row r="23782" s="2" customFormat="1"/>
    <row r="23783" s="2" customFormat="1"/>
    <row r="23784" s="2" customFormat="1"/>
    <row r="23785" s="2" customFormat="1"/>
    <row r="23786" s="2" customFormat="1"/>
    <row r="23787" s="2" customFormat="1"/>
    <row r="23788" s="2" customFormat="1"/>
    <row r="23789" s="2" customFormat="1"/>
    <row r="23790" s="2" customFormat="1"/>
    <row r="23791" s="2" customFormat="1"/>
    <row r="23792" s="2" customFormat="1"/>
    <row r="23793" s="2" customFormat="1"/>
    <row r="23794" s="2" customFormat="1"/>
    <row r="23795" s="2" customFormat="1"/>
    <row r="23796" s="2" customFormat="1"/>
    <row r="23797" s="2" customFormat="1"/>
    <row r="23798" s="2" customFormat="1"/>
    <row r="23799" s="2" customFormat="1"/>
    <row r="23800" s="2" customFormat="1"/>
    <row r="23801" s="2" customFormat="1"/>
    <row r="23802" s="2" customFormat="1"/>
    <row r="23803" s="2" customFormat="1"/>
    <row r="23804" s="2" customFormat="1"/>
    <row r="23805" s="2" customFormat="1"/>
    <row r="23806" s="2" customFormat="1"/>
    <row r="23807" s="2" customFormat="1"/>
    <row r="23808" s="2" customFormat="1"/>
    <row r="23809" s="2" customFormat="1"/>
    <row r="23810" s="2" customFormat="1"/>
    <row r="23811" s="2" customFormat="1"/>
    <row r="23812" s="2" customFormat="1"/>
    <row r="23813" s="2" customFormat="1"/>
    <row r="23814" s="2" customFormat="1"/>
    <row r="23815" s="2" customFormat="1"/>
    <row r="23816" s="2" customFormat="1"/>
    <row r="23817" s="2" customFormat="1"/>
    <row r="23818" s="2" customFormat="1"/>
    <row r="23819" s="2" customFormat="1"/>
    <row r="23820" s="2" customFormat="1"/>
    <row r="23821" s="2" customFormat="1"/>
    <row r="23822" s="2" customFormat="1"/>
    <row r="23823" s="2" customFormat="1"/>
    <row r="23824" s="2" customFormat="1"/>
    <row r="23825" s="2" customFormat="1"/>
    <row r="23826" s="2" customFormat="1"/>
    <row r="23827" s="2" customFormat="1"/>
    <row r="23828" s="2" customFormat="1"/>
    <row r="23829" s="2" customFormat="1"/>
    <row r="23830" s="2" customFormat="1"/>
    <row r="23831" s="2" customFormat="1"/>
    <row r="23832" s="2" customFormat="1"/>
    <row r="23833" s="2" customFormat="1"/>
    <row r="23834" s="2" customFormat="1"/>
    <row r="23835" s="2" customFormat="1"/>
    <row r="23836" s="2" customFormat="1"/>
    <row r="23837" s="2" customFormat="1"/>
    <row r="23838" s="2" customFormat="1"/>
    <row r="23839" s="2" customFormat="1"/>
    <row r="23840" s="2" customFormat="1"/>
    <row r="23841" s="2" customFormat="1"/>
    <row r="23842" s="2" customFormat="1"/>
    <row r="23843" s="2" customFormat="1"/>
    <row r="23844" s="2" customFormat="1"/>
    <row r="23845" s="2" customFormat="1"/>
    <row r="23846" s="2" customFormat="1"/>
    <row r="23847" s="2" customFormat="1"/>
    <row r="23848" s="2" customFormat="1"/>
    <row r="23849" s="2" customFormat="1"/>
    <row r="23850" s="2" customFormat="1"/>
    <row r="23851" s="2" customFormat="1"/>
    <row r="23852" s="2" customFormat="1"/>
    <row r="23853" s="2" customFormat="1"/>
    <row r="23854" s="2" customFormat="1"/>
    <row r="23855" s="2" customFormat="1"/>
    <row r="23856" s="2" customFormat="1"/>
    <row r="23857" s="2" customFormat="1"/>
    <row r="23858" s="2" customFormat="1"/>
    <row r="23859" s="2" customFormat="1"/>
    <row r="23860" s="2" customFormat="1"/>
    <row r="23861" s="2" customFormat="1"/>
    <row r="23862" s="2" customFormat="1"/>
    <row r="23863" s="2" customFormat="1"/>
    <row r="23864" s="2" customFormat="1"/>
    <row r="23865" s="2" customFormat="1"/>
    <row r="23866" s="2" customFormat="1"/>
    <row r="23867" s="2" customFormat="1"/>
    <row r="23868" s="2" customFormat="1"/>
    <row r="23869" s="2" customFormat="1"/>
    <row r="23870" s="2" customFormat="1"/>
    <row r="23871" s="2" customFormat="1"/>
    <row r="23872" s="2" customFormat="1"/>
    <row r="23873" s="2" customFormat="1"/>
    <row r="23874" s="2" customFormat="1"/>
    <row r="23875" s="2" customFormat="1"/>
    <row r="23876" s="2" customFormat="1"/>
    <row r="23877" s="2" customFormat="1"/>
    <row r="23878" s="2" customFormat="1"/>
    <row r="23879" s="2" customFormat="1"/>
    <row r="23880" s="2" customFormat="1"/>
    <row r="23881" s="2" customFormat="1"/>
    <row r="23882" s="2" customFormat="1"/>
    <row r="23883" s="2" customFormat="1"/>
    <row r="23884" s="2" customFormat="1"/>
    <row r="23885" s="2" customFormat="1"/>
    <row r="23886" s="2" customFormat="1"/>
    <row r="23887" s="2" customFormat="1"/>
    <row r="23888" s="2" customFormat="1"/>
    <row r="23889" s="2" customFormat="1"/>
    <row r="23890" s="2" customFormat="1"/>
    <row r="23891" s="2" customFormat="1"/>
    <row r="23892" s="2" customFormat="1"/>
    <row r="23893" s="2" customFormat="1"/>
    <row r="23894" s="2" customFormat="1"/>
    <row r="23895" s="2" customFormat="1"/>
    <row r="23896" s="2" customFormat="1"/>
    <row r="23897" s="2" customFormat="1"/>
    <row r="23898" s="2" customFormat="1"/>
    <row r="23899" s="2" customFormat="1"/>
    <row r="23900" s="2" customFormat="1"/>
    <row r="23901" s="2" customFormat="1"/>
    <row r="23902" s="2" customFormat="1"/>
    <row r="23903" s="2" customFormat="1"/>
    <row r="23904" s="2" customFormat="1"/>
    <row r="23905" s="2" customFormat="1"/>
    <row r="23906" s="2" customFormat="1"/>
    <row r="23907" s="2" customFormat="1"/>
    <row r="23908" s="2" customFormat="1"/>
    <row r="23909" s="2" customFormat="1"/>
    <row r="23910" s="2" customFormat="1"/>
    <row r="23911" s="2" customFormat="1"/>
    <row r="23912" s="2" customFormat="1"/>
    <row r="23913" s="2" customFormat="1"/>
    <row r="23914" s="2" customFormat="1"/>
    <row r="23915" s="2" customFormat="1"/>
    <row r="23916" s="2" customFormat="1"/>
    <row r="23917" s="2" customFormat="1"/>
    <row r="23918" s="2" customFormat="1"/>
    <row r="23919" s="2" customFormat="1"/>
    <row r="23920" s="2" customFormat="1"/>
    <row r="23921" s="2" customFormat="1"/>
    <row r="23922" s="2" customFormat="1"/>
    <row r="23923" s="2" customFormat="1"/>
    <row r="23924" s="2" customFormat="1"/>
    <row r="23925" s="2" customFormat="1"/>
    <row r="23926" s="2" customFormat="1"/>
    <row r="23927" s="2" customFormat="1"/>
    <row r="23928" s="2" customFormat="1"/>
    <row r="23929" s="2" customFormat="1"/>
    <row r="23930" s="2" customFormat="1"/>
    <row r="23931" s="2" customFormat="1"/>
    <row r="23932" s="2" customFormat="1"/>
    <row r="23933" s="2" customFormat="1"/>
    <row r="23934" s="2" customFormat="1"/>
    <row r="23935" s="2" customFormat="1"/>
    <row r="23936" s="2" customFormat="1"/>
    <row r="23937" s="2" customFormat="1"/>
    <row r="23938" s="2" customFormat="1"/>
    <row r="23939" s="2" customFormat="1"/>
    <row r="23940" s="2" customFormat="1"/>
    <row r="23941" s="2" customFormat="1"/>
    <row r="23942" s="2" customFormat="1"/>
    <row r="23943" s="2" customFormat="1"/>
    <row r="23944" s="2" customFormat="1"/>
    <row r="23945" s="2" customFormat="1"/>
    <row r="23946" s="2" customFormat="1"/>
    <row r="23947" s="2" customFormat="1"/>
    <row r="23948" s="2" customFormat="1"/>
    <row r="23949" s="2" customFormat="1"/>
    <row r="23950" s="2" customFormat="1"/>
    <row r="23951" s="2" customFormat="1"/>
    <row r="23952" s="2" customFormat="1"/>
    <row r="23953" s="2" customFormat="1"/>
    <row r="23954" s="2" customFormat="1"/>
    <row r="23955" s="2" customFormat="1"/>
    <row r="23956" s="2" customFormat="1"/>
    <row r="23957" s="2" customFormat="1"/>
    <row r="23958" s="2" customFormat="1"/>
    <row r="23959" s="2" customFormat="1"/>
    <row r="23960" s="2" customFormat="1"/>
    <row r="23961" s="2" customFormat="1"/>
    <row r="23962" s="2" customFormat="1"/>
    <row r="23963" s="2" customFormat="1"/>
    <row r="23964" s="2" customFormat="1"/>
    <row r="23965" s="2" customFormat="1"/>
    <row r="23966" s="2" customFormat="1"/>
    <row r="23967" s="2" customFormat="1"/>
    <row r="23968" s="2" customFormat="1"/>
    <row r="23969" s="2" customFormat="1"/>
    <row r="23970" s="2" customFormat="1"/>
    <row r="23971" s="2" customFormat="1"/>
    <row r="23972" s="2" customFormat="1"/>
    <row r="23973" s="2" customFormat="1"/>
    <row r="23974" s="2" customFormat="1"/>
    <row r="23975" s="2" customFormat="1"/>
    <row r="23976" s="2" customFormat="1"/>
    <row r="23977" s="2" customFormat="1"/>
    <row r="23978" s="2" customFormat="1"/>
    <row r="23979" s="2" customFormat="1"/>
    <row r="23980" s="2" customFormat="1"/>
    <row r="23981" s="2" customFormat="1"/>
    <row r="23982" s="2" customFormat="1"/>
    <row r="23983" s="2" customFormat="1"/>
    <row r="23984" s="2" customFormat="1"/>
    <row r="23985" s="2" customFormat="1"/>
    <row r="23986" s="2" customFormat="1"/>
    <row r="23987" s="2" customFormat="1"/>
    <row r="23988" s="2" customFormat="1"/>
    <row r="23989" s="2" customFormat="1"/>
    <row r="23990" s="2" customFormat="1"/>
    <row r="23991" s="2" customFormat="1"/>
    <row r="23992" s="2" customFormat="1"/>
    <row r="23993" s="2" customFormat="1"/>
    <row r="23994" s="2" customFormat="1"/>
    <row r="23995" s="2" customFormat="1"/>
    <row r="23996" s="2" customFormat="1"/>
    <row r="23997" s="2" customFormat="1"/>
    <row r="23998" s="2" customFormat="1"/>
    <row r="23999" s="2" customFormat="1"/>
    <row r="24000" s="2" customFormat="1"/>
    <row r="24001" s="2" customFormat="1"/>
    <row r="24002" s="2" customFormat="1"/>
    <row r="24003" s="2" customFormat="1"/>
    <row r="24004" s="2" customFormat="1"/>
    <row r="24005" s="2" customFormat="1"/>
    <row r="24006" s="2" customFormat="1"/>
    <row r="24007" s="2" customFormat="1"/>
    <row r="24008" s="2" customFormat="1"/>
    <row r="24009" s="2" customFormat="1"/>
    <row r="24010" s="2" customFormat="1"/>
    <row r="24011" s="2" customFormat="1"/>
    <row r="24012" s="2" customFormat="1"/>
    <row r="24013" s="2" customFormat="1"/>
    <row r="24014" s="2" customFormat="1"/>
    <row r="24015" s="2" customFormat="1"/>
    <row r="24016" s="2" customFormat="1"/>
    <row r="24017" s="2" customFormat="1"/>
    <row r="24018" s="2" customFormat="1"/>
    <row r="24019" s="2" customFormat="1"/>
    <row r="24020" s="2" customFormat="1"/>
    <row r="24021" s="2" customFormat="1"/>
    <row r="24022" s="2" customFormat="1"/>
    <row r="24023" s="2" customFormat="1"/>
    <row r="24024" s="2" customFormat="1"/>
    <row r="24025" s="2" customFormat="1"/>
    <row r="24026" s="2" customFormat="1"/>
    <row r="24027" s="2" customFormat="1"/>
    <row r="24028" s="2" customFormat="1"/>
    <row r="24029" s="2" customFormat="1"/>
    <row r="24030" s="2" customFormat="1"/>
    <row r="24031" s="2" customFormat="1"/>
    <row r="24032" s="2" customFormat="1"/>
    <row r="24033" s="2" customFormat="1"/>
    <row r="24034" s="2" customFormat="1"/>
    <row r="24035" s="2" customFormat="1"/>
    <row r="24036" s="2" customFormat="1"/>
    <row r="24037" s="2" customFormat="1"/>
    <row r="24038" s="2" customFormat="1"/>
    <row r="24039" s="2" customFormat="1"/>
    <row r="24040" s="2" customFormat="1"/>
    <row r="24041" s="2" customFormat="1"/>
    <row r="24042" s="2" customFormat="1"/>
    <row r="24043" s="2" customFormat="1"/>
    <row r="24044" s="2" customFormat="1"/>
    <row r="24045" s="2" customFormat="1"/>
    <row r="24046" s="2" customFormat="1"/>
    <row r="24047" s="2" customFormat="1"/>
    <row r="24048" s="2" customFormat="1"/>
    <row r="24049" s="2" customFormat="1"/>
    <row r="24050" s="2" customFormat="1"/>
    <row r="24051" s="2" customFormat="1"/>
    <row r="24052" s="2" customFormat="1"/>
    <row r="24053" s="2" customFormat="1"/>
    <row r="24054" s="2" customFormat="1"/>
    <row r="24055" s="2" customFormat="1"/>
    <row r="24056" s="2" customFormat="1"/>
    <row r="24057" s="2" customFormat="1"/>
    <row r="24058" s="2" customFormat="1"/>
    <row r="24059" s="2" customFormat="1"/>
    <row r="24060" s="2" customFormat="1"/>
    <row r="24061" s="2" customFormat="1"/>
    <row r="24062" s="2" customFormat="1"/>
    <row r="24063" s="2" customFormat="1"/>
    <row r="24064" s="2" customFormat="1"/>
    <row r="24065" s="2" customFormat="1"/>
    <row r="24066" s="2" customFormat="1"/>
    <row r="24067" s="2" customFormat="1"/>
    <row r="24068" s="2" customFormat="1"/>
    <row r="24069" s="2" customFormat="1"/>
    <row r="24070" s="2" customFormat="1"/>
    <row r="24071" s="2" customFormat="1"/>
    <row r="24072" s="2" customFormat="1"/>
    <row r="24073" s="2" customFormat="1"/>
    <row r="24074" s="2" customFormat="1"/>
    <row r="24075" s="2" customFormat="1"/>
    <row r="24076" s="2" customFormat="1"/>
    <row r="24077" s="2" customFormat="1"/>
    <row r="24078" s="2" customFormat="1"/>
    <row r="24079" s="2" customFormat="1"/>
    <row r="24080" s="2" customFormat="1"/>
    <row r="24081" s="2" customFormat="1"/>
    <row r="24082" s="2" customFormat="1"/>
    <row r="24083" s="2" customFormat="1"/>
    <row r="24084" s="2" customFormat="1"/>
    <row r="24085" s="2" customFormat="1"/>
    <row r="24086" s="2" customFormat="1"/>
    <row r="24087" s="2" customFormat="1"/>
    <row r="24088" s="2" customFormat="1"/>
    <row r="24089" s="2" customFormat="1"/>
    <row r="24090" s="2" customFormat="1"/>
    <row r="24091" s="2" customFormat="1"/>
    <row r="24092" s="2" customFormat="1"/>
    <row r="24093" s="2" customFormat="1"/>
    <row r="24094" s="2" customFormat="1"/>
    <row r="24095" s="2" customFormat="1"/>
    <row r="24096" s="2" customFormat="1"/>
    <row r="24097" s="2" customFormat="1"/>
    <row r="24098" s="2" customFormat="1"/>
    <row r="24099" s="2" customFormat="1"/>
    <row r="24100" s="2" customFormat="1"/>
    <row r="24101" s="2" customFormat="1"/>
    <row r="24102" s="2" customFormat="1"/>
    <row r="24103" s="2" customFormat="1"/>
    <row r="24104" s="2" customFormat="1"/>
    <row r="24105" s="2" customFormat="1"/>
    <row r="24106" s="2" customFormat="1"/>
    <row r="24107" s="2" customFormat="1"/>
    <row r="24108" s="2" customFormat="1"/>
    <row r="24109" s="2" customFormat="1"/>
    <row r="24110" s="2" customFormat="1"/>
    <row r="24111" s="2" customFormat="1"/>
    <row r="24112" s="2" customFormat="1"/>
    <row r="24113" s="2" customFormat="1"/>
    <row r="24114" s="2" customFormat="1"/>
    <row r="24115" s="2" customFormat="1"/>
    <row r="24116" s="2" customFormat="1"/>
    <row r="24117" s="2" customFormat="1"/>
    <row r="24118" s="2" customFormat="1"/>
    <row r="24119" s="2" customFormat="1"/>
    <row r="24120" s="2" customFormat="1"/>
    <row r="24121" s="2" customFormat="1"/>
    <row r="24122" s="2" customFormat="1"/>
    <row r="24123" s="2" customFormat="1"/>
    <row r="24124" s="2" customFormat="1"/>
    <row r="24125" s="2" customFormat="1"/>
    <row r="24126" s="2" customFormat="1"/>
    <row r="24127" s="2" customFormat="1"/>
    <row r="24128" s="2" customFormat="1"/>
    <row r="24129" s="2" customFormat="1"/>
    <row r="24130" s="2" customFormat="1"/>
    <row r="24131" s="2" customFormat="1"/>
    <row r="24132" s="2" customFormat="1"/>
    <row r="24133" s="2" customFormat="1"/>
    <row r="24134" s="2" customFormat="1"/>
    <row r="24135" s="2" customFormat="1"/>
    <row r="24136" s="2" customFormat="1"/>
    <row r="24137" s="2" customFormat="1"/>
    <row r="24138" s="2" customFormat="1"/>
    <row r="24139" s="2" customFormat="1"/>
    <row r="24140" s="2" customFormat="1"/>
    <row r="24141" s="2" customFormat="1"/>
    <row r="24142" s="2" customFormat="1"/>
    <row r="24143" s="2" customFormat="1"/>
    <row r="24144" s="2" customFormat="1"/>
    <row r="24145" s="2" customFormat="1"/>
    <row r="24146" s="2" customFormat="1"/>
    <row r="24147" s="2" customFormat="1"/>
    <row r="24148" s="2" customFormat="1"/>
    <row r="24149" s="2" customFormat="1"/>
    <row r="24150" s="2" customFormat="1"/>
    <row r="24151" s="2" customFormat="1"/>
    <row r="24152" s="2" customFormat="1"/>
    <row r="24153" s="2" customFormat="1"/>
    <row r="24154" s="2" customFormat="1"/>
    <row r="24155" s="2" customFormat="1"/>
    <row r="24156" s="2" customFormat="1"/>
    <row r="24157" s="2" customFormat="1"/>
    <row r="24158" s="2" customFormat="1"/>
    <row r="24159" s="2" customFormat="1"/>
    <row r="24160" s="2" customFormat="1"/>
    <row r="24161" s="2" customFormat="1"/>
    <row r="24162" s="2" customFormat="1"/>
    <row r="24163" s="2" customFormat="1"/>
    <row r="24164" s="2" customFormat="1"/>
    <row r="24165" s="2" customFormat="1"/>
    <row r="24166" s="2" customFormat="1"/>
    <row r="24167" s="2" customFormat="1"/>
    <row r="24168" s="2" customFormat="1"/>
    <row r="24169" s="2" customFormat="1"/>
    <row r="24170" s="2" customFormat="1"/>
    <row r="24171" s="2" customFormat="1"/>
    <row r="24172" s="2" customFormat="1"/>
    <row r="24173" s="2" customFormat="1"/>
    <row r="24174" s="2" customFormat="1"/>
    <row r="24175" s="2" customFormat="1"/>
    <row r="24176" s="2" customFormat="1"/>
    <row r="24177" s="2" customFormat="1"/>
    <row r="24178" s="2" customFormat="1"/>
    <row r="24179" s="2" customFormat="1"/>
    <row r="24180" s="2" customFormat="1"/>
    <row r="24181" s="2" customFormat="1"/>
    <row r="24182" s="2" customFormat="1"/>
    <row r="24183" s="2" customFormat="1"/>
    <row r="24184" s="2" customFormat="1"/>
    <row r="24185" s="2" customFormat="1"/>
    <row r="24186" s="2" customFormat="1"/>
    <row r="24187" s="2" customFormat="1"/>
    <row r="24188" s="2" customFormat="1"/>
    <row r="24189" s="2" customFormat="1"/>
    <row r="24190" s="2" customFormat="1"/>
    <row r="24191" s="2" customFormat="1"/>
    <row r="24192" s="2" customFormat="1"/>
    <row r="24193" s="2" customFormat="1"/>
    <row r="24194" s="2" customFormat="1"/>
    <row r="24195" s="2" customFormat="1"/>
    <row r="24196" s="2" customFormat="1"/>
    <row r="24197" s="2" customFormat="1"/>
    <row r="24198" s="2" customFormat="1"/>
    <row r="24199" s="2" customFormat="1"/>
    <row r="24200" s="2" customFormat="1"/>
    <row r="24201" s="2" customFormat="1"/>
    <row r="24202" s="2" customFormat="1"/>
    <row r="24203" s="2" customFormat="1"/>
    <row r="24204" s="2" customFormat="1"/>
    <row r="24205" s="2" customFormat="1"/>
    <row r="24206" s="2" customFormat="1"/>
    <row r="24207" s="2" customFormat="1"/>
    <row r="24208" s="2" customFormat="1"/>
    <row r="24209" s="2" customFormat="1"/>
    <row r="24210" s="2" customFormat="1"/>
    <row r="24211" s="2" customFormat="1"/>
    <row r="24212" s="2" customFormat="1"/>
    <row r="24213" s="2" customFormat="1"/>
    <row r="24214" s="2" customFormat="1"/>
    <row r="24215" s="2" customFormat="1"/>
    <row r="24216" s="2" customFormat="1"/>
    <row r="24217" s="2" customFormat="1"/>
    <row r="24218" s="2" customFormat="1"/>
    <row r="24219" s="2" customFormat="1"/>
    <row r="24220" s="2" customFormat="1"/>
    <row r="24221" s="2" customFormat="1"/>
    <row r="24222" s="2" customFormat="1"/>
    <row r="24223" s="2" customFormat="1"/>
    <row r="24224" s="2" customFormat="1"/>
    <row r="24225" s="2" customFormat="1"/>
    <row r="24226" s="2" customFormat="1"/>
    <row r="24227" s="2" customFormat="1"/>
    <row r="24228" s="2" customFormat="1"/>
    <row r="24229" s="2" customFormat="1"/>
    <row r="24230" s="2" customFormat="1"/>
    <row r="24231" s="2" customFormat="1"/>
    <row r="24232" s="2" customFormat="1"/>
    <row r="24233" s="2" customFormat="1"/>
    <row r="24234" s="2" customFormat="1"/>
    <row r="24235" s="2" customFormat="1"/>
    <row r="24236" s="2" customFormat="1"/>
    <row r="24237" s="2" customFormat="1"/>
    <row r="24238" s="2" customFormat="1"/>
    <row r="24239" s="2" customFormat="1"/>
    <row r="24240" s="2" customFormat="1"/>
    <row r="24241" s="2" customFormat="1"/>
    <row r="24242" s="2" customFormat="1"/>
    <row r="24243" s="2" customFormat="1"/>
    <row r="24244" s="2" customFormat="1"/>
    <row r="24245" s="2" customFormat="1"/>
    <row r="24246" s="2" customFormat="1"/>
    <row r="24247" s="2" customFormat="1"/>
    <row r="24248" s="2" customFormat="1"/>
    <row r="24249" s="2" customFormat="1"/>
    <row r="24250" s="2" customFormat="1"/>
    <row r="24251" s="2" customFormat="1"/>
    <row r="24252" s="2" customFormat="1"/>
    <row r="24253" s="2" customFormat="1"/>
    <row r="24254" s="2" customFormat="1"/>
    <row r="24255" s="2" customFormat="1"/>
    <row r="24256" s="2" customFormat="1"/>
    <row r="24257" s="2" customFormat="1"/>
    <row r="24258" s="2" customFormat="1"/>
    <row r="24259" s="2" customFormat="1"/>
    <row r="24260" s="2" customFormat="1"/>
    <row r="24261" s="2" customFormat="1"/>
    <row r="24262" s="2" customFormat="1"/>
    <row r="24263" s="2" customFormat="1"/>
    <row r="24264" s="2" customFormat="1"/>
    <row r="24265" s="2" customFormat="1"/>
    <row r="24266" s="2" customFormat="1"/>
    <row r="24267" s="2" customFormat="1"/>
    <row r="24268" s="2" customFormat="1"/>
    <row r="24269" s="2" customFormat="1"/>
    <row r="24270" s="2" customFormat="1"/>
    <row r="24271" s="2" customFormat="1"/>
    <row r="24272" s="2" customFormat="1"/>
    <row r="24273" s="2" customFormat="1"/>
    <row r="24274" s="2" customFormat="1"/>
    <row r="24275" s="2" customFormat="1"/>
    <row r="24276" s="2" customFormat="1"/>
    <row r="24277" s="2" customFormat="1"/>
    <row r="24278" s="2" customFormat="1"/>
    <row r="24279" s="2" customFormat="1"/>
    <row r="24280" s="2" customFormat="1"/>
    <row r="24281" s="2" customFormat="1"/>
    <row r="24282" s="2" customFormat="1"/>
    <row r="24283" s="2" customFormat="1"/>
    <row r="24284" s="2" customFormat="1"/>
    <row r="24285" s="2" customFormat="1"/>
    <row r="24286" s="2" customFormat="1"/>
    <row r="24287" s="2" customFormat="1"/>
    <row r="24288" s="2" customFormat="1"/>
    <row r="24289" s="2" customFormat="1"/>
    <row r="24290" s="2" customFormat="1"/>
    <row r="24291" s="2" customFormat="1"/>
    <row r="24292" s="2" customFormat="1"/>
    <row r="24293" s="2" customFormat="1"/>
    <row r="24294" s="2" customFormat="1"/>
    <row r="24295" s="2" customFormat="1"/>
    <row r="24296" s="2" customFormat="1"/>
    <row r="24297" s="2" customFormat="1"/>
    <row r="24298" s="2" customFormat="1"/>
    <row r="24299" s="2" customFormat="1"/>
    <row r="24300" s="2" customFormat="1"/>
    <row r="24301" s="2" customFormat="1"/>
    <row r="24302" s="2" customFormat="1"/>
    <row r="24303" s="2" customFormat="1"/>
    <row r="24304" s="2" customFormat="1"/>
    <row r="24305" s="2" customFormat="1"/>
    <row r="24306" s="2" customFormat="1"/>
    <row r="24307" s="2" customFormat="1"/>
    <row r="24308" s="2" customFormat="1"/>
    <row r="24309" s="2" customFormat="1"/>
    <row r="24310" s="2" customFormat="1"/>
    <row r="24311" s="2" customFormat="1"/>
    <row r="24312" s="2" customFormat="1"/>
    <row r="24313" s="2" customFormat="1"/>
    <row r="24314" s="2" customFormat="1"/>
    <row r="24315" s="2" customFormat="1"/>
    <row r="24316" s="2" customFormat="1"/>
    <row r="24317" s="2" customFormat="1"/>
    <row r="24318" s="2" customFormat="1"/>
    <row r="24319" s="2" customFormat="1"/>
    <row r="24320" s="2" customFormat="1"/>
    <row r="24321" s="2" customFormat="1"/>
    <row r="24322" s="2" customFormat="1"/>
    <row r="24323" s="2" customFormat="1"/>
    <row r="24324" s="2" customFormat="1"/>
    <row r="24325" s="2" customFormat="1"/>
    <row r="24326" s="2" customFormat="1"/>
    <row r="24327" s="2" customFormat="1"/>
    <row r="24328" s="2" customFormat="1"/>
    <row r="24329" s="2" customFormat="1"/>
    <row r="24330" s="2" customFormat="1"/>
    <row r="24331" s="2" customFormat="1"/>
    <row r="24332" s="2" customFormat="1"/>
    <row r="24333" s="2" customFormat="1"/>
    <row r="24334" s="2" customFormat="1"/>
    <row r="24335" s="2" customFormat="1"/>
    <row r="24336" s="2" customFormat="1"/>
    <row r="24337" s="2" customFormat="1"/>
    <row r="24338" s="2" customFormat="1"/>
    <row r="24339" s="2" customFormat="1"/>
    <row r="24340" s="2" customFormat="1"/>
    <row r="24341" s="2" customFormat="1"/>
    <row r="24342" s="2" customFormat="1"/>
    <row r="24343" s="2" customFormat="1"/>
    <row r="24344" s="2" customFormat="1"/>
    <row r="24345" s="2" customFormat="1"/>
    <row r="24346" s="2" customFormat="1"/>
    <row r="24347" s="2" customFormat="1"/>
    <row r="24348" s="2" customFormat="1"/>
    <row r="24349" s="2" customFormat="1"/>
    <row r="24350" s="2" customFormat="1"/>
    <row r="24351" s="2" customFormat="1"/>
    <row r="24352" s="2" customFormat="1"/>
    <row r="24353" s="2" customFormat="1"/>
    <row r="24354" s="2" customFormat="1"/>
    <row r="24355" s="2" customFormat="1"/>
    <row r="24356" s="2" customFormat="1"/>
    <row r="24357" s="2" customFormat="1"/>
    <row r="24358" s="2" customFormat="1"/>
    <row r="24359" s="2" customFormat="1"/>
    <row r="24360" s="2" customFormat="1"/>
    <row r="24361" s="2" customFormat="1"/>
    <row r="24362" s="2" customFormat="1"/>
    <row r="24363" s="2" customFormat="1"/>
    <row r="24364" s="2" customFormat="1"/>
    <row r="24365" s="2" customFormat="1"/>
    <row r="24366" s="2" customFormat="1"/>
    <row r="24367" s="2" customFormat="1"/>
    <row r="24368" s="2" customFormat="1"/>
    <row r="24369" s="2" customFormat="1"/>
    <row r="24370" s="2" customFormat="1"/>
    <row r="24371" s="2" customFormat="1"/>
    <row r="24372" s="2" customFormat="1"/>
    <row r="24373" s="2" customFormat="1"/>
    <row r="24374" s="2" customFormat="1"/>
    <row r="24375" s="2" customFormat="1"/>
    <row r="24376" s="2" customFormat="1"/>
    <row r="24377" s="2" customFormat="1"/>
    <row r="24378" s="2" customFormat="1"/>
    <row r="24379" s="2" customFormat="1"/>
    <row r="24380" s="2" customFormat="1"/>
    <row r="24381" s="2" customFormat="1"/>
    <row r="24382" s="2" customFormat="1"/>
    <row r="24383" s="2" customFormat="1"/>
    <row r="24384" s="2" customFormat="1"/>
    <row r="24385" s="2" customFormat="1"/>
    <row r="24386" s="2" customFormat="1"/>
    <row r="24387" s="2" customFormat="1"/>
    <row r="24388" s="2" customFormat="1"/>
    <row r="24389" s="2" customFormat="1"/>
    <row r="24390" s="2" customFormat="1"/>
    <row r="24391" s="2" customFormat="1"/>
    <row r="24392" s="2" customFormat="1"/>
    <row r="24393" s="2" customFormat="1"/>
    <row r="24394" s="2" customFormat="1"/>
    <row r="24395" s="2" customFormat="1"/>
    <row r="24396" s="2" customFormat="1"/>
    <row r="24397" s="2" customFormat="1"/>
    <row r="24398" s="2" customFormat="1"/>
    <row r="24399" s="2" customFormat="1"/>
    <row r="24400" s="2" customFormat="1"/>
    <row r="24401" s="2" customFormat="1"/>
    <row r="24402" s="2" customFormat="1"/>
    <row r="24403" s="2" customFormat="1"/>
    <row r="24404" s="2" customFormat="1"/>
    <row r="24405" s="2" customFormat="1"/>
    <row r="24406" s="2" customFormat="1"/>
    <row r="24407" s="2" customFormat="1"/>
    <row r="24408" s="2" customFormat="1"/>
    <row r="24409" s="2" customFormat="1"/>
    <row r="24410" s="2" customFormat="1"/>
    <row r="24411" s="2" customFormat="1"/>
    <row r="24412" s="2" customFormat="1"/>
    <row r="24413" s="2" customFormat="1"/>
    <row r="24414" s="2" customFormat="1"/>
    <row r="24415" s="2" customFormat="1"/>
    <row r="24416" s="2" customFormat="1"/>
    <row r="24417" s="2" customFormat="1"/>
    <row r="24418" s="2" customFormat="1"/>
    <row r="24419" s="2" customFormat="1"/>
    <row r="24420" s="2" customFormat="1"/>
    <row r="24421" s="2" customFormat="1"/>
    <row r="24422" s="2" customFormat="1"/>
    <row r="24423" s="2" customFormat="1"/>
    <row r="24424" s="2" customFormat="1"/>
    <row r="24425" s="2" customFormat="1"/>
    <row r="24426" s="2" customFormat="1"/>
    <row r="24427" s="2" customFormat="1"/>
    <row r="24428" s="2" customFormat="1"/>
    <row r="24429" s="2" customFormat="1"/>
    <row r="24430" s="2" customFormat="1"/>
    <row r="24431" s="2" customFormat="1"/>
    <row r="24432" s="2" customFormat="1"/>
    <row r="24433" s="2" customFormat="1"/>
    <row r="24434" s="2" customFormat="1"/>
    <row r="24435" s="2" customFormat="1"/>
    <row r="24436" s="2" customFormat="1"/>
    <row r="24437" s="2" customFormat="1"/>
    <row r="24438" s="2" customFormat="1"/>
    <row r="24439" s="2" customFormat="1"/>
    <row r="24440" s="2" customFormat="1"/>
    <row r="24441" s="2" customFormat="1"/>
    <row r="24442" s="2" customFormat="1"/>
    <row r="24443" s="2" customFormat="1"/>
    <row r="24444" s="2" customFormat="1"/>
    <row r="24445" s="2" customFormat="1"/>
    <row r="24446" s="2" customFormat="1"/>
    <row r="24447" s="2" customFormat="1"/>
    <row r="24448" s="2" customFormat="1"/>
    <row r="24449" s="2" customFormat="1"/>
    <row r="24450" s="2" customFormat="1"/>
    <row r="24451" s="2" customFormat="1"/>
    <row r="24452" s="2" customFormat="1"/>
    <row r="24453" s="2" customFormat="1"/>
    <row r="24454" s="2" customFormat="1"/>
    <row r="24455" s="2" customFormat="1"/>
    <row r="24456" s="2" customFormat="1"/>
    <row r="24457" s="2" customFormat="1"/>
    <row r="24458" s="2" customFormat="1"/>
    <row r="24459" s="2" customFormat="1"/>
    <row r="24460" s="2" customFormat="1"/>
    <row r="24461" s="2" customFormat="1"/>
    <row r="24462" s="2" customFormat="1"/>
    <row r="24463" s="2" customFormat="1"/>
    <row r="24464" s="2" customFormat="1"/>
    <row r="24465" s="2" customFormat="1"/>
    <row r="24466" s="2" customFormat="1"/>
    <row r="24467" s="2" customFormat="1"/>
    <row r="24468" s="2" customFormat="1"/>
    <row r="24469" s="2" customFormat="1"/>
    <row r="24470" s="2" customFormat="1"/>
    <row r="24471" s="2" customFormat="1"/>
    <row r="24472" s="2" customFormat="1"/>
    <row r="24473" s="2" customFormat="1"/>
    <row r="24474" s="2" customFormat="1"/>
    <row r="24475" s="2" customFormat="1"/>
    <row r="24476" s="2" customFormat="1"/>
    <row r="24477" s="2" customFormat="1"/>
    <row r="24478" s="2" customFormat="1"/>
    <row r="24479" s="2" customFormat="1"/>
    <row r="24480" s="2" customFormat="1"/>
    <row r="24481" s="2" customFormat="1"/>
    <row r="24482" s="2" customFormat="1"/>
    <row r="24483" s="2" customFormat="1"/>
    <row r="24484" s="2" customFormat="1"/>
    <row r="24485" s="2" customFormat="1"/>
    <row r="24486" s="2" customFormat="1"/>
    <row r="24487" s="2" customFormat="1"/>
    <row r="24488" s="2" customFormat="1"/>
    <row r="24489" s="2" customFormat="1"/>
    <row r="24490" s="2" customFormat="1"/>
    <row r="24491" s="2" customFormat="1"/>
    <row r="24492" s="2" customFormat="1"/>
    <row r="24493" s="2" customFormat="1"/>
    <row r="24494" s="2" customFormat="1"/>
    <row r="24495" s="2" customFormat="1"/>
    <row r="24496" s="2" customFormat="1"/>
    <row r="24497" s="2" customFormat="1"/>
    <row r="24498" s="2" customFormat="1"/>
    <row r="24499" s="2" customFormat="1"/>
    <row r="24500" s="2" customFormat="1"/>
    <row r="24501" s="2" customFormat="1"/>
    <row r="24502" s="2" customFormat="1"/>
    <row r="24503" s="2" customFormat="1"/>
    <row r="24504" s="2" customFormat="1"/>
    <row r="24505" s="2" customFormat="1"/>
    <row r="24506" s="2" customFormat="1"/>
    <row r="24507" s="2" customFormat="1"/>
    <row r="24508" s="2" customFormat="1"/>
    <row r="24509" s="2" customFormat="1"/>
    <row r="24510" s="2" customFormat="1"/>
    <row r="24511" s="2" customFormat="1"/>
    <row r="24512" s="2" customFormat="1"/>
    <row r="24513" s="2" customFormat="1"/>
    <row r="24514" s="2" customFormat="1"/>
    <row r="24515" s="2" customFormat="1"/>
    <row r="24516" s="2" customFormat="1"/>
    <row r="24517" s="2" customFormat="1"/>
    <row r="24518" s="2" customFormat="1"/>
    <row r="24519" s="2" customFormat="1"/>
    <row r="24520" s="2" customFormat="1"/>
    <row r="24521" s="2" customFormat="1"/>
    <row r="24522" s="2" customFormat="1"/>
    <row r="24523" s="2" customFormat="1"/>
    <row r="24524" s="2" customFormat="1"/>
    <row r="24525" s="2" customFormat="1"/>
    <row r="24526" s="2" customFormat="1"/>
    <row r="24527" s="2" customFormat="1"/>
    <row r="24528" s="2" customFormat="1"/>
    <row r="24529" s="2" customFormat="1"/>
    <row r="24530" s="2" customFormat="1"/>
    <row r="24531" s="2" customFormat="1"/>
    <row r="24532" s="2" customFormat="1"/>
    <row r="24533" s="2" customFormat="1"/>
    <row r="24534" s="2" customFormat="1"/>
    <row r="24535" s="2" customFormat="1"/>
    <row r="24536" s="2" customFormat="1"/>
    <row r="24537" s="2" customFormat="1"/>
    <row r="24538" s="2" customFormat="1"/>
    <row r="24539" s="2" customFormat="1"/>
    <row r="24540" s="2" customFormat="1"/>
    <row r="24541" s="2" customFormat="1"/>
    <row r="24542" s="2" customFormat="1"/>
    <row r="24543" s="2" customFormat="1"/>
    <row r="24544" s="2" customFormat="1"/>
    <row r="24545" s="2" customFormat="1"/>
    <row r="24546" s="2" customFormat="1"/>
    <row r="24547" s="2" customFormat="1"/>
    <row r="24548" s="2" customFormat="1"/>
    <row r="24549" s="2" customFormat="1"/>
    <row r="24550" s="2" customFormat="1"/>
    <row r="24551" s="2" customFormat="1"/>
    <row r="24552" s="2" customFormat="1"/>
    <row r="24553" s="2" customFormat="1"/>
    <row r="24554" s="2" customFormat="1"/>
    <row r="24555" s="2" customFormat="1"/>
    <row r="24556" s="2" customFormat="1"/>
    <row r="24557" s="2" customFormat="1"/>
    <row r="24558" s="2" customFormat="1"/>
    <row r="24559" s="2" customFormat="1"/>
    <row r="24560" s="2" customFormat="1"/>
    <row r="24561" s="2" customFormat="1"/>
    <row r="24562" s="2" customFormat="1"/>
    <row r="24563" s="2" customFormat="1"/>
    <row r="24564" s="2" customFormat="1"/>
    <row r="24565" s="2" customFormat="1"/>
    <row r="24566" s="2" customFormat="1"/>
    <row r="24567" s="2" customFormat="1"/>
    <row r="24568" s="2" customFormat="1"/>
    <row r="24569" s="2" customFormat="1"/>
    <row r="24570" s="2" customFormat="1"/>
    <row r="24571" s="2" customFormat="1"/>
    <row r="24572" s="2" customFormat="1"/>
    <row r="24573" s="2" customFormat="1"/>
    <row r="24574" s="2" customFormat="1"/>
    <row r="24575" s="2" customFormat="1"/>
    <row r="24576" s="2" customFormat="1"/>
    <row r="24577" s="2" customFormat="1"/>
    <row r="24578" s="2" customFormat="1"/>
    <row r="24579" s="2" customFormat="1"/>
    <row r="24580" s="2" customFormat="1"/>
    <row r="24581" s="2" customFormat="1"/>
    <row r="24582" s="2" customFormat="1"/>
    <row r="24583" s="2" customFormat="1"/>
    <row r="24584" s="2" customFormat="1"/>
    <row r="24585" s="2" customFormat="1"/>
    <row r="24586" s="2" customFormat="1"/>
    <row r="24587" s="2" customFormat="1"/>
    <row r="24588" s="2" customFormat="1"/>
    <row r="24589" s="2" customFormat="1"/>
    <row r="24590" s="2" customFormat="1"/>
    <row r="24591" s="2" customFormat="1"/>
    <row r="24592" s="2" customFormat="1"/>
    <row r="24593" s="2" customFormat="1"/>
    <row r="24594" s="2" customFormat="1"/>
    <row r="24595" s="2" customFormat="1"/>
    <row r="24596" s="2" customFormat="1"/>
    <row r="24597" s="2" customFormat="1"/>
    <row r="24598" s="2" customFormat="1"/>
    <row r="24599" s="2" customFormat="1"/>
    <row r="24600" s="2" customFormat="1"/>
    <row r="24601" s="2" customFormat="1"/>
    <row r="24602" s="2" customFormat="1"/>
    <row r="24603" s="2" customFormat="1"/>
    <row r="24604" s="2" customFormat="1"/>
    <row r="24605" s="2" customFormat="1"/>
    <row r="24606" s="2" customFormat="1"/>
    <row r="24607" s="2" customFormat="1"/>
    <row r="24608" s="2" customFormat="1"/>
    <row r="24609" s="2" customFormat="1"/>
    <row r="24610" s="2" customFormat="1"/>
    <row r="24611" s="2" customFormat="1"/>
    <row r="24612" s="2" customFormat="1"/>
    <row r="24613" s="2" customFormat="1"/>
    <row r="24614" s="2" customFormat="1"/>
    <row r="24615" s="2" customFormat="1"/>
    <row r="24616" s="2" customFormat="1"/>
    <row r="24617" s="2" customFormat="1"/>
    <row r="24618" s="2" customFormat="1"/>
    <row r="24619" s="2" customFormat="1"/>
    <row r="24620" s="2" customFormat="1"/>
    <row r="24621" s="2" customFormat="1"/>
    <row r="24622" s="2" customFormat="1"/>
    <row r="24623" s="2" customFormat="1"/>
    <row r="24624" s="2" customFormat="1"/>
    <row r="24625" s="2" customFormat="1"/>
    <row r="24626" s="2" customFormat="1"/>
    <row r="24627" s="2" customFormat="1"/>
    <row r="24628" s="2" customFormat="1"/>
    <row r="24629" s="2" customFormat="1"/>
    <row r="24630" s="2" customFormat="1"/>
    <row r="24631" s="2" customFormat="1"/>
    <row r="24632" s="2" customFormat="1"/>
    <row r="24633" s="2" customFormat="1"/>
    <row r="24634" s="2" customFormat="1"/>
    <row r="24635" s="2" customFormat="1"/>
    <row r="24636" s="2" customFormat="1"/>
    <row r="24637" s="2" customFormat="1"/>
    <row r="24638" s="2" customFormat="1"/>
    <row r="24639" s="2" customFormat="1"/>
    <row r="24640" s="2" customFormat="1"/>
    <row r="24641" s="2" customFormat="1"/>
    <row r="24642" s="2" customFormat="1"/>
    <row r="24643" s="2" customFormat="1"/>
    <row r="24644" s="2" customFormat="1"/>
    <row r="24645" s="2" customFormat="1"/>
    <row r="24646" s="2" customFormat="1"/>
    <row r="24647" s="2" customFormat="1"/>
    <row r="24648" s="2" customFormat="1"/>
    <row r="24649" s="2" customFormat="1"/>
    <row r="24650" s="2" customFormat="1"/>
    <row r="24651" s="2" customFormat="1"/>
    <row r="24652" s="2" customFormat="1"/>
    <row r="24653" s="2" customFormat="1"/>
    <row r="24654" s="2" customFormat="1"/>
    <row r="24655" s="2" customFormat="1"/>
    <row r="24656" s="2" customFormat="1"/>
    <row r="24657" s="2" customFormat="1"/>
    <row r="24658" s="2" customFormat="1"/>
    <row r="24659" s="2" customFormat="1"/>
    <row r="24660" s="2" customFormat="1"/>
    <row r="24661" s="2" customFormat="1"/>
    <row r="24662" s="2" customFormat="1"/>
    <row r="24663" s="2" customFormat="1"/>
    <row r="24664" s="2" customFormat="1"/>
    <row r="24665" s="2" customFormat="1"/>
    <row r="24666" s="2" customFormat="1"/>
    <row r="24667" s="2" customFormat="1"/>
    <row r="24668" s="2" customFormat="1"/>
    <row r="24669" s="2" customFormat="1"/>
    <row r="24670" s="2" customFormat="1"/>
    <row r="24671" s="2" customFormat="1"/>
    <row r="24672" s="2" customFormat="1"/>
    <row r="24673" s="2" customFormat="1"/>
    <row r="24674" s="2" customFormat="1"/>
    <row r="24675" s="2" customFormat="1"/>
    <row r="24676" s="2" customFormat="1"/>
    <row r="24677" s="2" customFormat="1"/>
    <row r="24678" s="2" customFormat="1"/>
    <row r="24679" s="2" customFormat="1"/>
    <row r="24680" s="2" customFormat="1"/>
    <row r="24681" s="2" customFormat="1"/>
    <row r="24682" s="2" customFormat="1"/>
    <row r="24683" s="2" customFormat="1"/>
    <row r="24684" s="2" customFormat="1"/>
    <row r="24685" s="2" customFormat="1"/>
    <row r="24686" s="2" customFormat="1"/>
    <row r="24687" s="2" customFormat="1"/>
    <row r="24688" s="2" customFormat="1"/>
    <row r="24689" s="2" customFormat="1"/>
    <row r="24690" s="2" customFormat="1"/>
    <row r="24691" s="2" customFormat="1"/>
    <row r="24692" s="2" customFormat="1"/>
    <row r="24693" s="2" customFormat="1"/>
    <row r="24694" s="2" customFormat="1"/>
    <row r="24695" s="2" customFormat="1"/>
    <row r="24696" s="2" customFormat="1"/>
    <row r="24697" s="2" customFormat="1"/>
    <row r="24698" s="2" customFormat="1"/>
    <row r="24699" s="2" customFormat="1"/>
    <row r="24700" s="2" customFormat="1"/>
    <row r="24701" s="2" customFormat="1"/>
    <row r="24702" s="2" customFormat="1"/>
    <row r="24703" s="2" customFormat="1"/>
    <row r="24704" s="2" customFormat="1"/>
    <row r="24705" s="2" customFormat="1"/>
    <row r="24706" s="2" customFormat="1"/>
    <row r="24707" s="2" customFormat="1"/>
    <row r="24708" s="2" customFormat="1"/>
    <row r="24709" s="2" customFormat="1"/>
    <row r="24710" s="2" customFormat="1"/>
    <row r="24711" s="2" customFormat="1"/>
    <row r="24712" s="2" customFormat="1"/>
    <row r="24713" s="2" customFormat="1"/>
    <row r="24714" s="2" customFormat="1"/>
    <row r="24715" s="2" customFormat="1"/>
    <row r="24716" s="2" customFormat="1"/>
    <row r="24717" s="2" customFormat="1"/>
    <row r="24718" s="2" customFormat="1"/>
    <row r="24719" s="2" customFormat="1"/>
    <row r="24720" s="2" customFormat="1"/>
    <row r="24721" s="2" customFormat="1"/>
    <row r="24722" s="2" customFormat="1"/>
    <row r="24723" s="2" customFormat="1"/>
    <row r="24724" s="2" customFormat="1"/>
    <row r="24725" s="2" customFormat="1"/>
    <row r="24726" s="2" customFormat="1"/>
    <row r="24727" s="2" customFormat="1"/>
    <row r="24728" s="2" customFormat="1"/>
    <row r="24729" s="2" customFormat="1"/>
    <row r="24730" s="2" customFormat="1"/>
    <row r="24731" s="2" customFormat="1"/>
    <row r="24732" s="2" customFormat="1"/>
    <row r="24733" s="2" customFormat="1"/>
    <row r="24734" s="2" customFormat="1"/>
    <row r="24735" s="2" customFormat="1"/>
    <row r="24736" s="2" customFormat="1"/>
    <row r="24737" s="2" customFormat="1"/>
    <row r="24738" s="2" customFormat="1"/>
    <row r="24739" s="2" customFormat="1"/>
    <row r="24740" s="2" customFormat="1"/>
    <row r="24741" s="2" customFormat="1"/>
    <row r="24742" s="2" customFormat="1"/>
    <row r="24743" s="2" customFormat="1"/>
    <row r="24744" s="2" customFormat="1"/>
    <row r="24745" s="2" customFormat="1"/>
    <row r="24746" s="2" customFormat="1"/>
    <row r="24747" s="2" customFormat="1"/>
    <row r="24748" s="2" customFormat="1"/>
    <row r="24749" s="2" customFormat="1"/>
    <row r="24750" s="2" customFormat="1"/>
    <row r="24751" s="2" customFormat="1"/>
    <row r="24752" s="2" customFormat="1"/>
    <row r="24753" s="2" customFormat="1"/>
    <row r="24754" s="2" customFormat="1"/>
    <row r="24755" s="2" customFormat="1"/>
    <row r="24756" s="2" customFormat="1"/>
    <row r="24757" s="2" customFormat="1"/>
    <row r="24758" s="2" customFormat="1"/>
    <row r="24759" s="2" customFormat="1"/>
    <row r="24760" s="2" customFormat="1"/>
    <row r="24761" s="2" customFormat="1"/>
    <row r="24762" s="2" customFormat="1"/>
    <row r="24763" s="2" customFormat="1"/>
    <row r="24764" s="2" customFormat="1"/>
    <row r="24765" s="2" customFormat="1"/>
    <row r="24766" s="2" customFormat="1"/>
    <row r="24767" s="2" customFormat="1"/>
    <row r="24768" s="2" customFormat="1"/>
    <row r="24769" s="2" customFormat="1"/>
    <row r="24770" s="2" customFormat="1"/>
    <row r="24771" s="2" customFormat="1"/>
    <row r="24772" s="2" customFormat="1"/>
    <row r="24773" s="2" customFormat="1"/>
    <row r="24774" s="2" customFormat="1"/>
    <row r="24775" s="2" customFormat="1"/>
    <row r="24776" s="2" customFormat="1"/>
    <row r="24777" s="2" customFormat="1"/>
    <row r="24778" s="2" customFormat="1"/>
    <row r="24779" s="2" customFormat="1"/>
    <row r="24780" s="2" customFormat="1"/>
    <row r="24781" s="2" customFormat="1"/>
    <row r="24782" s="2" customFormat="1"/>
    <row r="24783" s="2" customFormat="1"/>
    <row r="24784" s="2" customFormat="1"/>
    <row r="24785" s="2" customFormat="1"/>
    <row r="24786" s="2" customFormat="1"/>
    <row r="24787" s="2" customFormat="1"/>
    <row r="24788" s="2" customFormat="1"/>
    <row r="24789" s="2" customFormat="1"/>
    <row r="24790" s="2" customFormat="1"/>
    <row r="24791" s="2" customFormat="1"/>
    <row r="24792" s="2" customFormat="1"/>
    <row r="24793" s="2" customFormat="1"/>
    <row r="24794" s="2" customFormat="1"/>
    <row r="24795" s="2" customFormat="1"/>
    <row r="24796" s="2" customFormat="1"/>
    <row r="24797" s="2" customFormat="1"/>
    <row r="24798" s="2" customFormat="1"/>
    <row r="24799" s="2" customFormat="1"/>
    <row r="24800" s="2" customFormat="1"/>
    <row r="24801" s="2" customFormat="1"/>
    <row r="24802" s="2" customFormat="1"/>
    <row r="24803" s="2" customFormat="1"/>
    <row r="24804" s="2" customFormat="1"/>
    <row r="24805" s="2" customFormat="1"/>
    <row r="24806" s="2" customFormat="1"/>
    <row r="24807" s="2" customFormat="1"/>
    <row r="24808" s="2" customFormat="1"/>
    <row r="24809" s="2" customFormat="1"/>
    <row r="24810" s="2" customFormat="1"/>
    <row r="24811" s="2" customFormat="1"/>
    <row r="24812" s="2" customFormat="1"/>
    <row r="24813" s="2" customFormat="1"/>
    <row r="24814" s="2" customFormat="1"/>
    <row r="24815" s="2" customFormat="1"/>
    <row r="24816" s="2" customFormat="1"/>
    <row r="24817" s="2" customFormat="1"/>
    <row r="24818" s="2" customFormat="1"/>
    <row r="24819" s="2" customFormat="1"/>
    <row r="24820" s="2" customFormat="1"/>
    <row r="24821" s="2" customFormat="1"/>
    <row r="24822" s="2" customFormat="1"/>
    <row r="24823" s="2" customFormat="1"/>
    <row r="24824" s="2" customFormat="1"/>
    <row r="24825" s="2" customFormat="1"/>
    <row r="24826" s="2" customFormat="1"/>
    <row r="24827" s="2" customFormat="1"/>
    <row r="24828" s="2" customFormat="1"/>
    <row r="24829" s="2" customFormat="1"/>
    <row r="24830" s="2" customFormat="1"/>
    <row r="24831" s="2" customFormat="1"/>
    <row r="24832" s="2" customFormat="1"/>
    <row r="24833" s="2" customFormat="1"/>
    <row r="24834" s="2" customFormat="1"/>
    <row r="24835" s="2" customFormat="1"/>
    <row r="24836" s="2" customFormat="1"/>
    <row r="24837" s="2" customFormat="1"/>
    <row r="24838" s="2" customFormat="1"/>
    <row r="24839" s="2" customFormat="1"/>
    <row r="24840" s="2" customFormat="1"/>
    <row r="24841" s="2" customFormat="1"/>
    <row r="24842" s="2" customFormat="1"/>
    <row r="24843" s="2" customFormat="1"/>
    <row r="24844" s="2" customFormat="1"/>
    <row r="24845" s="2" customFormat="1"/>
    <row r="24846" s="2" customFormat="1"/>
    <row r="24847" s="2" customFormat="1"/>
    <row r="24848" s="2" customFormat="1"/>
    <row r="24849" s="2" customFormat="1"/>
    <row r="24850" s="2" customFormat="1"/>
    <row r="24851" s="2" customFormat="1"/>
    <row r="24852" s="2" customFormat="1"/>
    <row r="24853" s="2" customFormat="1"/>
    <row r="24854" s="2" customFormat="1"/>
    <row r="24855" s="2" customFormat="1"/>
    <row r="24856" s="2" customFormat="1"/>
    <row r="24857" s="2" customFormat="1"/>
    <row r="24858" s="2" customFormat="1"/>
    <row r="24859" s="2" customFormat="1"/>
    <row r="24860" s="2" customFormat="1"/>
    <row r="24861" s="2" customFormat="1"/>
    <row r="24862" s="2" customFormat="1"/>
    <row r="24863" s="2" customFormat="1"/>
    <row r="24864" s="2" customFormat="1"/>
    <row r="24865" s="2" customFormat="1"/>
    <row r="24866" s="2" customFormat="1"/>
    <row r="24867" s="2" customFormat="1"/>
    <row r="24868" s="2" customFormat="1"/>
    <row r="24869" s="2" customFormat="1"/>
    <row r="24870" s="2" customFormat="1"/>
    <row r="24871" s="2" customFormat="1"/>
    <row r="24872" s="2" customFormat="1"/>
    <row r="24873" s="2" customFormat="1"/>
    <row r="24874" s="2" customFormat="1"/>
    <row r="24875" s="2" customFormat="1"/>
    <row r="24876" s="2" customFormat="1"/>
    <row r="24877" s="2" customFormat="1"/>
    <row r="24878" s="2" customFormat="1"/>
    <row r="24879" s="2" customFormat="1"/>
    <row r="24880" s="2" customFormat="1"/>
    <row r="24881" s="2" customFormat="1"/>
    <row r="24882" s="2" customFormat="1"/>
    <row r="24883" s="2" customFormat="1"/>
    <row r="24884" s="2" customFormat="1"/>
    <row r="24885" s="2" customFormat="1"/>
    <row r="24886" s="2" customFormat="1"/>
    <row r="24887" s="2" customFormat="1"/>
    <row r="24888" s="2" customFormat="1"/>
    <row r="24889" s="2" customFormat="1"/>
    <row r="24890" s="2" customFormat="1"/>
    <row r="24891" s="2" customFormat="1"/>
    <row r="24892" s="2" customFormat="1"/>
    <row r="24893" s="2" customFormat="1"/>
    <row r="24894" s="2" customFormat="1"/>
    <row r="24895" s="2" customFormat="1"/>
    <row r="24896" s="2" customFormat="1"/>
    <row r="24897" s="2" customFormat="1"/>
    <row r="24898" s="2" customFormat="1"/>
    <row r="24899" s="2" customFormat="1"/>
    <row r="24900" s="2" customFormat="1"/>
    <row r="24901" s="2" customFormat="1"/>
    <row r="24902" s="2" customFormat="1"/>
    <row r="24903" s="2" customFormat="1"/>
    <row r="24904" s="2" customFormat="1"/>
    <row r="24905" s="2" customFormat="1"/>
    <row r="24906" s="2" customFormat="1"/>
    <row r="24907" s="2" customFormat="1"/>
    <row r="24908" s="2" customFormat="1"/>
    <row r="24909" s="2" customFormat="1"/>
    <row r="24910" s="2" customFormat="1"/>
    <row r="24911" s="2" customFormat="1"/>
    <row r="24912" s="2" customFormat="1"/>
    <row r="24913" s="2" customFormat="1"/>
    <row r="24914" s="2" customFormat="1"/>
    <row r="24915" s="2" customFormat="1"/>
    <row r="24916" s="2" customFormat="1"/>
    <row r="24917" s="2" customFormat="1"/>
    <row r="24918" s="2" customFormat="1"/>
    <row r="24919" s="2" customFormat="1"/>
    <row r="24920" s="2" customFormat="1"/>
    <row r="24921" s="2" customFormat="1"/>
    <row r="24922" s="2" customFormat="1"/>
    <row r="24923" s="2" customFormat="1"/>
    <row r="24924" s="2" customFormat="1"/>
    <row r="24925" s="2" customFormat="1"/>
    <row r="24926" s="2" customFormat="1"/>
    <row r="24927" s="2" customFormat="1"/>
    <row r="24928" s="2" customFormat="1"/>
    <row r="24929" s="2" customFormat="1"/>
    <row r="24930" s="2" customFormat="1"/>
    <row r="24931" s="2" customFormat="1"/>
    <row r="24932" s="2" customFormat="1"/>
    <row r="24933" s="2" customFormat="1"/>
    <row r="24934" s="2" customFormat="1"/>
    <row r="24935" s="2" customFormat="1"/>
    <row r="24936" s="2" customFormat="1"/>
    <row r="24937" s="2" customFormat="1"/>
    <row r="24938" s="2" customFormat="1"/>
    <row r="24939" s="2" customFormat="1"/>
    <row r="24940" s="2" customFormat="1"/>
    <row r="24941" s="2" customFormat="1"/>
    <row r="24942" s="2" customFormat="1"/>
    <row r="24943" s="2" customFormat="1"/>
    <row r="24944" s="2" customFormat="1"/>
    <row r="24945" s="2" customFormat="1"/>
    <row r="24946" s="2" customFormat="1"/>
    <row r="24947" s="2" customFormat="1"/>
    <row r="24948" s="2" customFormat="1"/>
    <row r="24949" s="2" customFormat="1"/>
    <row r="24950" s="2" customFormat="1"/>
    <row r="24951" s="2" customFormat="1"/>
    <row r="24952" s="2" customFormat="1"/>
    <row r="24953" s="2" customFormat="1"/>
    <row r="24954" s="2" customFormat="1"/>
    <row r="24955" s="2" customFormat="1"/>
    <row r="24956" s="2" customFormat="1"/>
    <row r="24957" s="2" customFormat="1"/>
    <row r="24958" s="2" customFormat="1"/>
    <row r="24959" s="2" customFormat="1"/>
    <row r="24960" s="2" customFormat="1"/>
    <row r="24961" s="2" customFormat="1"/>
    <row r="24962" s="2" customFormat="1"/>
    <row r="24963" s="2" customFormat="1"/>
    <row r="24964" s="2" customFormat="1"/>
    <row r="24965" s="2" customFormat="1"/>
    <row r="24966" s="2" customFormat="1"/>
    <row r="24967" s="2" customFormat="1"/>
    <row r="24968" s="2" customFormat="1"/>
    <row r="24969" s="2" customFormat="1"/>
    <row r="24970" s="2" customFormat="1"/>
    <row r="24971" s="2" customFormat="1"/>
    <row r="24972" s="2" customFormat="1"/>
    <row r="24973" s="2" customFormat="1"/>
    <row r="24974" s="2" customFormat="1"/>
    <row r="24975" s="2" customFormat="1"/>
    <row r="24976" s="2" customFormat="1"/>
    <row r="24977" s="2" customFormat="1"/>
    <row r="24978" s="2" customFormat="1"/>
    <row r="24979" s="2" customFormat="1"/>
    <row r="24980" s="2" customFormat="1"/>
    <row r="24981" s="2" customFormat="1"/>
    <row r="24982" s="2" customFormat="1"/>
    <row r="24983" s="2" customFormat="1"/>
    <row r="24984" s="2" customFormat="1"/>
    <row r="24985" s="2" customFormat="1"/>
    <row r="24986" s="2" customFormat="1"/>
    <row r="24987" s="2" customFormat="1"/>
    <row r="24988" s="2" customFormat="1"/>
    <row r="24989" s="2" customFormat="1"/>
    <row r="24990" s="2" customFormat="1"/>
    <row r="24991" s="2" customFormat="1"/>
    <row r="24992" s="2" customFormat="1"/>
    <row r="24993" s="2" customFormat="1"/>
    <row r="24994" s="2" customFormat="1"/>
    <row r="24995" s="2" customFormat="1"/>
    <row r="24996" s="2" customFormat="1"/>
    <row r="24997" s="2" customFormat="1"/>
    <row r="24998" s="2" customFormat="1"/>
    <row r="24999" s="2" customFormat="1"/>
    <row r="25000" s="2" customFormat="1"/>
    <row r="25001" s="2" customFormat="1"/>
    <row r="25002" s="2" customFormat="1"/>
    <row r="25003" s="2" customFormat="1"/>
    <row r="25004" s="2" customFormat="1"/>
    <row r="25005" s="2" customFormat="1"/>
    <row r="25006" s="2" customFormat="1"/>
    <row r="25007" s="2" customFormat="1"/>
    <row r="25008" s="2" customFormat="1"/>
    <row r="25009" s="2" customFormat="1"/>
    <row r="25010" s="2" customFormat="1"/>
    <row r="25011" s="2" customFormat="1"/>
    <row r="25012" s="2" customFormat="1"/>
    <row r="25013" s="2" customFormat="1"/>
    <row r="25014" s="2" customFormat="1"/>
    <row r="25015" s="2" customFormat="1"/>
    <row r="25016" s="2" customFormat="1"/>
    <row r="25017" s="2" customFormat="1"/>
    <row r="25018" s="2" customFormat="1"/>
    <row r="25019" s="2" customFormat="1"/>
    <row r="25020" s="2" customFormat="1"/>
    <row r="25021" s="2" customFormat="1"/>
    <row r="25022" s="2" customFormat="1"/>
    <row r="25023" s="2" customFormat="1"/>
    <row r="25024" s="2" customFormat="1"/>
    <row r="25025" s="2" customFormat="1"/>
    <row r="25026" s="2" customFormat="1"/>
    <row r="25027" s="2" customFormat="1"/>
    <row r="25028" s="2" customFormat="1"/>
    <row r="25029" s="2" customFormat="1"/>
    <row r="25030" s="2" customFormat="1"/>
    <row r="25031" s="2" customFormat="1"/>
    <row r="25032" s="2" customFormat="1"/>
    <row r="25033" s="2" customFormat="1"/>
    <row r="25034" s="2" customFormat="1"/>
    <row r="25035" s="2" customFormat="1"/>
    <row r="25036" s="2" customFormat="1"/>
    <row r="25037" s="2" customFormat="1"/>
    <row r="25038" s="2" customFormat="1"/>
    <row r="25039" s="2" customFormat="1"/>
    <row r="25040" s="2" customFormat="1"/>
    <row r="25041" s="2" customFormat="1"/>
    <row r="25042" s="2" customFormat="1"/>
    <row r="25043" s="2" customFormat="1"/>
    <row r="25044" s="2" customFormat="1"/>
    <row r="25045" s="2" customFormat="1"/>
    <row r="25046" s="2" customFormat="1"/>
    <row r="25047" s="2" customFormat="1"/>
    <row r="25048" s="2" customFormat="1"/>
    <row r="25049" s="2" customFormat="1"/>
    <row r="25050" s="2" customFormat="1"/>
    <row r="25051" s="2" customFormat="1"/>
    <row r="25052" s="2" customFormat="1"/>
    <row r="25053" s="2" customFormat="1"/>
    <row r="25054" s="2" customFormat="1"/>
    <row r="25055" s="2" customFormat="1"/>
    <row r="25056" s="2" customFormat="1"/>
    <row r="25057" s="2" customFormat="1"/>
    <row r="25058" s="2" customFormat="1"/>
    <row r="25059" s="2" customFormat="1"/>
    <row r="25060" s="2" customFormat="1"/>
    <row r="25061" s="2" customFormat="1"/>
    <row r="25062" s="2" customFormat="1"/>
    <row r="25063" s="2" customFormat="1"/>
    <row r="25064" s="2" customFormat="1"/>
    <row r="25065" s="2" customFormat="1"/>
    <row r="25066" s="2" customFormat="1"/>
    <row r="25067" s="2" customFormat="1"/>
    <row r="25068" s="2" customFormat="1"/>
    <row r="25069" s="2" customFormat="1"/>
    <row r="25070" s="2" customFormat="1"/>
    <row r="25071" s="2" customFormat="1"/>
    <row r="25072" s="2" customFormat="1"/>
    <row r="25073" s="2" customFormat="1"/>
    <row r="25074" s="2" customFormat="1"/>
    <row r="25075" s="2" customFormat="1"/>
    <row r="25076" s="2" customFormat="1"/>
    <row r="25077" s="2" customFormat="1"/>
    <row r="25078" s="2" customFormat="1"/>
    <row r="25079" s="2" customFormat="1"/>
    <row r="25080" s="2" customFormat="1"/>
    <row r="25081" s="2" customFormat="1"/>
    <row r="25082" s="2" customFormat="1"/>
    <row r="25083" s="2" customFormat="1"/>
    <row r="25084" s="2" customFormat="1"/>
    <row r="25085" s="2" customFormat="1"/>
    <row r="25086" s="2" customFormat="1"/>
    <row r="25087" s="2" customFormat="1"/>
    <row r="25088" s="2" customFormat="1"/>
    <row r="25089" s="2" customFormat="1"/>
    <row r="25090" s="2" customFormat="1"/>
    <row r="25091" s="2" customFormat="1"/>
    <row r="25092" s="2" customFormat="1"/>
    <row r="25093" s="2" customFormat="1"/>
    <row r="25094" s="2" customFormat="1"/>
    <row r="25095" s="2" customFormat="1"/>
    <row r="25096" s="2" customFormat="1"/>
    <row r="25097" s="2" customFormat="1"/>
    <row r="25098" s="2" customFormat="1"/>
    <row r="25099" s="2" customFormat="1"/>
    <row r="25100" s="2" customFormat="1"/>
    <row r="25101" s="2" customFormat="1"/>
    <row r="25102" s="2" customFormat="1"/>
    <row r="25103" s="2" customFormat="1"/>
    <row r="25104" s="2" customFormat="1"/>
    <row r="25105" s="2" customFormat="1"/>
    <row r="25106" s="2" customFormat="1"/>
    <row r="25107" s="2" customFormat="1"/>
    <row r="25108" s="2" customFormat="1"/>
    <row r="25109" s="2" customFormat="1"/>
    <row r="25110" s="2" customFormat="1"/>
    <row r="25111" s="2" customFormat="1"/>
    <row r="25112" s="2" customFormat="1"/>
    <row r="25113" s="2" customFormat="1"/>
    <row r="25114" s="2" customFormat="1"/>
    <row r="25115" s="2" customFormat="1"/>
    <row r="25116" s="2" customFormat="1"/>
    <row r="25117" s="2" customFormat="1"/>
    <row r="25118" s="2" customFormat="1"/>
    <row r="25119" s="2" customFormat="1"/>
    <row r="25120" s="2" customFormat="1"/>
    <row r="25121" s="2" customFormat="1"/>
    <row r="25122" s="2" customFormat="1"/>
    <row r="25123" s="2" customFormat="1"/>
    <row r="25124" s="2" customFormat="1"/>
    <row r="25125" s="2" customFormat="1"/>
    <row r="25126" s="2" customFormat="1"/>
    <row r="25127" s="2" customFormat="1"/>
    <row r="25128" s="2" customFormat="1"/>
    <row r="25129" s="2" customFormat="1"/>
    <row r="25130" s="2" customFormat="1"/>
    <row r="25131" s="2" customFormat="1"/>
    <row r="25132" s="2" customFormat="1"/>
    <row r="25133" s="2" customFormat="1"/>
    <row r="25134" s="2" customFormat="1"/>
    <row r="25135" s="2" customFormat="1"/>
    <row r="25136" s="2" customFormat="1"/>
    <row r="25137" s="2" customFormat="1"/>
    <row r="25138" s="2" customFormat="1"/>
    <row r="25139" s="2" customFormat="1"/>
    <row r="25140" s="2" customFormat="1"/>
    <row r="25141" s="2" customFormat="1"/>
    <row r="25142" s="2" customFormat="1"/>
    <row r="25143" s="2" customFormat="1"/>
    <row r="25144" s="2" customFormat="1"/>
    <row r="25145" s="2" customFormat="1"/>
    <row r="25146" s="2" customFormat="1"/>
    <row r="25147" s="2" customFormat="1"/>
    <row r="25148" s="2" customFormat="1"/>
    <row r="25149" s="2" customFormat="1"/>
    <row r="25150" s="2" customFormat="1"/>
    <row r="25151" s="2" customFormat="1"/>
    <row r="25152" s="2" customFormat="1"/>
    <row r="25153" s="2" customFormat="1"/>
    <row r="25154" s="2" customFormat="1"/>
    <row r="25155" s="2" customFormat="1"/>
    <row r="25156" s="2" customFormat="1"/>
    <row r="25157" s="2" customFormat="1"/>
    <row r="25158" s="2" customFormat="1"/>
    <row r="25159" s="2" customFormat="1"/>
    <row r="25160" s="2" customFormat="1"/>
    <row r="25161" s="2" customFormat="1"/>
    <row r="25162" s="2" customFormat="1"/>
    <row r="25163" s="2" customFormat="1"/>
    <row r="25164" s="2" customFormat="1"/>
    <row r="25165" s="2" customFormat="1"/>
    <row r="25166" s="2" customFormat="1"/>
    <row r="25167" s="2" customFormat="1"/>
    <row r="25168" s="2" customFormat="1"/>
    <row r="25169" s="2" customFormat="1"/>
    <row r="25170" s="2" customFormat="1"/>
    <row r="25171" s="2" customFormat="1"/>
    <row r="25172" s="2" customFormat="1"/>
    <row r="25173" s="2" customFormat="1"/>
    <row r="25174" s="2" customFormat="1"/>
    <row r="25175" s="2" customFormat="1"/>
    <row r="25176" s="2" customFormat="1"/>
    <row r="25177" s="2" customFormat="1"/>
    <row r="25178" s="2" customFormat="1"/>
    <row r="25179" s="2" customFormat="1"/>
    <row r="25180" s="2" customFormat="1"/>
    <row r="25181" s="2" customFormat="1"/>
    <row r="25182" s="2" customFormat="1"/>
    <row r="25183" s="2" customFormat="1"/>
    <row r="25184" s="2" customFormat="1"/>
    <row r="25185" s="2" customFormat="1"/>
    <row r="25186" s="2" customFormat="1"/>
    <row r="25187" s="2" customFormat="1"/>
    <row r="25188" s="2" customFormat="1"/>
    <row r="25189" s="2" customFormat="1"/>
    <row r="25190" s="2" customFormat="1"/>
    <row r="25191" s="2" customFormat="1"/>
    <row r="25192" s="2" customFormat="1"/>
    <row r="25193" s="2" customFormat="1"/>
    <row r="25194" s="2" customFormat="1"/>
    <row r="25195" s="2" customFormat="1"/>
    <row r="25196" s="2" customFormat="1"/>
    <row r="25197" s="2" customFormat="1"/>
    <row r="25198" s="2" customFormat="1"/>
    <row r="25199" s="2" customFormat="1"/>
    <row r="25200" s="2" customFormat="1"/>
    <row r="25201" s="2" customFormat="1"/>
    <row r="25202" s="2" customFormat="1"/>
    <row r="25203" s="2" customFormat="1"/>
    <row r="25204" s="2" customFormat="1"/>
    <row r="25205" s="2" customFormat="1"/>
    <row r="25206" s="2" customFormat="1"/>
    <row r="25207" s="2" customFormat="1"/>
    <row r="25208" s="2" customFormat="1"/>
    <row r="25209" s="2" customFormat="1"/>
    <row r="25210" s="2" customFormat="1"/>
    <row r="25211" s="2" customFormat="1"/>
    <row r="25212" s="2" customFormat="1"/>
    <row r="25213" s="2" customFormat="1"/>
    <row r="25214" s="2" customFormat="1"/>
    <row r="25215" s="2" customFormat="1"/>
    <row r="25216" s="2" customFormat="1"/>
    <row r="25217" s="2" customFormat="1"/>
    <row r="25218" s="2" customFormat="1"/>
    <row r="25219" s="2" customFormat="1"/>
    <row r="25220" s="2" customFormat="1"/>
    <row r="25221" s="2" customFormat="1"/>
    <row r="25222" s="2" customFormat="1"/>
    <row r="25223" s="2" customFormat="1"/>
    <row r="25224" s="2" customFormat="1"/>
    <row r="25225" s="2" customFormat="1"/>
    <row r="25226" s="2" customFormat="1"/>
    <row r="25227" s="2" customFormat="1"/>
    <row r="25228" s="2" customFormat="1"/>
    <row r="25229" s="2" customFormat="1"/>
    <row r="25230" s="2" customFormat="1"/>
    <row r="25231" s="2" customFormat="1"/>
    <row r="25232" s="2" customFormat="1"/>
    <row r="25233" s="2" customFormat="1"/>
    <row r="25234" s="2" customFormat="1"/>
    <row r="25235" s="2" customFormat="1"/>
    <row r="25236" s="2" customFormat="1"/>
    <row r="25237" s="2" customFormat="1"/>
    <row r="25238" s="2" customFormat="1"/>
    <row r="25239" s="2" customFormat="1"/>
    <row r="25240" s="2" customFormat="1"/>
    <row r="25241" s="2" customFormat="1"/>
    <row r="25242" s="2" customFormat="1"/>
    <row r="25243" s="2" customFormat="1"/>
    <row r="25244" s="2" customFormat="1"/>
    <row r="25245" s="2" customFormat="1"/>
    <row r="25246" s="2" customFormat="1"/>
    <row r="25247" s="2" customFormat="1"/>
    <row r="25248" s="2" customFormat="1"/>
    <row r="25249" s="2" customFormat="1"/>
    <row r="25250" s="2" customFormat="1"/>
    <row r="25251" s="2" customFormat="1"/>
    <row r="25252" s="2" customFormat="1"/>
    <row r="25253" s="2" customFormat="1"/>
    <row r="25254" s="2" customFormat="1"/>
    <row r="25255" s="2" customFormat="1"/>
    <row r="25256" s="2" customFormat="1"/>
    <row r="25257" s="2" customFormat="1"/>
    <row r="25258" s="2" customFormat="1"/>
    <row r="25259" s="2" customFormat="1"/>
    <row r="25260" s="2" customFormat="1"/>
    <row r="25261" s="2" customFormat="1"/>
    <row r="25262" s="2" customFormat="1"/>
    <row r="25263" s="2" customFormat="1"/>
    <row r="25264" s="2" customFormat="1"/>
    <row r="25265" s="2" customFormat="1"/>
    <row r="25266" s="2" customFormat="1"/>
    <row r="25267" s="2" customFormat="1"/>
    <row r="25268" s="2" customFormat="1"/>
    <row r="25269" s="2" customFormat="1"/>
    <row r="25270" s="2" customFormat="1"/>
    <row r="25271" s="2" customFormat="1"/>
    <row r="25272" s="2" customFormat="1"/>
    <row r="25273" s="2" customFormat="1"/>
    <row r="25274" s="2" customFormat="1"/>
    <row r="25275" s="2" customFormat="1"/>
    <row r="25276" s="2" customFormat="1"/>
    <row r="25277" s="2" customFormat="1"/>
    <row r="25278" s="2" customFormat="1"/>
    <row r="25279" s="2" customFormat="1"/>
    <row r="25280" s="2" customFormat="1"/>
    <row r="25281" s="2" customFormat="1"/>
    <row r="25282" s="2" customFormat="1"/>
    <row r="25283" s="2" customFormat="1"/>
    <row r="25284" s="2" customFormat="1"/>
    <row r="25285" s="2" customFormat="1"/>
    <row r="25286" s="2" customFormat="1"/>
    <row r="25287" s="2" customFormat="1"/>
    <row r="25288" s="2" customFormat="1"/>
    <row r="25289" s="2" customFormat="1"/>
    <row r="25290" s="2" customFormat="1"/>
    <row r="25291" s="2" customFormat="1"/>
    <row r="25292" s="2" customFormat="1"/>
    <row r="25293" s="2" customFormat="1"/>
    <row r="25294" s="2" customFormat="1"/>
    <row r="25295" s="2" customFormat="1"/>
    <row r="25296" s="2" customFormat="1"/>
    <row r="25297" s="2" customFormat="1"/>
    <row r="25298" s="2" customFormat="1"/>
    <row r="25299" s="2" customFormat="1"/>
    <row r="25300" s="2" customFormat="1"/>
    <row r="25301" s="2" customFormat="1"/>
    <row r="25302" s="2" customFormat="1"/>
    <row r="25303" s="2" customFormat="1"/>
    <row r="25304" s="2" customFormat="1"/>
    <row r="25305" s="2" customFormat="1"/>
    <row r="25306" s="2" customFormat="1"/>
    <row r="25307" s="2" customFormat="1"/>
    <row r="25308" s="2" customFormat="1"/>
    <row r="25309" s="2" customFormat="1"/>
    <row r="25310" s="2" customFormat="1"/>
    <row r="25311" s="2" customFormat="1"/>
    <row r="25312" s="2" customFormat="1"/>
    <row r="25313" s="2" customFormat="1"/>
    <row r="25314" s="2" customFormat="1"/>
    <row r="25315" s="2" customFormat="1"/>
    <row r="25316" s="2" customFormat="1"/>
    <row r="25317" s="2" customFormat="1"/>
    <row r="25318" s="2" customFormat="1"/>
    <row r="25319" s="2" customFormat="1"/>
    <row r="25320" s="2" customFormat="1"/>
    <row r="25321" s="2" customFormat="1"/>
    <row r="25322" s="2" customFormat="1"/>
    <row r="25323" s="2" customFormat="1"/>
    <row r="25324" s="2" customFormat="1"/>
    <row r="25325" s="2" customFormat="1"/>
    <row r="25326" s="2" customFormat="1"/>
    <row r="25327" s="2" customFormat="1"/>
    <row r="25328" s="2" customFormat="1"/>
    <row r="25329" s="2" customFormat="1"/>
    <row r="25330" s="2" customFormat="1"/>
    <row r="25331" s="2" customFormat="1"/>
    <row r="25332" s="2" customFormat="1"/>
    <row r="25333" s="2" customFormat="1"/>
    <row r="25334" s="2" customFormat="1"/>
    <row r="25335" s="2" customFormat="1"/>
    <row r="25336" s="2" customFormat="1"/>
    <row r="25337" s="2" customFormat="1"/>
    <row r="25338" s="2" customFormat="1"/>
    <row r="25339" s="2" customFormat="1"/>
    <row r="25340" s="2" customFormat="1"/>
    <row r="25341" s="2" customFormat="1"/>
    <row r="25342" s="2" customFormat="1"/>
    <row r="25343" s="2" customFormat="1"/>
    <row r="25344" s="2" customFormat="1"/>
    <row r="25345" s="2" customFormat="1"/>
    <row r="25346" s="2" customFormat="1"/>
    <row r="25347" s="2" customFormat="1"/>
    <row r="25348" s="2" customFormat="1"/>
    <row r="25349" s="2" customFormat="1"/>
    <row r="25350" s="2" customFormat="1"/>
    <row r="25351" s="2" customFormat="1"/>
    <row r="25352" s="2" customFormat="1"/>
    <row r="25353" s="2" customFormat="1"/>
    <row r="25354" s="2" customFormat="1"/>
    <row r="25355" s="2" customFormat="1"/>
    <row r="25356" s="2" customFormat="1"/>
    <row r="25357" s="2" customFormat="1"/>
    <row r="25358" s="2" customFormat="1"/>
    <row r="25359" s="2" customFormat="1"/>
    <row r="25360" s="2" customFormat="1"/>
    <row r="25361" s="2" customFormat="1"/>
    <row r="25362" s="2" customFormat="1"/>
    <row r="25363" s="2" customFormat="1"/>
    <row r="25364" s="2" customFormat="1"/>
    <row r="25365" s="2" customFormat="1"/>
    <row r="25366" s="2" customFormat="1"/>
    <row r="25367" s="2" customFormat="1"/>
    <row r="25368" s="2" customFormat="1"/>
    <row r="25369" s="2" customFormat="1"/>
    <row r="25370" s="2" customFormat="1"/>
    <row r="25371" s="2" customFormat="1"/>
    <row r="25372" s="2" customFormat="1"/>
    <row r="25373" s="2" customFormat="1"/>
    <row r="25374" s="2" customFormat="1"/>
    <row r="25375" s="2" customFormat="1"/>
    <row r="25376" s="2" customFormat="1"/>
    <row r="25377" s="2" customFormat="1"/>
    <row r="25378" s="2" customFormat="1"/>
    <row r="25379" s="2" customFormat="1"/>
    <row r="25380" s="2" customFormat="1"/>
    <row r="25381" s="2" customFormat="1"/>
    <row r="25382" s="2" customFormat="1"/>
    <row r="25383" s="2" customFormat="1"/>
    <row r="25384" s="2" customFormat="1"/>
    <row r="25385" s="2" customFormat="1"/>
    <row r="25386" s="2" customFormat="1"/>
    <row r="25387" s="2" customFormat="1"/>
    <row r="25388" s="2" customFormat="1"/>
    <row r="25389" s="2" customFormat="1"/>
    <row r="25390" s="2" customFormat="1"/>
    <row r="25391" s="2" customFormat="1"/>
    <row r="25392" s="2" customFormat="1"/>
    <row r="25393" s="2" customFormat="1"/>
    <row r="25394" s="2" customFormat="1"/>
    <row r="25395" s="2" customFormat="1"/>
    <row r="25396" s="2" customFormat="1"/>
    <row r="25397" s="2" customFormat="1"/>
    <row r="25398" s="2" customFormat="1"/>
    <row r="25399" s="2" customFormat="1"/>
    <row r="25400" s="2" customFormat="1"/>
    <row r="25401" s="2" customFormat="1"/>
    <row r="25402" s="2" customFormat="1"/>
    <row r="25403" s="2" customFormat="1"/>
    <row r="25404" s="2" customFormat="1"/>
    <row r="25405" s="2" customFormat="1"/>
    <row r="25406" s="2" customFormat="1"/>
    <row r="25407" s="2" customFormat="1"/>
    <row r="25408" s="2" customFormat="1"/>
    <row r="25409" s="2" customFormat="1"/>
    <row r="25410" s="2" customFormat="1"/>
    <row r="25411" s="2" customFormat="1"/>
    <row r="25412" s="2" customFormat="1"/>
    <row r="25413" s="2" customFormat="1"/>
    <row r="25414" s="2" customFormat="1"/>
    <row r="25415" s="2" customFormat="1"/>
    <row r="25416" s="2" customFormat="1"/>
    <row r="25417" s="2" customFormat="1"/>
    <row r="25418" s="2" customFormat="1"/>
    <row r="25419" s="2" customFormat="1"/>
    <row r="25420" s="2" customFormat="1"/>
    <row r="25421" s="2" customFormat="1"/>
    <row r="25422" s="2" customFormat="1"/>
    <row r="25423" s="2" customFormat="1"/>
    <row r="25424" s="2" customFormat="1"/>
    <row r="25425" s="2" customFormat="1"/>
    <row r="25426" s="2" customFormat="1"/>
    <row r="25427" s="2" customFormat="1"/>
    <row r="25428" s="2" customFormat="1"/>
    <row r="25429" s="2" customFormat="1"/>
    <row r="25430" s="2" customFormat="1"/>
    <row r="25431" s="2" customFormat="1"/>
    <row r="25432" s="2" customFormat="1"/>
    <row r="25433" s="2" customFormat="1"/>
    <row r="25434" s="2" customFormat="1"/>
    <row r="25435" s="2" customFormat="1"/>
    <row r="25436" s="2" customFormat="1"/>
    <row r="25437" s="2" customFormat="1"/>
    <row r="25438" s="2" customFormat="1"/>
    <row r="25439" s="2" customFormat="1"/>
    <row r="25440" s="2" customFormat="1"/>
    <row r="25441" s="2" customFormat="1"/>
    <row r="25442" s="2" customFormat="1"/>
    <row r="25443" s="2" customFormat="1"/>
    <row r="25444" s="2" customFormat="1"/>
    <row r="25445" s="2" customFormat="1"/>
    <row r="25446" s="2" customFormat="1"/>
    <row r="25447" s="2" customFormat="1"/>
    <row r="25448" s="2" customFormat="1"/>
    <row r="25449" s="2" customFormat="1"/>
    <row r="25450" s="2" customFormat="1"/>
    <row r="25451" s="2" customFormat="1"/>
    <row r="25452" s="2" customFormat="1"/>
    <row r="25453" s="2" customFormat="1"/>
    <row r="25454" s="2" customFormat="1"/>
    <row r="25455" s="2" customFormat="1"/>
    <row r="25456" s="2" customFormat="1"/>
    <row r="25457" s="2" customFormat="1"/>
    <row r="25458" s="2" customFormat="1"/>
    <row r="25459" s="2" customFormat="1"/>
    <row r="25460" s="2" customFormat="1"/>
    <row r="25461" s="2" customFormat="1"/>
    <row r="25462" s="2" customFormat="1"/>
    <row r="25463" s="2" customFormat="1"/>
    <row r="25464" s="2" customFormat="1"/>
    <row r="25465" s="2" customFormat="1"/>
    <row r="25466" s="2" customFormat="1"/>
    <row r="25467" s="2" customFormat="1"/>
    <row r="25468" s="2" customFormat="1"/>
    <row r="25469" s="2" customFormat="1"/>
    <row r="25470" s="2" customFormat="1"/>
    <row r="25471" s="2" customFormat="1"/>
    <row r="25472" s="2" customFormat="1"/>
    <row r="25473" s="2" customFormat="1"/>
    <row r="25474" s="2" customFormat="1"/>
    <row r="25475" s="2" customFormat="1"/>
    <row r="25476" s="2" customFormat="1"/>
    <row r="25477" s="2" customFormat="1"/>
    <row r="25478" s="2" customFormat="1"/>
    <row r="25479" s="2" customFormat="1"/>
    <row r="25480" s="2" customFormat="1"/>
    <row r="25481" s="2" customFormat="1"/>
    <row r="25482" s="2" customFormat="1"/>
    <row r="25483" s="2" customFormat="1"/>
    <row r="25484" s="2" customFormat="1"/>
    <row r="25485" s="2" customFormat="1"/>
    <row r="25486" s="2" customFormat="1"/>
    <row r="25487" s="2" customFormat="1"/>
    <row r="25488" s="2" customFormat="1"/>
    <row r="25489" s="2" customFormat="1"/>
    <row r="25490" s="2" customFormat="1"/>
    <row r="25491" s="2" customFormat="1"/>
    <row r="25492" s="2" customFormat="1"/>
    <row r="25493" s="2" customFormat="1"/>
    <row r="25494" s="2" customFormat="1"/>
    <row r="25495" s="2" customFormat="1"/>
    <row r="25496" s="2" customFormat="1"/>
    <row r="25497" s="2" customFormat="1"/>
    <row r="25498" s="2" customFormat="1"/>
    <row r="25499" s="2" customFormat="1"/>
    <row r="25500" s="2" customFormat="1"/>
    <row r="25501" s="2" customFormat="1"/>
    <row r="25502" s="2" customFormat="1"/>
    <row r="25503" s="2" customFormat="1"/>
    <row r="25504" s="2" customFormat="1"/>
    <row r="25505" s="2" customFormat="1"/>
    <row r="25506" s="2" customFormat="1"/>
    <row r="25507" s="2" customFormat="1"/>
    <row r="25508" s="2" customFormat="1"/>
    <row r="25509" s="2" customFormat="1"/>
    <row r="25510" s="2" customFormat="1"/>
    <row r="25511" s="2" customFormat="1"/>
    <row r="25512" s="2" customFormat="1"/>
    <row r="25513" s="2" customFormat="1"/>
    <row r="25514" s="2" customFormat="1"/>
    <row r="25515" s="2" customFormat="1"/>
    <row r="25516" s="2" customFormat="1"/>
    <row r="25517" s="2" customFormat="1"/>
    <row r="25518" s="2" customFormat="1"/>
    <row r="25519" s="2" customFormat="1"/>
    <row r="25520" s="2" customFormat="1"/>
    <row r="25521" s="2" customFormat="1"/>
    <row r="25522" s="2" customFormat="1"/>
    <row r="25523" s="2" customFormat="1"/>
    <row r="25524" s="2" customFormat="1"/>
    <row r="25525" s="2" customFormat="1"/>
    <row r="25526" s="2" customFormat="1"/>
    <row r="25527" s="2" customFormat="1"/>
    <row r="25528" s="2" customFormat="1"/>
    <row r="25529" s="2" customFormat="1"/>
    <row r="25530" s="2" customFormat="1"/>
    <row r="25531" s="2" customFormat="1"/>
    <row r="25532" s="2" customFormat="1"/>
    <row r="25533" s="2" customFormat="1"/>
    <row r="25534" s="2" customFormat="1"/>
    <row r="25535" s="2" customFormat="1"/>
    <row r="25536" s="2" customFormat="1"/>
    <row r="25537" s="2" customFormat="1"/>
    <row r="25538" s="2" customFormat="1"/>
    <row r="25539" s="2" customFormat="1"/>
    <row r="25540" s="2" customFormat="1"/>
    <row r="25541" s="2" customFormat="1"/>
    <row r="25542" s="2" customFormat="1"/>
    <row r="25543" s="2" customFormat="1"/>
    <row r="25544" s="2" customFormat="1"/>
    <row r="25545" s="2" customFormat="1"/>
    <row r="25546" s="2" customFormat="1"/>
    <row r="25547" s="2" customFormat="1"/>
    <row r="25548" s="2" customFormat="1"/>
    <row r="25549" s="2" customFormat="1"/>
    <row r="25550" s="2" customFormat="1"/>
    <row r="25551" s="2" customFormat="1"/>
    <row r="25552" s="2" customFormat="1"/>
    <row r="25553" s="2" customFormat="1"/>
    <row r="25554" s="2" customFormat="1"/>
    <row r="25555" s="2" customFormat="1"/>
    <row r="25556" s="2" customFormat="1"/>
    <row r="25557" s="2" customFormat="1"/>
    <row r="25558" s="2" customFormat="1"/>
    <row r="25559" s="2" customFormat="1"/>
    <row r="25560" s="2" customFormat="1"/>
    <row r="25561" s="2" customFormat="1"/>
    <row r="25562" s="2" customFormat="1"/>
    <row r="25563" s="2" customFormat="1"/>
    <row r="25564" s="2" customFormat="1"/>
    <row r="25565" s="2" customFormat="1"/>
    <row r="25566" s="2" customFormat="1"/>
    <row r="25567" s="2" customFormat="1"/>
    <row r="25568" s="2" customFormat="1"/>
    <row r="25569" s="2" customFormat="1"/>
    <row r="25570" s="2" customFormat="1"/>
    <row r="25571" s="2" customFormat="1"/>
    <row r="25572" s="2" customFormat="1"/>
    <row r="25573" s="2" customFormat="1"/>
    <row r="25574" s="2" customFormat="1"/>
    <row r="25575" s="2" customFormat="1"/>
    <row r="25576" s="2" customFormat="1"/>
    <row r="25577" s="2" customFormat="1"/>
    <row r="25578" s="2" customFormat="1"/>
    <row r="25579" s="2" customFormat="1"/>
    <row r="25580" s="2" customFormat="1"/>
    <row r="25581" s="2" customFormat="1"/>
    <row r="25582" s="2" customFormat="1"/>
    <row r="25583" s="2" customFormat="1"/>
    <row r="25584" s="2" customFormat="1"/>
    <row r="25585" s="2" customFormat="1"/>
    <row r="25586" s="2" customFormat="1"/>
    <row r="25587" s="2" customFormat="1"/>
    <row r="25588" s="2" customFormat="1"/>
    <row r="25589" s="2" customFormat="1"/>
    <row r="25590" s="2" customFormat="1"/>
    <row r="25591" s="2" customFormat="1"/>
    <row r="25592" s="2" customFormat="1"/>
    <row r="25593" s="2" customFormat="1"/>
    <row r="25594" s="2" customFormat="1"/>
    <row r="25595" s="2" customFormat="1"/>
    <row r="25596" s="2" customFormat="1"/>
    <row r="25597" s="2" customFormat="1"/>
    <row r="25598" s="2" customFormat="1"/>
    <row r="25599" s="2" customFormat="1"/>
    <row r="25600" s="2" customFormat="1"/>
    <row r="25601" s="2" customFormat="1"/>
    <row r="25602" s="2" customFormat="1"/>
    <row r="25603" s="2" customFormat="1"/>
    <row r="25604" s="2" customFormat="1"/>
    <row r="25605" s="2" customFormat="1"/>
    <row r="25606" s="2" customFormat="1"/>
    <row r="25607" s="2" customFormat="1"/>
    <row r="25608" s="2" customFormat="1"/>
    <row r="25609" s="2" customFormat="1"/>
    <row r="25610" s="2" customFormat="1"/>
    <row r="25611" s="2" customFormat="1"/>
    <row r="25612" s="2" customFormat="1"/>
    <row r="25613" s="2" customFormat="1"/>
    <row r="25614" s="2" customFormat="1"/>
    <row r="25615" s="2" customFormat="1"/>
    <row r="25616" s="2" customFormat="1"/>
    <row r="25617" s="2" customFormat="1"/>
    <row r="25618" s="2" customFormat="1"/>
    <row r="25619" s="2" customFormat="1"/>
    <row r="25620" s="2" customFormat="1"/>
    <row r="25621" s="2" customFormat="1"/>
    <row r="25622" s="2" customFormat="1"/>
    <row r="25623" s="2" customFormat="1"/>
    <row r="25624" s="2" customFormat="1"/>
    <row r="25625" s="2" customFormat="1"/>
    <row r="25626" s="2" customFormat="1"/>
    <row r="25627" s="2" customFormat="1"/>
    <row r="25628" s="2" customFormat="1"/>
    <row r="25629" s="2" customFormat="1"/>
    <row r="25630" s="2" customFormat="1"/>
    <row r="25631" s="2" customFormat="1"/>
    <row r="25632" s="2" customFormat="1"/>
    <row r="25633" s="2" customFormat="1"/>
    <row r="25634" s="2" customFormat="1"/>
    <row r="25635" s="2" customFormat="1"/>
    <row r="25636" s="2" customFormat="1"/>
    <row r="25637" s="2" customFormat="1"/>
    <row r="25638" s="2" customFormat="1"/>
    <row r="25639" s="2" customFormat="1"/>
    <row r="25640" s="2" customFormat="1"/>
    <row r="25641" s="2" customFormat="1"/>
    <row r="25642" s="2" customFormat="1"/>
    <row r="25643" s="2" customFormat="1"/>
    <row r="25644" s="2" customFormat="1"/>
    <row r="25645" s="2" customFormat="1"/>
    <row r="25646" s="2" customFormat="1"/>
    <row r="25647" s="2" customFormat="1"/>
    <row r="25648" s="2" customFormat="1"/>
    <row r="25649" s="2" customFormat="1"/>
    <row r="25650" s="2" customFormat="1"/>
    <row r="25651" s="2" customFormat="1"/>
    <row r="25652" s="2" customFormat="1"/>
    <row r="25653" s="2" customFormat="1"/>
    <row r="25654" s="2" customFormat="1"/>
    <row r="25655" s="2" customFormat="1"/>
    <row r="25656" s="2" customFormat="1"/>
    <row r="25657" s="2" customFormat="1"/>
    <row r="25658" s="2" customFormat="1"/>
    <row r="25659" s="2" customFormat="1"/>
    <row r="25660" s="2" customFormat="1"/>
    <row r="25661" s="2" customFormat="1"/>
    <row r="25662" s="2" customFormat="1"/>
    <row r="25663" s="2" customFormat="1"/>
    <row r="25664" s="2" customFormat="1"/>
    <row r="25665" s="2" customFormat="1"/>
    <row r="25666" s="2" customFormat="1"/>
    <row r="25667" s="2" customFormat="1"/>
    <row r="25668" s="2" customFormat="1"/>
    <row r="25669" s="2" customFormat="1"/>
    <row r="25670" s="2" customFormat="1"/>
    <row r="25671" s="2" customFormat="1"/>
    <row r="25672" s="2" customFormat="1"/>
    <row r="25673" s="2" customFormat="1"/>
    <row r="25674" s="2" customFormat="1"/>
    <row r="25675" s="2" customFormat="1"/>
    <row r="25676" s="2" customFormat="1"/>
    <row r="25677" s="2" customFormat="1"/>
    <row r="25678" s="2" customFormat="1"/>
    <row r="25679" s="2" customFormat="1"/>
    <row r="25680" s="2" customFormat="1"/>
    <row r="25681" s="2" customFormat="1"/>
    <row r="25682" s="2" customFormat="1"/>
    <row r="25683" s="2" customFormat="1"/>
    <row r="25684" s="2" customFormat="1"/>
    <row r="25685" s="2" customFormat="1"/>
    <row r="25686" s="2" customFormat="1"/>
    <row r="25687" s="2" customFormat="1"/>
    <row r="25688" s="2" customFormat="1"/>
    <row r="25689" s="2" customFormat="1"/>
    <row r="25690" s="2" customFormat="1"/>
    <row r="25691" s="2" customFormat="1"/>
    <row r="25692" s="2" customFormat="1"/>
    <row r="25693" s="2" customFormat="1"/>
    <row r="25694" s="2" customFormat="1"/>
    <row r="25695" s="2" customFormat="1"/>
    <row r="25696" s="2" customFormat="1"/>
    <row r="25697" s="2" customFormat="1"/>
    <row r="25698" s="2" customFormat="1"/>
    <row r="25699" s="2" customFormat="1"/>
    <row r="25700" s="2" customFormat="1"/>
    <row r="25701" s="2" customFormat="1"/>
    <row r="25702" s="2" customFormat="1"/>
    <row r="25703" s="2" customFormat="1"/>
    <row r="25704" s="2" customFormat="1"/>
    <row r="25705" s="2" customFormat="1"/>
    <row r="25706" s="2" customFormat="1"/>
    <row r="25707" s="2" customFormat="1"/>
    <row r="25708" s="2" customFormat="1"/>
    <row r="25709" s="2" customFormat="1"/>
    <row r="25710" s="2" customFormat="1"/>
    <row r="25711" s="2" customFormat="1"/>
    <row r="25712" s="2" customFormat="1"/>
    <row r="25713" s="2" customFormat="1"/>
    <row r="25714" s="2" customFormat="1"/>
    <row r="25715" s="2" customFormat="1"/>
    <row r="25716" s="2" customFormat="1"/>
    <row r="25717" s="2" customFormat="1"/>
    <row r="25718" s="2" customFormat="1"/>
    <row r="25719" s="2" customFormat="1"/>
    <row r="25720" s="2" customFormat="1"/>
    <row r="25721" s="2" customFormat="1"/>
    <row r="25722" s="2" customFormat="1"/>
    <row r="25723" s="2" customFormat="1"/>
    <row r="25724" s="2" customFormat="1"/>
    <row r="25725" s="2" customFormat="1"/>
    <row r="25726" s="2" customFormat="1"/>
    <row r="25727" s="2" customFormat="1"/>
    <row r="25728" s="2" customFormat="1"/>
    <row r="25729" s="2" customFormat="1"/>
    <row r="25730" s="2" customFormat="1"/>
    <row r="25731" s="2" customFormat="1"/>
    <row r="25732" s="2" customFormat="1"/>
    <row r="25733" s="2" customFormat="1"/>
    <row r="25734" s="2" customFormat="1"/>
    <row r="25735" s="2" customFormat="1"/>
    <row r="25736" s="2" customFormat="1"/>
    <row r="25737" s="2" customFormat="1"/>
    <row r="25738" s="2" customFormat="1"/>
    <row r="25739" s="2" customFormat="1"/>
    <row r="25740" s="2" customFormat="1"/>
    <row r="25741" s="2" customFormat="1"/>
    <row r="25742" s="2" customFormat="1"/>
    <row r="25743" s="2" customFormat="1"/>
    <row r="25744" s="2" customFormat="1"/>
    <row r="25745" s="2" customFormat="1"/>
    <row r="25746" s="2" customFormat="1"/>
    <row r="25747" s="2" customFormat="1"/>
    <row r="25748" s="2" customFormat="1"/>
    <row r="25749" s="2" customFormat="1"/>
    <row r="25750" s="2" customFormat="1"/>
    <row r="25751" s="2" customFormat="1"/>
    <row r="25752" s="2" customFormat="1"/>
    <row r="25753" s="2" customFormat="1"/>
    <row r="25754" s="2" customFormat="1"/>
    <row r="25755" s="2" customFormat="1"/>
    <row r="25756" s="2" customFormat="1"/>
    <row r="25757" s="2" customFormat="1"/>
    <row r="25758" s="2" customFormat="1"/>
    <row r="25759" s="2" customFormat="1"/>
    <row r="25760" s="2" customFormat="1"/>
    <row r="25761" s="2" customFormat="1"/>
    <row r="25762" s="2" customFormat="1"/>
    <row r="25763" s="2" customFormat="1"/>
    <row r="25764" s="2" customFormat="1"/>
    <row r="25765" s="2" customFormat="1"/>
    <row r="25766" s="2" customFormat="1"/>
    <row r="25767" s="2" customFormat="1"/>
    <row r="25768" s="2" customFormat="1"/>
    <row r="25769" s="2" customFormat="1"/>
    <row r="25770" s="2" customFormat="1"/>
    <row r="25771" s="2" customFormat="1"/>
    <row r="25772" s="2" customFormat="1"/>
    <row r="25773" s="2" customFormat="1"/>
    <row r="25774" s="2" customFormat="1"/>
    <row r="25775" s="2" customFormat="1"/>
    <row r="25776" s="2" customFormat="1"/>
    <row r="25777" s="2" customFormat="1"/>
    <row r="25778" s="2" customFormat="1"/>
    <row r="25779" s="2" customFormat="1"/>
    <row r="25780" s="2" customFormat="1"/>
    <row r="25781" s="2" customFormat="1"/>
    <row r="25782" s="2" customFormat="1"/>
    <row r="25783" s="2" customFormat="1"/>
    <row r="25784" s="2" customFormat="1"/>
    <row r="25785" s="2" customFormat="1"/>
    <row r="25786" s="2" customFormat="1"/>
    <row r="25787" s="2" customFormat="1"/>
    <row r="25788" s="2" customFormat="1"/>
    <row r="25789" s="2" customFormat="1"/>
    <row r="25790" s="2" customFormat="1"/>
    <row r="25791" s="2" customFormat="1"/>
    <row r="25792" s="2" customFormat="1"/>
    <row r="25793" s="2" customFormat="1"/>
    <row r="25794" s="2" customFormat="1"/>
    <row r="25795" s="2" customFormat="1"/>
    <row r="25796" s="2" customFormat="1"/>
    <row r="25797" s="2" customFormat="1"/>
    <row r="25798" s="2" customFormat="1"/>
    <row r="25799" s="2" customFormat="1"/>
    <row r="25800" s="2" customFormat="1"/>
    <row r="25801" s="2" customFormat="1"/>
    <row r="25802" s="2" customFormat="1"/>
    <row r="25803" s="2" customFormat="1"/>
    <row r="25804" s="2" customFormat="1"/>
    <row r="25805" s="2" customFormat="1"/>
    <row r="25806" s="2" customFormat="1"/>
    <row r="25807" s="2" customFormat="1"/>
    <row r="25808" s="2" customFormat="1"/>
    <row r="25809" s="2" customFormat="1"/>
    <row r="25810" s="2" customFormat="1"/>
    <row r="25811" s="2" customFormat="1"/>
    <row r="25812" s="2" customFormat="1"/>
    <row r="25813" s="2" customFormat="1"/>
    <row r="25814" s="2" customFormat="1"/>
    <row r="25815" s="2" customFormat="1"/>
    <row r="25816" s="2" customFormat="1"/>
    <row r="25817" s="2" customFormat="1"/>
    <row r="25818" s="2" customFormat="1"/>
    <row r="25819" s="2" customFormat="1"/>
    <row r="25820" s="2" customFormat="1"/>
    <row r="25821" s="2" customFormat="1"/>
    <row r="25822" s="2" customFormat="1"/>
    <row r="25823" s="2" customFormat="1"/>
    <row r="25824" s="2" customFormat="1"/>
    <row r="25825" s="2" customFormat="1"/>
    <row r="25826" s="2" customFormat="1"/>
    <row r="25827" s="2" customFormat="1"/>
    <row r="25828" s="2" customFormat="1"/>
    <row r="25829" s="2" customFormat="1"/>
    <row r="25830" s="2" customFormat="1"/>
    <row r="25831" s="2" customFormat="1"/>
    <row r="25832" s="2" customFormat="1"/>
    <row r="25833" s="2" customFormat="1"/>
    <row r="25834" s="2" customFormat="1"/>
    <row r="25835" s="2" customFormat="1"/>
    <row r="25836" s="2" customFormat="1"/>
    <row r="25837" s="2" customFormat="1"/>
    <row r="25838" s="2" customFormat="1"/>
    <row r="25839" s="2" customFormat="1"/>
    <row r="25840" s="2" customFormat="1"/>
    <row r="25841" s="2" customFormat="1"/>
    <row r="25842" s="2" customFormat="1"/>
    <row r="25843" s="2" customFormat="1"/>
    <row r="25844" s="2" customFormat="1"/>
    <row r="25845" s="2" customFormat="1"/>
    <row r="25846" s="2" customFormat="1"/>
    <row r="25847" s="2" customFormat="1"/>
    <row r="25848" s="2" customFormat="1"/>
    <row r="25849" s="2" customFormat="1"/>
    <row r="25850" s="2" customFormat="1"/>
    <row r="25851" s="2" customFormat="1"/>
    <row r="25852" s="2" customFormat="1"/>
    <row r="25853" s="2" customFormat="1"/>
    <row r="25854" s="2" customFormat="1"/>
    <row r="25855" s="2" customFormat="1"/>
    <row r="25856" s="2" customFormat="1"/>
    <row r="25857" s="2" customFormat="1"/>
    <row r="25858" s="2" customFormat="1"/>
    <row r="25859" s="2" customFormat="1"/>
    <row r="25860" s="2" customFormat="1"/>
    <row r="25861" s="2" customFormat="1"/>
    <row r="25862" s="2" customFormat="1"/>
    <row r="25863" s="2" customFormat="1"/>
    <row r="25864" s="2" customFormat="1"/>
    <row r="25865" s="2" customFormat="1"/>
    <row r="25866" s="2" customFormat="1"/>
    <row r="25867" s="2" customFormat="1"/>
    <row r="25868" s="2" customFormat="1"/>
    <row r="25869" s="2" customFormat="1"/>
    <row r="25870" s="2" customFormat="1"/>
    <row r="25871" s="2" customFormat="1"/>
    <row r="25872" s="2" customFormat="1"/>
    <row r="25873" s="2" customFormat="1"/>
    <row r="25874" s="2" customFormat="1"/>
    <row r="25875" s="2" customFormat="1"/>
    <row r="25876" s="2" customFormat="1"/>
    <row r="25877" s="2" customFormat="1"/>
    <row r="25878" s="2" customFormat="1"/>
    <row r="25879" s="2" customFormat="1"/>
    <row r="25880" s="2" customFormat="1"/>
    <row r="25881" s="2" customFormat="1"/>
    <row r="25882" s="2" customFormat="1"/>
    <row r="25883" s="2" customFormat="1"/>
    <row r="25884" s="2" customFormat="1"/>
    <row r="25885" s="2" customFormat="1"/>
    <row r="25886" s="2" customFormat="1"/>
    <row r="25887" s="2" customFormat="1"/>
    <row r="25888" s="2" customFormat="1"/>
    <row r="25889" s="2" customFormat="1"/>
    <row r="25890" s="2" customFormat="1"/>
    <row r="25891" s="2" customFormat="1"/>
    <row r="25892" s="2" customFormat="1"/>
    <row r="25893" s="2" customFormat="1"/>
    <row r="25894" s="2" customFormat="1"/>
    <row r="25895" s="2" customFormat="1"/>
    <row r="25896" s="2" customFormat="1"/>
    <row r="25897" s="2" customFormat="1"/>
    <row r="25898" s="2" customFormat="1"/>
    <row r="25899" s="2" customFormat="1"/>
    <row r="25900" s="2" customFormat="1"/>
    <row r="25901" s="2" customFormat="1"/>
    <row r="25902" s="2" customFormat="1"/>
    <row r="25903" s="2" customFormat="1"/>
    <row r="25904" s="2" customFormat="1"/>
    <row r="25905" s="2" customFormat="1"/>
    <row r="25906" s="2" customFormat="1"/>
    <row r="25907" s="2" customFormat="1"/>
    <row r="25908" s="2" customFormat="1"/>
    <row r="25909" s="2" customFormat="1"/>
    <row r="25910" s="2" customFormat="1"/>
    <row r="25911" s="2" customFormat="1"/>
    <row r="25912" s="2" customFormat="1"/>
    <row r="25913" s="2" customFormat="1"/>
    <row r="25914" s="2" customFormat="1"/>
    <row r="25915" s="2" customFormat="1"/>
    <row r="25916" s="2" customFormat="1"/>
    <row r="25917" s="2" customFormat="1"/>
    <row r="25918" s="2" customFormat="1"/>
    <row r="25919" s="2" customFormat="1"/>
    <row r="25920" s="2" customFormat="1"/>
    <row r="25921" s="2" customFormat="1"/>
    <row r="25922" s="2" customFormat="1"/>
    <row r="25923" s="2" customFormat="1"/>
    <row r="25924" s="2" customFormat="1"/>
    <row r="25925" s="2" customFormat="1"/>
    <row r="25926" s="2" customFormat="1"/>
    <row r="25927" s="2" customFormat="1"/>
    <row r="25928" s="2" customFormat="1"/>
    <row r="25929" s="2" customFormat="1"/>
    <row r="25930" s="2" customFormat="1"/>
    <row r="25931" s="2" customFormat="1"/>
    <row r="25932" s="2" customFormat="1"/>
    <row r="25933" s="2" customFormat="1"/>
    <row r="25934" s="2" customFormat="1"/>
    <row r="25935" s="2" customFormat="1"/>
    <row r="25936" s="2" customFormat="1"/>
    <row r="25937" s="2" customFormat="1"/>
    <row r="25938" s="2" customFormat="1"/>
    <row r="25939" s="2" customFormat="1"/>
    <row r="25940" s="2" customFormat="1"/>
    <row r="25941" s="2" customFormat="1"/>
    <row r="25942" s="2" customFormat="1"/>
    <row r="25943" s="2" customFormat="1"/>
    <row r="25944" s="2" customFormat="1"/>
    <row r="25945" s="2" customFormat="1"/>
    <row r="25946" s="2" customFormat="1"/>
    <row r="25947" s="2" customFormat="1"/>
    <row r="25948" s="2" customFormat="1"/>
    <row r="25949" s="2" customFormat="1"/>
    <row r="25950" s="2" customFormat="1"/>
    <row r="25951" s="2" customFormat="1"/>
    <row r="25952" s="2" customFormat="1"/>
    <row r="25953" s="2" customFormat="1"/>
    <row r="25954" s="2" customFormat="1"/>
    <row r="25955" s="2" customFormat="1"/>
    <row r="25956" s="2" customFormat="1"/>
    <row r="25957" s="2" customFormat="1"/>
    <row r="25958" s="2" customFormat="1"/>
    <row r="25959" s="2" customFormat="1"/>
    <row r="25960" s="2" customFormat="1"/>
    <row r="25961" s="2" customFormat="1"/>
    <row r="25962" s="2" customFormat="1"/>
    <row r="25963" s="2" customFormat="1"/>
    <row r="25964" s="2" customFormat="1"/>
    <row r="25965" s="2" customFormat="1"/>
    <row r="25966" s="2" customFormat="1"/>
    <row r="25967" s="2" customFormat="1"/>
    <row r="25968" s="2" customFormat="1"/>
    <row r="25969" s="2" customFormat="1"/>
    <row r="25970" s="2" customFormat="1"/>
    <row r="25971" s="2" customFormat="1"/>
    <row r="25972" s="2" customFormat="1"/>
    <row r="25973" s="2" customFormat="1"/>
    <row r="25974" s="2" customFormat="1"/>
    <row r="25975" s="2" customFormat="1"/>
    <row r="25976" s="2" customFormat="1"/>
    <row r="25977" s="2" customFormat="1"/>
    <row r="25978" s="2" customFormat="1"/>
    <row r="25979" s="2" customFormat="1"/>
    <row r="25980" s="2" customFormat="1"/>
    <row r="25981" s="2" customFormat="1"/>
    <row r="25982" s="2" customFormat="1"/>
    <row r="25983" s="2" customFormat="1"/>
    <row r="25984" s="2" customFormat="1"/>
    <row r="25985" s="2" customFormat="1"/>
    <row r="25986" s="2" customFormat="1"/>
    <row r="25987" s="2" customFormat="1"/>
    <row r="25988" s="2" customFormat="1"/>
    <row r="25989" s="2" customFormat="1"/>
    <row r="25990" s="2" customFormat="1"/>
    <row r="25991" s="2" customFormat="1"/>
    <row r="25992" s="2" customFormat="1"/>
    <row r="25993" s="2" customFormat="1"/>
    <row r="25994" s="2" customFormat="1"/>
    <row r="25995" s="2" customFormat="1"/>
    <row r="25996" s="2" customFormat="1"/>
    <row r="25997" s="2" customFormat="1"/>
    <row r="25998" s="2" customFormat="1"/>
    <row r="25999" s="2" customFormat="1"/>
    <row r="26000" s="2" customFormat="1"/>
    <row r="26001" s="2" customFormat="1"/>
    <row r="26002" s="2" customFormat="1"/>
    <row r="26003" s="2" customFormat="1"/>
    <row r="26004" s="2" customFormat="1"/>
    <row r="26005" s="2" customFormat="1"/>
    <row r="26006" s="2" customFormat="1"/>
    <row r="26007" s="2" customFormat="1"/>
    <row r="26008" s="2" customFormat="1"/>
    <row r="26009" s="2" customFormat="1"/>
    <row r="26010" s="2" customFormat="1"/>
    <row r="26011" s="2" customFormat="1"/>
    <row r="26012" s="2" customFormat="1"/>
    <row r="26013" s="2" customFormat="1"/>
    <row r="26014" s="2" customFormat="1"/>
    <row r="26015" s="2" customFormat="1"/>
    <row r="26016" s="2" customFormat="1"/>
    <row r="26017" s="2" customFormat="1"/>
    <row r="26018" s="2" customFormat="1"/>
    <row r="26019" s="2" customFormat="1"/>
    <row r="26020" s="2" customFormat="1"/>
    <row r="26021" s="2" customFormat="1"/>
    <row r="26022" s="2" customFormat="1"/>
    <row r="26023" s="2" customFormat="1"/>
    <row r="26024" s="2" customFormat="1"/>
    <row r="26025" s="2" customFormat="1"/>
    <row r="26026" s="2" customFormat="1"/>
    <row r="26027" s="2" customFormat="1"/>
    <row r="26028" s="2" customFormat="1"/>
    <row r="26029" s="2" customFormat="1"/>
    <row r="26030" s="2" customFormat="1"/>
    <row r="26031" s="2" customFormat="1"/>
    <row r="26032" s="2" customFormat="1"/>
    <row r="26033" s="2" customFormat="1"/>
    <row r="26034" s="2" customFormat="1"/>
    <row r="26035" s="2" customFormat="1"/>
    <row r="26036" s="2" customFormat="1"/>
    <row r="26037" s="2" customFormat="1"/>
    <row r="26038" s="2" customFormat="1"/>
    <row r="26039" s="2" customFormat="1"/>
    <row r="26040" s="2" customFormat="1"/>
    <row r="26041" s="2" customFormat="1"/>
    <row r="26042" s="2" customFormat="1"/>
    <row r="26043" s="2" customFormat="1"/>
    <row r="26044" s="2" customFormat="1"/>
    <row r="26045" s="2" customFormat="1"/>
    <row r="26046" s="2" customFormat="1"/>
    <row r="26047" s="2" customFormat="1"/>
    <row r="26048" s="2" customFormat="1"/>
    <row r="26049" s="2" customFormat="1"/>
    <row r="26050" s="2" customFormat="1"/>
    <row r="26051" s="2" customFormat="1"/>
    <row r="26052" s="2" customFormat="1"/>
    <row r="26053" s="2" customFormat="1"/>
    <row r="26054" s="2" customFormat="1"/>
    <row r="26055" s="2" customFormat="1"/>
    <row r="26056" s="2" customFormat="1"/>
    <row r="26057" s="2" customFormat="1"/>
    <row r="26058" s="2" customFormat="1"/>
    <row r="26059" s="2" customFormat="1"/>
    <row r="26060" s="2" customFormat="1"/>
    <row r="26061" s="2" customFormat="1"/>
    <row r="26062" s="2" customFormat="1"/>
    <row r="26063" s="2" customFormat="1"/>
    <row r="26064" s="2" customFormat="1"/>
    <row r="26065" s="2" customFormat="1"/>
    <row r="26066" s="2" customFormat="1"/>
    <row r="26067" s="2" customFormat="1"/>
    <row r="26068" s="2" customFormat="1"/>
    <row r="26069" s="2" customFormat="1"/>
    <row r="26070" s="2" customFormat="1"/>
    <row r="26071" s="2" customFormat="1"/>
    <row r="26072" s="2" customFormat="1"/>
    <row r="26073" s="2" customFormat="1"/>
    <row r="26074" s="2" customFormat="1"/>
    <row r="26075" s="2" customFormat="1"/>
    <row r="26076" s="2" customFormat="1"/>
    <row r="26077" s="2" customFormat="1"/>
    <row r="26078" s="2" customFormat="1"/>
    <row r="26079" s="2" customFormat="1"/>
    <row r="26080" s="2" customFormat="1"/>
    <row r="26081" s="2" customFormat="1"/>
    <row r="26082" s="2" customFormat="1"/>
    <row r="26083" s="2" customFormat="1"/>
    <row r="26084" s="2" customFormat="1"/>
    <row r="26085" s="2" customFormat="1"/>
    <row r="26086" s="2" customFormat="1"/>
    <row r="26087" s="2" customFormat="1"/>
    <row r="26088" s="2" customFormat="1"/>
    <row r="26089" s="2" customFormat="1"/>
    <row r="26090" s="2" customFormat="1"/>
    <row r="26091" s="2" customFormat="1"/>
    <row r="26092" s="2" customFormat="1"/>
    <row r="26093" s="2" customFormat="1"/>
    <row r="26094" s="2" customFormat="1"/>
    <row r="26095" s="2" customFormat="1"/>
    <row r="26096" s="2" customFormat="1"/>
    <row r="26097" s="2" customFormat="1"/>
    <row r="26098" s="2" customFormat="1"/>
    <row r="26099" s="2" customFormat="1"/>
    <row r="26100" s="2" customFormat="1"/>
    <row r="26101" s="2" customFormat="1"/>
    <row r="26102" s="2" customFormat="1"/>
    <row r="26103" s="2" customFormat="1"/>
    <row r="26104" s="2" customFormat="1"/>
    <row r="26105" s="2" customFormat="1"/>
    <row r="26106" s="2" customFormat="1"/>
    <row r="26107" s="2" customFormat="1"/>
    <row r="26108" s="2" customFormat="1"/>
    <row r="26109" s="2" customFormat="1"/>
    <row r="26110" s="2" customFormat="1"/>
    <row r="26111" s="2" customFormat="1"/>
    <row r="26112" s="2" customFormat="1"/>
    <row r="26113" s="2" customFormat="1"/>
    <row r="26114" s="2" customFormat="1"/>
    <row r="26115" s="2" customFormat="1"/>
    <row r="26116" s="2" customFormat="1"/>
    <row r="26117" s="2" customFormat="1"/>
    <row r="26118" s="2" customFormat="1"/>
    <row r="26119" s="2" customFormat="1"/>
    <row r="26120" s="2" customFormat="1"/>
    <row r="26121" s="2" customFormat="1"/>
    <row r="26122" s="2" customFormat="1"/>
    <row r="26123" s="2" customFormat="1"/>
    <row r="26124" s="2" customFormat="1"/>
    <row r="26125" s="2" customFormat="1"/>
    <row r="26126" s="2" customFormat="1"/>
    <row r="26127" s="2" customFormat="1"/>
    <row r="26128" s="2" customFormat="1"/>
    <row r="26129" s="2" customFormat="1"/>
    <row r="26130" s="2" customFormat="1"/>
    <row r="26131" s="2" customFormat="1"/>
    <row r="26132" s="2" customFormat="1"/>
    <row r="26133" s="2" customFormat="1"/>
    <row r="26134" s="2" customFormat="1"/>
    <row r="26135" s="2" customFormat="1"/>
    <row r="26136" s="2" customFormat="1"/>
    <row r="26137" s="2" customFormat="1"/>
    <row r="26138" s="2" customFormat="1"/>
    <row r="26139" s="2" customFormat="1"/>
    <row r="26140" s="2" customFormat="1"/>
    <row r="26141" s="2" customFormat="1"/>
    <row r="26142" s="2" customFormat="1"/>
    <row r="26143" s="2" customFormat="1"/>
    <row r="26144" s="2" customFormat="1"/>
    <row r="26145" s="2" customFormat="1"/>
    <row r="26146" s="2" customFormat="1"/>
    <row r="26147" s="2" customFormat="1"/>
    <row r="26148" s="2" customFormat="1"/>
    <row r="26149" s="2" customFormat="1"/>
    <row r="26150" s="2" customFormat="1"/>
    <row r="26151" s="2" customFormat="1"/>
    <row r="26152" s="2" customFormat="1"/>
    <row r="26153" s="2" customFormat="1"/>
    <row r="26154" s="2" customFormat="1"/>
    <row r="26155" s="2" customFormat="1"/>
    <row r="26156" s="2" customFormat="1"/>
    <row r="26157" s="2" customFormat="1"/>
    <row r="26158" s="2" customFormat="1"/>
    <row r="26159" s="2" customFormat="1"/>
    <row r="26160" s="2" customFormat="1"/>
    <row r="26161" s="2" customFormat="1"/>
    <row r="26162" s="2" customFormat="1"/>
    <row r="26163" s="2" customFormat="1"/>
    <row r="26164" s="2" customFormat="1"/>
    <row r="26165" s="2" customFormat="1"/>
    <row r="26166" s="2" customFormat="1"/>
    <row r="26167" s="2" customFormat="1"/>
    <row r="26168" s="2" customFormat="1"/>
    <row r="26169" s="2" customFormat="1"/>
    <row r="26170" s="2" customFormat="1"/>
    <row r="26171" s="2" customFormat="1"/>
    <row r="26172" s="2" customFormat="1"/>
    <row r="26173" s="2" customFormat="1"/>
    <row r="26174" s="2" customFormat="1"/>
    <row r="26175" s="2" customFormat="1"/>
    <row r="26176" s="2" customFormat="1"/>
    <row r="26177" s="2" customFormat="1"/>
    <row r="26178" s="2" customFormat="1"/>
    <row r="26179" s="2" customFormat="1"/>
    <row r="26180" s="2" customFormat="1"/>
    <row r="26181" s="2" customFormat="1"/>
    <row r="26182" s="2" customFormat="1"/>
    <row r="26183" s="2" customFormat="1"/>
    <row r="26184" s="2" customFormat="1"/>
    <row r="26185" s="2" customFormat="1"/>
    <row r="26186" s="2" customFormat="1"/>
    <row r="26187" s="2" customFormat="1"/>
    <row r="26188" s="2" customFormat="1"/>
    <row r="26189" s="2" customFormat="1"/>
    <row r="26190" s="2" customFormat="1"/>
    <row r="26191" s="2" customFormat="1"/>
    <row r="26192" s="2" customFormat="1"/>
    <row r="26193" s="2" customFormat="1"/>
    <row r="26194" s="2" customFormat="1"/>
    <row r="26195" s="2" customFormat="1"/>
    <row r="26196" s="2" customFormat="1"/>
    <row r="26197" s="2" customFormat="1"/>
    <row r="26198" s="2" customFormat="1"/>
    <row r="26199" s="2" customFormat="1"/>
    <row r="26200" s="2" customFormat="1"/>
    <row r="26201" s="2" customFormat="1"/>
    <row r="26202" s="2" customFormat="1"/>
    <row r="26203" s="2" customFormat="1"/>
    <row r="26204" s="2" customFormat="1"/>
    <row r="26205" s="2" customFormat="1"/>
    <row r="26206" s="2" customFormat="1"/>
    <row r="26207" s="2" customFormat="1"/>
    <row r="26208" s="2" customFormat="1"/>
    <row r="26209" s="2" customFormat="1"/>
    <row r="26210" s="2" customFormat="1"/>
    <row r="26211" s="2" customFormat="1"/>
    <row r="26212" s="2" customFormat="1"/>
    <row r="26213" s="2" customFormat="1"/>
    <row r="26214" s="2" customFormat="1"/>
    <row r="26215" s="2" customFormat="1"/>
    <row r="26216" s="2" customFormat="1"/>
    <row r="26217" s="2" customFormat="1"/>
    <row r="26218" s="2" customFormat="1"/>
    <row r="26219" s="2" customFormat="1"/>
    <row r="26220" s="2" customFormat="1"/>
    <row r="26221" s="2" customFormat="1"/>
    <row r="26222" s="2" customFormat="1"/>
    <row r="26223" s="2" customFormat="1"/>
    <row r="26224" s="2" customFormat="1"/>
    <row r="26225" s="2" customFormat="1"/>
    <row r="26226" s="2" customFormat="1"/>
    <row r="26227" s="2" customFormat="1"/>
    <row r="26228" s="2" customFormat="1"/>
    <row r="26229" s="2" customFormat="1"/>
    <row r="26230" s="2" customFormat="1"/>
    <row r="26231" s="2" customFormat="1"/>
    <row r="26232" s="2" customFormat="1"/>
    <row r="26233" s="2" customFormat="1"/>
    <row r="26234" s="2" customFormat="1"/>
    <row r="26235" s="2" customFormat="1"/>
    <row r="26236" s="2" customFormat="1"/>
    <row r="26237" s="2" customFormat="1"/>
    <row r="26238" s="2" customFormat="1"/>
    <row r="26239" s="2" customFormat="1"/>
    <row r="26240" s="2" customFormat="1"/>
    <row r="26241" s="2" customFormat="1"/>
    <row r="26242" s="2" customFormat="1"/>
    <row r="26243" s="2" customFormat="1"/>
    <row r="26244" s="2" customFormat="1"/>
    <row r="26245" s="2" customFormat="1"/>
    <row r="26246" s="2" customFormat="1"/>
    <row r="26247" s="2" customFormat="1"/>
    <row r="26248" s="2" customFormat="1"/>
    <row r="26249" s="2" customFormat="1"/>
    <row r="26250" s="2" customFormat="1"/>
    <row r="26251" s="2" customFormat="1"/>
    <row r="26252" s="2" customFormat="1"/>
    <row r="26253" s="2" customFormat="1"/>
    <row r="26254" s="2" customFormat="1"/>
    <row r="26255" s="2" customFormat="1"/>
    <row r="26256" s="2" customFormat="1"/>
    <row r="26257" s="2" customFormat="1"/>
    <row r="26258" s="2" customFormat="1"/>
    <row r="26259" s="2" customFormat="1"/>
    <row r="26260" s="2" customFormat="1"/>
    <row r="26261" s="2" customFormat="1"/>
    <row r="26262" s="2" customFormat="1"/>
    <row r="26263" s="2" customFormat="1"/>
    <row r="26264" s="2" customFormat="1"/>
    <row r="26265" s="2" customFormat="1"/>
    <row r="26266" s="2" customFormat="1"/>
    <row r="26267" s="2" customFormat="1"/>
    <row r="26268" s="2" customFormat="1"/>
    <row r="26269" s="2" customFormat="1"/>
    <row r="26270" s="2" customFormat="1"/>
    <row r="26271" s="2" customFormat="1"/>
    <row r="26272" s="2" customFormat="1"/>
    <row r="26273" s="2" customFormat="1"/>
    <row r="26274" s="2" customFormat="1"/>
    <row r="26275" s="2" customFormat="1"/>
    <row r="26276" s="2" customFormat="1"/>
    <row r="26277" s="2" customFormat="1"/>
    <row r="26278" s="2" customFormat="1"/>
    <row r="26279" s="2" customFormat="1"/>
    <row r="26280" s="2" customFormat="1"/>
    <row r="26281" s="2" customFormat="1"/>
    <row r="26282" s="2" customFormat="1"/>
    <row r="26283" s="2" customFormat="1"/>
    <row r="26284" s="2" customFormat="1"/>
    <row r="26285" s="2" customFormat="1"/>
    <row r="26286" s="2" customFormat="1"/>
    <row r="26287" s="2" customFormat="1"/>
    <row r="26288" s="2" customFormat="1"/>
    <row r="26289" s="2" customFormat="1"/>
    <row r="26290" s="2" customFormat="1"/>
    <row r="26291" s="2" customFormat="1"/>
    <row r="26292" s="2" customFormat="1"/>
    <row r="26293" s="2" customFormat="1"/>
    <row r="26294" s="2" customFormat="1"/>
    <row r="26295" s="2" customFormat="1"/>
    <row r="26296" s="2" customFormat="1"/>
    <row r="26297" s="2" customFormat="1"/>
    <row r="26298" s="2" customFormat="1"/>
    <row r="26299" s="2" customFormat="1"/>
    <row r="26300" s="2" customFormat="1"/>
    <row r="26301" s="2" customFormat="1"/>
    <row r="26302" s="2" customFormat="1"/>
    <row r="26303" s="2" customFormat="1"/>
    <row r="26304" s="2" customFormat="1"/>
    <row r="26305" s="2" customFormat="1"/>
    <row r="26306" s="2" customFormat="1"/>
    <row r="26307" s="2" customFormat="1"/>
    <row r="26308" s="2" customFormat="1"/>
    <row r="26309" s="2" customFormat="1"/>
    <row r="26310" s="2" customFormat="1"/>
    <row r="26311" s="2" customFormat="1"/>
    <row r="26312" s="2" customFormat="1"/>
    <row r="26313" s="2" customFormat="1"/>
    <row r="26314" s="2" customFormat="1"/>
    <row r="26315" s="2" customFormat="1"/>
    <row r="26316" s="2" customFormat="1"/>
    <row r="26317" s="2" customFormat="1"/>
    <row r="26318" s="2" customFormat="1"/>
    <row r="26319" s="2" customFormat="1"/>
    <row r="26320" s="2" customFormat="1"/>
    <row r="26321" s="2" customFormat="1"/>
    <row r="26322" s="2" customFormat="1"/>
    <row r="26323" s="2" customFormat="1"/>
    <row r="26324" s="2" customFormat="1"/>
    <row r="26325" s="2" customFormat="1"/>
    <row r="26326" s="2" customFormat="1"/>
    <row r="26327" s="2" customFormat="1"/>
    <row r="26328" s="2" customFormat="1"/>
    <row r="26329" s="2" customFormat="1"/>
    <row r="26330" s="2" customFormat="1"/>
    <row r="26331" s="2" customFormat="1"/>
    <row r="26332" s="2" customFormat="1"/>
    <row r="26333" s="2" customFormat="1"/>
    <row r="26334" s="2" customFormat="1"/>
    <row r="26335" s="2" customFormat="1"/>
    <row r="26336" s="2" customFormat="1"/>
    <row r="26337" s="2" customFormat="1"/>
    <row r="26338" s="2" customFormat="1"/>
    <row r="26339" s="2" customFormat="1"/>
    <row r="26340" s="2" customFormat="1"/>
    <row r="26341" s="2" customFormat="1"/>
    <row r="26342" s="2" customFormat="1"/>
    <row r="26343" s="2" customFormat="1"/>
    <row r="26344" s="2" customFormat="1"/>
    <row r="26345" s="2" customFormat="1"/>
    <row r="26346" s="2" customFormat="1"/>
    <row r="26347" s="2" customFormat="1"/>
    <row r="26348" s="2" customFormat="1"/>
    <row r="26349" s="2" customFormat="1"/>
    <row r="26350" s="2" customFormat="1"/>
    <row r="26351" s="2" customFormat="1"/>
    <row r="26352" s="2" customFormat="1"/>
    <row r="26353" s="2" customFormat="1"/>
    <row r="26354" s="2" customFormat="1"/>
    <row r="26355" s="2" customFormat="1"/>
    <row r="26356" s="2" customFormat="1"/>
    <row r="26357" s="2" customFormat="1"/>
    <row r="26358" s="2" customFormat="1"/>
    <row r="26359" s="2" customFormat="1"/>
    <row r="26360" s="2" customFormat="1"/>
    <row r="26361" s="2" customFormat="1"/>
    <row r="26362" s="2" customFormat="1"/>
    <row r="26363" s="2" customFormat="1"/>
    <row r="26364" s="2" customFormat="1"/>
    <row r="26365" s="2" customFormat="1"/>
    <row r="26366" s="2" customFormat="1"/>
    <row r="26367" s="2" customFormat="1"/>
    <row r="26368" s="2" customFormat="1"/>
    <row r="26369" s="2" customFormat="1"/>
    <row r="26370" s="2" customFormat="1"/>
    <row r="26371" s="2" customFormat="1"/>
    <row r="26372" s="2" customFormat="1"/>
    <row r="26373" s="2" customFormat="1"/>
    <row r="26374" s="2" customFormat="1"/>
    <row r="26375" s="2" customFormat="1"/>
    <row r="26376" s="2" customFormat="1"/>
    <row r="26377" s="2" customFormat="1"/>
    <row r="26378" s="2" customFormat="1"/>
    <row r="26379" s="2" customFormat="1"/>
    <row r="26380" s="2" customFormat="1"/>
    <row r="26381" s="2" customFormat="1"/>
    <row r="26382" s="2" customFormat="1"/>
    <row r="26383" s="2" customFormat="1"/>
    <row r="26384" s="2" customFormat="1"/>
    <row r="26385" s="2" customFormat="1"/>
    <row r="26386" s="2" customFormat="1"/>
    <row r="26387" s="2" customFormat="1"/>
    <row r="26388" s="2" customFormat="1"/>
    <row r="26389" s="2" customFormat="1"/>
    <row r="26390" s="2" customFormat="1"/>
    <row r="26391" s="2" customFormat="1"/>
    <row r="26392" s="2" customFormat="1"/>
    <row r="26393" s="2" customFormat="1"/>
    <row r="26394" s="2" customFormat="1"/>
    <row r="26395" s="2" customFormat="1"/>
    <row r="26396" s="2" customFormat="1"/>
    <row r="26397" s="2" customFormat="1"/>
    <row r="26398" s="2" customFormat="1"/>
    <row r="26399" s="2" customFormat="1"/>
    <row r="26400" s="2" customFormat="1"/>
    <row r="26401" s="2" customFormat="1"/>
    <row r="26402" s="2" customFormat="1"/>
    <row r="26403" s="2" customFormat="1"/>
    <row r="26404" s="2" customFormat="1"/>
    <row r="26405" s="2" customFormat="1"/>
    <row r="26406" s="2" customFormat="1"/>
    <row r="26407" s="2" customFormat="1"/>
    <row r="26408" s="2" customFormat="1"/>
    <row r="26409" s="2" customFormat="1"/>
    <row r="26410" s="2" customFormat="1"/>
    <row r="26411" s="2" customFormat="1"/>
    <row r="26412" s="2" customFormat="1"/>
    <row r="26413" s="2" customFormat="1"/>
    <row r="26414" s="2" customFormat="1"/>
    <row r="26415" s="2" customFormat="1"/>
    <row r="26416" s="2" customFormat="1"/>
    <row r="26417" s="2" customFormat="1"/>
    <row r="26418" s="2" customFormat="1"/>
    <row r="26419" s="2" customFormat="1"/>
    <row r="26420" s="2" customFormat="1"/>
    <row r="26421" s="2" customFormat="1"/>
    <row r="26422" s="2" customFormat="1"/>
    <row r="26423" s="2" customFormat="1"/>
    <row r="26424" s="2" customFormat="1"/>
    <row r="26425" s="2" customFormat="1"/>
    <row r="26426" s="2" customFormat="1"/>
    <row r="26427" s="2" customFormat="1"/>
    <row r="26428" s="2" customFormat="1"/>
    <row r="26429" s="2" customFormat="1"/>
    <row r="26430" s="2" customFormat="1"/>
    <row r="26431" s="2" customFormat="1"/>
    <row r="26432" s="2" customFormat="1"/>
    <row r="26433" s="2" customFormat="1"/>
    <row r="26434" s="2" customFormat="1"/>
    <row r="26435" s="2" customFormat="1"/>
    <row r="26436" s="2" customFormat="1"/>
    <row r="26437" s="2" customFormat="1"/>
    <row r="26438" s="2" customFormat="1"/>
    <row r="26439" s="2" customFormat="1"/>
    <row r="26440" s="2" customFormat="1"/>
    <row r="26441" s="2" customFormat="1"/>
    <row r="26442" s="2" customFormat="1"/>
    <row r="26443" s="2" customFormat="1"/>
    <row r="26444" s="2" customFormat="1"/>
    <row r="26445" s="2" customFormat="1"/>
    <row r="26446" s="2" customFormat="1"/>
    <row r="26447" s="2" customFormat="1"/>
    <row r="26448" s="2" customFormat="1"/>
    <row r="26449" s="2" customFormat="1"/>
    <row r="26450" s="2" customFormat="1"/>
    <row r="26451" s="2" customFormat="1"/>
    <row r="26452" s="2" customFormat="1"/>
    <row r="26453" s="2" customFormat="1"/>
    <row r="26454" s="2" customFormat="1"/>
    <row r="26455" s="2" customFormat="1"/>
    <row r="26456" s="2" customFormat="1"/>
    <row r="26457" s="2" customFormat="1"/>
    <row r="26458" s="2" customFormat="1"/>
    <row r="26459" s="2" customFormat="1"/>
    <row r="26460" s="2" customFormat="1"/>
    <row r="26461" s="2" customFormat="1"/>
    <row r="26462" s="2" customFormat="1"/>
    <row r="26463" s="2" customFormat="1"/>
    <row r="26464" s="2" customFormat="1"/>
    <row r="26465" s="2" customFormat="1"/>
    <row r="26466" s="2" customFormat="1"/>
    <row r="26467" s="2" customFormat="1"/>
    <row r="26468" s="2" customFormat="1"/>
    <row r="26469" s="2" customFormat="1"/>
    <row r="26470" s="2" customFormat="1"/>
    <row r="26471" s="2" customFormat="1"/>
    <row r="26472" s="2" customFormat="1"/>
    <row r="26473" s="2" customFormat="1"/>
    <row r="26474" s="2" customFormat="1"/>
    <row r="26475" s="2" customFormat="1"/>
    <row r="26476" s="2" customFormat="1"/>
    <row r="26477" s="2" customFormat="1"/>
    <row r="26478" s="2" customFormat="1"/>
    <row r="26479" s="2" customFormat="1"/>
    <row r="26480" s="2" customFormat="1"/>
    <row r="26481" s="2" customFormat="1"/>
    <row r="26482" s="2" customFormat="1"/>
    <row r="26483" s="2" customFormat="1"/>
    <row r="26484" s="2" customFormat="1"/>
    <row r="26485" s="2" customFormat="1"/>
    <row r="26486" s="2" customFormat="1"/>
    <row r="26487" s="2" customFormat="1"/>
    <row r="26488" s="2" customFormat="1"/>
    <row r="26489" s="2" customFormat="1"/>
    <row r="26490" s="2" customFormat="1"/>
    <row r="26491" s="2" customFormat="1"/>
    <row r="26492" s="2" customFormat="1"/>
    <row r="26493" s="2" customFormat="1"/>
    <row r="26494" s="2" customFormat="1"/>
    <row r="26495" s="2" customFormat="1"/>
    <row r="26496" s="2" customFormat="1"/>
    <row r="26497" s="2" customFormat="1"/>
    <row r="26498" s="2" customFormat="1"/>
    <row r="26499" s="2" customFormat="1"/>
    <row r="26500" s="2" customFormat="1"/>
    <row r="26501" s="2" customFormat="1"/>
    <row r="26502" s="2" customFormat="1"/>
    <row r="26503" s="2" customFormat="1"/>
    <row r="26504" s="2" customFormat="1"/>
    <row r="26505" s="2" customFormat="1"/>
    <row r="26506" s="2" customFormat="1"/>
    <row r="26507" s="2" customFormat="1"/>
    <row r="26508" s="2" customFormat="1"/>
    <row r="26509" s="2" customFormat="1"/>
    <row r="26510" s="2" customFormat="1"/>
    <row r="26511" s="2" customFormat="1"/>
    <row r="26512" s="2" customFormat="1"/>
    <row r="26513" s="2" customFormat="1"/>
    <row r="26514" s="2" customFormat="1"/>
    <row r="26515" s="2" customFormat="1"/>
    <row r="26516" s="2" customFormat="1"/>
    <row r="26517" s="2" customFormat="1"/>
    <row r="26518" s="2" customFormat="1"/>
    <row r="26519" s="2" customFormat="1"/>
    <row r="26520" s="2" customFormat="1"/>
    <row r="26521" s="2" customFormat="1"/>
    <row r="26522" s="2" customFormat="1"/>
    <row r="26523" s="2" customFormat="1"/>
    <row r="26524" s="2" customFormat="1"/>
    <row r="26525" s="2" customFormat="1"/>
    <row r="26526" s="2" customFormat="1"/>
    <row r="26527" s="2" customFormat="1"/>
    <row r="26528" s="2" customFormat="1"/>
    <row r="26529" s="2" customFormat="1"/>
    <row r="26530" s="2" customFormat="1"/>
    <row r="26531" s="2" customFormat="1"/>
    <row r="26532" s="2" customFormat="1"/>
    <row r="26533" s="2" customFormat="1"/>
    <row r="26534" s="2" customFormat="1"/>
    <row r="26535" s="2" customFormat="1"/>
    <row r="26536" s="2" customFormat="1"/>
    <row r="26537" s="2" customFormat="1"/>
    <row r="26538" s="2" customFormat="1"/>
    <row r="26539" s="2" customFormat="1"/>
    <row r="26540" s="2" customFormat="1"/>
    <row r="26541" s="2" customFormat="1"/>
    <row r="26542" s="2" customFormat="1"/>
    <row r="26543" s="2" customFormat="1"/>
    <row r="26544" s="2" customFormat="1"/>
    <row r="26545" s="2" customFormat="1"/>
    <row r="26546" s="2" customFormat="1"/>
    <row r="26547" s="2" customFormat="1"/>
    <row r="26548" s="2" customFormat="1"/>
    <row r="26549" s="2" customFormat="1"/>
    <row r="26550" s="2" customFormat="1"/>
    <row r="26551" s="2" customFormat="1"/>
    <row r="26552" s="2" customFormat="1"/>
    <row r="26553" s="2" customFormat="1"/>
    <row r="26554" s="2" customFormat="1"/>
    <row r="26555" s="2" customFormat="1"/>
    <row r="26556" s="2" customFormat="1"/>
    <row r="26557" s="2" customFormat="1"/>
    <row r="26558" s="2" customFormat="1"/>
    <row r="26559" s="2" customFormat="1"/>
    <row r="26560" s="2" customFormat="1"/>
    <row r="26561" s="2" customFormat="1"/>
    <row r="26562" s="2" customFormat="1"/>
    <row r="26563" s="2" customFormat="1"/>
    <row r="26564" s="2" customFormat="1"/>
    <row r="26565" s="2" customFormat="1"/>
    <row r="26566" s="2" customFormat="1"/>
    <row r="26567" s="2" customFormat="1"/>
    <row r="26568" s="2" customFormat="1"/>
    <row r="26569" s="2" customFormat="1"/>
    <row r="26570" s="2" customFormat="1"/>
    <row r="26571" s="2" customFormat="1"/>
    <row r="26572" s="2" customFormat="1"/>
    <row r="26573" s="2" customFormat="1"/>
    <row r="26574" s="2" customFormat="1"/>
    <row r="26575" s="2" customFormat="1"/>
    <row r="26576" s="2" customFormat="1"/>
    <row r="26577" s="2" customFormat="1"/>
    <row r="26578" s="2" customFormat="1"/>
    <row r="26579" s="2" customFormat="1"/>
    <row r="26580" s="2" customFormat="1"/>
    <row r="26581" s="2" customFormat="1"/>
    <row r="26582" s="2" customFormat="1"/>
    <row r="26583" s="2" customFormat="1"/>
    <row r="26584" s="2" customFormat="1"/>
    <row r="26585" s="2" customFormat="1"/>
    <row r="26586" s="2" customFormat="1"/>
    <row r="26587" s="2" customFormat="1"/>
    <row r="26588" s="2" customFormat="1"/>
    <row r="26589" s="2" customFormat="1"/>
    <row r="26590" s="2" customFormat="1"/>
    <row r="26591" s="2" customFormat="1"/>
    <row r="26592" s="2" customFormat="1"/>
    <row r="26593" s="2" customFormat="1"/>
    <row r="26594" s="2" customFormat="1"/>
    <row r="26595" s="2" customFormat="1"/>
    <row r="26596" s="2" customFormat="1"/>
    <row r="26597" s="2" customFormat="1"/>
    <row r="26598" s="2" customFormat="1"/>
    <row r="26599" s="2" customFormat="1"/>
    <row r="26600" s="2" customFormat="1"/>
    <row r="26601" s="2" customFormat="1"/>
    <row r="26602" s="2" customFormat="1"/>
    <row r="26603" s="2" customFormat="1"/>
    <row r="26604" s="2" customFormat="1"/>
    <row r="26605" s="2" customFormat="1"/>
    <row r="26606" s="2" customFormat="1"/>
    <row r="26607" s="2" customFormat="1"/>
    <row r="26608" s="2" customFormat="1"/>
    <row r="26609" s="2" customFormat="1"/>
    <row r="26610" s="2" customFormat="1"/>
    <row r="26611" s="2" customFormat="1"/>
    <row r="26612" s="2" customFormat="1"/>
    <row r="26613" s="2" customFormat="1"/>
    <row r="26614" s="2" customFormat="1"/>
    <row r="26615" s="2" customFormat="1"/>
    <row r="26616" s="2" customFormat="1"/>
    <row r="26617" s="2" customFormat="1"/>
    <row r="26618" s="2" customFormat="1"/>
    <row r="26619" s="2" customFormat="1"/>
    <row r="26620" s="2" customFormat="1"/>
    <row r="26621" s="2" customFormat="1"/>
    <row r="26622" s="2" customFormat="1"/>
    <row r="26623" s="2" customFormat="1"/>
    <row r="26624" s="2" customFormat="1"/>
    <row r="26625" s="2" customFormat="1"/>
    <row r="26626" s="2" customFormat="1"/>
    <row r="26627" s="2" customFormat="1"/>
    <row r="26628" s="2" customFormat="1"/>
    <row r="26629" s="2" customFormat="1"/>
    <row r="26630" s="2" customFormat="1"/>
    <row r="26631" s="2" customFormat="1"/>
    <row r="26632" s="2" customFormat="1"/>
    <row r="26633" s="2" customFormat="1"/>
    <row r="26634" s="2" customFormat="1"/>
    <row r="26635" s="2" customFormat="1"/>
    <row r="26636" s="2" customFormat="1"/>
    <row r="26637" s="2" customFormat="1"/>
    <row r="26638" s="2" customFormat="1"/>
    <row r="26639" s="2" customFormat="1"/>
    <row r="26640" s="2" customFormat="1"/>
    <row r="26641" s="2" customFormat="1"/>
    <row r="26642" s="2" customFormat="1"/>
    <row r="26643" s="2" customFormat="1"/>
    <row r="26644" s="2" customFormat="1"/>
    <row r="26645" s="2" customFormat="1"/>
    <row r="26646" s="2" customFormat="1"/>
    <row r="26647" s="2" customFormat="1"/>
    <row r="26648" s="2" customFormat="1"/>
    <row r="26649" s="2" customFormat="1"/>
    <row r="26650" s="2" customFormat="1"/>
    <row r="26651" s="2" customFormat="1"/>
    <row r="26652" s="2" customFormat="1"/>
    <row r="26653" s="2" customFormat="1"/>
    <row r="26654" s="2" customFormat="1"/>
    <row r="26655" s="2" customFormat="1"/>
    <row r="26656" s="2" customFormat="1"/>
    <row r="26657" s="2" customFormat="1"/>
    <row r="26658" s="2" customFormat="1"/>
    <row r="26659" s="2" customFormat="1"/>
    <row r="26660" s="2" customFormat="1"/>
    <row r="26661" s="2" customFormat="1"/>
    <row r="26662" s="2" customFormat="1"/>
    <row r="26663" s="2" customFormat="1"/>
    <row r="26664" s="2" customFormat="1"/>
    <row r="26665" s="2" customFormat="1"/>
    <row r="26666" s="2" customFormat="1"/>
    <row r="26667" s="2" customFormat="1"/>
    <row r="26668" s="2" customFormat="1"/>
    <row r="26669" s="2" customFormat="1"/>
    <row r="26670" s="2" customFormat="1"/>
    <row r="26671" s="2" customFormat="1"/>
    <row r="26672" s="2" customFormat="1"/>
    <row r="26673" s="2" customFormat="1"/>
    <row r="26674" s="2" customFormat="1"/>
    <row r="26675" s="2" customFormat="1"/>
    <row r="26676" s="2" customFormat="1"/>
    <row r="26677" s="2" customFormat="1"/>
    <row r="26678" s="2" customFormat="1"/>
    <row r="26679" s="2" customFormat="1"/>
    <row r="26680" s="2" customFormat="1"/>
    <row r="26681" s="2" customFormat="1"/>
    <row r="26682" s="2" customFormat="1"/>
    <row r="26683" s="2" customFormat="1"/>
    <row r="26684" s="2" customFormat="1"/>
    <row r="26685" s="2" customFormat="1"/>
    <row r="26686" s="2" customFormat="1"/>
    <row r="26687" s="2" customFormat="1"/>
    <row r="26688" s="2" customFormat="1"/>
    <row r="26689" s="2" customFormat="1"/>
    <row r="26690" s="2" customFormat="1"/>
    <row r="26691" s="2" customFormat="1"/>
    <row r="26692" s="2" customFormat="1"/>
    <row r="26693" s="2" customFormat="1"/>
    <row r="26694" s="2" customFormat="1"/>
    <row r="26695" s="2" customFormat="1"/>
    <row r="26696" s="2" customFormat="1"/>
    <row r="26697" s="2" customFormat="1"/>
    <row r="26698" s="2" customFormat="1"/>
    <row r="26699" s="2" customFormat="1"/>
    <row r="26700" s="2" customFormat="1"/>
    <row r="26701" s="2" customFormat="1"/>
    <row r="26702" s="2" customFormat="1"/>
    <row r="26703" s="2" customFormat="1"/>
    <row r="26704" s="2" customFormat="1"/>
    <row r="26705" s="2" customFormat="1"/>
    <row r="26706" s="2" customFormat="1"/>
    <row r="26707" s="2" customFormat="1"/>
    <row r="26708" s="2" customFormat="1"/>
    <row r="26709" s="2" customFormat="1"/>
    <row r="26710" s="2" customFormat="1"/>
    <row r="26711" s="2" customFormat="1"/>
    <row r="26712" s="2" customFormat="1"/>
    <row r="26713" s="2" customFormat="1"/>
    <row r="26714" s="2" customFormat="1"/>
    <row r="26715" s="2" customFormat="1"/>
    <row r="26716" s="2" customFormat="1"/>
    <row r="26717" s="2" customFormat="1"/>
    <row r="26718" s="2" customFormat="1"/>
    <row r="26719" s="2" customFormat="1"/>
    <row r="26720" s="2" customFormat="1"/>
    <row r="26721" s="2" customFormat="1"/>
    <row r="26722" s="2" customFormat="1"/>
    <row r="26723" s="2" customFormat="1"/>
    <row r="26724" s="2" customFormat="1"/>
    <row r="26725" s="2" customFormat="1"/>
    <row r="26726" s="2" customFormat="1"/>
    <row r="26727" s="2" customFormat="1"/>
    <row r="26728" s="2" customFormat="1"/>
    <row r="26729" s="2" customFormat="1"/>
    <row r="26730" s="2" customFormat="1"/>
    <row r="26731" s="2" customFormat="1"/>
    <row r="26732" s="2" customFormat="1"/>
    <row r="26733" s="2" customFormat="1"/>
    <row r="26734" s="2" customFormat="1"/>
    <row r="26735" s="2" customFormat="1"/>
    <row r="26736" s="2" customFormat="1"/>
    <row r="26737" s="2" customFormat="1"/>
    <row r="26738" s="2" customFormat="1"/>
    <row r="26739" s="2" customFormat="1"/>
    <row r="26740" s="2" customFormat="1"/>
    <row r="26741" s="2" customFormat="1"/>
    <row r="26742" s="2" customFormat="1"/>
    <row r="26743" s="2" customFormat="1"/>
    <row r="26744" s="2" customFormat="1"/>
    <row r="26745" s="2" customFormat="1"/>
    <row r="26746" s="2" customFormat="1"/>
    <row r="26747" s="2" customFormat="1"/>
    <row r="26748" s="2" customFormat="1"/>
    <row r="26749" s="2" customFormat="1"/>
    <row r="26750" s="2" customFormat="1"/>
    <row r="26751" s="2" customFormat="1"/>
    <row r="26752" s="2" customFormat="1"/>
    <row r="26753" s="2" customFormat="1"/>
    <row r="26754" s="2" customFormat="1"/>
    <row r="26755" s="2" customFormat="1"/>
    <row r="26756" s="2" customFormat="1"/>
    <row r="26757" s="2" customFormat="1"/>
    <row r="26758" s="2" customFormat="1"/>
    <row r="26759" s="2" customFormat="1"/>
    <row r="26760" s="2" customFormat="1"/>
    <row r="26761" s="2" customFormat="1"/>
    <row r="26762" s="2" customFormat="1"/>
    <row r="26763" s="2" customFormat="1"/>
    <row r="26764" s="2" customFormat="1"/>
    <row r="26765" s="2" customFormat="1"/>
    <row r="26766" s="2" customFormat="1"/>
    <row r="26767" s="2" customFormat="1"/>
    <row r="26768" s="2" customFormat="1"/>
    <row r="26769" s="2" customFormat="1"/>
    <row r="26770" s="2" customFormat="1"/>
    <row r="26771" s="2" customFormat="1"/>
    <row r="26772" s="2" customFormat="1"/>
    <row r="26773" s="2" customFormat="1"/>
    <row r="26774" s="2" customFormat="1"/>
    <row r="26775" s="2" customFormat="1"/>
    <row r="26776" s="2" customFormat="1"/>
    <row r="26777" s="2" customFormat="1"/>
    <row r="26778" s="2" customFormat="1"/>
    <row r="26779" s="2" customFormat="1"/>
    <row r="26780" s="2" customFormat="1"/>
    <row r="26781" s="2" customFormat="1"/>
    <row r="26782" s="2" customFormat="1"/>
    <row r="26783" s="2" customFormat="1"/>
    <row r="26784" s="2" customFormat="1"/>
    <row r="26785" s="2" customFormat="1"/>
    <row r="26786" s="2" customFormat="1"/>
    <row r="26787" s="2" customFormat="1"/>
    <row r="26788" s="2" customFormat="1"/>
    <row r="26789" s="2" customFormat="1"/>
    <row r="26790" s="2" customFormat="1"/>
    <row r="26791" s="2" customFormat="1"/>
    <row r="26792" s="2" customFormat="1"/>
    <row r="26793" s="2" customFormat="1"/>
    <row r="26794" s="2" customFormat="1"/>
    <row r="26795" s="2" customFormat="1"/>
    <row r="26796" s="2" customFormat="1"/>
    <row r="26797" s="2" customFormat="1"/>
    <row r="26798" s="2" customFormat="1"/>
    <row r="26799" s="2" customFormat="1"/>
    <row r="26800" s="2" customFormat="1"/>
    <row r="26801" s="2" customFormat="1"/>
    <row r="26802" s="2" customFormat="1"/>
    <row r="26803" s="2" customFormat="1"/>
    <row r="26804" s="2" customFormat="1"/>
    <row r="26805" s="2" customFormat="1"/>
    <row r="26806" s="2" customFormat="1"/>
    <row r="26807" s="2" customFormat="1"/>
    <row r="26808" s="2" customFormat="1"/>
    <row r="26809" s="2" customFormat="1"/>
    <row r="26810" s="2" customFormat="1"/>
    <row r="26811" s="2" customFormat="1"/>
    <row r="26812" s="2" customFormat="1"/>
    <row r="26813" s="2" customFormat="1"/>
    <row r="26814" s="2" customFormat="1"/>
    <row r="26815" s="2" customFormat="1"/>
    <row r="26816" s="2" customFormat="1"/>
    <row r="26817" s="2" customFormat="1"/>
    <row r="26818" s="2" customFormat="1"/>
    <row r="26819" s="2" customFormat="1"/>
    <row r="26820" s="2" customFormat="1"/>
    <row r="26821" s="2" customFormat="1"/>
    <row r="26822" s="2" customFormat="1"/>
    <row r="26823" s="2" customFormat="1"/>
    <row r="26824" s="2" customFormat="1"/>
    <row r="26825" s="2" customFormat="1"/>
    <row r="26826" s="2" customFormat="1"/>
    <row r="26827" s="2" customFormat="1"/>
    <row r="26828" s="2" customFormat="1"/>
    <row r="26829" s="2" customFormat="1"/>
    <row r="26830" s="2" customFormat="1"/>
    <row r="26831" s="2" customFormat="1"/>
    <row r="26832" s="2" customFormat="1"/>
    <row r="26833" s="2" customFormat="1"/>
    <row r="26834" s="2" customFormat="1"/>
    <row r="26835" s="2" customFormat="1"/>
    <row r="26836" s="2" customFormat="1"/>
    <row r="26837" s="2" customFormat="1"/>
    <row r="26838" s="2" customFormat="1"/>
    <row r="26839" s="2" customFormat="1"/>
    <row r="26840" s="2" customFormat="1"/>
    <row r="26841" s="2" customFormat="1"/>
    <row r="26842" s="2" customFormat="1"/>
    <row r="26843" s="2" customFormat="1"/>
    <row r="26844" s="2" customFormat="1"/>
    <row r="26845" s="2" customFormat="1"/>
    <row r="26846" s="2" customFormat="1"/>
    <row r="26847" s="2" customFormat="1"/>
    <row r="26848" s="2" customFormat="1"/>
    <row r="26849" s="2" customFormat="1"/>
    <row r="26850" s="2" customFormat="1"/>
    <row r="26851" s="2" customFormat="1"/>
    <row r="26852" s="2" customFormat="1"/>
    <row r="26853" s="2" customFormat="1"/>
    <row r="26854" s="2" customFormat="1"/>
    <row r="26855" s="2" customFormat="1"/>
    <row r="26856" s="2" customFormat="1"/>
    <row r="26857" s="2" customFormat="1"/>
    <row r="26858" s="2" customFormat="1"/>
    <row r="26859" s="2" customFormat="1"/>
    <row r="26860" s="2" customFormat="1"/>
    <row r="26861" s="2" customFormat="1"/>
    <row r="26862" s="2" customFormat="1"/>
    <row r="26863" s="2" customFormat="1"/>
    <row r="26864" s="2" customFormat="1"/>
    <row r="26865" s="2" customFormat="1"/>
    <row r="26866" s="2" customFormat="1"/>
    <row r="26867" s="2" customFormat="1"/>
    <row r="26868" s="2" customFormat="1"/>
    <row r="26869" s="2" customFormat="1"/>
    <row r="26870" s="2" customFormat="1"/>
    <row r="26871" s="2" customFormat="1"/>
    <row r="26872" s="2" customFormat="1"/>
    <row r="26873" s="2" customFormat="1"/>
    <row r="26874" s="2" customFormat="1"/>
    <row r="26875" s="2" customFormat="1"/>
    <row r="26876" s="2" customFormat="1"/>
    <row r="26877" s="2" customFormat="1"/>
    <row r="26878" s="2" customFormat="1"/>
    <row r="26879" s="2" customFormat="1"/>
    <row r="26880" s="2" customFormat="1"/>
    <row r="26881" s="2" customFormat="1"/>
    <row r="26882" s="2" customFormat="1"/>
    <row r="26883" s="2" customFormat="1"/>
    <row r="26884" s="2" customFormat="1"/>
    <row r="26885" s="2" customFormat="1"/>
    <row r="26886" s="2" customFormat="1"/>
    <row r="26887" s="2" customFormat="1"/>
    <row r="26888" s="2" customFormat="1"/>
    <row r="26889" s="2" customFormat="1"/>
    <row r="26890" s="2" customFormat="1"/>
    <row r="26891" s="2" customFormat="1"/>
    <row r="26892" s="2" customFormat="1"/>
    <row r="26893" s="2" customFormat="1"/>
    <row r="26894" s="2" customFormat="1"/>
    <row r="26895" s="2" customFormat="1"/>
    <row r="26896" s="2" customFormat="1"/>
    <row r="26897" s="2" customFormat="1"/>
    <row r="26898" s="2" customFormat="1"/>
    <row r="26899" s="2" customFormat="1"/>
    <row r="26900" s="2" customFormat="1"/>
    <row r="26901" s="2" customFormat="1"/>
    <row r="26902" s="2" customFormat="1"/>
    <row r="26903" s="2" customFormat="1"/>
    <row r="26904" s="2" customFormat="1"/>
    <row r="26905" s="2" customFormat="1"/>
    <row r="26906" s="2" customFormat="1"/>
    <row r="26907" s="2" customFormat="1"/>
    <row r="26908" s="2" customFormat="1"/>
    <row r="26909" s="2" customFormat="1"/>
    <row r="26910" s="2" customFormat="1"/>
    <row r="26911" s="2" customFormat="1"/>
    <row r="26912" s="2" customFormat="1"/>
    <row r="26913" s="2" customFormat="1"/>
    <row r="26914" s="2" customFormat="1"/>
    <row r="26915" s="2" customFormat="1"/>
    <row r="26916" s="2" customFormat="1"/>
    <row r="26917" s="2" customFormat="1"/>
    <row r="26918" s="2" customFormat="1"/>
    <row r="26919" s="2" customFormat="1"/>
    <row r="26920" s="2" customFormat="1"/>
    <row r="26921" s="2" customFormat="1"/>
    <row r="26922" s="2" customFormat="1"/>
    <row r="26923" s="2" customFormat="1"/>
    <row r="26924" s="2" customFormat="1"/>
    <row r="26925" s="2" customFormat="1"/>
    <row r="26926" s="2" customFormat="1"/>
    <row r="26927" s="2" customFormat="1"/>
    <row r="26928" s="2" customFormat="1"/>
    <row r="26929" s="2" customFormat="1"/>
    <row r="26930" s="2" customFormat="1"/>
    <row r="26931" s="2" customFormat="1"/>
    <row r="26932" s="2" customFormat="1"/>
    <row r="26933" s="2" customFormat="1"/>
    <row r="26934" s="2" customFormat="1"/>
    <row r="26935" s="2" customFormat="1"/>
    <row r="26936" s="2" customFormat="1"/>
    <row r="26937" s="2" customFormat="1"/>
    <row r="26938" s="2" customFormat="1"/>
    <row r="26939" s="2" customFormat="1"/>
    <row r="26940" s="2" customFormat="1"/>
    <row r="26941" s="2" customFormat="1"/>
    <row r="26942" s="2" customFormat="1"/>
    <row r="26943" s="2" customFormat="1"/>
    <row r="26944" s="2" customFormat="1"/>
    <row r="26945" s="2" customFormat="1"/>
    <row r="26946" s="2" customFormat="1"/>
    <row r="26947" s="2" customFormat="1"/>
    <row r="26948" s="2" customFormat="1"/>
    <row r="26949" s="2" customFormat="1"/>
    <row r="26950" s="2" customFormat="1"/>
    <row r="26951" s="2" customFormat="1"/>
    <row r="26952" s="2" customFormat="1"/>
    <row r="26953" s="2" customFormat="1"/>
    <row r="26954" s="2" customFormat="1"/>
    <row r="26955" s="2" customFormat="1"/>
    <row r="26956" s="2" customFormat="1"/>
    <row r="26957" s="2" customFormat="1"/>
    <row r="26958" s="2" customFormat="1"/>
    <row r="26959" s="2" customFormat="1"/>
    <row r="26960" s="2" customFormat="1"/>
    <row r="26961" s="2" customFormat="1"/>
    <row r="26962" s="2" customFormat="1"/>
    <row r="26963" s="2" customFormat="1"/>
    <row r="26964" s="2" customFormat="1"/>
    <row r="26965" s="2" customFormat="1"/>
    <row r="26966" s="2" customFormat="1"/>
    <row r="26967" s="2" customFormat="1"/>
    <row r="26968" s="2" customFormat="1"/>
    <row r="26969" s="2" customFormat="1"/>
    <row r="26970" s="2" customFormat="1"/>
    <row r="26971" s="2" customFormat="1"/>
    <row r="26972" s="2" customFormat="1"/>
    <row r="26973" s="2" customFormat="1"/>
    <row r="26974" s="2" customFormat="1"/>
    <row r="26975" s="2" customFormat="1"/>
    <row r="26976" s="2" customFormat="1"/>
    <row r="26977" s="2" customFormat="1"/>
    <row r="26978" s="2" customFormat="1"/>
    <row r="26979" s="2" customFormat="1"/>
    <row r="26980" s="2" customFormat="1"/>
    <row r="26981" s="2" customFormat="1"/>
    <row r="26982" s="2" customFormat="1"/>
    <row r="26983" s="2" customFormat="1"/>
    <row r="26984" s="2" customFormat="1"/>
    <row r="26985" s="2" customFormat="1"/>
    <row r="26986" s="2" customFormat="1"/>
    <row r="26987" s="2" customFormat="1"/>
    <row r="26988" s="2" customFormat="1"/>
    <row r="26989" s="2" customFormat="1"/>
    <row r="26990" s="2" customFormat="1"/>
    <row r="26991" s="2" customFormat="1"/>
    <row r="26992" s="2" customFormat="1"/>
    <row r="26993" s="2" customFormat="1"/>
    <row r="26994" s="2" customFormat="1"/>
    <row r="26995" s="2" customFormat="1"/>
    <row r="26996" s="2" customFormat="1"/>
    <row r="26997" s="2" customFormat="1"/>
    <row r="26998" s="2" customFormat="1"/>
    <row r="26999" s="2" customFormat="1"/>
    <row r="27000" s="2" customFormat="1"/>
    <row r="27001" s="2" customFormat="1"/>
    <row r="27002" s="2" customFormat="1"/>
    <row r="27003" s="2" customFormat="1"/>
    <row r="27004" s="2" customFormat="1"/>
    <row r="27005" s="2" customFormat="1"/>
    <row r="27006" s="2" customFormat="1"/>
    <row r="27007" s="2" customFormat="1"/>
    <row r="27008" s="2" customFormat="1"/>
    <row r="27009" s="2" customFormat="1"/>
    <row r="27010" s="2" customFormat="1"/>
    <row r="27011" s="2" customFormat="1"/>
    <row r="27012" s="2" customFormat="1"/>
    <row r="27013" s="2" customFormat="1"/>
    <row r="27014" s="2" customFormat="1"/>
    <row r="27015" s="2" customFormat="1"/>
    <row r="27016" s="2" customFormat="1"/>
    <row r="27017" s="2" customFormat="1"/>
    <row r="27018" s="2" customFormat="1"/>
    <row r="27019" s="2" customFormat="1"/>
    <row r="27020" s="2" customFormat="1"/>
    <row r="27021" s="2" customFormat="1"/>
    <row r="27022" s="2" customFormat="1"/>
    <row r="27023" s="2" customFormat="1"/>
    <row r="27024" s="2" customFormat="1"/>
    <row r="27025" s="2" customFormat="1"/>
    <row r="27026" s="2" customFormat="1"/>
    <row r="27027" s="2" customFormat="1"/>
    <row r="27028" s="2" customFormat="1"/>
    <row r="27029" s="2" customFormat="1"/>
    <row r="27030" s="2" customFormat="1"/>
    <row r="27031" s="2" customFormat="1"/>
    <row r="27032" s="2" customFormat="1"/>
    <row r="27033" s="2" customFormat="1"/>
    <row r="27034" s="2" customFormat="1"/>
    <row r="27035" s="2" customFormat="1"/>
    <row r="27036" s="2" customFormat="1"/>
    <row r="27037" s="2" customFormat="1"/>
    <row r="27038" s="2" customFormat="1"/>
    <row r="27039" s="2" customFormat="1"/>
    <row r="27040" s="2" customFormat="1"/>
    <row r="27041" s="2" customFormat="1"/>
    <row r="27042" s="2" customFormat="1"/>
    <row r="27043" s="2" customFormat="1"/>
    <row r="27044" s="2" customFormat="1"/>
    <row r="27045" s="2" customFormat="1"/>
    <row r="27046" s="2" customFormat="1"/>
    <row r="27047" s="2" customFormat="1"/>
    <row r="27048" s="2" customFormat="1"/>
    <row r="27049" s="2" customFormat="1"/>
    <row r="27050" s="2" customFormat="1"/>
    <row r="27051" s="2" customFormat="1"/>
    <row r="27052" s="2" customFormat="1"/>
    <row r="27053" s="2" customFormat="1"/>
    <row r="27054" s="2" customFormat="1"/>
    <row r="27055" s="2" customFormat="1"/>
    <row r="27056" s="2" customFormat="1"/>
    <row r="27057" s="2" customFormat="1"/>
    <row r="27058" s="2" customFormat="1"/>
    <row r="27059" s="2" customFormat="1"/>
    <row r="27060" s="2" customFormat="1"/>
    <row r="27061" s="2" customFormat="1"/>
    <row r="27062" s="2" customFormat="1"/>
    <row r="27063" s="2" customFormat="1"/>
    <row r="27064" s="2" customFormat="1"/>
    <row r="27065" s="2" customFormat="1"/>
    <row r="27066" s="2" customFormat="1"/>
    <row r="27067" s="2" customFormat="1"/>
    <row r="27068" s="2" customFormat="1"/>
    <row r="27069" s="2" customFormat="1"/>
    <row r="27070" s="2" customFormat="1"/>
    <row r="27071" s="2" customFormat="1"/>
    <row r="27072" s="2" customFormat="1"/>
    <row r="27073" s="2" customFormat="1"/>
    <row r="27074" s="2" customFormat="1"/>
    <row r="27075" s="2" customFormat="1"/>
    <row r="27076" s="2" customFormat="1"/>
    <row r="27077" s="2" customFormat="1"/>
    <row r="27078" s="2" customFormat="1"/>
    <row r="27079" s="2" customFormat="1"/>
    <row r="27080" s="2" customFormat="1"/>
    <row r="27081" s="2" customFormat="1"/>
    <row r="27082" s="2" customFormat="1"/>
    <row r="27083" s="2" customFormat="1"/>
    <row r="27084" s="2" customFormat="1"/>
    <row r="27085" s="2" customFormat="1"/>
    <row r="27086" s="2" customFormat="1"/>
    <row r="27087" s="2" customFormat="1"/>
    <row r="27088" s="2" customFormat="1"/>
    <row r="27089" s="2" customFormat="1"/>
    <row r="27090" s="2" customFormat="1"/>
    <row r="27091" s="2" customFormat="1"/>
    <row r="27092" s="2" customFormat="1"/>
    <row r="27093" s="2" customFormat="1"/>
    <row r="27094" s="2" customFormat="1"/>
    <row r="27095" s="2" customFormat="1"/>
    <row r="27096" s="2" customFormat="1"/>
    <row r="27097" s="2" customFormat="1"/>
    <row r="27098" s="2" customFormat="1"/>
    <row r="27099" s="2" customFormat="1"/>
    <row r="27100" s="2" customFormat="1"/>
    <row r="27101" s="2" customFormat="1"/>
    <row r="27102" s="2" customFormat="1"/>
    <row r="27103" s="2" customFormat="1"/>
    <row r="27104" s="2" customFormat="1"/>
    <row r="27105" s="2" customFormat="1"/>
    <row r="27106" s="2" customFormat="1"/>
    <row r="27107" s="2" customFormat="1"/>
    <row r="27108" s="2" customFormat="1"/>
    <row r="27109" s="2" customFormat="1"/>
    <row r="27110" s="2" customFormat="1"/>
    <row r="27111" s="2" customFormat="1"/>
    <row r="27112" s="2" customFormat="1"/>
    <row r="27113" s="2" customFormat="1"/>
    <row r="27114" s="2" customFormat="1"/>
    <row r="27115" s="2" customFormat="1"/>
    <row r="27116" s="2" customFormat="1"/>
    <row r="27117" s="2" customFormat="1"/>
    <row r="27118" s="2" customFormat="1"/>
    <row r="27119" s="2" customFormat="1"/>
    <row r="27120" s="2" customFormat="1"/>
    <row r="27121" s="2" customFormat="1"/>
    <row r="27122" s="2" customFormat="1"/>
    <row r="27123" s="2" customFormat="1"/>
    <row r="27124" s="2" customFormat="1"/>
    <row r="27125" s="2" customFormat="1"/>
    <row r="27126" s="2" customFormat="1"/>
    <row r="27127" s="2" customFormat="1"/>
    <row r="27128" s="2" customFormat="1"/>
    <row r="27129" s="2" customFormat="1"/>
    <row r="27130" s="2" customFormat="1"/>
    <row r="27131" s="2" customFormat="1"/>
    <row r="27132" s="2" customFormat="1"/>
    <row r="27133" s="2" customFormat="1"/>
    <row r="27134" s="2" customFormat="1"/>
    <row r="27135" s="2" customFormat="1"/>
    <row r="27136" s="2" customFormat="1"/>
    <row r="27137" s="2" customFormat="1"/>
    <row r="27138" s="2" customFormat="1"/>
    <row r="27139" s="2" customFormat="1"/>
    <row r="27140" s="2" customFormat="1"/>
    <row r="27141" s="2" customFormat="1"/>
    <row r="27142" s="2" customFormat="1"/>
    <row r="27143" s="2" customFormat="1"/>
    <row r="27144" s="2" customFormat="1"/>
    <row r="27145" s="2" customFormat="1"/>
    <row r="27146" s="2" customFormat="1"/>
    <row r="27147" s="2" customFormat="1"/>
    <row r="27148" s="2" customFormat="1"/>
    <row r="27149" s="2" customFormat="1"/>
    <row r="27150" s="2" customFormat="1"/>
    <row r="27151" s="2" customFormat="1"/>
    <row r="27152" s="2" customFormat="1"/>
    <row r="27153" s="2" customFormat="1"/>
    <row r="27154" s="2" customFormat="1"/>
    <row r="27155" s="2" customFormat="1"/>
    <row r="27156" s="2" customFormat="1"/>
    <row r="27157" s="2" customFormat="1"/>
    <row r="27158" s="2" customFormat="1"/>
    <row r="27159" s="2" customFormat="1"/>
    <row r="27160" s="2" customFormat="1"/>
    <row r="27161" s="2" customFormat="1"/>
    <row r="27162" s="2" customFormat="1"/>
    <row r="27163" s="2" customFormat="1"/>
    <row r="27164" s="2" customFormat="1"/>
    <row r="27165" s="2" customFormat="1"/>
    <row r="27166" s="2" customFormat="1"/>
    <row r="27167" s="2" customFormat="1"/>
    <row r="27168" s="2" customFormat="1"/>
    <row r="27169" s="2" customFormat="1"/>
    <row r="27170" s="2" customFormat="1"/>
    <row r="27171" s="2" customFormat="1"/>
    <row r="27172" s="2" customFormat="1"/>
    <row r="27173" s="2" customFormat="1"/>
    <row r="27174" s="2" customFormat="1"/>
    <row r="27175" s="2" customFormat="1"/>
    <row r="27176" s="2" customFormat="1"/>
    <row r="27177" s="2" customFormat="1"/>
    <row r="27178" s="2" customFormat="1"/>
    <row r="27179" s="2" customFormat="1"/>
    <row r="27180" s="2" customFormat="1"/>
    <row r="27181" s="2" customFormat="1"/>
    <row r="27182" s="2" customFormat="1"/>
    <row r="27183" s="2" customFormat="1"/>
    <row r="27184" s="2" customFormat="1"/>
    <row r="27185" s="2" customFormat="1"/>
    <row r="27186" s="2" customFormat="1"/>
    <row r="27187" s="2" customFormat="1"/>
    <row r="27188" s="2" customFormat="1"/>
    <row r="27189" s="2" customFormat="1"/>
    <row r="27190" s="2" customFormat="1"/>
    <row r="27191" s="2" customFormat="1"/>
    <row r="27192" s="2" customFormat="1"/>
    <row r="27193" s="2" customFormat="1"/>
    <row r="27194" s="2" customFormat="1"/>
    <row r="27195" s="2" customFormat="1"/>
    <row r="27196" s="2" customFormat="1"/>
    <row r="27197" s="2" customFormat="1"/>
    <row r="27198" s="2" customFormat="1"/>
    <row r="27199" s="2" customFormat="1"/>
    <row r="27200" s="2" customFormat="1"/>
    <row r="27201" s="2" customFormat="1"/>
    <row r="27202" s="2" customFormat="1"/>
    <row r="27203" s="2" customFormat="1"/>
    <row r="27204" s="2" customFormat="1"/>
    <row r="27205" s="2" customFormat="1"/>
    <row r="27206" s="2" customFormat="1"/>
    <row r="27207" s="2" customFormat="1"/>
    <row r="27208" s="2" customFormat="1"/>
    <row r="27209" s="2" customFormat="1"/>
    <row r="27210" s="2" customFormat="1"/>
    <row r="27211" s="2" customFormat="1"/>
    <row r="27212" s="2" customFormat="1"/>
    <row r="27213" s="2" customFormat="1"/>
    <row r="27214" s="2" customFormat="1"/>
    <row r="27215" s="2" customFormat="1"/>
    <row r="27216" s="2" customFormat="1"/>
    <row r="27217" s="2" customFormat="1"/>
    <row r="27218" s="2" customFormat="1"/>
    <row r="27219" s="2" customFormat="1"/>
    <row r="27220" s="2" customFormat="1"/>
    <row r="27221" s="2" customFormat="1"/>
    <row r="27222" s="2" customFormat="1"/>
    <row r="27223" s="2" customFormat="1"/>
    <row r="27224" s="2" customFormat="1"/>
    <row r="27225" s="2" customFormat="1"/>
    <row r="27226" s="2" customFormat="1"/>
    <row r="27227" s="2" customFormat="1"/>
    <row r="27228" s="2" customFormat="1"/>
    <row r="27229" s="2" customFormat="1"/>
    <row r="27230" s="2" customFormat="1"/>
    <row r="27231" s="2" customFormat="1"/>
    <row r="27232" s="2" customFormat="1"/>
    <row r="27233" s="2" customFormat="1"/>
    <row r="27234" s="2" customFormat="1"/>
    <row r="27235" s="2" customFormat="1"/>
    <row r="27236" s="2" customFormat="1"/>
    <row r="27237" s="2" customFormat="1"/>
    <row r="27238" s="2" customFormat="1"/>
    <row r="27239" s="2" customFormat="1"/>
    <row r="27240" s="2" customFormat="1"/>
    <row r="27241" s="2" customFormat="1"/>
    <row r="27242" s="2" customFormat="1"/>
    <row r="27243" s="2" customFormat="1"/>
    <row r="27244" s="2" customFormat="1"/>
    <row r="27245" s="2" customFormat="1"/>
    <row r="27246" s="2" customFormat="1"/>
    <row r="27247" s="2" customFormat="1"/>
    <row r="27248" s="2" customFormat="1"/>
    <row r="27249" s="2" customFormat="1"/>
    <row r="27250" s="2" customFormat="1"/>
    <row r="27251" s="2" customFormat="1"/>
    <row r="27252" s="2" customFormat="1"/>
    <row r="27253" s="2" customFormat="1"/>
    <row r="27254" s="2" customFormat="1"/>
    <row r="27255" s="2" customFormat="1"/>
    <row r="27256" s="2" customFormat="1"/>
    <row r="27257" s="2" customFormat="1"/>
    <row r="27258" s="2" customFormat="1"/>
    <row r="27259" s="2" customFormat="1"/>
    <row r="27260" s="2" customFormat="1"/>
    <row r="27261" s="2" customFormat="1"/>
    <row r="27262" s="2" customFormat="1"/>
    <row r="27263" s="2" customFormat="1"/>
    <row r="27264" s="2" customFormat="1"/>
    <row r="27265" s="2" customFormat="1"/>
    <row r="27266" s="2" customFormat="1"/>
    <row r="27267" s="2" customFormat="1"/>
    <row r="27268" s="2" customFormat="1"/>
    <row r="27269" s="2" customFormat="1"/>
    <row r="27270" s="2" customFormat="1"/>
    <row r="27271" s="2" customFormat="1"/>
    <row r="27272" s="2" customFormat="1"/>
    <row r="27273" s="2" customFormat="1"/>
    <row r="27274" s="2" customFormat="1"/>
    <row r="27275" s="2" customFormat="1"/>
    <row r="27276" s="2" customFormat="1"/>
    <row r="27277" s="2" customFormat="1"/>
    <row r="27278" s="2" customFormat="1"/>
    <row r="27279" s="2" customFormat="1"/>
    <row r="27280" s="2" customFormat="1"/>
    <row r="27281" s="2" customFormat="1"/>
    <row r="27282" s="2" customFormat="1"/>
    <row r="27283" s="2" customFormat="1"/>
    <row r="27284" s="2" customFormat="1"/>
    <row r="27285" s="2" customFormat="1"/>
    <row r="27286" s="2" customFormat="1"/>
    <row r="27287" s="2" customFormat="1"/>
    <row r="27288" s="2" customFormat="1"/>
    <row r="27289" s="2" customFormat="1"/>
    <row r="27290" s="2" customFormat="1"/>
    <row r="27291" s="2" customFormat="1"/>
    <row r="27292" s="2" customFormat="1"/>
    <row r="27293" s="2" customFormat="1"/>
    <row r="27294" s="2" customFormat="1"/>
    <row r="27295" s="2" customFormat="1"/>
    <row r="27296" s="2" customFormat="1"/>
    <row r="27297" s="2" customFormat="1"/>
    <row r="27298" s="2" customFormat="1"/>
    <row r="27299" s="2" customFormat="1"/>
    <row r="27300" s="2" customFormat="1"/>
    <row r="27301" s="2" customFormat="1"/>
    <row r="27302" s="2" customFormat="1"/>
    <row r="27303" s="2" customFormat="1"/>
    <row r="27304" s="2" customFormat="1"/>
    <row r="27305" s="2" customFormat="1"/>
    <row r="27306" s="2" customFormat="1"/>
    <row r="27307" s="2" customFormat="1"/>
    <row r="27308" s="2" customFormat="1"/>
    <row r="27309" s="2" customFormat="1"/>
    <row r="27310" s="2" customFormat="1"/>
    <row r="27311" s="2" customFormat="1"/>
    <row r="27312" s="2" customFormat="1"/>
    <row r="27313" s="2" customFormat="1"/>
    <row r="27314" s="2" customFormat="1"/>
    <row r="27315" s="2" customFormat="1"/>
    <row r="27316" s="2" customFormat="1"/>
    <row r="27317" s="2" customFormat="1"/>
    <row r="27318" s="2" customFormat="1"/>
    <row r="27319" s="2" customFormat="1"/>
    <row r="27320" s="2" customFormat="1"/>
    <row r="27321" s="2" customFormat="1"/>
    <row r="27322" s="2" customFormat="1"/>
    <row r="27323" s="2" customFormat="1"/>
    <row r="27324" s="2" customFormat="1"/>
    <row r="27325" s="2" customFormat="1"/>
    <row r="27326" s="2" customFormat="1"/>
    <row r="27327" s="2" customFormat="1"/>
    <row r="27328" s="2" customFormat="1"/>
    <row r="27329" s="2" customFormat="1"/>
    <row r="27330" s="2" customFormat="1"/>
    <row r="27331" s="2" customFormat="1"/>
    <row r="27332" s="2" customFormat="1"/>
    <row r="27333" s="2" customFormat="1"/>
    <row r="27334" s="2" customFormat="1"/>
    <row r="27335" s="2" customFormat="1"/>
    <row r="27336" s="2" customFormat="1"/>
    <row r="27337" s="2" customFormat="1"/>
    <row r="27338" s="2" customFormat="1"/>
    <row r="27339" s="2" customFormat="1"/>
    <row r="27340" s="2" customFormat="1"/>
    <row r="27341" s="2" customFormat="1"/>
    <row r="27342" s="2" customFormat="1"/>
    <row r="27343" s="2" customFormat="1"/>
    <row r="27344" s="2" customFormat="1"/>
    <row r="27345" s="2" customFormat="1"/>
    <row r="27346" s="2" customFormat="1"/>
    <row r="27347" s="2" customFormat="1"/>
    <row r="27348" s="2" customFormat="1"/>
    <row r="27349" s="2" customFormat="1"/>
    <row r="27350" s="2" customFormat="1"/>
    <row r="27351" s="2" customFormat="1"/>
    <row r="27352" s="2" customFormat="1"/>
    <row r="27353" s="2" customFormat="1"/>
    <row r="27354" s="2" customFormat="1"/>
    <row r="27355" s="2" customFormat="1"/>
    <row r="27356" s="2" customFormat="1"/>
    <row r="27357" s="2" customFormat="1"/>
    <row r="27358" s="2" customFormat="1"/>
    <row r="27359" s="2" customFormat="1"/>
    <row r="27360" s="2" customFormat="1"/>
    <row r="27361" s="2" customFormat="1"/>
    <row r="27362" s="2" customFormat="1"/>
    <row r="27363" s="2" customFormat="1"/>
    <row r="27364" s="2" customFormat="1"/>
    <row r="27365" s="2" customFormat="1"/>
    <row r="27366" s="2" customFormat="1"/>
    <row r="27367" s="2" customFormat="1"/>
    <row r="27368" s="2" customFormat="1"/>
    <row r="27369" s="2" customFormat="1"/>
    <row r="27370" s="2" customFormat="1"/>
    <row r="27371" s="2" customFormat="1"/>
    <row r="27372" s="2" customFormat="1"/>
    <row r="27373" s="2" customFormat="1"/>
    <row r="27374" s="2" customFormat="1"/>
    <row r="27375" s="2" customFormat="1"/>
    <row r="27376" s="2" customFormat="1"/>
    <row r="27377" s="2" customFormat="1"/>
    <row r="27378" s="2" customFormat="1"/>
    <row r="27379" s="2" customFormat="1"/>
    <row r="27380" s="2" customFormat="1"/>
    <row r="27381" s="2" customFormat="1"/>
    <row r="27382" s="2" customFormat="1"/>
    <row r="27383" s="2" customFormat="1"/>
    <row r="27384" s="2" customFormat="1"/>
    <row r="27385" s="2" customFormat="1"/>
    <row r="27386" s="2" customFormat="1"/>
    <row r="27387" s="2" customFormat="1"/>
    <row r="27388" s="2" customFormat="1"/>
    <row r="27389" s="2" customFormat="1"/>
    <row r="27390" s="2" customFormat="1"/>
    <row r="27391" s="2" customFormat="1"/>
    <row r="27392" s="2" customFormat="1"/>
    <row r="27393" s="2" customFormat="1"/>
    <row r="27394" s="2" customFormat="1"/>
    <row r="27395" s="2" customFormat="1"/>
    <row r="27396" s="2" customFormat="1"/>
    <row r="27397" s="2" customFormat="1"/>
    <row r="27398" s="2" customFormat="1"/>
    <row r="27399" s="2" customFormat="1"/>
    <row r="27400" s="2" customFormat="1"/>
    <row r="27401" s="2" customFormat="1"/>
    <row r="27402" s="2" customFormat="1"/>
    <row r="27403" s="2" customFormat="1"/>
    <row r="27404" s="2" customFormat="1"/>
    <row r="27405" s="2" customFormat="1"/>
    <row r="27406" s="2" customFormat="1"/>
    <row r="27407" s="2" customFormat="1"/>
    <row r="27408" s="2" customFormat="1"/>
    <row r="27409" s="2" customFormat="1"/>
    <row r="27410" s="2" customFormat="1"/>
    <row r="27411" s="2" customFormat="1"/>
    <row r="27412" s="2" customFormat="1"/>
    <row r="27413" s="2" customFormat="1"/>
    <row r="27414" s="2" customFormat="1"/>
    <row r="27415" s="2" customFormat="1"/>
    <row r="27416" s="2" customFormat="1"/>
    <row r="27417" s="2" customFormat="1"/>
    <row r="27418" s="2" customFormat="1"/>
    <row r="27419" s="2" customFormat="1"/>
    <row r="27420" s="2" customFormat="1"/>
    <row r="27421" s="2" customFormat="1"/>
    <row r="27422" s="2" customFormat="1"/>
    <row r="27423" s="2" customFormat="1"/>
    <row r="27424" s="2" customFormat="1"/>
    <row r="27425" s="2" customFormat="1"/>
    <row r="27426" s="2" customFormat="1"/>
    <row r="27427" s="2" customFormat="1"/>
    <row r="27428" s="2" customFormat="1"/>
    <row r="27429" s="2" customFormat="1"/>
    <row r="27430" s="2" customFormat="1"/>
    <row r="27431" s="2" customFormat="1"/>
    <row r="27432" s="2" customFormat="1"/>
    <row r="27433" s="2" customFormat="1"/>
    <row r="27434" s="2" customFormat="1"/>
    <row r="27435" s="2" customFormat="1"/>
    <row r="27436" s="2" customFormat="1"/>
    <row r="27437" s="2" customFormat="1"/>
    <row r="27438" s="2" customFormat="1"/>
    <row r="27439" s="2" customFormat="1"/>
    <row r="27440" s="2" customFormat="1"/>
    <row r="27441" s="2" customFormat="1"/>
    <row r="27442" s="2" customFormat="1"/>
    <row r="27443" s="2" customFormat="1"/>
    <row r="27444" s="2" customFormat="1"/>
    <row r="27445" s="2" customFormat="1"/>
    <row r="27446" s="2" customFormat="1"/>
    <row r="27447" s="2" customFormat="1"/>
    <row r="27448" s="2" customFormat="1"/>
    <row r="27449" s="2" customFormat="1"/>
    <row r="27450" s="2" customFormat="1"/>
    <row r="27451" s="2" customFormat="1"/>
    <row r="27452" s="2" customFormat="1"/>
    <row r="27453" s="2" customFormat="1"/>
    <row r="27454" s="2" customFormat="1"/>
    <row r="27455" s="2" customFormat="1"/>
    <row r="27456" s="2" customFormat="1"/>
    <row r="27457" s="2" customFormat="1"/>
    <row r="27458" s="2" customFormat="1"/>
    <row r="27459" s="2" customFormat="1"/>
    <row r="27460" s="2" customFormat="1"/>
    <row r="27461" s="2" customFormat="1"/>
    <row r="27462" s="2" customFormat="1"/>
    <row r="27463" s="2" customFormat="1"/>
    <row r="27464" s="2" customFormat="1"/>
    <row r="27465" s="2" customFormat="1"/>
    <row r="27466" s="2" customFormat="1"/>
    <row r="27467" s="2" customFormat="1"/>
    <row r="27468" s="2" customFormat="1"/>
    <row r="27469" s="2" customFormat="1"/>
    <row r="27470" s="2" customFormat="1"/>
    <row r="27471" s="2" customFormat="1"/>
    <row r="27472" s="2" customFormat="1"/>
    <row r="27473" s="2" customFormat="1"/>
    <row r="27474" s="2" customFormat="1"/>
    <row r="27475" s="2" customFormat="1"/>
    <row r="27476" s="2" customFormat="1"/>
    <row r="27477" s="2" customFormat="1"/>
    <row r="27478" s="2" customFormat="1"/>
    <row r="27479" s="2" customFormat="1"/>
    <row r="27480" s="2" customFormat="1"/>
    <row r="27481" s="2" customFormat="1"/>
    <row r="27482" s="2" customFormat="1"/>
    <row r="27483" s="2" customFormat="1"/>
    <row r="27484" s="2" customFormat="1"/>
    <row r="27485" s="2" customFormat="1"/>
    <row r="27486" s="2" customFormat="1"/>
    <row r="27487" s="2" customFormat="1"/>
    <row r="27488" s="2" customFormat="1"/>
    <row r="27489" s="2" customFormat="1"/>
    <row r="27490" s="2" customFormat="1"/>
    <row r="27491" s="2" customFormat="1"/>
    <row r="27492" s="2" customFormat="1"/>
    <row r="27493" s="2" customFormat="1"/>
    <row r="27494" s="2" customFormat="1"/>
    <row r="27495" s="2" customFormat="1"/>
    <row r="27496" s="2" customFormat="1"/>
    <row r="27497" s="2" customFormat="1"/>
    <row r="27498" s="2" customFormat="1"/>
    <row r="27499" s="2" customFormat="1"/>
    <row r="27500" s="2" customFormat="1"/>
    <row r="27501" s="2" customFormat="1"/>
    <row r="27502" s="2" customFormat="1"/>
    <row r="27503" s="2" customFormat="1"/>
    <row r="27504" s="2" customFormat="1"/>
    <row r="27505" s="2" customFormat="1"/>
    <row r="27506" s="2" customFormat="1"/>
    <row r="27507" s="2" customFormat="1"/>
    <row r="27508" s="2" customFormat="1"/>
    <row r="27509" s="2" customFormat="1"/>
    <row r="27510" s="2" customFormat="1"/>
    <row r="27511" s="2" customFormat="1"/>
    <row r="27512" s="2" customFormat="1"/>
    <row r="27513" s="2" customFormat="1"/>
    <row r="27514" s="2" customFormat="1"/>
    <row r="27515" s="2" customFormat="1"/>
    <row r="27516" s="2" customFormat="1"/>
    <row r="27517" s="2" customFormat="1"/>
    <row r="27518" s="2" customFormat="1"/>
    <row r="27519" s="2" customFormat="1"/>
    <row r="27520" s="2" customFormat="1"/>
    <row r="27521" s="2" customFormat="1"/>
    <row r="27522" s="2" customFormat="1"/>
    <row r="27523" s="2" customFormat="1"/>
    <row r="27524" s="2" customFormat="1"/>
    <row r="27525" s="2" customFormat="1"/>
    <row r="27526" s="2" customFormat="1"/>
    <row r="27527" s="2" customFormat="1"/>
    <row r="27528" s="2" customFormat="1"/>
    <row r="27529" s="2" customFormat="1"/>
    <row r="27530" s="2" customFormat="1"/>
    <row r="27531" s="2" customFormat="1"/>
    <row r="27532" s="2" customFormat="1"/>
    <row r="27533" s="2" customFormat="1"/>
    <row r="27534" s="2" customFormat="1"/>
    <row r="27535" s="2" customFormat="1"/>
    <row r="27536" s="2" customFormat="1"/>
    <row r="27537" s="2" customFormat="1"/>
    <row r="27538" s="2" customFormat="1"/>
    <row r="27539" s="2" customFormat="1"/>
    <row r="27540" s="2" customFormat="1"/>
    <row r="27541" s="2" customFormat="1"/>
    <row r="27542" s="2" customFormat="1"/>
    <row r="27543" s="2" customFormat="1"/>
    <row r="27544" s="2" customFormat="1"/>
    <row r="27545" s="2" customFormat="1"/>
    <row r="27546" s="2" customFormat="1"/>
    <row r="27547" s="2" customFormat="1"/>
    <row r="27548" s="2" customFormat="1"/>
    <row r="27549" s="2" customFormat="1"/>
    <row r="27550" s="2" customFormat="1"/>
    <row r="27551" s="2" customFormat="1"/>
    <row r="27552" s="2" customFormat="1"/>
    <row r="27553" s="2" customFormat="1"/>
    <row r="27554" s="2" customFormat="1"/>
    <row r="27555" s="2" customFormat="1"/>
    <row r="27556" s="2" customFormat="1"/>
    <row r="27557" s="2" customFormat="1"/>
    <row r="27558" s="2" customFormat="1"/>
    <row r="27559" s="2" customFormat="1"/>
    <row r="27560" s="2" customFormat="1"/>
    <row r="27561" s="2" customFormat="1"/>
    <row r="27562" s="2" customFormat="1"/>
    <row r="27563" s="2" customFormat="1"/>
    <row r="27564" s="2" customFormat="1"/>
    <row r="27565" s="2" customFormat="1"/>
    <row r="27566" s="2" customFormat="1"/>
    <row r="27567" s="2" customFormat="1"/>
    <row r="27568" s="2" customFormat="1"/>
    <row r="27569" s="2" customFormat="1"/>
    <row r="27570" s="2" customFormat="1"/>
    <row r="27571" s="2" customFormat="1"/>
    <row r="27572" s="2" customFormat="1"/>
    <row r="27573" s="2" customFormat="1"/>
    <row r="27574" s="2" customFormat="1"/>
    <row r="27575" s="2" customFormat="1"/>
    <row r="27576" s="2" customFormat="1"/>
    <row r="27577" s="2" customFormat="1"/>
    <row r="27578" s="2" customFormat="1"/>
    <row r="27579" s="2" customFormat="1"/>
    <row r="27580" s="2" customFormat="1"/>
    <row r="27581" s="2" customFormat="1"/>
    <row r="27582" s="2" customFormat="1"/>
    <row r="27583" s="2" customFormat="1"/>
    <row r="27584" s="2" customFormat="1"/>
    <row r="27585" s="2" customFormat="1"/>
    <row r="27586" s="2" customFormat="1"/>
    <row r="27587" s="2" customFormat="1"/>
    <row r="27588" s="2" customFormat="1"/>
    <row r="27589" s="2" customFormat="1"/>
    <row r="27590" s="2" customFormat="1"/>
    <row r="27591" s="2" customFormat="1"/>
    <row r="27592" s="2" customFormat="1"/>
    <row r="27593" s="2" customFormat="1"/>
    <row r="27594" s="2" customFormat="1"/>
    <row r="27595" s="2" customFormat="1"/>
    <row r="27596" s="2" customFormat="1"/>
    <row r="27597" s="2" customFormat="1"/>
    <row r="27598" s="2" customFormat="1"/>
    <row r="27599" s="2" customFormat="1"/>
    <row r="27600" s="2" customFormat="1"/>
    <row r="27601" s="2" customFormat="1"/>
    <row r="27602" s="2" customFormat="1"/>
    <row r="27603" s="2" customFormat="1"/>
    <row r="27604" s="2" customFormat="1"/>
    <row r="27605" s="2" customFormat="1"/>
    <row r="27606" s="2" customFormat="1"/>
    <row r="27607" s="2" customFormat="1"/>
    <row r="27608" s="2" customFormat="1"/>
    <row r="27609" s="2" customFormat="1"/>
    <row r="27610" s="2" customFormat="1"/>
    <row r="27611" s="2" customFormat="1"/>
    <row r="27612" s="2" customFormat="1"/>
    <row r="27613" s="2" customFormat="1"/>
    <row r="27614" s="2" customFormat="1"/>
    <row r="27615" s="2" customFormat="1"/>
    <row r="27616" s="2" customFormat="1"/>
    <row r="27617" s="2" customFormat="1"/>
    <row r="27618" s="2" customFormat="1"/>
    <row r="27619" s="2" customFormat="1"/>
    <row r="27620" s="2" customFormat="1"/>
    <row r="27621" s="2" customFormat="1"/>
    <row r="27622" s="2" customFormat="1"/>
    <row r="27623" s="2" customFormat="1"/>
    <row r="27624" s="2" customFormat="1"/>
    <row r="27625" s="2" customFormat="1"/>
    <row r="27626" s="2" customFormat="1"/>
    <row r="27627" s="2" customFormat="1"/>
    <row r="27628" s="2" customFormat="1"/>
    <row r="27629" s="2" customFormat="1"/>
    <row r="27630" s="2" customFormat="1"/>
    <row r="27631" s="2" customFormat="1"/>
    <row r="27632" s="2" customFormat="1"/>
    <row r="27633" s="2" customFormat="1"/>
    <row r="27634" s="2" customFormat="1"/>
    <row r="27635" s="2" customFormat="1"/>
    <row r="27636" s="2" customFormat="1"/>
    <row r="27637" s="2" customFormat="1"/>
    <row r="27638" s="2" customFormat="1"/>
    <row r="27639" s="2" customFormat="1"/>
    <row r="27640" s="2" customFormat="1"/>
    <row r="27641" s="2" customFormat="1"/>
    <row r="27642" s="2" customFormat="1"/>
    <row r="27643" s="2" customFormat="1"/>
    <row r="27644" s="2" customFormat="1"/>
    <row r="27645" s="2" customFormat="1"/>
    <row r="27646" s="2" customFormat="1"/>
    <row r="27647" s="2" customFormat="1"/>
    <row r="27648" s="2" customFormat="1"/>
    <row r="27649" s="2" customFormat="1"/>
    <row r="27650" s="2" customFormat="1"/>
    <row r="27651" s="2" customFormat="1"/>
    <row r="27652" s="2" customFormat="1"/>
    <row r="27653" s="2" customFormat="1"/>
    <row r="27654" s="2" customFormat="1"/>
    <row r="27655" s="2" customFormat="1"/>
    <row r="27656" s="2" customFormat="1"/>
    <row r="27657" s="2" customFormat="1"/>
    <row r="27658" s="2" customFormat="1"/>
    <row r="27659" s="2" customFormat="1"/>
    <row r="27660" s="2" customFormat="1"/>
    <row r="27661" s="2" customFormat="1"/>
    <row r="27662" s="2" customFormat="1"/>
    <row r="27663" s="2" customFormat="1"/>
    <row r="27664" s="2" customFormat="1"/>
    <row r="27665" s="2" customFormat="1"/>
    <row r="27666" s="2" customFormat="1"/>
    <row r="27667" s="2" customFormat="1"/>
    <row r="27668" s="2" customFormat="1"/>
    <row r="27669" s="2" customFormat="1"/>
    <row r="27670" s="2" customFormat="1"/>
    <row r="27671" s="2" customFormat="1"/>
    <row r="27672" s="2" customFormat="1"/>
    <row r="27673" s="2" customFormat="1"/>
    <row r="27674" s="2" customFormat="1"/>
    <row r="27675" s="2" customFormat="1"/>
    <row r="27676" s="2" customFormat="1"/>
    <row r="27677" s="2" customFormat="1"/>
    <row r="27678" s="2" customFormat="1"/>
    <row r="27679" s="2" customFormat="1"/>
    <row r="27680" s="2" customFormat="1"/>
    <row r="27681" s="2" customFormat="1"/>
    <row r="27682" s="2" customFormat="1"/>
    <row r="27683" s="2" customFormat="1"/>
    <row r="27684" s="2" customFormat="1"/>
    <row r="27685" s="2" customFormat="1"/>
    <row r="27686" s="2" customFormat="1"/>
    <row r="27687" s="2" customFormat="1"/>
    <row r="27688" s="2" customFormat="1"/>
    <row r="27689" s="2" customFormat="1"/>
    <row r="27690" s="2" customFormat="1"/>
    <row r="27691" s="2" customFormat="1"/>
    <row r="27692" s="2" customFormat="1"/>
    <row r="27693" s="2" customFormat="1"/>
    <row r="27694" s="2" customFormat="1"/>
    <row r="27695" s="2" customFormat="1"/>
    <row r="27696" s="2" customFormat="1"/>
    <row r="27697" s="2" customFormat="1"/>
    <row r="27698" s="2" customFormat="1"/>
    <row r="27699" s="2" customFormat="1"/>
    <row r="27700" s="2" customFormat="1"/>
    <row r="27701" s="2" customFormat="1"/>
    <row r="27702" s="2" customFormat="1"/>
    <row r="27703" s="2" customFormat="1"/>
    <row r="27704" s="2" customFormat="1"/>
    <row r="27705" s="2" customFormat="1"/>
    <row r="27706" s="2" customFormat="1"/>
    <row r="27707" s="2" customFormat="1"/>
    <row r="27708" s="2" customFormat="1"/>
    <row r="27709" s="2" customFormat="1"/>
    <row r="27710" s="2" customFormat="1"/>
    <row r="27711" s="2" customFormat="1"/>
    <row r="27712" s="2" customFormat="1"/>
    <row r="27713" s="2" customFormat="1"/>
    <row r="27714" s="2" customFormat="1"/>
    <row r="27715" s="2" customFormat="1"/>
    <row r="27716" s="2" customFormat="1"/>
    <row r="27717" s="2" customFormat="1"/>
    <row r="27718" s="2" customFormat="1"/>
    <row r="27719" s="2" customFormat="1"/>
    <row r="27720" s="2" customFormat="1"/>
    <row r="27721" s="2" customFormat="1"/>
    <row r="27722" s="2" customFormat="1"/>
    <row r="27723" s="2" customFormat="1"/>
    <row r="27724" s="2" customFormat="1"/>
    <row r="27725" s="2" customFormat="1"/>
    <row r="27726" s="2" customFormat="1"/>
    <row r="27727" s="2" customFormat="1"/>
    <row r="27728" s="2" customFormat="1"/>
    <row r="27729" s="2" customFormat="1"/>
    <row r="27730" s="2" customFormat="1"/>
    <row r="27731" s="2" customFormat="1"/>
    <row r="27732" s="2" customFormat="1"/>
    <row r="27733" s="2" customFormat="1"/>
    <row r="27734" s="2" customFormat="1"/>
    <row r="27735" s="2" customFormat="1"/>
    <row r="27736" s="2" customFormat="1"/>
    <row r="27737" s="2" customFormat="1"/>
    <row r="27738" s="2" customFormat="1"/>
    <row r="27739" s="2" customFormat="1"/>
    <row r="27740" s="2" customFormat="1"/>
    <row r="27741" s="2" customFormat="1"/>
    <row r="27742" s="2" customFormat="1"/>
    <row r="27743" s="2" customFormat="1"/>
    <row r="27744" s="2" customFormat="1"/>
    <row r="27745" s="2" customFormat="1"/>
    <row r="27746" s="2" customFormat="1"/>
    <row r="27747" s="2" customFormat="1"/>
    <row r="27748" s="2" customFormat="1"/>
    <row r="27749" s="2" customFormat="1"/>
    <row r="27750" s="2" customFormat="1"/>
    <row r="27751" s="2" customFormat="1"/>
    <row r="27752" s="2" customFormat="1"/>
    <row r="27753" s="2" customFormat="1"/>
    <row r="27754" s="2" customFormat="1"/>
    <row r="27755" s="2" customFormat="1"/>
    <row r="27756" s="2" customFormat="1"/>
    <row r="27757" s="2" customFormat="1"/>
    <row r="27758" s="2" customFormat="1"/>
    <row r="27759" s="2" customFormat="1"/>
    <row r="27760" s="2" customFormat="1"/>
    <row r="27761" s="2" customFormat="1"/>
    <row r="27762" s="2" customFormat="1"/>
    <row r="27763" s="2" customFormat="1"/>
    <row r="27764" s="2" customFormat="1"/>
    <row r="27765" s="2" customFormat="1"/>
    <row r="27766" s="2" customFormat="1"/>
    <row r="27767" s="2" customFormat="1"/>
    <row r="27768" s="2" customFormat="1"/>
    <row r="27769" s="2" customFormat="1"/>
    <row r="27770" s="2" customFormat="1"/>
    <row r="27771" s="2" customFormat="1"/>
    <row r="27772" s="2" customFormat="1"/>
    <row r="27773" s="2" customFormat="1"/>
    <row r="27774" s="2" customFormat="1"/>
    <row r="27775" s="2" customFormat="1"/>
    <row r="27776" s="2" customFormat="1"/>
    <row r="27777" s="2" customFormat="1"/>
    <row r="27778" s="2" customFormat="1"/>
    <row r="27779" s="2" customFormat="1"/>
    <row r="27780" s="2" customFormat="1"/>
    <row r="27781" s="2" customFormat="1"/>
    <row r="27782" s="2" customFormat="1"/>
    <row r="27783" s="2" customFormat="1"/>
    <row r="27784" s="2" customFormat="1"/>
    <row r="27785" s="2" customFormat="1"/>
    <row r="27786" s="2" customFormat="1"/>
    <row r="27787" s="2" customFormat="1"/>
    <row r="27788" s="2" customFormat="1"/>
    <row r="27789" s="2" customFormat="1"/>
    <row r="27790" s="2" customFormat="1"/>
    <row r="27791" s="2" customFormat="1"/>
    <row r="27792" s="2" customFormat="1"/>
    <row r="27793" s="2" customFormat="1"/>
    <row r="27794" s="2" customFormat="1"/>
    <row r="27795" s="2" customFormat="1"/>
    <row r="27796" s="2" customFormat="1"/>
    <row r="27797" s="2" customFormat="1"/>
    <row r="27798" s="2" customFormat="1"/>
    <row r="27799" s="2" customFormat="1"/>
    <row r="27800" s="2" customFormat="1"/>
    <row r="27801" s="2" customFormat="1"/>
    <row r="27802" s="2" customFormat="1"/>
    <row r="27803" s="2" customFormat="1"/>
    <row r="27804" s="2" customFormat="1"/>
    <row r="27805" s="2" customFormat="1"/>
    <row r="27806" s="2" customFormat="1"/>
    <row r="27807" s="2" customFormat="1"/>
    <row r="27808" s="2" customFormat="1"/>
    <row r="27809" s="2" customFormat="1"/>
    <row r="27810" s="2" customFormat="1"/>
    <row r="27811" s="2" customFormat="1"/>
    <row r="27812" s="2" customFormat="1"/>
    <row r="27813" s="2" customFormat="1"/>
    <row r="27814" s="2" customFormat="1"/>
    <row r="27815" s="2" customFormat="1"/>
    <row r="27816" s="2" customFormat="1"/>
    <row r="27817" s="2" customFormat="1"/>
    <row r="27818" s="2" customFormat="1"/>
    <row r="27819" s="2" customFormat="1"/>
    <row r="27820" s="2" customFormat="1"/>
    <row r="27821" s="2" customFormat="1"/>
    <row r="27822" s="2" customFormat="1"/>
    <row r="27823" s="2" customFormat="1"/>
    <row r="27824" s="2" customFormat="1"/>
    <row r="27825" s="2" customFormat="1"/>
    <row r="27826" s="2" customFormat="1"/>
    <row r="27827" s="2" customFormat="1"/>
    <row r="27828" s="2" customFormat="1"/>
    <row r="27829" s="2" customFormat="1"/>
    <row r="27830" s="2" customFormat="1"/>
    <row r="27831" s="2" customFormat="1"/>
    <row r="27832" s="2" customFormat="1"/>
    <row r="27833" s="2" customFormat="1"/>
    <row r="27834" s="2" customFormat="1"/>
    <row r="27835" s="2" customFormat="1"/>
    <row r="27836" s="2" customFormat="1"/>
    <row r="27837" s="2" customFormat="1"/>
    <row r="27838" s="2" customFormat="1"/>
    <row r="27839" s="2" customFormat="1"/>
    <row r="27840" s="2" customFormat="1"/>
    <row r="27841" s="2" customFormat="1"/>
    <row r="27842" s="2" customFormat="1"/>
    <row r="27843" s="2" customFormat="1"/>
    <row r="27844" s="2" customFormat="1"/>
    <row r="27845" s="2" customFormat="1"/>
    <row r="27846" s="2" customFormat="1"/>
    <row r="27847" s="2" customFormat="1"/>
    <row r="27848" s="2" customFormat="1"/>
    <row r="27849" s="2" customFormat="1"/>
    <row r="27850" s="2" customFormat="1"/>
    <row r="27851" s="2" customFormat="1"/>
    <row r="27852" s="2" customFormat="1"/>
    <row r="27853" s="2" customFormat="1"/>
    <row r="27854" s="2" customFormat="1"/>
    <row r="27855" s="2" customFormat="1"/>
    <row r="27856" s="2" customFormat="1"/>
    <row r="27857" s="2" customFormat="1"/>
    <row r="27858" s="2" customFormat="1"/>
    <row r="27859" s="2" customFormat="1"/>
    <row r="27860" s="2" customFormat="1"/>
    <row r="27861" s="2" customFormat="1"/>
    <row r="27862" s="2" customFormat="1"/>
    <row r="27863" s="2" customFormat="1"/>
    <row r="27864" s="2" customFormat="1"/>
    <row r="27865" s="2" customFormat="1"/>
    <row r="27866" s="2" customFormat="1"/>
    <row r="27867" s="2" customFormat="1"/>
    <row r="27868" s="2" customFormat="1"/>
    <row r="27869" s="2" customFormat="1"/>
    <row r="27870" s="2" customFormat="1"/>
    <row r="27871" s="2" customFormat="1"/>
    <row r="27872" s="2" customFormat="1"/>
    <row r="27873" s="2" customFormat="1"/>
    <row r="27874" s="2" customFormat="1"/>
    <row r="27875" s="2" customFormat="1"/>
    <row r="27876" s="2" customFormat="1"/>
    <row r="27877" s="2" customFormat="1"/>
    <row r="27878" s="2" customFormat="1"/>
    <row r="27879" s="2" customFormat="1"/>
    <row r="27880" s="2" customFormat="1"/>
    <row r="27881" s="2" customFormat="1"/>
    <row r="27882" s="2" customFormat="1"/>
    <row r="27883" s="2" customFormat="1"/>
    <row r="27884" s="2" customFormat="1"/>
    <row r="27885" s="2" customFormat="1"/>
    <row r="27886" s="2" customFormat="1"/>
    <row r="27887" s="2" customFormat="1"/>
    <row r="27888" s="2" customFormat="1"/>
    <row r="27889" s="2" customFormat="1"/>
    <row r="27890" s="2" customFormat="1"/>
    <row r="27891" s="2" customFormat="1"/>
    <row r="27892" s="2" customFormat="1"/>
    <row r="27893" s="2" customFormat="1"/>
    <row r="27894" s="2" customFormat="1"/>
    <row r="27895" s="2" customFormat="1"/>
    <row r="27896" s="2" customFormat="1"/>
    <row r="27897" s="2" customFormat="1"/>
    <row r="27898" s="2" customFormat="1"/>
    <row r="27899" s="2" customFormat="1"/>
    <row r="27900" s="2" customFormat="1"/>
    <row r="27901" s="2" customFormat="1"/>
    <row r="27902" s="2" customFormat="1"/>
    <row r="27903" s="2" customFormat="1"/>
    <row r="27904" s="2" customFormat="1"/>
    <row r="27905" s="2" customFormat="1"/>
    <row r="27906" s="2" customFormat="1"/>
    <row r="27907" s="2" customFormat="1"/>
    <row r="27908" s="2" customFormat="1"/>
    <row r="27909" s="2" customFormat="1"/>
    <row r="27910" s="2" customFormat="1"/>
    <row r="27911" s="2" customFormat="1"/>
    <row r="27912" s="2" customFormat="1"/>
    <row r="27913" s="2" customFormat="1"/>
    <row r="27914" s="2" customFormat="1"/>
    <row r="27915" s="2" customFormat="1"/>
    <row r="27916" s="2" customFormat="1"/>
    <row r="27917" s="2" customFormat="1"/>
    <row r="27918" s="2" customFormat="1"/>
    <row r="27919" s="2" customFormat="1"/>
    <row r="27920" s="2" customFormat="1"/>
    <row r="27921" s="2" customFormat="1"/>
    <row r="27922" s="2" customFormat="1"/>
    <row r="27923" s="2" customFormat="1"/>
    <row r="27924" s="2" customFormat="1"/>
    <row r="27925" s="2" customFormat="1"/>
    <row r="27926" s="2" customFormat="1"/>
    <row r="27927" s="2" customFormat="1"/>
    <row r="27928" s="2" customFormat="1"/>
    <row r="27929" s="2" customFormat="1"/>
    <row r="27930" s="2" customFormat="1"/>
    <row r="27931" s="2" customFormat="1"/>
    <row r="27932" s="2" customFormat="1"/>
    <row r="27933" s="2" customFormat="1"/>
    <row r="27934" s="2" customFormat="1"/>
    <row r="27935" s="2" customFormat="1"/>
    <row r="27936" s="2" customFormat="1"/>
    <row r="27937" s="2" customFormat="1"/>
    <row r="27938" s="2" customFormat="1"/>
    <row r="27939" s="2" customFormat="1"/>
    <row r="27940" s="2" customFormat="1"/>
    <row r="27941" s="2" customFormat="1"/>
    <row r="27942" s="2" customFormat="1"/>
    <row r="27943" s="2" customFormat="1"/>
    <row r="27944" s="2" customFormat="1"/>
    <row r="27945" s="2" customFormat="1"/>
    <row r="27946" s="2" customFormat="1"/>
    <row r="27947" s="2" customFormat="1"/>
    <row r="27948" s="2" customFormat="1"/>
    <row r="27949" s="2" customFormat="1"/>
    <row r="27950" s="2" customFormat="1"/>
    <row r="27951" s="2" customFormat="1"/>
    <row r="27952" s="2" customFormat="1"/>
    <row r="27953" s="2" customFormat="1"/>
    <row r="27954" s="2" customFormat="1"/>
    <row r="27955" s="2" customFormat="1"/>
    <row r="27956" s="2" customFormat="1"/>
    <row r="27957" s="2" customFormat="1"/>
    <row r="27958" s="2" customFormat="1"/>
    <row r="27959" s="2" customFormat="1"/>
    <row r="27960" s="2" customFormat="1"/>
    <row r="27961" s="2" customFormat="1"/>
    <row r="27962" s="2" customFormat="1"/>
    <row r="27963" s="2" customFormat="1"/>
    <row r="27964" s="2" customFormat="1"/>
    <row r="27965" s="2" customFormat="1"/>
    <row r="27966" s="2" customFormat="1"/>
    <row r="27967" s="2" customFormat="1"/>
    <row r="27968" s="2" customFormat="1"/>
    <row r="27969" s="2" customFormat="1"/>
    <row r="27970" s="2" customFormat="1"/>
    <row r="27971" s="2" customFormat="1"/>
    <row r="27972" s="2" customFormat="1"/>
    <row r="27973" s="2" customFormat="1"/>
    <row r="27974" s="2" customFormat="1"/>
    <row r="27975" s="2" customFormat="1"/>
    <row r="27976" s="2" customFormat="1"/>
    <row r="27977" s="2" customFormat="1"/>
    <row r="27978" s="2" customFormat="1"/>
    <row r="27979" s="2" customFormat="1"/>
    <row r="27980" s="2" customFormat="1"/>
    <row r="27981" s="2" customFormat="1"/>
    <row r="27982" s="2" customFormat="1"/>
    <row r="27983" s="2" customFormat="1"/>
    <row r="27984" s="2" customFormat="1"/>
    <row r="27985" s="2" customFormat="1"/>
    <row r="27986" s="2" customFormat="1"/>
    <row r="27987" s="2" customFormat="1"/>
    <row r="27988" s="2" customFormat="1"/>
    <row r="27989" s="2" customFormat="1"/>
    <row r="27990" s="2" customFormat="1"/>
    <row r="27991" s="2" customFormat="1"/>
    <row r="27992" s="2" customFormat="1"/>
    <row r="27993" s="2" customFormat="1"/>
    <row r="27994" s="2" customFormat="1"/>
    <row r="27995" s="2" customFormat="1"/>
    <row r="27996" s="2" customFormat="1"/>
    <row r="27997" s="2" customFormat="1"/>
    <row r="27998" s="2" customFormat="1"/>
    <row r="27999" s="2" customFormat="1"/>
    <row r="28000" s="2" customFormat="1"/>
    <row r="28001" s="2" customFormat="1"/>
    <row r="28002" s="2" customFormat="1"/>
    <row r="28003" s="2" customFormat="1"/>
    <row r="28004" s="2" customFormat="1"/>
    <row r="28005" s="2" customFormat="1"/>
    <row r="28006" s="2" customFormat="1"/>
    <row r="28007" s="2" customFormat="1"/>
    <row r="28008" s="2" customFormat="1"/>
    <row r="28009" s="2" customFormat="1"/>
    <row r="28010" s="2" customFormat="1"/>
    <row r="28011" s="2" customFormat="1"/>
    <row r="28012" s="2" customFormat="1"/>
    <row r="28013" s="2" customFormat="1"/>
    <row r="28014" s="2" customFormat="1"/>
    <row r="28015" s="2" customFormat="1"/>
    <row r="28016" s="2" customFormat="1"/>
    <row r="28017" s="2" customFormat="1"/>
    <row r="28018" s="2" customFormat="1"/>
    <row r="28019" s="2" customFormat="1"/>
    <row r="28020" s="2" customFormat="1"/>
    <row r="28021" s="2" customFormat="1"/>
    <row r="28022" s="2" customFormat="1"/>
    <row r="28023" s="2" customFormat="1"/>
    <row r="28024" s="2" customFormat="1"/>
    <row r="28025" s="2" customFormat="1"/>
    <row r="28026" s="2" customFormat="1"/>
    <row r="28027" s="2" customFormat="1"/>
    <row r="28028" s="2" customFormat="1"/>
    <row r="28029" s="2" customFormat="1"/>
    <row r="28030" s="2" customFormat="1"/>
    <row r="28031" s="2" customFormat="1"/>
    <row r="28032" s="2" customFormat="1"/>
    <row r="28033" s="2" customFormat="1"/>
    <row r="28034" s="2" customFormat="1"/>
    <row r="28035" s="2" customFormat="1"/>
    <row r="28036" s="2" customFormat="1"/>
    <row r="28037" s="2" customFormat="1"/>
    <row r="28038" s="2" customFormat="1"/>
    <row r="28039" s="2" customFormat="1"/>
    <row r="28040" s="2" customFormat="1"/>
    <row r="28041" s="2" customFormat="1"/>
    <row r="28042" s="2" customFormat="1"/>
    <row r="28043" s="2" customFormat="1"/>
    <row r="28044" s="2" customFormat="1"/>
    <row r="28045" s="2" customFormat="1"/>
    <row r="28046" s="2" customFormat="1"/>
    <row r="28047" s="2" customFormat="1"/>
    <row r="28048" s="2" customFormat="1"/>
    <row r="28049" s="2" customFormat="1"/>
    <row r="28050" s="2" customFormat="1"/>
    <row r="28051" s="2" customFormat="1"/>
    <row r="28052" s="2" customFormat="1"/>
    <row r="28053" s="2" customFormat="1"/>
    <row r="28054" s="2" customFormat="1"/>
    <row r="28055" s="2" customFormat="1"/>
    <row r="28056" s="2" customFormat="1"/>
    <row r="28057" s="2" customFormat="1"/>
    <row r="28058" s="2" customFormat="1"/>
    <row r="28059" s="2" customFormat="1"/>
    <row r="28060" s="2" customFormat="1"/>
    <row r="28061" s="2" customFormat="1"/>
    <row r="28062" s="2" customFormat="1"/>
    <row r="28063" s="2" customFormat="1"/>
    <row r="28064" s="2" customFormat="1"/>
    <row r="28065" s="2" customFormat="1"/>
    <row r="28066" s="2" customFormat="1"/>
    <row r="28067" s="2" customFormat="1"/>
    <row r="28068" s="2" customFormat="1"/>
    <row r="28069" s="2" customFormat="1"/>
    <row r="28070" s="2" customFormat="1"/>
    <row r="28071" s="2" customFormat="1"/>
    <row r="28072" s="2" customFormat="1"/>
    <row r="28073" s="2" customFormat="1"/>
    <row r="28074" s="2" customFormat="1"/>
    <row r="28075" s="2" customFormat="1"/>
    <row r="28076" s="2" customFormat="1"/>
    <row r="28077" s="2" customFormat="1"/>
    <row r="28078" s="2" customFormat="1"/>
    <row r="28079" s="2" customFormat="1"/>
    <row r="28080" s="2" customFormat="1"/>
    <row r="28081" s="2" customFormat="1"/>
    <row r="28082" s="2" customFormat="1"/>
    <row r="28083" s="2" customFormat="1"/>
    <row r="28084" s="2" customFormat="1"/>
    <row r="28085" s="2" customFormat="1"/>
    <row r="28086" s="2" customFormat="1"/>
    <row r="28087" s="2" customFormat="1"/>
    <row r="28088" s="2" customFormat="1"/>
    <row r="28089" s="2" customFormat="1"/>
    <row r="28090" s="2" customFormat="1"/>
    <row r="28091" s="2" customFormat="1"/>
    <row r="28092" s="2" customFormat="1"/>
    <row r="28093" s="2" customFormat="1"/>
    <row r="28094" s="2" customFormat="1"/>
    <row r="28095" s="2" customFormat="1"/>
    <row r="28096" s="2" customFormat="1"/>
    <row r="28097" s="2" customFormat="1"/>
    <row r="28098" s="2" customFormat="1"/>
    <row r="28099" s="2" customFormat="1"/>
    <row r="28100" s="2" customFormat="1"/>
    <row r="28101" s="2" customFormat="1"/>
    <row r="28102" s="2" customFormat="1"/>
    <row r="28103" s="2" customFormat="1"/>
    <row r="28104" s="2" customFormat="1"/>
    <row r="28105" s="2" customFormat="1"/>
    <row r="28106" s="2" customFormat="1"/>
    <row r="28107" s="2" customFormat="1"/>
    <row r="28108" s="2" customFormat="1"/>
    <row r="28109" s="2" customFormat="1"/>
    <row r="28110" s="2" customFormat="1"/>
    <row r="28111" s="2" customFormat="1"/>
    <row r="28112" s="2" customFormat="1"/>
    <row r="28113" s="2" customFormat="1"/>
    <row r="28114" s="2" customFormat="1"/>
    <row r="28115" s="2" customFormat="1"/>
    <row r="28116" s="2" customFormat="1"/>
    <row r="28117" s="2" customFormat="1"/>
    <row r="28118" s="2" customFormat="1"/>
    <row r="28119" s="2" customFormat="1"/>
    <row r="28120" s="2" customFormat="1"/>
    <row r="28121" s="2" customFormat="1"/>
    <row r="28122" s="2" customFormat="1"/>
    <row r="28123" s="2" customFormat="1"/>
    <row r="28124" s="2" customFormat="1"/>
    <row r="28125" s="2" customFormat="1"/>
    <row r="28126" s="2" customFormat="1"/>
    <row r="28127" s="2" customFormat="1"/>
    <row r="28128" s="2" customFormat="1"/>
    <row r="28129" s="2" customFormat="1"/>
    <row r="28130" s="2" customFormat="1"/>
    <row r="28131" s="2" customFormat="1"/>
    <row r="28132" s="2" customFormat="1"/>
    <row r="28133" s="2" customFormat="1"/>
    <row r="28134" s="2" customFormat="1"/>
    <row r="28135" s="2" customFormat="1"/>
    <row r="28136" s="2" customFormat="1"/>
    <row r="28137" s="2" customFormat="1"/>
    <row r="28138" s="2" customFormat="1"/>
    <row r="28139" s="2" customFormat="1"/>
    <row r="28140" s="2" customFormat="1"/>
    <row r="28141" s="2" customFormat="1"/>
    <row r="28142" s="2" customFormat="1"/>
    <row r="28143" s="2" customFormat="1"/>
    <row r="28144" s="2" customFormat="1"/>
    <row r="28145" s="2" customFormat="1"/>
    <row r="28146" s="2" customFormat="1"/>
    <row r="28147" s="2" customFormat="1"/>
    <row r="28148" s="2" customFormat="1"/>
    <row r="28149" s="2" customFormat="1"/>
    <row r="28150" s="2" customFormat="1"/>
    <row r="28151" s="2" customFormat="1"/>
    <row r="28152" s="2" customFormat="1"/>
    <row r="28153" s="2" customFormat="1"/>
    <row r="28154" s="2" customFormat="1"/>
    <row r="28155" s="2" customFormat="1"/>
    <row r="28156" s="2" customFormat="1"/>
    <row r="28157" s="2" customFormat="1"/>
    <row r="28158" s="2" customFormat="1"/>
    <row r="28159" s="2" customFormat="1"/>
    <row r="28160" s="2" customFormat="1"/>
    <row r="28161" s="2" customFormat="1"/>
    <row r="28162" s="2" customFormat="1"/>
    <row r="28163" s="2" customFormat="1"/>
    <row r="28164" s="2" customFormat="1"/>
    <row r="28165" s="2" customFormat="1"/>
    <row r="28166" s="2" customFormat="1"/>
    <row r="28167" s="2" customFormat="1"/>
    <row r="28168" s="2" customFormat="1"/>
    <row r="28169" s="2" customFormat="1"/>
    <row r="28170" s="2" customFormat="1"/>
    <row r="28171" s="2" customFormat="1"/>
    <row r="28172" s="2" customFormat="1"/>
    <row r="28173" s="2" customFormat="1"/>
    <row r="28174" s="2" customFormat="1"/>
    <row r="28175" s="2" customFormat="1"/>
    <row r="28176" s="2" customFormat="1"/>
    <row r="28177" s="2" customFormat="1"/>
    <row r="28178" s="2" customFormat="1"/>
    <row r="28179" s="2" customFormat="1"/>
    <row r="28180" s="2" customFormat="1"/>
    <row r="28181" s="2" customFormat="1"/>
    <row r="28182" s="2" customFormat="1"/>
    <row r="28183" s="2" customFormat="1"/>
    <row r="28184" s="2" customFormat="1"/>
    <row r="28185" s="2" customFormat="1"/>
    <row r="28186" s="2" customFormat="1"/>
    <row r="28187" s="2" customFormat="1"/>
    <row r="28188" s="2" customFormat="1"/>
    <row r="28189" s="2" customFormat="1"/>
    <row r="28190" s="2" customFormat="1"/>
    <row r="28191" s="2" customFormat="1"/>
    <row r="28192" s="2" customFormat="1"/>
    <row r="28193" s="2" customFormat="1"/>
    <row r="28194" s="2" customFormat="1"/>
    <row r="28195" s="2" customFormat="1"/>
    <row r="28196" s="2" customFormat="1"/>
    <row r="28197" s="2" customFormat="1"/>
    <row r="28198" s="2" customFormat="1"/>
    <row r="28199" s="2" customFormat="1"/>
    <row r="28200" s="2" customFormat="1"/>
    <row r="28201" s="2" customFormat="1"/>
    <row r="28202" s="2" customFormat="1"/>
    <row r="28203" s="2" customFormat="1"/>
    <row r="28204" s="2" customFormat="1"/>
    <row r="28205" s="2" customFormat="1"/>
    <row r="28206" s="2" customFormat="1"/>
    <row r="28207" s="2" customFormat="1"/>
    <row r="28208" s="2" customFormat="1"/>
    <row r="28209" s="2" customFormat="1"/>
    <row r="28210" s="2" customFormat="1"/>
    <row r="28211" s="2" customFormat="1"/>
    <row r="28212" s="2" customFormat="1"/>
    <row r="28213" s="2" customFormat="1"/>
    <row r="28214" s="2" customFormat="1"/>
    <row r="28215" s="2" customFormat="1"/>
    <row r="28216" s="2" customFormat="1"/>
    <row r="28217" s="2" customFormat="1"/>
    <row r="28218" s="2" customFormat="1"/>
    <row r="28219" s="2" customFormat="1"/>
    <row r="28220" s="2" customFormat="1"/>
    <row r="28221" s="2" customFormat="1"/>
    <row r="28222" s="2" customFormat="1"/>
    <row r="28223" s="2" customFormat="1"/>
    <row r="28224" s="2" customFormat="1"/>
    <row r="28225" s="2" customFormat="1"/>
    <row r="28226" s="2" customFormat="1"/>
    <row r="28227" s="2" customFormat="1"/>
    <row r="28228" s="2" customFormat="1"/>
    <row r="28229" s="2" customFormat="1"/>
    <row r="28230" s="2" customFormat="1"/>
    <row r="28231" s="2" customFormat="1"/>
    <row r="28232" s="2" customFormat="1"/>
    <row r="28233" s="2" customFormat="1"/>
    <row r="28234" s="2" customFormat="1"/>
    <row r="28235" s="2" customFormat="1"/>
    <row r="28236" s="2" customFormat="1"/>
    <row r="28237" s="2" customFormat="1"/>
    <row r="28238" s="2" customFormat="1"/>
    <row r="28239" s="2" customFormat="1"/>
    <row r="28240" s="2" customFormat="1"/>
    <row r="28241" s="2" customFormat="1"/>
    <row r="28242" s="2" customFormat="1"/>
    <row r="28243" s="2" customFormat="1"/>
    <row r="28244" s="2" customFormat="1"/>
    <row r="28245" s="2" customFormat="1"/>
    <row r="28246" s="2" customFormat="1"/>
    <row r="28247" s="2" customFormat="1"/>
    <row r="28248" s="2" customFormat="1"/>
    <row r="28249" s="2" customFormat="1"/>
    <row r="28250" s="2" customFormat="1"/>
    <row r="28251" s="2" customFormat="1"/>
    <row r="28252" s="2" customFormat="1"/>
    <row r="28253" s="2" customFormat="1"/>
    <row r="28254" s="2" customFormat="1"/>
    <row r="28255" s="2" customFormat="1"/>
    <row r="28256" s="2" customFormat="1"/>
    <row r="28257" s="2" customFormat="1"/>
    <row r="28258" s="2" customFormat="1"/>
    <row r="28259" s="2" customFormat="1"/>
    <row r="28260" s="2" customFormat="1"/>
    <row r="28261" s="2" customFormat="1"/>
    <row r="28262" s="2" customFormat="1"/>
    <row r="28263" s="2" customFormat="1"/>
    <row r="28264" s="2" customFormat="1"/>
    <row r="28265" s="2" customFormat="1"/>
    <row r="28266" s="2" customFormat="1"/>
    <row r="28267" s="2" customFormat="1"/>
    <row r="28268" s="2" customFormat="1"/>
    <row r="28269" s="2" customFormat="1"/>
    <row r="28270" s="2" customFormat="1"/>
    <row r="28271" s="2" customFormat="1"/>
    <row r="28272" s="2" customFormat="1"/>
    <row r="28273" s="2" customFormat="1"/>
    <row r="28274" s="2" customFormat="1"/>
    <row r="28275" s="2" customFormat="1"/>
    <row r="28276" s="2" customFormat="1"/>
    <row r="28277" s="2" customFormat="1"/>
    <row r="28278" s="2" customFormat="1"/>
    <row r="28279" s="2" customFormat="1"/>
    <row r="28280" s="2" customFormat="1"/>
    <row r="28281" s="2" customFormat="1"/>
    <row r="28282" s="2" customFormat="1"/>
    <row r="28283" s="2" customFormat="1"/>
    <row r="28284" s="2" customFormat="1"/>
    <row r="28285" s="2" customFormat="1"/>
    <row r="28286" s="2" customFormat="1"/>
    <row r="28287" s="2" customFormat="1"/>
    <row r="28288" s="2" customFormat="1"/>
    <row r="28289" s="2" customFormat="1"/>
    <row r="28290" s="2" customFormat="1"/>
    <row r="28291" s="2" customFormat="1"/>
    <row r="28292" s="2" customFormat="1"/>
    <row r="28293" s="2" customFormat="1"/>
    <row r="28294" s="2" customFormat="1"/>
    <row r="28295" s="2" customFormat="1"/>
    <row r="28296" s="2" customFormat="1"/>
    <row r="28297" s="2" customFormat="1"/>
    <row r="28298" s="2" customFormat="1"/>
    <row r="28299" s="2" customFormat="1"/>
    <row r="28300" s="2" customFormat="1"/>
    <row r="28301" s="2" customFormat="1"/>
    <row r="28302" s="2" customFormat="1"/>
    <row r="28303" s="2" customFormat="1"/>
    <row r="28304" s="2" customFormat="1"/>
    <row r="28305" s="2" customFormat="1"/>
    <row r="28306" s="2" customFormat="1"/>
    <row r="28307" s="2" customFormat="1"/>
    <row r="28308" s="2" customFormat="1"/>
    <row r="28309" s="2" customFormat="1"/>
    <row r="28310" s="2" customFormat="1"/>
    <row r="28311" s="2" customFormat="1"/>
    <row r="28312" s="2" customFormat="1"/>
    <row r="28313" s="2" customFormat="1"/>
    <row r="28314" s="2" customFormat="1"/>
    <row r="28315" s="2" customFormat="1"/>
    <row r="28316" s="2" customFormat="1"/>
    <row r="28317" s="2" customFormat="1"/>
    <row r="28318" s="2" customFormat="1"/>
    <row r="28319" s="2" customFormat="1"/>
    <row r="28320" s="2" customFormat="1"/>
    <row r="28321" s="2" customFormat="1"/>
    <row r="28322" s="2" customFormat="1"/>
    <row r="28323" s="2" customFormat="1"/>
    <row r="28324" s="2" customFormat="1"/>
    <row r="28325" s="2" customFormat="1"/>
    <row r="28326" s="2" customFormat="1"/>
    <row r="28327" s="2" customFormat="1"/>
    <row r="28328" s="2" customFormat="1"/>
    <row r="28329" s="2" customFormat="1"/>
    <row r="28330" s="2" customFormat="1"/>
    <row r="28331" s="2" customFormat="1"/>
    <row r="28332" s="2" customFormat="1"/>
    <row r="28333" s="2" customFormat="1"/>
    <row r="28334" s="2" customFormat="1"/>
    <row r="28335" s="2" customFormat="1"/>
    <row r="28336" s="2" customFormat="1"/>
    <row r="28337" s="2" customFormat="1"/>
    <row r="28338" s="2" customFormat="1"/>
    <row r="28339" s="2" customFormat="1"/>
    <row r="28340" s="2" customFormat="1"/>
    <row r="28341" s="2" customFormat="1"/>
    <row r="28342" s="2" customFormat="1"/>
    <row r="28343" s="2" customFormat="1"/>
    <row r="28344" s="2" customFormat="1"/>
    <row r="28345" s="2" customFormat="1"/>
    <row r="28346" s="2" customFormat="1"/>
    <row r="28347" s="2" customFormat="1"/>
    <row r="28348" s="2" customFormat="1"/>
    <row r="28349" s="2" customFormat="1"/>
    <row r="28350" s="2" customFormat="1"/>
    <row r="28351" s="2" customFormat="1"/>
    <row r="28352" s="2" customFormat="1"/>
    <row r="28353" s="2" customFormat="1"/>
    <row r="28354" s="2" customFormat="1"/>
    <row r="28355" s="2" customFormat="1"/>
    <row r="28356" s="2" customFormat="1"/>
    <row r="28357" s="2" customFormat="1"/>
    <row r="28358" s="2" customFormat="1"/>
    <row r="28359" s="2" customFormat="1"/>
    <row r="28360" s="2" customFormat="1"/>
    <row r="28361" s="2" customFormat="1"/>
    <row r="28362" s="2" customFormat="1"/>
    <row r="28363" s="2" customFormat="1"/>
    <row r="28364" s="2" customFormat="1"/>
    <row r="28365" s="2" customFormat="1"/>
    <row r="28366" s="2" customFormat="1"/>
    <row r="28367" s="2" customFormat="1"/>
    <row r="28368" s="2" customFormat="1"/>
    <row r="28369" s="2" customFormat="1"/>
    <row r="28370" s="2" customFormat="1"/>
    <row r="28371" s="2" customFormat="1"/>
    <row r="28372" s="2" customFormat="1"/>
    <row r="28373" s="2" customFormat="1"/>
    <row r="28374" s="2" customFormat="1"/>
    <row r="28375" s="2" customFormat="1"/>
    <row r="28376" s="2" customFormat="1"/>
    <row r="28377" s="2" customFormat="1"/>
    <row r="28378" s="2" customFormat="1"/>
    <row r="28379" s="2" customFormat="1"/>
    <row r="28380" s="2" customFormat="1"/>
    <row r="28381" s="2" customFormat="1"/>
    <row r="28382" s="2" customFormat="1"/>
    <row r="28383" s="2" customFormat="1"/>
    <row r="28384" s="2" customFormat="1"/>
    <row r="28385" s="2" customFormat="1"/>
    <row r="28386" s="2" customFormat="1"/>
    <row r="28387" s="2" customFormat="1"/>
    <row r="28388" s="2" customFormat="1"/>
    <row r="28389" s="2" customFormat="1"/>
    <row r="28390" s="2" customFormat="1"/>
    <row r="28391" s="2" customFormat="1"/>
    <row r="28392" s="2" customFormat="1"/>
    <row r="28393" s="2" customFormat="1"/>
    <row r="28394" s="2" customFormat="1"/>
    <row r="28395" s="2" customFormat="1"/>
    <row r="28396" s="2" customFormat="1"/>
    <row r="28397" s="2" customFormat="1"/>
    <row r="28398" s="2" customFormat="1"/>
    <row r="28399" s="2" customFormat="1"/>
    <row r="28400" s="2" customFormat="1"/>
    <row r="28401" s="2" customFormat="1"/>
    <row r="28402" s="2" customFormat="1"/>
    <row r="28403" s="2" customFormat="1"/>
    <row r="28404" s="2" customFormat="1"/>
    <row r="28405" s="2" customFormat="1"/>
    <row r="28406" s="2" customFormat="1"/>
    <row r="28407" s="2" customFormat="1"/>
    <row r="28408" s="2" customFormat="1"/>
    <row r="28409" s="2" customFormat="1"/>
    <row r="28410" s="2" customFormat="1"/>
    <row r="28411" s="2" customFormat="1"/>
    <row r="28412" s="2" customFormat="1"/>
    <row r="28413" s="2" customFormat="1"/>
    <row r="28414" s="2" customFormat="1"/>
    <row r="28415" s="2" customFormat="1"/>
    <row r="28416" s="2" customFormat="1"/>
    <row r="28417" s="2" customFormat="1"/>
    <row r="28418" s="2" customFormat="1"/>
    <row r="28419" s="2" customFormat="1"/>
    <row r="28420" s="2" customFormat="1"/>
    <row r="28421" s="2" customFormat="1"/>
    <row r="28422" s="2" customFormat="1"/>
    <row r="28423" s="2" customFormat="1"/>
    <row r="28424" s="2" customFormat="1"/>
    <row r="28425" s="2" customFormat="1"/>
    <row r="28426" s="2" customFormat="1"/>
    <row r="28427" s="2" customFormat="1"/>
    <row r="28428" s="2" customFormat="1"/>
    <row r="28429" s="2" customFormat="1"/>
    <row r="28430" s="2" customFormat="1"/>
    <row r="28431" s="2" customFormat="1"/>
    <row r="28432" s="2" customFormat="1"/>
    <row r="28433" s="2" customFormat="1"/>
    <row r="28434" s="2" customFormat="1"/>
    <row r="28435" s="2" customFormat="1"/>
    <row r="28436" s="2" customFormat="1"/>
    <row r="28437" s="2" customFormat="1"/>
    <row r="28438" s="2" customFormat="1"/>
    <row r="28439" s="2" customFormat="1"/>
    <row r="28440" s="2" customFormat="1"/>
    <row r="28441" s="2" customFormat="1"/>
    <row r="28442" s="2" customFormat="1"/>
    <row r="28443" s="2" customFormat="1"/>
    <row r="28444" s="2" customFormat="1"/>
    <row r="28445" s="2" customFormat="1"/>
    <row r="28446" s="2" customFormat="1"/>
    <row r="28447" s="2" customFormat="1"/>
    <row r="28448" s="2" customFormat="1"/>
    <row r="28449" s="2" customFormat="1"/>
    <row r="28450" s="2" customFormat="1"/>
    <row r="28451" s="2" customFormat="1"/>
    <row r="28452" s="2" customFormat="1"/>
    <row r="28453" s="2" customFormat="1"/>
    <row r="28454" s="2" customFormat="1"/>
    <row r="28455" s="2" customFormat="1"/>
    <row r="28456" s="2" customFormat="1"/>
    <row r="28457" s="2" customFormat="1"/>
    <row r="28458" s="2" customFormat="1"/>
    <row r="28459" s="2" customFormat="1"/>
    <row r="28460" s="2" customFormat="1"/>
    <row r="28461" s="2" customFormat="1"/>
    <row r="28462" s="2" customFormat="1"/>
    <row r="28463" s="2" customFormat="1"/>
    <row r="28464" s="2" customFormat="1"/>
    <row r="28465" s="2" customFormat="1"/>
    <row r="28466" s="2" customFormat="1"/>
    <row r="28467" s="2" customFormat="1"/>
    <row r="28468" s="2" customFormat="1"/>
    <row r="28469" s="2" customFormat="1"/>
    <row r="28470" s="2" customFormat="1"/>
    <row r="28471" s="2" customFormat="1"/>
    <row r="28472" s="2" customFormat="1"/>
    <row r="28473" s="2" customFormat="1"/>
    <row r="28474" s="2" customFormat="1"/>
    <row r="28475" s="2" customFormat="1"/>
    <row r="28476" s="2" customFormat="1"/>
    <row r="28477" s="2" customFormat="1"/>
    <row r="28478" s="2" customFormat="1"/>
    <row r="28479" s="2" customFormat="1"/>
    <row r="28480" s="2" customFormat="1"/>
    <row r="28481" s="2" customFormat="1"/>
    <row r="28482" s="2" customFormat="1"/>
    <row r="28483" s="2" customFormat="1"/>
    <row r="28484" s="2" customFormat="1"/>
    <row r="28485" s="2" customFormat="1"/>
    <row r="28486" s="2" customFormat="1"/>
    <row r="28487" s="2" customFormat="1"/>
    <row r="28488" s="2" customFormat="1"/>
    <row r="28489" s="2" customFormat="1"/>
    <row r="28490" s="2" customFormat="1"/>
    <row r="28491" s="2" customFormat="1"/>
    <row r="28492" s="2" customFormat="1"/>
    <row r="28493" s="2" customFormat="1"/>
    <row r="28494" s="2" customFormat="1"/>
    <row r="28495" s="2" customFormat="1"/>
    <row r="28496" s="2" customFormat="1"/>
    <row r="28497" s="2" customFormat="1"/>
    <row r="28498" s="2" customFormat="1"/>
    <row r="28499" s="2" customFormat="1"/>
    <row r="28500" s="2" customFormat="1"/>
    <row r="28501" s="2" customFormat="1"/>
    <row r="28502" s="2" customFormat="1"/>
    <row r="28503" s="2" customFormat="1"/>
    <row r="28504" s="2" customFormat="1"/>
    <row r="28505" s="2" customFormat="1"/>
    <row r="28506" s="2" customFormat="1"/>
    <row r="28507" s="2" customFormat="1"/>
    <row r="28508" s="2" customFormat="1"/>
    <row r="28509" s="2" customFormat="1"/>
    <row r="28510" s="2" customFormat="1"/>
    <row r="28511" s="2" customFormat="1"/>
    <row r="28512" s="2" customFormat="1"/>
    <row r="28513" s="2" customFormat="1"/>
    <row r="28514" s="2" customFormat="1"/>
    <row r="28515" s="2" customFormat="1"/>
    <row r="28516" s="2" customFormat="1"/>
    <row r="28517" s="2" customFormat="1"/>
    <row r="28518" s="2" customFormat="1"/>
    <row r="28519" s="2" customFormat="1"/>
    <row r="28520" s="2" customFormat="1"/>
    <row r="28521" s="2" customFormat="1"/>
    <row r="28522" s="2" customFormat="1"/>
    <row r="28523" s="2" customFormat="1"/>
    <row r="28524" s="2" customFormat="1"/>
    <row r="28525" s="2" customFormat="1"/>
    <row r="28526" s="2" customFormat="1"/>
    <row r="28527" s="2" customFormat="1"/>
    <row r="28528" s="2" customFormat="1"/>
    <row r="28529" s="2" customFormat="1"/>
    <row r="28530" s="2" customFormat="1"/>
    <row r="28531" s="2" customFormat="1"/>
    <row r="28532" s="2" customFormat="1"/>
    <row r="28533" s="2" customFormat="1"/>
    <row r="28534" s="2" customFormat="1"/>
    <row r="28535" s="2" customFormat="1"/>
    <row r="28536" s="2" customFormat="1"/>
    <row r="28537" s="2" customFormat="1"/>
    <row r="28538" s="2" customFormat="1"/>
    <row r="28539" s="2" customFormat="1"/>
    <row r="28540" s="2" customFormat="1"/>
    <row r="28541" s="2" customFormat="1"/>
    <row r="28542" s="2" customFormat="1"/>
    <row r="28543" s="2" customFormat="1"/>
    <row r="28544" s="2" customFormat="1"/>
    <row r="28545" s="2" customFormat="1"/>
    <row r="28546" s="2" customFormat="1"/>
    <row r="28547" s="2" customFormat="1"/>
    <row r="28548" s="2" customFormat="1"/>
    <row r="28549" s="2" customFormat="1"/>
    <row r="28550" s="2" customFormat="1"/>
    <row r="28551" s="2" customFormat="1"/>
    <row r="28552" s="2" customFormat="1"/>
    <row r="28553" s="2" customFormat="1"/>
    <row r="28554" s="2" customFormat="1"/>
    <row r="28555" s="2" customFormat="1"/>
    <row r="28556" s="2" customFormat="1"/>
    <row r="28557" s="2" customFormat="1"/>
    <row r="28558" s="2" customFormat="1"/>
    <row r="28559" s="2" customFormat="1"/>
    <row r="28560" s="2" customFormat="1"/>
    <row r="28561" s="2" customFormat="1"/>
    <row r="28562" s="2" customFormat="1"/>
    <row r="28563" s="2" customFormat="1"/>
    <row r="28564" s="2" customFormat="1"/>
    <row r="28565" s="2" customFormat="1"/>
    <row r="28566" s="2" customFormat="1"/>
    <row r="28567" s="2" customFormat="1"/>
    <row r="28568" s="2" customFormat="1"/>
    <row r="28569" s="2" customFormat="1"/>
    <row r="28570" s="2" customFormat="1"/>
    <row r="28571" s="2" customFormat="1"/>
    <row r="28572" s="2" customFormat="1"/>
    <row r="28573" s="2" customFormat="1"/>
    <row r="28574" s="2" customFormat="1"/>
    <row r="28575" s="2" customFormat="1"/>
    <row r="28576" s="2" customFormat="1"/>
    <row r="28577" s="2" customFormat="1"/>
    <row r="28578" s="2" customFormat="1"/>
    <row r="28579" s="2" customFormat="1"/>
    <row r="28580" s="2" customFormat="1"/>
    <row r="28581" s="2" customFormat="1"/>
    <row r="28582" s="2" customFormat="1"/>
    <row r="28583" s="2" customFormat="1"/>
    <row r="28584" s="2" customFormat="1"/>
    <row r="28585" s="2" customFormat="1"/>
    <row r="28586" s="2" customFormat="1"/>
    <row r="28587" s="2" customFormat="1"/>
    <row r="28588" s="2" customFormat="1"/>
    <row r="28589" s="2" customFormat="1"/>
    <row r="28590" s="2" customFormat="1"/>
    <row r="28591" s="2" customFormat="1"/>
    <row r="28592" s="2" customFormat="1"/>
    <row r="28593" s="2" customFormat="1"/>
    <row r="28594" s="2" customFormat="1"/>
    <row r="28595" s="2" customFormat="1"/>
    <row r="28596" s="2" customFormat="1"/>
    <row r="28597" s="2" customFormat="1"/>
    <row r="28598" s="2" customFormat="1"/>
    <row r="28599" s="2" customFormat="1"/>
    <row r="28600" s="2" customFormat="1"/>
    <row r="28601" s="2" customFormat="1"/>
    <row r="28602" s="2" customFormat="1"/>
    <row r="28603" s="2" customFormat="1"/>
    <row r="28604" s="2" customFormat="1"/>
    <row r="28605" s="2" customFormat="1"/>
    <row r="28606" s="2" customFormat="1"/>
    <row r="28607" s="2" customFormat="1"/>
    <row r="28608" s="2" customFormat="1"/>
    <row r="28609" s="2" customFormat="1"/>
    <row r="28610" s="2" customFormat="1"/>
    <row r="28611" s="2" customFormat="1"/>
    <row r="28612" s="2" customFormat="1"/>
    <row r="28613" s="2" customFormat="1"/>
    <row r="28614" s="2" customFormat="1"/>
    <row r="28615" s="2" customFormat="1"/>
    <row r="28616" s="2" customFormat="1"/>
    <row r="28617" s="2" customFormat="1"/>
    <row r="28618" s="2" customFormat="1"/>
    <row r="28619" s="2" customFormat="1"/>
    <row r="28620" s="2" customFormat="1"/>
    <row r="28621" s="2" customFormat="1"/>
    <row r="28622" s="2" customFormat="1"/>
    <row r="28623" s="2" customFormat="1"/>
    <row r="28624" s="2" customFormat="1"/>
    <row r="28625" s="2" customFormat="1"/>
    <row r="28626" s="2" customFormat="1"/>
    <row r="28627" s="2" customFormat="1"/>
    <row r="28628" s="2" customFormat="1"/>
    <row r="28629" s="2" customFormat="1"/>
    <row r="28630" s="2" customFormat="1"/>
    <row r="28631" s="2" customFormat="1"/>
    <row r="28632" s="2" customFormat="1"/>
    <row r="28633" s="2" customFormat="1"/>
    <row r="28634" s="2" customFormat="1"/>
    <row r="28635" s="2" customFormat="1"/>
    <row r="28636" s="2" customFormat="1"/>
    <row r="28637" s="2" customFormat="1"/>
    <row r="28638" s="2" customFormat="1"/>
    <row r="28639" s="2" customFormat="1"/>
    <row r="28640" s="2" customFormat="1"/>
    <row r="28641" s="2" customFormat="1"/>
    <row r="28642" s="2" customFormat="1"/>
    <row r="28643" s="2" customFormat="1"/>
    <row r="28644" s="2" customFormat="1"/>
    <row r="28645" s="2" customFormat="1"/>
    <row r="28646" s="2" customFormat="1"/>
    <row r="28647" s="2" customFormat="1"/>
    <row r="28648" s="2" customFormat="1"/>
    <row r="28649" s="2" customFormat="1"/>
    <row r="28650" s="2" customFormat="1"/>
    <row r="28651" s="2" customFormat="1"/>
    <row r="28652" s="2" customFormat="1"/>
    <row r="28653" s="2" customFormat="1"/>
    <row r="28654" s="2" customFormat="1"/>
    <row r="28655" s="2" customFormat="1"/>
    <row r="28656" s="2" customFormat="1"/>
    <row r="28657" s="2" customFormat="1"/>
    <row r="28658" s="2" customFormat="1"/>
    <row r="28659" s="2" customFormat="1"/>
    <row r="28660" s="2" customFormat="1"/>
    <row r="28661" s="2" customFormat="1"/>
    <row r="28662" s="2" customFormat="1"/>
    <row r="28663" s="2" customFormat="1"/>
    <row r="28664" s="2" customFormat="1"/>
    <row r="28665" s="2" customFormat="1"/>
    <row r="28666" s="2" customFormat="1"/>
    <row r="28667" s="2" customFormat="1"/>
    <row r="28668" s="2" customFormat="1"/>
    <row r="28669" s="2" customFormat="1"/>
    <row r="28670" s="2" customFormat="1"/>
    <row r="28671" s="2" customFormat="1"/>
    <row r="28672" s="2" customFormat="1"/>
    <row r="28673" s="2" customFormat="1"/>
    <row r="28674" s="2" customFormat="1"/>
    <row r="28675" s="2" customFormat="1"/>
    <row r="28676" s="2" customFormat="1"/>
    <row r="28677" s="2" customFormat="1"/>
    <row r="28678" s="2" customFormat="1"/>
    <row r="28679" s="2" customFormat="1"/>
    <row r="28680" s="2" customFormat="1"/>
    <row r="28681" s="2" customFormat="1"/>
    <row r="28682" s="2" customFormat="1"/>
    <row r="28683" s="2" customFormat="1"/>
    <row r="28684" s="2" customFormat="1"/>
    <row r="28685" s="2" customFormat="1"/>
    <row r="28686" s="2" customFormat="1"/>
    <row r="28687" s="2" customFormat="1"/>
    <row r="28688" s="2" customFormat="1"/>
    <row r="28689" s="2" customFormat="1"/>
    <row r="28690" s="2" customFormat="1"/>
    <row r="28691" s="2" customFormat="1"/>
    <row r="28692" s="2" customFormat="1"/>
    <row r="28693" s="2" customFormat="1"/>
    <row r="28694" s="2" customFormat="1"/>
    <row r="28695" s="2" customFormat="1"/>
    <row r="28696" s="2" customFormat="1"/>
    <row r="28697" s="2" customFormat="1"/>
    <row r="28698" s="2" customFormat="1"/>
    <row r="28699" s="2" customFormat="1"/>
    <row r="28700" s="2" customFormat="1"/>
    <row r="28701" s="2" customFormat="1"/>
    <row r="28702" s="2" customFormat="1"/>
    <row r="28703" s="2" customFormat="1"/>
    <row r="28704" s="2" customFormat="1"/>
    <row r="28705" s="2" customFormat="1"/>
    <row r="28706" s="2" customFormat="1"/>
    <row r="28707" s="2" customFormat="1"/>
    <row r="28708" s="2" customFormat="1"/>
    <row r="28709" s="2" customFormat="1"/>
    <row r="28710" s="2" customFormat="1"/>
    <row r="28711" s="2" customFormat="1"/>
    <row r="28712" s="2" customFormat="1"/>
    <row r="28713" s="2" customFormat="1"/>
    <row r="28714" s="2" customFormat="1"/>
    <row r="28715" s="2" customFormat="1"/>
    <row r="28716" s="2" customFormat="1"/>
    <row r="28717" s="2" customFormat="1"/>
    <row r="28718" s="2" customFormat="1"/>
    <row r="28719" s="2" customFormat="1"/>
    <row r="28720" s="2" customFormat="1"/>
    <row r="28721" s="2" customFormat="1"/>
    <row r="28722" s="2" customFormat="1"/>
    <row r="28723" s="2" customFormat="1"/>
    <row r="28724" s="2" customFormat="1"/>
    <row r="28725" s="2" customFormat="1"/>
    <row r="28726" s="2" customFormat="1"/>
    <row r="28727" s="2" customFormat="1"/>
    <row r="28728" s="2" customFormat="1"/>
    <row r="28729" s="2" customFormat="1"/>
    <row r="28730" s="2" customFormat="1"/>
    <row r="28731" s="2" customFormat="1"/>
    <row r="28732" s="2" customFormat="1"/>
    <row r="28733" s="2" customFormat="1"/>
    <row r="28734" s="2" customFormat="1"/>
    <row r="28735" s="2" customFormat="1"/>
    <row r="28736" s="2" customFormat="1"/>
    <row r="28737" s="2" customFormat="1"/>
    <row r="28738" s="2" customFormat="1"/>
    <row r="28739" s="2" customFormat="1"/>
    <row r="28740" s="2" customFormat="1"/>
    <row r="28741" s="2" customFormat="1"/>
    <row r="28742" s="2" customFormat="1"/>
    <row r="28743" s="2" customFormat="1"/>
    <row r="28744" s="2" customFormat="1"/>
    <row r="28745" s="2" customFormat="1"/>
    <row r="28746" s="2" customFormat="1"/>
    <row r="28747" s="2" customFormat="1"/>
    <row r="28748" s="2" customFormat="1"/>
    <row r="28749" s="2" customFormat="1"/>
    <row r="28750" s="2" customFormat="1"/>
    <row r="28751" s="2" customFormat="1"/>
    <row r="28752" s="2" customFormat="1"/>
    <row r="28753" s="2" customFormat="1"/>
    <row r="28754" s="2" customFormat="1"/>
    <row r="28755" s="2" customFormat="1"/>
    <row r="28756" s="2" customFormat="1"/>
    <row r="28757" s="2" customFormat="1"/>
    <row r="28758" s="2" customFormat="1"/>
    <row r="28759" s="2" customFormat="1"/>
    <row r="28760" s="2" customFormat="1"/>
    <row r="28761" s="2" customFormat="1"/>
    <row r="28762" s="2" customFormat="1"/>
    <row r="28763" s="2" customFormat="1"/>
    <row r="28764" s="2" customFormat="1"/>
    <row r="28765" s="2" customFormat="1"/>
    <row r="28766" s="2" customFormat="1"/>
    <row r="28767" s="2" customFormat="1"/>
    <row r="28768" s="2" customFormat="1"/>
    <row r="28769" s="2" customFormat="1"/>
    <row r="28770" s="2" customFormat="1"/>
    <row r="28771" s="2" customFormat="1"/>
    <row r="28772" s="2" customFormat="1"/>
    <row r="28773" s="2" customFormat="1"/>
    <row r="28774" s="2" customFormat="1"/>
    <row r="28775" s="2" customFormat="1"/>
    <row r="28776" s="2" customFormat="1"/>
    <row r="28777" s="2" customFormat="1"/>
    <row r="28778" s="2" customFormat="1"/>
    <row r="28779" s="2" customFormat="1"/>
    <row r="28780" s="2" customFormat="1"/>
    <row r="28781" s="2" customFormat="1"/>
    <row r="28782" s="2" customFormat="1"/>
    <row r="28783" s="2" customFormat="1"/>
    <row r="28784" s="2" customFormat="1"/>
    <row r="28785" s="2" customFormat="1"/>
    <row r="28786" s="2" customFormat="1"/>
    <row r="28787" s="2" customFormat="1"/>
    <row r="28788" s="2" customFormat="1"/>
    <row r="28789" s="2" customFormat="1"/>
    <row r="28790" s="2" customFormat="1"/>
    <row r="28791" s="2" customFormat="1"/>
    <row r="28792" s="2" customFormat="1"/>
    <row r="28793" s="2" customFormat="1"/>
    <row r="28794" s="2" customFormat="1"/>
    <row r="28795" s="2" customFormat="1"/>
    <row r="28796" s="2" customFormat="1"/>
    <row r="28797" s="2" customFormat="1"/>
    <row r="28798" s="2" customFormat="1"/>
    <row r="28799" s="2" customFormat="1"/>
    <row r="28800" s="2" customFormat="1"/>
    <row r="28801" s="2" customFormat="1"/>
    <row r="28802" s="2" customFormat="1"/>
    <row r="28803" s="2" customFormat="1"/>
    <row r="28804" s="2" customFormat="1"/>
    <row r="28805" s="2" customFormat="1"/>
    <row r="28806" s="2" customFormat="1"/>
    <row r="28807" s="2" customFormat="1"/>
    <row r="28808" s="2" customFormat="1"/>
    <row r="28809" s="2" customFormat="1"/>
    <row r="28810" s="2" customFormat="1"/>
    <row r="28811" s="2" customFormat="1"/>
    <row r="28812" s="2" customFormat="1"/>
    <row r="28813" s="2" customFormat="1"/>
    <row r="28814" s="2" customFormat="1"/>
    <row r="28815" s="2" customFormat="1"/>
    <row r="28816" s="2" customFormat="1"/>
    <row r="28817" s="2" customFormat="1"/>
    <row r="28818" s="2" customFormat="1"/>
    <row r="28819" s="2" customFormat="1"/>
    <row r="28820" s="2" customFormat="1"/>
    <row r="28821" s="2" customFormat="1"/>
    <row r="28822" s="2" customFormat="1"/>
    <row r="28823" s="2" customFormat="1"/>
    <row r="28824" s="2" customFormat="1"/>
    <row r="28825" s="2" customFormat="1"/>
    <row r="28826" s="2" customFormat="1"/>
    <row r="28827" s="2" customFormat="1"/>
    <row r="28828" s="2" customFormat="1"/>
    <row r="28829" s="2" customFormat="1"/>
    <row r="28830" s="2" customFormat="1"/>
    <row r="28831" s="2" customFormat="1"/>
    <row r="28832" s="2" customFormat="1"/>
    <row r="28833" s="2" customFormat="1"/>
    <row r="28834" s="2" customFormat="1"/>
    <row r="28835" s="2" customFormat="1"/>
    <row r="28836" s="2" customFormat="1"/>
    <row r="28837" s="2" customFormat="1"/>
    <row r="28838" s="2" customFormat="1"/>
    <row r="28839" s="2" customFormat="1"/>
    <row r="28840" s="2" customFormat="1"/>
    <row r="28841" s="2" customFormat="1"/>
    <row r="28842" s="2" customFormat="1"/>
    <row r="28843" s="2" customFormat="1"/>
    <row r="28844" s="2" customFormat="1"/>
    <row r="28845" s="2" customFormat="1"/>
    <row r="28846" s="2" customFormat="1"/>
    <row r="28847" s="2" customFormat="1"/>
    <row r="28848" s="2" customFormat="1"/>
    <row r="28849" s="2" customFormat="1"/>
    <row r="28850" s="2" customFormat="1"/>
    <row r="28851" s="2" customFormat="1"/>
    <row r="28852" s="2" customFormat="1"/>
    <row r="28853" s="2" customFormat="1"/>
    <row r="28854" s="2" customFormat="1"/>
    <row r="28855" s="2" customFormat="1"/>
    <row r="28856" s="2" customFormat="1"/>
    <row r="28857" s="2" customFormat="1"/>
    <row r="28858" s="2" customFormat="1"/>
    <row r="28859" s="2" customFormat="1"/>
    <row r="28860" s="2" customFormat="1"/>
    <row r="28861" s="2" customFormat="1"/>
    <row r="28862" s="2" customFormat="1"/>
    <row r="28863" s="2" customFormat="1"/>
    <row r="28864" s="2" customFormat="1"/>
    <row r="28865" s="2" customFormat="1"/>
    <row r="28866" s="2" customFormat="1"/>
    <row r="28867" s="2" customFormat="1"/>
    <row r="28868" s="2" customFormat="1"/>
    <row r="28869" s="2" customFormat="1"/>
    <row r="28870" s="2" customFormat="1"/>
    <row r="28871" s="2" customFormat="1"/>
    <row r="28872" s="2" customFormat="1"/>
    <row r="28873" s="2" customFormat="1"/>
    <row r="28874" s="2" customFormat="1"/>
    <row r="28875" s="2" customFormat="1"/>
    <row r="28876" s="2" customFormat="1"/>
    <row r="28877" s="2" customFormat="1"/>
    <row r="28878" s="2" customFormat="1"/>
    <row r="28879" s="2" customFormat="1"/>
    <row r="28880" s="2" customFormat="1"/>
    <row r="28881" s="2" customFormat="1"/>
    <row r="28882" s="2" customFormat="1"/>
    <row r="28883" s="2" customFormat="1"/>
    <row r="28884" s="2" customFormat="1"/>
    <row r="28885" s="2" customFormat="1"/>
    <row r="28886" s="2" customFormat="1"/>
    <row r="28887" s="2" customFormat="1"/>
    <row r="28888" s="2" customFormat="1"/>
    <row r="28889" s="2" customFormat="1"/>
    <row r="28890" s="2" customFormat="1"/>
    <row r="28891" s="2" customFormat="1"/>
    <row r="28892" s="2" customFormat="1"/>
    <row r="28893" s="2" customFormat="1"/>
    <row r="28894" s="2" customFormat="1"/>
    <row r="28895" s="2" customFormat="1"/>
    <row r="28896" s="2" customFormat="1"/>
    <row r="28897" s="2" customFormat="1"/>
    <row r="28898" s="2" customFormat="1"/>
    <row r="28899" s="2" customFormat="1"/>
    <row r="28900" s="2" customFormat="1"/>
    <row r="28901" s="2" customFormat="1"/>
    <row r="28902" s="2" customFormat="1"/>
    <row r="28903" s="2" customFormat="1"/>
    <row r="28904" s="2" customFormat="1"/>
    <row r="28905" s="2" customFormat="1"/>
    <row r="28906" s="2" customFormat="1"/>
    <row r="28907" s="2" customFormat="1"/>
    <row r="28908" s="2" customFormat="1"/>
    <row r="28909" s="2" customFormat="1"/>
    <row r="28910" s="2" customFormat="1"/>
    <row r="28911" s="2" customFormat="1"/>
    <row r="28912" s="2" customFormat="1"/>
    <row r="28913" s="2" customFormat="1"/>
    <row r="28914" s="2" customFormat="1"/>
    <row r="28915" s="2" customFormat="1"/>
    <row r="28916" s="2" customFormat="1"/>
    <row r="28917" s="2" customFormat="1"/>
    <row r="28918" s="2" customFormat="1"/>
    <row r="28919" s="2" customFormat="1"/>
    <row r="28920" s="2" customFormat="1"/>
    <row r="28921" s="2" customFormat="1"/>
    <row r="28922" s="2" customFormat="1"/>
    <row r="28923" s="2" customFormat="1"/>
    <row r="28924" s="2" customFormat="1"/>
    <row r="28925" s="2" customFormat="1"/>
    <row r="28926" s="2" customFormat="1"/>
    <row r="28927" s="2" customFormat="1"/>
    <row r="28928" s="2" customFormat="1"/>
    <row r="28929" s="2" customFormat="1"/>
    <row r="28930" s="2" customFormat="1"/>
    <row r="28931" s="2" customFormat="1"/>
    <row r="28932" s="2" customFormat="1"/>
    <row r="28933" s="2" customFormat="1"/>
    <row r="28934" s="2" customFormat="1"/>
    <row r="28935" s="2" customFormat="1"/>
    <row r="28936" s="2" customFormat="1"/>
    <row r="28937" s="2" customFormat="1"/>
    <row r="28938" s="2" customFormat="1"/>
    <row r="28939" s="2" customFormat="1"/>
    <row r="28940" s="2" customFormat="1"/>
    <row r="28941" s="2" customFormat="1"/>
    <row r="28942" s="2" customFormat="1"/>
    <row r="28943" s="2" customFormat="1"/>
    <row r="28944" s="2" customFormat="1"/>
    <row r="28945" s="2" customFormat="1"/>
    <row r="28946" s="2" customFormat="1"/>
    <row r="28947" s="2" customFormat="1"/>
    <row r="28948" s="2" customFormat="1"/>
    <row r="28949" s="2" customFormat="1"/>
    <row r="28950" s="2" customFormat="1"/>
    <row r="28951" s="2" customFormat="1"/>
    <row r="28952" s="2" customFormat="1"/>
    <row r="28953" s="2" customFormat="1"/>
    <row r="28954" s="2" customFormat="1"/>
    <row r="28955" s="2" customFormat="1"/>
    <row r="28956" s="2" customFormat="1"/>
    <row r="28957" s="2" customFormat="1"/>
    <row r="28958" s="2" customFormat="1"/>
    <row r="28959" s="2" customFormat="1"/>
    <row r="28960" s="2" customFormat="1"/>
    <row r="28961" s="2" customFormat="1"/>
    <row r="28962" s="2" customFormat="1"/>
    <row r="28963" s="2" customFormat="1"/>
    <row r="28964" s="2" customFormat="1"/>
    <row r="28965" s="2" customFormat="1"/>
    <row r="28966" s="2" customFormat="1"/>
    <row r="28967" s="2" customFormat="1"/>
    <row r="28968" s="2" customFormat="1"/>
    <row r="28969" s="2" customFormat="1"/>
    <row r="28970" s="2" customFormat="1"/>
    <row r="28971" s="2" customFormat="1"/>
    <row r="28972" s="2" customFormat="1"/>
    <row r="28973" s="2" customFormat="1"/>
    <row r="28974" s="2" customFormat="1"/>
    <row r="28975" s="2" customFormat="1"/>
    <row r="28976" s="2" customFormat="1"/>
    <row r="28977" s="2" customFormat="1"/>
    <row r="28978" s="2" customFormat="1"/>
    <row r="28979" s="2" customFormat="1"/>
    <row r="28980" s="2" customFormat="1"/>
    <row r="28981" s="2" customFormat="1"/>
    <row r="28982" s="2" customFormat="1"/>
    <row r="28983" s="2" customFormat="1"/>
    <row r="28984" s="2" customFormat="1"/>
    <row r="28985" s="2" customFormat="1"/>
    <row r="28986" s="2" customFormat="1"/>
    <row r="28987" s="2" customFormat="1"/>
    <row r="28988" s="2" customFormat="1"/>
    <row r="28989" s="2" customFormat="1"/>
    <row r="28990" s="2" customFormat="1"/>
    <row r="28991" s="2" customFormat="1"/>
    <row r="28992" s="2" customFormat="1"/>
    <row r="28993" s="2" customFormat="1"/>
    <row r="28994" s="2" customFormat="1"/>
    <row r="28995" s="2" customFormat="1"/>
    <row r="28996" s="2" customFormat="1"/>
    <row r="28997" s="2" customFormat="1"/>
    <row r="28998" s="2" customFormat="1"/>
    <row r="28999" s="2" customFormat="1"/>
    <row r="29000" s="2" customFormat="1"/>
    <row r="29001" s="2" customFormat="1"/>
    <row r="29002" s="2" customFormat="1"/>
    <row r="29003" s="2" customFormat="1"/>
    <row r="29004" s="2" customFormat="1"/>
    <row r="29005" s="2" customFormat="1"/>
    <row r="29006" s="2" customFormat="1"/>
    <row r="29007" s="2" customFormat="1"/>
    <row r="29008" s="2" customFormat="1"/>
    <row r="29009" s="2" customFormat="1"/>
    <row r="29010" s="2" customFormat="1"/>
    <row r="29011" s="2" customFormat="1"/>
    <row r="29012" s="2" customFormat="1"/>
    <row r="29013" s="2" customFormat="1"/>
    <row r="29014" s="2" customFormat="1"/>
    <row r="29015" s="2" customFormat="1"/>
    <row r="29016" s="2" customFormat="1"/>
    <row r="29017" s="2" customFormat="1"/>
    <row r="29018" s="2" customFormat="1"/>
    <row r="29019" s="2" customFormat="1"/>
    <row r="29020" s="2" customFormat="1"/>
    <row r="29021" s="2" customFormat="1"/>
    <row r="29022" s="2" customFormat="1"/>
    <row r="29023" s="2" customFormat="1"/>
    <row r="29024" s="2" customFormat="1"/>
    <row r="29025" s="2" customFormat="1"/>
    <row r="29026" s="2" customFormat="1"/>
    <row r="29027" s="2" customFormat="1"/>
    <row r="29028" s="2" customFormat="1"/>
    <row r="29029" s="2" customFormat="1"/>
    <row r="29030" s="2" customFormat="1"/>
    <row r="29031" s="2" customFormat="1"/>
    <row r="29032" s="2" customFormat="1"/>
    <row r="29033" s="2" customFormat="1"/>
    <row r="29034" s="2" customFormat="1"/>
    <row r="29035" s="2" customFormat="1"/>
    <row r="29036" s="2" customFormat="1"/>
    <row r="29037" s="2" customFormat="1"/>
    <row r="29038" s="2" customFormat="1"/>
    <row r="29039" s="2" customFormat="1"/>
    <row r="29040" s="2" customFormat="1"/>
    <row r="29041" s="2" customFormat="1"/>
    <row r="29042" s="2" customFormat="1"/>
    <row r="29043" s="2" customFormat="1"/>
    <row r="29044" s="2" customFormat="1"/>
    <row r="29045" s="2" customFormat="1"/>
    <row r="29046" s="2" customFormat="1"/>
    <row r="29047" s="2" customFormat="1"/>
    <row r="29048" s="2" customFormat="1"/>
    <row r="29049" s="2" customFormat="1"/>
    <row r="29050" s="2" customFormat="1"/>
    <row r="29051" s="2" customFormat="1"/>
    <row r="29052" s="2" customFormat="1"/>
    <row r="29053" s="2" customFormat="1"/>
    <row r="29054" s="2" customFormat="1"/>
    <row r="29055" s="2" customFormat="1"/>
    <row r="29056" s="2" customFormat="1"/>
    <row r="29057" s="2" customFormat="1"/>
    <row r="29058" s="2" customFormat="1"/>
    <row r="29059" s="2" customFormat="1"/>
    <row r="29060" s="2" customFormat="1"/>
    <row r="29061" s="2" customFormat="1"/>
    <row r="29062" s="2" customFormat="1"/>
    <row r="29063" s="2" customFormat="1"/>
    <row r="29064" s="2" customFormat="1"/>
    <row r="29065" s="2" customFormat="1"/>
    <row r="29066" s="2" customFormat="1"/>
    <row r="29067" s="2" customFormat="1"/>
    <row r="29068" s="2" customFormat="1"/>
    <row r="29069" s="2" customFormat="1"/>
    <row r="29070" s="2" customFormat="1"/>
    <row r="29071" s="2" customFormat="1"/>
    <row r="29072" s="2" customFormat="1"/>
    <row r="29073" s="2" customFormat="1"/>
    <row r="29074" s="2" customFormat="1"/>
    <row r="29075" s="2" customFormat="1"/>
    <row r="29076" s="2" customFormat="1"/>
    <row r="29077" s="2" customFormat="1"/>
    <row r="29078" s="2" customFormat="1"/>
    <row r="29079" s="2" customFormat="1"/>
    <row r="29080" s="2" customFormat="1"/>
    <row r="29081" s="2" customFormat="1"/>
    <row r="29082" s="2" customFormat="1"/>
    <row r="29083" s="2" customFormat="1"/>
    <row r="29084" s="2" customFormat="1"/>
    <row r="29085" s="2" customFormat="1"/>
    <row r="29086" s="2" customFormat="1"/>
    <row r="29087" s="2" customFormat="1"/>
    <row r="29088" s="2" customFormat="1"/>
    <row r="29089" s="2" customFormat="1"/>
    <row r="29090" s="2" customFormat="1"/>
    <row r="29091" s="2" customFormat="1"/>
    <row r="29092" s="2" customFormat="1"/>
    <row r="29093" s="2" customFormat="1"/>
    <row r="29094" s="2" customFormat="1"/>
    <row r="29095" s="2" customFormat="1"/>
    <row r="29096" s="2" customFormat="1"/>
    <row r="29097" s="2" customFormat="1"/>
    <row r="29098" s="2" customFormat="1"/>
    <row r="29099" s="2" customFormat="1"/>
    <row r="29100" s="2" customFormat="1"/>
    <row r="29101" s="2" customFormat="1"/>
    <row r="29102" s="2" customFormat="1"/>
    <row r="29103" s="2" customFormat="1"/>
    <row r="29104" s="2" customFormat="1"/>
    <row r="29105" s="2" customFormat="1"/>
    <row r="29106" s="2" customFormat="1"/>
    <row r="29107" s="2" customFormat="1"/>
    <row r="29108" s="2" customFormat="1"/>
    <row r="29109" s="2" customFormat="1"/>
    <row r="29110" s="2" customFormat="1"/>
    <row r="29111" s="2" customFormat="1"/>
    <row r="29112" s="2" customFormat="1"/>
    <row r="29113" s="2" customFormat="1"/>
    <row r="29114" s="2" customFormat="1"/>
    <row r="29115" s="2" customFormat="1"/>
    <row r="29116" s="2" customFormat="1"/>
    <row r="29117" s="2" customFormat="1"/>
    <row r="29118" s="2" customFormat="1"/>
    <row r="29119" s="2" customFormat="1"/>
    <row r="29120" s="2" customFormat="1"/>
    <row r="29121" s="2" customFormat="1"/>
    <row r="29122" s="2" customFormat="1"/>
    <row r="29123" s="2" customFormat="1"/>
    <row r="29124" s="2" customFormat="1"/>
    <row r="29125" s="2" customFormat="1"/>
    <row r="29126" s="2" customFormat="1"/>
    <row r="29127" s="2" customFormat="1"/>
    <row r="29128" s="2" customFormat="1"/>
    <row r="29129" s="2" customFormat="1"/>
    <row r="29130" s="2" customFormat="1"/>
    <row r="29131" s="2" customFormat="1"/>
    <row r="29132" s="2" customFormat="1"/>
    <row r="29133" s="2" customFormat="1"/>
    <row r="29134" s="2" customFormat="1"/>
    <row r="29135" s="2" customFormat="1"/>
    <row r="29136" s="2" customFormat="1"/>
    <row r="29137" s="2" customFormat="1"/>
    <row r="29138" s="2" customFormat="1"/>
    <row r="29139" s="2" customFormat="1"/>
    <row r="29140" s="2" customFormat="1"/>
    <row r="29141" s="2" customFormat="1"/>
    <row r="29142" s="2" customFormat="1"/>
    <row r="29143" s="2" customFormat="1"/>
    <row r="29144" s="2" customFormat="1"/>
    <row r="29145" s="2" customFormat="1"/>
    <row r="29146" s="2" customFormat="1"/>
    <row r="29147" s="2" customFormat="1"/>
    <row r="29148" s="2" customFormat="1"/>
    <row r="29149" s="2" customFormat="1"/>
    <row r="29150" s="2" customFormat="1"/>
    <row r="29151" s="2" customFormat="1"/>
    <row r="29152" s="2" customFormat="1"/>
    <row r="29153" s="2" customFormat="1"/>
    <row r="29154" s="2" customFormat="1"/>
    <row r="29155" s="2" customFormat="1"/>
    <row r="29156" s="2" customFormat="1"/>
    <row r="29157" s="2" customFormat="1"/>
    <row r="29158" s="2" customFormat="1"/>
    <row r="29159" s="2" customFormat="1"/>
    <row r="29160" s="2" customFormat="1"/>
    <row r="29161" s="2" customFormat="1"/>
    <row r="29162" s="2" customFormat="1"/>
    <row r="29163" s="2" customFormat="1"/>
    <row r="29164" s="2" customFormat="1"/>
    <row r="29165" s="2" customFormat="1"/>
    <row r="29166" s="2" customFormat="1"/>
    <row r="29167" s="2" customFormat="1"/>
    <row r="29168" s="2" customFormat="1"/>
    <row r="29169" s="2" customFormat="1"/>
    <row r="29170" s="2" customFormat="1"/>
    <row r="29171" s="2" customFormat="1"/>
    <row r="29172" s="2" customFormat="1"/>
    <row r="29173" s="2" customFormat="1"/>
    <row r="29174" s="2" customFormat="1"/>
    <row r="29175" s="2" customFormat="1"/>
    <row r="29176" s="2" customFormat="1"/>
    <row r="29177" s="2" customFormat="1"/>
    <row r="29178" s="2" customFormat="1"/>
    <row r="29179" s="2" customFormat="1"/>
    <row r="29180" s="2" customFormat="1"/>
    <row r="29181" s="2" customFormat="1"/>
    <row r="29182" s="2" customFormat="1"/>
    <row r="29183" s="2" customFormat="1"/>
    <row r="29184" s="2" customFormat="1"/>
    <row r="29185" s="2" customFormat="1"/>
    <row r="29186" s="2" customFormat="1"/>
    <row r="29187" s="2" customFormat="1"/>
    <row r="29188" s="2" customFormat="1"/>
    <row r="29189" s="2" customFormat="1"/>
    <row r="29190" s="2" customFormat="1"/>
    <row r="29191" s="2" customFormat="1"/>
    <row r="29192" s="2" customFormat="1"/>
    <row r="29193" s="2" customFormat="1"/>
    <row r="29194" s="2" customFormat="1"/>
    <row r="29195" s="2" customFormat="1"/>
    <row r="29196" s="2" customFormat="1"/>
    <row r="29197" s="2" customFormat="1"/>
    <row r="29198" s="2" customFormat="1"/>
    <row r="29199" s="2" customFormat="1"/>
    <row r="29200" s="2" customFormat="1"/>
    <row r="29201" s="2" customFormat="1"/>
    <row r="29202" s="2" customFormat="1"/>
    <row r="29203" s="2" customFormat="1"/>
    <row r="29204" s="2" customFormat="1"/>
    <row r="29205" s="2" customFormat="1"/>
    <row r="29206" s="2" customFormat="1"/>
    <row r="29207" s="2" customFormat="1"/>
    <row r="29208" s="2" customFormat="1"/>
    <row r="29209" s="2" customFormat="1"/>
    <row r="29210" s="2" customFormat="1"/>
    <row r="29211" s="2" customFormat="1"/>
    <row r="29212" s="2" customFormat="1"/>
    <row r="29213" s="2" customFormat="1"/>
    <row r="29214" s="2" customFormat="1"/>
    <row r="29215" s="2" customFormat="1"/>
    <row r="29216" s="2" customFormat="1"/>
    <row r="29217" s="2" customFormat="1"/>
    <row r="29218" s="2" customFormat="1"/>
    <row r="29219" s="2" customFormat="1"/>
    <row r="29220" s="2" customFormat="1"/>
    <row r="29221" s="2" customFormat="1"/>
    <row r="29222" s="2" customFormat="1"/>
    <row r="29223" s="2" customFormat="1"/>
    <row r="29224" s="2" customFormat="1"/>
    <row r="29225" s="2" customFormat="1"/>
    <row r="29226" s="2" customFormat="1"/>
    <row r="29227" s="2" customFormat="1"/>
    <row r="29228" s="2" customFormat="1"/>
    <row r="29229" s="2" customFormat="1"/>
    <row r="29230" s="2" customFormat="1"/>
    <row r="29231" s="2" customFormat="1"/>
    <row r="29232" s="2" customFormat="1"/>
    <row r="29233" s="2" customFormat="1"/>
    <row r="29234" s="2" customFormat="1"/>
    <row r="29235" s="2" customFormat="1"/>
    <row r="29236" s="2" customFormat="1"/>
    <row r="29237" s="2" customFormat="1"/>
    <row r="29238" s="2" customFormat="1"/>
    <row r="29239" s="2" customFormat="1"/>
    <row r="29240" s="2" customFormat="1"/>
    <row r="29241" s="2" customFormat="1"/>
    <row r="29242" s="2" customFormat="1"/>
    <row r="29243" s="2" customFormat="1"/>
    <row r="29244" s="2" customFormat="1"/>
    <row r="29245" s="2" customFormat="1"/>
    <row r="29246" s="2" customFormat="1"/>
    <row r="29247" s="2" customFormat="1"/>
    <row r="29248" s="2" customFormat="1"/>
    <row r="29249" s="2" customFormat="1"/>
    <row r="29250" s="2" customFormat="1"/>
    <row r="29251" s="2" customFormat="1"/>
    <row r="29252" s="2" customFormat="1"/>
    <row r="29253" s="2" customFormat="1"/>
    <row r="29254" s="2" customFormat="1"/>
    <row r="29255" s="2" customFormat="1"/>
    <row r="29256" s="2" customFormat="1"/>
    <row r="29257" s="2" customFormat="1"/>
    <row r="29258" s="2" customFormat="1"/>
    <row r="29259" s="2" customFormat="1"/>
    <row r="29260" s="2" customFormat="1"/>
    <row r="29261" s="2" customFormat="1"/>
    <row r="29262" s="2" customFormat="1"/>
    <row r="29263" s="2" customFormat="1"/>
    <row r="29264" s="2" customFormat="1"/>
    <row r="29265" s="2" customFormat="1"/>
    <row r="29266" s="2" customFormat="1"/>
    <row r="29267" s="2" customFormat="1"/>
    <row r="29268" s="2" customFormat="1"/>
    <row r="29269" s="2" customFormat="1"/>
    <row r="29270" s="2" customFormat="1"/>
    <row r="29271" s="2" customFormat="1"/>
    <row r="29272" s="2" customFormat="1"/>
    <row r="29273" s="2" customFormat="1"/>
    <row r="29274" s="2" customFormat="1"/>
    <row r="29275" s="2" customFormat="1"/>
    <row r="29276" s="2" customFormat="1"/>
    <row r="29277" s="2" customFormat="1"/>
    <row r="29278" s="2" customFormat="1"/>
    <row r="29279" s="2" customFormat="1"/>
    <row r="29280" s="2" customFormat="1"/>
    <row r="29281" s="2" customFormat="1"/>
    <row r="29282" s="2" customFormat="1"/>
    <row r="29283" s="2" customFormat="1"/>
    <row r="29284" s="2" customFormat="1"/>
    <row r="29285" s="2" customFormat="1"/>
    <row r="29286" s="2" customFormat="1"/>
    <row r="29287" s="2" customFormat="1"/>
    <row r="29288" s="2" customFormat="1"/>
    <row r="29289" s="2" customFormat="1"/>
    <row r="29290" s="2" customFormat="1"/>
    <row r="29291" s="2" customFormat="1"/>
    <row r="29292" s="2" customFormat="1"/>
    <row r="29293" s="2" customFormat="1"/>
    <row r="29294" s="2" customFormat="1"/>
    <row r="29295" s="2" customFormat="1"/>
    <row r="29296" s="2" customFormat="1"/>
    <row r="29297" s="2" customFormat="1"/>
    <row r="29298" s="2" customFormat="1"/>
    <row r="29299" s="2" customFormat="1"/>
    <row r="29300" s="2" customFormat="1"/>
    <row r="29301" s="2" customFormat="1"/>
    <row r="29302" s="2" customFormat="1"/>
    <row r="29303" s="2" customFormat="1"/>
    <row r="29304" s="2" customFormat="1"/>
    <row r="29305" s="2" customFormat="1"/>
    <row r="29306" s="2" customFormat="1"/>
    <row r="29307" s="2" customFormat="1"/>
    <row r="29308" s="2" customFormat="1"/>
    <row r="29309" s="2" customFormat="1"/>
    <row r="29310" s="2" customFormat="1"/>
    <row r="29311" s="2" customFormat="1"/>
    <row r="29312" s="2" customFormat="1"/>
    <row r="29313" s="2" customFormat="1"/>
    <row r="29314" s="2" customFormat="1"/>
    <row r="29315" s="2" customFormat="1"/>
    <row r="29316" s="2" customFormat="1"/>
    <row r="29317" s="2" customFormat="1"/>
    <row r="29318" s="2" customFormat="1"/>
    <row r="29319" s="2" customFormat="1"/>
    <row r="29320" s="2" customFormat="1"/>
    <row r="29321" s="2" customFormat="1"/>
    <row r="29322" s="2" customFormat="1"/>
    <row r="29323" s="2" customFormat="1"/>
    <row r="29324" s="2" customFormat="1"/>
    <row r="29325" s="2" customFormat="1"/>
    <row r="29326" s="2" customFormat="1"/>
    <row r="29327" s="2" customFormat="1"/>
    <row r="29328" s="2" customFormat="1"/>
    <row r="29329" s="2" customFormat="1"/>
    <row r="29330" s="2" customFormat="1"/>
    <row r="29331" s="2" customFormat="1"/>
    <row r="29332" s="2" customFormat="1"/>
    <row r="29333" s="2" customFormat="1"/>
    <row r="29334" s="2" customFormat="1"/>
    <row r="29335" s="2" customFormat="1"/>
    <row r="29336" s="2" customFormat="1"/>
    <row r="29337" s="2" customFormat="1"/>
    <row r="29338" s="2" customFormat="1"/>
    <row r="29339" s="2" customFormat="1"/>
    <row r="29340" s="2" customFormat="1"/>
    <row r="29341" s="2" customFormat="1"/>
    <row r="29342" s="2" customFormat="1"/>
    <row r="29343" s="2" customFormat="1"/>
    <row r="29344" s="2" customFormat="1"/>
    <row r="29345" s="2" customFormat="1"/>
    <row r="29346" s="2" customFormat="1"/>
    <row r="29347" s="2" customFormat="1"/>
    <row r="29348" s="2" customFormat="1"/>
    <row r="29349" s="2" customFormat="1"/>
    <row r="29350" s="2" customFormat="1"/>
    <row r="29351" s="2" customFormat="1"/>
    <row r="29352" s="2" customFormat="1"/>
    <row r="29353" s="2" customFormat="1"/>
    <row r="29354" s="2" customFormat="1"/>
    <row r="29355" s="2" customFormat="1"/>
    <row r="29356" s="2" customFormat="1"/>
    <row r="29357" s="2" customFormat="1"/>
    <row r="29358" s="2" customFormat="1"/>
    <row r="29359" s="2" customFormat="1"/>
    <row r="29360" s="2" customFormat="1"/>
    <row r="29361" s="2" customFormat="1"/>
    <row r="29362" s="2" customFormat="1"/>
    <row r="29363" s="2" customFormat="1"/>
    <row r="29364" s="2" customFormat="1"/>
    <row r="29365" s="2" customFormat="1"/>
    <row r="29366" s="2" customFormat="1"/>
    <row r="29367" s="2" customFormat="1"/>
    <row r="29368" s="2" customFormat="1"/>
    <row r="29369" s="2" customFormat="1"/>
    <row r="29370" s="2" customFormat="1"/>
    <row r="29371" s="2" customFormat="1"/>
    <row r="29372" s="2" customFormat="1"/>
    <row r="29373" s="2" customFormat="1"/>
    <row r="29374" s="2" customFormat="1"/>
    <row r="29375" s="2" customFormat="1"/>
    <row r="29376" s="2" customFormat="1"/>
    <row r="29377" s="2" customFormat="1"/>
    <row r="29378" s="2" customFormat="1"/>
    <row r="29379" s="2" customFormat="1"/>
    <row r="29380" s="2" customFormat="1"/>
    <row r="29381" s="2" customFormat="1"/>
    <row r="29382" s="2" customFormat="1"/>
    <row r="29383" s="2" customFormat="1"/>
    <row r="29384" s="2" customFormat="1"/>
    <row r="29385" s="2" customFormat="1"/>
    <row r="29386" s="2" customFormat="1"/>
    <row r="29387" s="2" customFormat="1"/>
    <row r="29388" s="2" customFormat="1"/>
    <row r="29389" s="2" customFormat="1"/>
    <row r="29390" s="2" customFormat="1"/>
    <row r="29391" s="2" customFormat="1"/>
    <row r="29392" s="2" customFormat="1"/>
    <row r="29393" s="2" customFormat="1"/>
    <row r="29394" s="2" customFormat="1"/>
    <row r="29395" s="2" customFormat="1"/>
    <row r="29396" s="2" customFormat="1"/>
    <row r="29397" s="2" customFormat="1"/>
    <row r="29398" s="2" customFormat="1"/>
    <row r="29399" s="2" customFormat="1"/>
    <row r="29400" s="2" customFormat="1"/>
    <row r="29401" s="2" customFormat="1"/>
    <row r="29402" s="2" customFormat="1"/>
    <row r="29403" s="2" customFormat="1"/>
    <row r="29404" s="2" customFormat="1"/>
    <row r="29405" s="2" customFormat="1"/>
    <row r="29406" s="2" customFormat="1"/>
    <row r="29407" s="2" customFormat="1"/>
    <row r="29408" s="2" customFormat="1"/>
    <row r="29409" s="2" customFormat="1"/>
    <row r="29410" s="2" customFormat="1"/>
    <row r="29411" s="2" customFormat="1"/>
    <row r="29412" s="2" customFormat="1"/>
    <row r="29413" s="2" customFormat="1"/>
    <row r="29414" s="2" customFormat="1"/>
    <row r="29415" s="2" customFormat="1"/>
    <row r="29416" s="2" customFormat="1"/>
    <row r="29417" s="2" customFormat="1"/>
    <row r="29418" s="2" customFormat="1"/>
    <row r="29419" s="2" customFormat="1"/>
    <row r="29420" s="2" customFormat="1"/>
    <row r="29421" s="2" customFormat="1"/>
    <row r="29422" s="2" customFormat="1"/>
    <row r="29423" s="2" customFormat="1"/>
    <row r="29424" s="2" customFormat="1"/>
    <row r="29425" s="2" customFormat="1"/>
    <row r="29426" s="2" customFormat="1"/>
    <row r="29427" s="2" customFormat="1"/>
    <row r="29428" s="2" customFormat="1"/>
    <row r="29429" s="2" customFormat="1"/>
    <row r="29430" s="2" customFormat="1"/>
    <row r="29431" s="2" customFormat="1"/>
    <row r="29432" s="2" customFormat="1"/>
    <row r="29433" s="2" customFormat="1"/>
    <row r="29434" s="2" customFormat="1"/>
    <row r="29435" s="2" customFormat="1"/>
    <row r="29436" s="2" customFormat="1"/>
    <row r="29437" s="2" customFormat="1"/>
    <row r="29438" s="2" customFormat="1"/>
    <row r="29439" s="2" customFormat="1"/>
    <row r="29440" s="2" customFormat="1"/>
    <row r="29441" s="2" customFormat="1"/>
    <row r="29442" s="2" customFormat="1"/>
    <row r="29443" s="2" customFormat="1"/>
    <row r="29444" s="2" customFormat="1"/>
    <row r="29445" s="2" customFormat="1"/>
    <row r="29446" s="2" customFormat="1"/>
    <row r="29447" s="2" customFormat="1"/>
    <row r="29448" s="2" customFormat="1"/>
    <row r="29449" s="2" customFormat="1"/>
    <row r="29450" s="2" customFormat="1"/>
    <row r="29451" s="2" customFormat="1"/>
    <row r="29452" s="2" customFormat="1"/>
    <row r="29453" s="2" customFormat="1"/>
    <row r="29454" s="2" customFormat="1"/>
    <row r="29455" s="2" customFormat="1"/>
    <row r="29456" s="2" customFormat="1"/>
    <row r="29457" s="2" customFormat="1"/>
    <row r="29458" s="2" customFormat="1"/>
    <row r="29459" s="2" customFormat="1"/>
    <row r="29460" s="2" customFormat="1"/>
    <row r="29461" s="2" customFormat="1"/>
    <row r="29462" s="2" customFormat="1"/>
    <row r="29463" s="2" customFormat="1"/>
    <row r="29464" s="2" customFormat="1"/>
    <row r="29465" s="2" customFormat="1"/>
    <row r="29466" s="2" customFormat="1"/>
    <row r="29467" s="2" customFormat="1"/>
    <row r="29468" s="2" customFormat="1"/>
    <row r="29469" s="2" customFormat="1"/>
    <row r="29470" s="2" customFormat="1"/>
    <row r="29471" s="2" customFormat="1"/>
    <row r="29472" s="2" customFormat="1"/>
    <row r="29473" s="2" customFormat="1"/>
    <row r="29474" s="2" customFormat="1"/>
    <row r="29475" s="2" customFormat="1"/>
    <row r="29476" s="2" customFormat="1"/>
    <row r="29477" s="2" customFormat="1"/>
    <row r="29478" s="2" customFormat="1"/>
    <row r="29479" s="2" customFormat="1"/>
    <row r="29480" s="2" customFormat="1"/>
    <row r="29481" s="2" customFormat="1"/>
    <row r="29482" s="2" customFormat="1"/>
    <row r="29483" s="2" customFormat="1"/>
    <row r="29484" s="2" customFormat="1"/>
    <row r="29485" s="2" customFormat="1"/>
    <row r="29486" s="2" customFormat="1"/>
    <row r="29487" s="2" customFormat="1"/>
    <row r="29488" s="2" customFormat="1"/>
    <row r="29489" s="2" customFormat="1"/>
    <row r="29490" s="2" customFormat="1"/>
    <row r="29491" s="2" customFormat="1"/>
    <row r="29492" s="2" customFormat="1"/>
    <row r="29493" s="2" customFormat="1"/>
    <row r="29494" s="2" customFormat="1"/>
    <row r="29495" s="2" customFormat="1"/>
    <row r="29496" s="2" customFormat="1"/>
    <row r="29497" s="2" customFormat="1"/>
    <row r="29498" s="2" customFormat="1"/>
    <row r="29499" s="2" customFormat="1"/>
    <row r="29500" s="2" customFormat="1"/>
    <row r="29501" s="2" customFormat="1"/>
    <row r="29502" s="2" customFormat="1"/>
    <row r="29503" s="2" customFormat="1"/>
    <row r="29504" s="2" customFormat="1"/>
    <row r="29505" s="2" customFormat="1"/>
    <row r="29506" s="2" customFormat="1"/>
    <row r="29507" s="2" customFormat="1"/>
    <row r="29508" s="2" customFormat="1"/>
    <row r="29509" s="2" customFormat="1"/>
    <row r="29510" s="2" customFormat="1"/>
    <row r="29511" s="2" customFormat="1"/>
    <row r="29512" s="2" customFormat="1"/>
    <row r="29513" s="2" customFormat="1"/>
    <row r="29514" s="2" customFormat="1"/>
    <row r="29515" s="2" customFormat="1"/>
    <row r="29516" s="2" customFormat="1"/>
    <row r="29517" s="2" customFormat="1"/>
    <row r="29518" s="2" customFormat="1"/>
    <row r="29519" s="2" customFormat="1"/>
    <row r="29520" s="2" customFormat="1"/>
    <row r="29521" s="2" customFormat="1"/>
    <row r="29522" s="2" customFormat="1"/>
    <row r="29523" s="2" customFormat="1"/>
    <row r="29524" s="2" customFormat="1"/>
    <row r="29525" s="2" customFormat="1"/>
    <row r="29526" s="2" customFormat="1"/>
    <row r="29527" s="2" customFormat="1"/>
    <row r="29528" s="2" customFormat="1"/>
    <row r="29529" s="2" customFormat="1"/>
    <row r="29530" s="2" customFormat="1"/>
    <row r="29531" s="2" customFormat="1"/>
    <row r="29532" s="2" customFormat="1"/>
    <row r="29533" s="2" customFormat="1"/>
    <row r="29534" s="2" customFormat="1"/>
    <row r="29535" s="2" customFormat="1"/>
    <row r="29536" s="2" customFormat="1"/>
    <row r="29537" s="2" customFormat="1"/>
    <row r="29538" s="2" customFormat="1"/>
    <row r="29539" s="2" customFormat="1"/>
    <row r="29540" s="2" customFormat="1"/>
    <row r="29541" s="2" customFormat="1"/>
    <row r="29542" s="2" customFormat="1"/>
    <row r="29543" s="2" customFormat="1"/>
    <row r="29544" s="2" customFormat="1"/>
    <row r="29545" s="2" customFormat="1"/>
    <row r="29546" s="2" customFormat="1"/>
    <row r="29547" s="2" customFormat="1"/>
    <row r="29548" s="2" customFormat="1"/>
    <row r="29549" s="2" customFormat="1"/>
    <row r="29550" s="2" customFormat="1"/>
    <row r="29551" s="2" customFormat="1"/>
    <row r="29552" s="2" customFormat="1"/>
    <row r="29553" s="2" customFormat="1"/>
    <row r="29554" s="2" customFormat="1"/>
    <row r="29555" s="2" customFormat="1"/>
    <row r="29556" s="2" customFormat="1"/>
    <row r="29557" s="2" customFormat="1"/>
    <row r="29558" s="2" customFormat="1"/>
    <row r="29559" s="2" customFormat="1"/>
    <row r="29560" s="2" customFormat="1"/>
    <row r="29561" s="2" customFormat="1"/>
    <row r="29562" s="2" customFormat="1"/>
    <row r="29563" s="2" customFormat="1"/>
    <row r="29564" s="2" customFormat="1"/>
    <row r="29565" s="2" customFormat="1"/>
    <row r="29566" s="2" customFormat="1"/>
    <row r="29567" s="2" customFormat="1"/>
    <row r="29568" s="2" customFormat="1"/>
    <row r="29569" s="2" customFormat="1"/>
    <row r="29570" s="2" customFormat="1"/>
    <row r="29571" s="2" customFormat="1"/>
    <row r="29572" s="2" customFormat="1"/>
    <row r="29573" s="2" customFormat="1"/>
    <row r="29574" s="2" customFormat="1"/>
    <row r="29575" s="2" customFormat="1"/>
    <row r="29576" s="2" customFormat="1"/>
    <row r="29577" s="2" customFormat="1"/>
    <row r="29578" s="2" customFormat="1"/>
    <row r="29579" s="2" customFormat="1"/>
    <row r="29580" s="2" customFormat="1"/>
    <row r="29581" s="2" customFormat="1"/>
    <row r="29582" s="2" customFormat="1"/>
    <row r="29583" s="2" customFormat="1"/>
    <row r="29584" s="2" customFormat="1"/>
    <row r="29585" s="2" customFormat="1"/>
    <row r="29586" s="2" customFormat="1"/>
    <row r="29587" s="2" customFormat="1"/>
    <row r="29588" s="2" customFormat="1"/>
    <row r="29589" s="2" customFormat="1"/>
    <row r="29590" s="2" customFormat="1"/>
    <row r="29591" s="2" customFormat="1"/>
    <row r="29592" s="2" customFormat="1"/>
    <row r="29593" s="2" customFormat="1"/>
    <row r="29594" s="2" customFormat="1"/>
    <row r="29595" s="2" customFormat="1"/>
    <row r="29596" s="2" customFormat="1"/>
    <row r="29597" s="2" customFormat="1"/>
    <row r="29598" s="2" customFormat="1"/>
    <row r="29599" s="2" customFormat="1"/>
    <row r="29600" s="2" customFormat="1"/>
    <row r="29601" s="2" customFormat="1"/>
    <row r="29602" s="2" customFormat="1"/>
    <row r="29603" s="2" customFormat="1"/>
    <row r="29604" s="2" customFormat="1"/>
    <row r="29605" s="2" customFormat="1"/>
    <row r="29606" s="2" customFormat="1"/>
    <row r="29607" s="2" customFormat="1"/>
    <row r="29608" s="2" customFormat="1"/>
    <row r="29609" s="2" customFormat="1"/>
    <row r="29610" s="2" customFormat="1"/>
    <row r="29611" s="2" customFormat="1"/>
    <row r="29612" s="2" customFormat="1"/>
    <row r="29613" s="2" customFormat="1"/>
    <row r="29614" s="2" customFormat="1"/>
    <row r="29615" s="2" customFormat="1"/>
    <row r="29616" s="2" customFormat="1"/>
    <row r="29617" s="2" customFormat="1"/>
    <row r="29618" s="2" customFormat="1"/>
    <row r="29619" s="2" customFormat="1"/>
    <row r="29620" s="2" customFormat="1"/>
    <row r="29621" s="2" customFormat="1"/>
    <row r="29622" s="2" customFormat="1"/>
    <row r="29623" s="2" customFormat="1"/>
    <row r="29624" s="2" customFormat="1"/>
    <row r="29625" s="2" customFormat="1"/>
    <row r="29626" s="2" customFormat="1"/>
    <row r="29627" s="2" customFormat="1"/>
    <row r="29628" s="2" customFormat="1"/>
    <row r="29629" s="2" customFormat="1"/>
    <row r="29630" s="2" customFormat="1"/>
    <row r="29631" s="2" customFormat="1"/>
    <row r="29632" s="2" customFormat="1"/>
    <row r="29633" s="2" customFormat="1"/>
    <row r="29634" s="2" customFormat="1"/>
    <row r="29635" s="2" customFormat="1"/>
    <row r="29636" s="2" customFormat="1"/>
    <row r="29637" s="2" customFormat="1"/>
    <row r="29638" s="2" customFormat="1"/>
    <row r="29639" s="2" customFormat="1"/>
    <row r="29640" s="2" customFormat="1"/>
    <row r="29641" s="2" customFormat="1"/>
    <row r="29642" s="2" customFormat="1"/>
    <row r="29643" s="2" customFormat="1"/>
    <row r="29644" s="2" customFormat="1"/>
    <row r="29645" s="2" customFormat="1"/>
    <row r="29646" s="2" customFormat="1"/>
    <row r="29647" s="2" customFormat="1"/>
    <row r="29648" s="2" customFormat="1"/>
    <row r="29649" s="2" customFormat="1"/>
    <row r="29650" s="2" customFormat="1"/>
    <row r="29651" s="2" customFormat="1"/>
    <row r="29652" s="2" customFormat="1"/>
    <row r="29653" s="2" customFormat="1"/>
    <row r="29654" s="2" customFormat="1"/>
    <row r="29655" s="2" customFormat="1"/>
    <row r="29656" s="2" customFormat="1"/>
    <row r="29657" s="2" customFormat="1"/>
    <row r="29658" s="2" customFormat="1"/>
    <row r="29659" s="2" customFormat="1"/>
    <row r="29660" s="2" customFormat="1"/>
    <row r="29661" s="2" customFormat="1"/>
    <row r="29662" s="2" customFormat="1"/>
    <row r="29663" s="2" customFormat="1"/>
    <row r="29664" s="2" customFormat="1"/>
    <row r="29665" s="2" customFormat="1"/>
    <row r="29666" s="2" customFormat="1"/>
    <row r="29667" s="2" customFormat="1"/>
    <row r="29668" s="2" customFormat="1"/>
    <row r="29669" s="2" customFormat="1"/>
    <row r="29670" s="2" customFormat="1"/>
    <row r="29671" s="2" customFormat="1"/>
    <row r="29672" s="2" customFormat="1"/>
    <row r="29673" s="2" customFormat="1"/>
    <row r="29674" s="2" customFormat="1"/>
    <row r="29675" s="2" customFormat="1"/>
    <row r="29676" s="2" customFormat="1"/>
    <row r="29677" s="2" customFormat="1"/>
    <row r="29678" s="2" customFormat="1"/>
    <row r="29679" s="2" customFormat="1"/>
    <row r="29680" s="2" customFormat="1"/>
    <row r="29681" s="2" customFormat="1"/>
    <row r="29682" s="2" customFormat="1"/>
    <row r="29683" s="2" customFormat="1"/>
    <row r="29684" s="2" customFormat="1"/>
    <row r="29685" s="2" customFormat="1"/>
    <row r="29686" s="2" customFormat="1"/>
    <row r="29687" s="2" customFormat="1"/>
    <row r="29688" s="2" customFormat="1"/>
    <row r="29689" s="2" customFormat="1"/>
    <row r="29690" s="2" customFormat="1"/>
    <row r="29691" s="2" customFormat="1"/>
    <row r="29692" s="2" customFormat="1"/>
    <row r="29693" s="2" customFormat="1"/>
    <row r="29694" s="2" customFormat="1"/>
    <row r="29695" s="2" customFormat="1"/>
    <row r="29696" s="2" customFormat="1"/>
    <row r="29697" s="2" customFormat="1"/>
    <row r="29698" s="2" customFormat="1"/>
    <row r="29699" s="2" customFormat="1"/>
    <row r="29700" s="2" customFormat="1"/>
    <row r="29701" s="2" customFormat="1"/>
    <row r="29702" s="2" customFormat="1"/>
    <row r="29703" s="2" customFormat="1"/>
    <row r="29704" s="2" customFormat="1"/>
    <row r="29705" s="2" customFormat="1"/>
    <row r="29706" s="2" customFormat="1"/>
    <row r="29707" s="2" customFormat="1"/>
    <row r="29708" s="2" customFormat="1"/>
    <row r="29709" s="2" customFormat="1"/>
    <row r="29710" s="2" customFormat="1"/>
    <row r="29711" s="2" customFormat="1"/>
    <row r="29712" s="2" customFormat="1"/>
    <row r="29713" s="2" customFormat="1"/>
    <row r="29714" s="2" customFormat="1"/>
    <row r="29715" s="2" customFormat="1"/>
    <row r="29716" s="2" customFormat="1"/>
    <row r="29717" s="2" customFormat="1"/>
    <row r="29718" s="2" customFormat="1"/>
    <row r="29719" s="2" customFormat="1"/>
    <row r="29720" s="2" customFormat="1"/>
    <row r="29721" s="2" customFormat="1"/>
    <row r="29722" s="2" customFormat="1"/>
    <row r="29723" s="2" customFormat="1"/>
    <row r="29724" s="2" customFormat="1"/>
    <row r="29725" s="2" customFormat="1"/>
    <row r="29726" s="2" customFormat="1"/>
    <row r="29727" s="2" customFormat="1"/>
    <row r="29728" s="2" customFormat="1"/>
    <row r="29729" s="2" customFormat="1"/>
    <row r="29730" s="2" customFormat="1"/>
    <row r="29731" s="2" customFormat="1"/>
    <row r="29732" s="2" customFormat="1"/>
    <row r="29733" s="2" customFormat="1"/>
    <row r="29734" s="2" customFormat="1"/>
    <row r="29735" s="2" customFormat="1"/>
    <row r="29736" s="2" customFormat="1"/>
    <row r="29737" s="2" customFormat="1"/>
    <row r="29738" s="2" customFormat="1"/>
    <row r="29739" s="2" customFormat="1"/>
    <row r="29740" s="2" customFormat="1"/>
    <row r="29741" s="2" customFormat="1"/>
    <row r="29742" s="2" customFormat="1"/>
    <row r="29743" s="2" customFormat="1"/>
    <row r="29744" s="2" customFormat="1"/>
    <row r="29745" s="2" customFormat="1"/>
    <row r="29746" s="2" customFormat="1"/>
    <row r="29747" s="2" customFormat="1"/>
    <row r="29748" s="2" customFormat="1"/>
    <row r="29749" s="2" customFormat="1"/>
    <row r="29750" s="2" customFormat="1"/>
    <row r="29751" s="2" customFormat="1"/>
    <row r="29752" s="2" customFormat="1"/>
    <row r="29753" s="2" customFormat="1"/>
    <row r="29754" s="2" customFormat="1"/>
    <row r="29755" s="2" customFormat="1"/>
    <row r="29756" s="2" customFormat="1"/>
    <row r="29757" s="2" customFormat="1"/>
    <row r="29758" s="2" customFormat="1"/>
    <row r="29759" s="2" customFormat="1"/>
    <row r="29760" s="2" customFormat="1"/>
    <row r="29761" s="2" customFormat="1"/>
    <row r="29762" s="2" customFormat="1"/>
    <row r="29763" s="2" customFormat="1"/>
    <row r="29764" s="2" customFormat="1"/>
    <row r="29765" s="2" customFormat="1"/>
    <row r="29766" s="2" customFormat="1"/>
    <row r="29767" s="2" customFormat="1"/>
    <row r="29768" s="2" customFormat="1"/>
    <row r="29769" s="2" customFormat="1"/>
    <row r="29770" s="2" customFormat="1"/>
    <row r="29771" s="2" customFormat="1"/>
    <row r="29772" s="2" customFormat="1"/>
    <row r="29773" s="2" customFormat="1"/>
    <row r="29774" s="2" customFormat="1"/>
    <row r="29775" s="2" customFormat="1"/>
    <row r="29776" s="2" customFormat="1"/>
    <row r="29777" s="2" customFormat="1"/>
    <row r="29778" s="2" customFormat="1"/>
    <row r="29779" s="2" customFormat="1"/>
    <row r="29780" s="2" customFormat="1"/>
    <row r="29781" s="2" customFormat="1"/>
    <row r="29782" s="2" customFormat="1"/>
    <row r="29783" s="2" customFormat="1"/>
    <row r="29784" s="2" customFormat="1"/>
    <row r="29785" s="2" customFormat="1"/>
    <row r="29786" s="2" customFormat="1"/>
    <row r="29787" s="2" customFormat="1"/>
    <row r="29788" s="2" customFormat="1"/>
    <row r="29789" s="2" customFormat="1"/>
    <row r="29790" s="2" customFormat="1"/>
    <row r="29791" s="2" customFormat="1"/>
    <row r="29792" s="2" customFormat="1"/>
    <row r="29793" s="2" customFormat="1"/>
    <row r="29794" s="2" customFormat="1"/>
    <row r="29795" s="2" customFormat="1"/>
    <row r="29796" s="2" customFormat="1"/>
    <row r="29797" s="2" customFormat="1"/>
    <row r="29798" s="2" customFormat="1"/>
    <row r="29799" s="2" customFormat="1"/>
    <row r="29800" s="2" customFormat="1"/>
    <row r="29801" s="2" customFormat="1"/>
    <row r="29802" s="2" customFormat="1"/>
    <row r="29803" s="2" customFormat="1"/>
    <row r="29804" s="2" customFormat="1"/>
    <row r="29805" s="2" customFormat="1"/>
    <row r="29806" s="2" customFormat="1"/>
    <row r="29807" s="2" customFormat="1"/>
    <row r="29808" s="2" customFormat="1"/>
    <row r="29809" s="2" customFormat="1"/>
    <row r="29810" s="2" customFormat="1"/>
    <row r="29811" s="2" customFormat="1"/>
    <row r="29812" s="2" customFormat="1"/>
    <row r="29813" s="2" customFormat="1"/>
    <row r="29814" s="2" customFormat="1"/>
    <row r="29815" s="2" customFormat="1"/>
    <row r="29816" s="2" customFormat="1"/>
    <row r="29817" s="2" customFormat="1"/>
    <row r="29818" s="2" customFormat="1"/>
    <row r="29819" s="2" customFormat="1"/>
    <row r="29820" s="2" customFormat="1"/>
    <row r="29821" s="2" customFormat="1"/>
    <row r="29822" s="2" customFormat="1"/>
    <row r="29823" s="2" customFormat="1"/>
    <row r="29824" s="2" customFormat="1"/>
    <row r="29825" s="2" customFormat="1"/>
    <row r="29826" s="2" customFormat="1"/>
    <row r="29827" s="2" customFormat="1"/>
    <row r="29828" s="2" customFormat="1"/>
    <row r="29829" s="2" customFormat="1"/>
    <row r="29830" s="2" customFormat="1"/>
    <row r="29831" s="2" customFormat="1"/>
    <row r="29832" s="2" customFormat="1"/>
    <row r="29833" s="2" customFormat="1"/>
    <row r="29834" s="2" customFormat="1"/>
    <row r="29835" s="2" customFormat="1"/>
    <row r="29836" s="2" customFormat="1"/>
    <row r="29837" s="2" customFormat="1"/>
    <row r="29838" s="2" customFormat="1"/>
    <row r="29839" s="2" customFormat="1"/>
    <row r="29840" s="2" customFormat="1"/>
    <row r="29841" s="2" customFormat="1"/>
    <row r="29842" s="2" customFormat="1"/>
    <row r="29843" s="2" customFormat="1"/>
    <row r="29844" s="2" customFormat="1"/>
    <row r="29845" s="2" customFormat="1"/>
    <row r="29846" s="2" customFormat="1"/>
    <row r="29847" s="2" customFormat="1"/>
    <row r="29848" s="2" customFormat="1"/>
    <row r="29849" s="2" customFormat="1"/>
    <row r="29850" s="2" customFormat="1"/>
    <row r="29851" s="2" customFormat="1"/>
    <row r="29852" s="2" customFormat="1"/>
    <row r="29853" s="2" customFormat="1"/>
    <row r="29854" s="2" customFormat="1"/>
    <row r="29855" s="2" customFormat="1"/>
    <row r="29856" s="2" customFormat="1"/>
    <row r="29857" s="2" customFormat="1"/>
    <row r="29858" s="2" customFormat="1"/>
    <row r="29859" s="2" customFormat="1"/>
    <row r="29860" s="2" customFormat="1"/>
    <row r="29861" s="2" customFormat="1"/>
    <row r="29862" s="2" customFormat="1"/>
    <row r="29863" s="2" customFormat="1"/>
    <row r="29864" s="2" customFormat="1"/>
    <row r="29865" s="2" customFormat="1"/>
    <row r="29866" s="2" customFormat="1"/>
    <row r="29867" s="2" customFormat="1"/>
    <row r="29868" s="2" customFormat="1"/>
    <row r="29869" s="2" customFormat="1"/>
    <row r="29870" s="2" customFormat="1"/>
    <row r="29871" s="2" customFormat="1"/>
    <row r="29872" s="2" customFormat="1"/>
    <row r="29873" s="2" customFormat="1"/>
    <row r="29874" s="2" customFormat="1"/>
    <row r="29875" s="2" customFormat="1"/>
    <row r="29876" s="2" customFormat="1"/>
    <row r="29877" s="2" customFormat="1"/>
    <row r="29878" s="2" customFormat="1"/>
    <row r="29879" s="2" customFormat="1"/>
    <row r="29880" s="2" customFormat="1"/>
    <row r="29881" s="2" customFormat="1"/>
    <row r="29882" s="2" customFormat="1"/>
    <row r="29883" s="2" customFormat="1"/>
    <row r="29884" s="2" customFormat="1"/>
    <row r="29885" s="2" customFormat="1"/>
    <row r="29886" s="2" customFormat="1"/>
    <row r="29887" s="2" customFormat="1"/>
    <row r="29888" s="2" customFormat="1"/>
    <row r="29889" s="2" customFormat="1"/>
    <row r="29890" s="2" customFormat="1"/>
    <row r="29891" s="2" customFormat="1"/>
    <row r="29892" s="2" customFormat="1"/>
    <row r="29893" s="2" customFormat="1"/>
    <row r="29894" s="2" customFormat="1"/>
    <row r="29895" s="2" customFormat="1"/>
    <row r="29896" s="2" customFormat="1"/>
    <row r="29897" s="2" customFormat="1"/>
    <row r="29898" s="2" customFormat="1"/>
    <row r="29899" s="2" customFormat="1"/>
    <row r="29900" s="2" customFormat="1"/>
    <row r="29901" s="2" customFormat="1"/>
    <row r="29902" s="2" customFormat="1"/>
    <row r="29903" s="2" customFormat="1"/>
    <row r="29904" s="2" customFormat="1"/>
    <row r="29905" s="2" customFormat="1"/>
    <row r="29906" s="2" customFormat="1"/>
    <row r="29907" s="2" customFormat="1"/>
    <row r="29908" s="2" customFormat="1"/>
    <row r="29909" s="2" customFormat="1"/>
    <row r="29910" s="2" customFormat="1"/>
    <row r="29911" s="2" customFormat="1"/>
    <row r="29912" s="2" customFormat="1"/>
    <row r="29913" s="2" customFormat="1"/>
    <row r="29914" s="2" customFormat="1"/>
    <row r="29915" s="2" customFormat="1"/>
    <row r="29916" s="2" customFormat="1"/>
    <row r="29917" s="2" customFormat="1"/>
    <row r="29918" s="2" customFormat="1"/>
    <row r="29919" s="2" customFormat="1"/>
    <row r="29920" s="2" customFormat="1"/>
    <row r="29921" s="2" customFormat="1"/>
    <row r="29922" s="2" customFormat="1"/>
    <row r="29923" s="2" customFormat="1"/>
    <row r="29924" s="2" customFormat="1"/>
    <row r="29925" s="2" customFormat="1"/>
    <row r="29926" s="2" customFormat="1"/>
    <row r="29927" s="2" customFormat="1"/>
    <row r="29928" s="2" customFormat="1"/>
    <row r="29929" s="2" customFormat="1"/>
    <row r="29930" s="2" customFormat="1"/>
    <row r="29931" s="2" customFormat="1"/>
    <row r="29932" s="2" customFormat="1"/>
    <row r="29933" s="2" customFormat="1"/>
    <row r="29934" s="2" customFormat="1"/>
    <row r="29935" s="2" customFormat="1"/>
    <row r="29936" s="2" customFormat="1"/>
    <row r="29937" s="2" customFormat="1"/>
    <row r="29938" s="2" customFormat="1"/>
    <row r="29939" s="2" customFormat="1"/>
    <row r="29940" s="2" customFormat="1"/>
    <row r="29941" s="2" customFormat="1"/>
    <row r="29942" s="2" customFormat="1"/>
    <row r="29943" s="2" customFormat="1"/>
    <row r="29944" s="2" customFormat="1"/>
    <row r="29945" s="2" customFormat="1"/>
    <row r="29946" s="2" customFormat="1"/>
    <row r="29947" s="2" customFormat="1"/>
    <row r="29948" s="2" customFormat="1"/>
    <row r="29949" s="2" customFormat="1"/>
    <row r="29950" s="2" customFormat="1"/>
    <row r="29951" s="2" customFormat="1"/>
    <row r="29952" s="2" customFormat="1"/>
    <row r="29953" s="2" customFormat="1"/>
    <row r="29954" s="2" customFormat="1"/>
    <row r="29955" s="2" customFormat="1"/>
    <row r="29956" s="2" customFormat="1"/>
    <row r="29957" s="2" customFormat="1"/>
    <row r="29958" s="2" customFormat="1"/>
    <row r="29959" s="2" customFormat="1"/>
    <row r="29960" s="2" customFormat="1"/>
    <row r="29961" s="2" customFormat="1"/>
    <row r="29962" s="2" customFormat="1"/>
    <row r="29963" s="2" customFormat="1"/>
    <row r="29964" s="2" customFormat="1"/>
    <row r="29965" s="2" customFormat="1"/>
    <row r="29966" s="2" customFormat="1"/>
    <row r="29967" s="2" customFormat="1"/>
    <row r="29968" s="2" customFormat="1"/>
    <row r="29969" s="2" customFormat="1"/>
    <row r="29970" s="2" customFormat="1"/>
    <row r="29971" s="2" customFormat="1"/>
    <row r="29972" s="2" customFormat="1"/>
    <row r="29973" s="2" customFormat="1"/>
    <row r="29974" s="2" customFormat="1"/>
    <row r="29975" s="2" customFormat="1"/>
    <row r="29976" s="2" customFormat="1"/>
    <row r="29977" s="2" customFormat="1"/>
    <row r="29978" s="2" customFormat="1"/>
    <row r="29979" s="2" customFormat="1"/>
    <row r="29980" s="2" customFormat="1"/>
    <row r="29981" s="2" customFormat="1"/>
    <row r="29982" s="2" customFormat="1"/>
    <row r="29983" s="2" customFormat="1"/>
    <row r="29984" s="2" customFormat="1"/>
    <row r="29985" s="2" customFormat="1"/>
    <row r="29986" s="2" customFormat="1"/>
    <row r="29987" s="2" customFormat="1"/>
    <row r="29988" s="2" customFormat="1"/>
    <row r="29989" s="2" customFormat="1"/>
    <row r="29990" s="2" customFormat="1"/>
    <row r="29991" s="2" customFormat="1"/>
    <row r="29992" s="2" customFormat="1"/>
    <row r="29993" s="2" customFormat="1"/>
    <row r="29994" s="2" customFormat="1"/>
    <row r="29995" s="2" customFormat="1"/>
    <row r="29996" s="2" customFormat="1"/>
    <row r="29997" s="2" customFormat="1"/>
    <row r="29998" s="2" customFormat="1"/>
    <row r="29999" s="2" customFormat="1"/>
    <row r="30000" s="2" customFormat="1"/>
    <row r="30001" s="2" customFormat="1"/>
    <row r="30002" s="2" customFormat="1"/>
    <row r="30003" s="2" customFormat="1"/>
    <row r="30004" s="2" customFormat="1"/>
    <row r="30005" s="2" customFormat="1"/>
    <row r="30006" s="2" customFormat="1"/>
    <row r="30007" s="2" customFormat="1"/>
    <row r="30008" s="2" customFormat="1"/>
    <row r="30009" s="2" customFormat="1"/>
    <row r="30010" s="2" customFormat="1"/>
    <row r="30011" s="2" customFormat="1"/>
    <row r="30012" s="2" customFormat="1"/>
    <row r="30013" s="2" customFormat="1"/>
    <row r="30014" s="2" customFormat="1"/>
    <row r="30015" s="2" customFormat="1"/>
    <row r="30016" s="2" customFormat="1"/>
    <row r="30017" s="2" customFormat="1"/>
    <row r="30018" s="2" customFormat="1"/>
    <row r="30019" s="2" customFormat="1"/>
    <row r="30020" s="2" customFormat="1"/>
    <row r="30021" s="2" customFormat="1"/>
    <row r="30022" s="2" customFormat="1"/>
    <row r="30023" s="2" customFormat="1"/>
    <row r="30024" s="2" customFormat="1"/>
    <row r="30025" s="2" customFormat="1"/>
    <row r="30026" s="2" customFormat="1"/>
    <row r="30027" s="2" customFormat="1"/>
    <row r="30028" s="2" customFormat="1"/>
    <row r="30029" s="2" customFormat="1"/>
    <row r="30030" s="2" customFormat="1"/>
    <row r="30031" s="2" customFormat="1"/>
    <row r="30032" s="2" customFormat="1"/>
    <row r="30033" s="2" customFormat="1"/>
    <row r="30034" s="2" customFormat="1"/>
    <row r="30035" s="2" customFormat="1"/>
    <row r="30036" s="2" customFormat="1"/>
    <row r="30037" s="2" customFormat="1"/>
    <row r="30038" s="2" customFormat="1"/>
    <row r="30039" s="2" customFormat="1"/>
    <row r="30040" s="2" customFormat="1"/>
    <row r="30041" s="2" customFormat="1"/>
    <row r="30042" s="2" customFormat="1"/>
    <row r="30043" s="2" customFormat="1"/>
    <row r="30044" s="2" customFormat="1"/>
    <row r="30045" s="2" customFormat="1"/>
    <row r="30046" s="2" customFormat="1"/>
    <row r="30047" s="2" customFormat="1"/>
    <row r="30048" s="2" customFormat="1"/>
    <row r="30049" s="2" customFormat="1"/>
    <row r="30050" s="2" customFormat="1"/>
    <row r="30051" s="2" customFormat="1"/>
    <row r="30052" s="2" customFormat="1"/>
    <row r="30053" s="2" customFormat="1"/>
    <row r="30054" s="2" customFormat="1"/>
    <row r="30055" s="2" customFormat="1"/>
    <row r="30056" s="2" customFormat="1"/>
    <row r="30057" s="2" customFormat="1"/>
    <row r="30058" s="2" customFormat="1"/>
    <row r="30059" s="2" customFormat="1"/>
    <row r="30060" s="2" customFormat="1"/>
    <row r="30061" s="2" customFormat="1"/>
    <row r="30062" s="2" customFormat="1"/>
    <row r="30063" s="2" customFormat="1"/>
    <row r="30064" s="2" customFormat="1"/>
    <row r="30065" s="2" customFormat="1"/>
    <row r="30066" s="2" customFormat="1"/>
    <row r="30067" s="2" customFormat="1"/>
    <row r="30068" s="2" customFormat="1"/>
    <row r="30069" s="2" customFormat="1"/>
    <row r="30070" s="2" customFormat="1"/>
    <row r="30071" s="2" customFormat="1"/>
    <row r="30072" s="2" customFormat="1"/>
    <row r="30073" s="2" customFormat="1"/>
    <row r="30074" s="2" customFormat="1"/>
    <row r="30075" s="2" customFormat="1"/>
    <row r="30076" s="2" customFormat="1"/>
    <row r="30077" s="2" customFormat="1"/>
    <row r="30078" s="2" customFormat="1"/>
    <row r="30079" s="2" customFormat="1"/>
    <row r="30080" s="2" customFormat="1"/>
    <row r="30081" s="2" customFormat="1"/>
    <row r="30082" s="2" customFormat="1"/>
    <row r="30083" s="2" customFormat="1"/>
    <row r="30084" s="2" customFormat="1"/>
    <row r="30085" s="2" customFormat="1"/>
    <row r="30086" s="2" customFormat="1"/>
    <row r="30087" s="2" customFormat="1"/>
    <row r="30088" s="2" customFormat="1"/>
    <row r="30089" s="2" customFormat="1"/>
    <row r="30090" s="2" customFormat="1"/>
    <row r="30091" s="2" customFormat="1"/>
    <row r="30092" s="2" customFormat="1"/>
    <row r="30093" s="2" customFormat="1"/>
    <row r="30094" s="2" customFormat="1"/>
    <row r="30095" s="2" customFormat="1"/>
    <row r="30096" s="2" customFormat="1"/>
    <row r="30097" s="2" customFormat="1"/>
    <row r="30098" s="2" customFormat="1"/>
    <row r="30099" s="2" customFormat="1"/>
    <row r="30100" s="2" customFormat="1"/>
    <row r="30101" s="2" customFormat="1"/>
    <row r="30102" s="2" customFormat="1"/>
    <row r="30103" s="2" customFormat="1"/>
    <row r="30104" s="2" customFormat="1"/>
    <row r="30105" s="2" customFormat="1"/>
    <row r="30106" s="2" customFormat="1"/>
    <row r="30107" s="2" customFormat="1"/>
    <row r="30108" s="2" customFormat="1"/>
    <row r="30109" s="2" customFormat="1"/>
    <row r="30110" s="2" customFormat="1"/>
    <row r="30111" s="2" customFormat="1"/>
    <row r="30112" s="2" customFormat="1"/>
    <row r="30113" s="2" customFormat="1"/>
    <row r="30114" s="2" customFormat="1"/>
    <row r="30115" s="2" customFormat="1"/>
    <row r="30116" s="2" customFormat="1"/>
    <row r="30117" s="2" customFormat="1"/>
    <row r="30118" s="2" customFormat="1"/>
    <row r="30119" s="2" customFormat="1"/>
    <row r="30120" s="2" customFormat="1"/>
    <row r="30121" s="2" customFormat="1"/>
    <row r="30122" s="2" customFormat="1"/>
    <row r="30123" s="2" customFormat="1"/>
    <row r="30124" s="2" customFormat="1"/>
    <row r="30125" s="2" customFormat="1"/>
    <row r="30126" s="2" customFormat="1"/>
    <row r="30127" s="2" customFormat="1"/>
    <row r="30128" s="2" customFormat="1"/>
    <row r="30129" s="2" customFormat="1"/>
    <row r="30130" s="2" customFormat="1"/>
    <row r="30131" s="2" customFormat="1"/>
    <row r="30132" s="2" customFormat="1"/>
    <row r="30133" s="2" customFormat="1"/>
    <row r="30134" s="2" customFormat="1"/>
    <row r="30135" s="2" customFormat="1"/>
    <row r="30136" s="2" customFormat="1"/>
    <row r="30137" s="2" customFormat="1"/>
    <row r="30138" s="2" customFormat="1"/>
    <row r="30139" s="2" customFormat="1"/>
    <row r="30140" s="2" customFormat="1"/>
    <row r="30141" s="2" customFormat="1"/>
    <row r="30142" s="2" customFormat="1"/>
    <row r="30143" s="2" customFormat="1"/>
    <row r="30144" s="2" customFormat="1"/>
    <row r="30145" s="2" customFormat="1"/>
    <row r="30146" s="2" customFormat="1"/>
    <row r="30147" s="2" customFormat="1"/>
    <row r="30148" s="2" customFormat="1"/>
    <row r="30149" s="2" customFormat="1"/>
    <row r="30150" s="2" customFormat="1"/>
    <row r="30151" s="2" customFormat="1"/>
    <row r="30152" s="2" customFormat="1"/>
    <row r="30153" s="2" customFormat="1"/>
    <row r="30154" s="2" customFormat="1"/>
    <row r="30155" s="2" customFormat="1"/>
    <row r="30156" s="2" customFormat="1"/>
    <row r="30157" s="2" customFormat="1"/>
    <row r="30158" s="2" customFormat="1"/>
    <row r="30159" s="2" customFormat="1"/>
    <row r="30160" s="2" customFormat="1"/>
    <row r="30161" s="2" customFormat="1"/>
    <row r="30162" s="2" customFormat="1"/>
    <row r="30163" s="2" customFormat="1"/>
    <row r="30164" s="2" customFormat="1"/>
    <row r="30165" s="2" customFormat="1"/>
    <row r="30166" s="2" customFormat="1"/>
    <row r="30167" s="2" customFormat="1"/>
    <row r="30168" s="2" customFormat="1"/>
    <row r="30169" s="2" customFormat="1"/>
    <row r="30170" s="2" customFormat="1"/>
    <row r="30171" s="2" customFormat="1"/>
    <row r="30172" s="2" customFormat="1"/>
    <row r="30173" s="2" customFormat="1"/>
    <row r="30174" s="2" customFormat="1"/>
    <row r="30175" s="2" customFormat="1"/>
    <row r="30176" s="2" customFormat="1"/>
    <row r="30177" s="2" customFormat="1"/>
    <row r="30178" s="2" customFormat="1"/>
    <row r="30179" s="2" customFormat="1"/>
    <row r="30180" s="2" customFormat="1"/>
    <row r="30181" s="2" customFormat="1"/>
    <row r="30182" s="2" customFormat="1"/>
    <row r="30183" s="2" customFormat="1"/>
    <row r="30184" s="2" customFormat="1"/>
    <row r="30185" s="2" customFormat="1"/>
    <row r="30186" s="2" customFormat="1"/>
    <row r="30187" s="2" customFormat="1"/>
    <row r="30188" s="2" customFormat="1"/>
    <row r="30189" s="2" customFormat="1"/>
    <row r="30190" s="2" customFormat="1"/>
    <row r="30191" s="2" customFormat="1"/>
    <row r="30192" s="2" customFormat="1"/>
    <row r="30193" s="2" customFormat="1"/>
    <row r="30194" s="2" customFormat="1"/>
    <row r="30195" s="2" customFormat="1"/>
    <row r="30196" s="2" customFormat="1"/>
    <row r="30197" s="2" customFormat="1"/>
    <row r="30198" s="2" customFormat="1"/>
    <row r="30199" s="2" customFormat="1"/>
    <row r="30200" s="2" customFormat="1"/>
    <row r="30201" s="2" customFormat="1"/>
    <row r="30202" s="2" customFormat="1"/>
    <row r="30203" s="2" customFormat="1"/>
    <row r="30204" s="2" customFormat="1"/>
    <row r="30205" s="2" customFormat="1"/>
    <row r="30206" s="2" customFormat="1"/>
    <row r="30207" s="2" customFormat="1"/>
    <row r="30208" s="2" customFormat="1"/>
    <row r="30209" s="2" customFormat="1"/>
    <row r="30210" s="2" customFormat="1"/>
    <row r="30211" s="2" customFormat="1"/>
    <row r="30212" s="2" customFormat="1"/>
    <row r="30213" s="2" customFormat="1"/>
    <row r="30214" s="2" customFormat="1"/>
    <row r="30215" s="2" customFormat="1"/>
    <row r="30216" s="2" customFormat="1"/>
    <row r="30217" s="2" customFormat="1"/>
    <row r="30218" s="2" customFormat="1"/>
    <row r="30219" s="2" customFormat="1"/>
    <row r="30220" s="2" customFormat="1"/>
    <row r="30221" s="2" customFormat="1"/>
    <row r="30222" s="2" customFormat="1"/>
    <row r="30223" s="2" customFormat="1"/>
    <row r="30224" s="2" customFormat="1"/>
    <row r="30225" s="2" customFormat="1"/>
    <row r="30226" s="2" customFormat="1"/>
    <row r="30227" s="2" customFormat="1"/>
    <row r="30228" s="2" customFormat="1"/>
    <row r="30229" s="2" customFormat="1"/>
    <row r="30230" s="2" customFormat="1"/>
    <row r="30231" s="2" customFormat="1"/>
    <row r="30232" s="2" customFormat="1"/>
    <row r="30233" s="2" customFormat="1"/>
    <row r="30234" s="2" customFormat="1"/>
    <row r="30235" s="2" customFormat="1"/>
    <row r="30236" s="2" customFormat="1"/>
    <row r="30237" s="2" customFormat="1"/>
    <row r="30238" s="2" customFormat="1"/>
    <row r="30239" s="2" customFormat="1"/>
    <row r="30240" s="2" customFormat="1"/>
    <row r="30241" s="2" customFormat="1"/>
    <row r="30242" s="2" customFormat="1"/>
    <row r="30243" s="2" customFormat="1"/>
    <row r="30244" s="2" customFormat="1"/>
    <row r="30245" s="2" customFormat="1"/>
    <row r="30246" s="2" customFormat="1"/>
    <row r="30247" s="2" customFormat="1"/>
    <row r="30248" s="2" customFormat="1"/>
    <row r="30249" s="2" customFormat="1"/>
    <row r="30250" s="2" customFormat="1"/>
    <row r="30251" s="2" customFormat="1"/>
    <row r="30252" s="2" customFormat="1"/>
    <row r="30253" s="2" customFormat="1"/>
    <row r="30254" s="2" customFormat="1"/>
    <row r="30255" s="2" customFormat="1"/>
    <row r="30256" s="2" customFormat="1"/>
    <row r="30257" s="2" customFormat="1"/>
    <row r="30258" s="2" customFormat="1"/>
    <row r="30259" s="2" customFormat="1"/>
    <row r="30260" s="2" customFormat="1"/>
    <row r="30261" s="2" customFormat="1"/>
    <row r="30262" s="2" customFormat="1"/>
    <row r="30263" s="2" customFormat="1"/>
    <row r="30264" s="2" customFormat="1"/>
    <row r="30265" s="2" customFormat="1"/>
    <row r="30266" s="2" customFormat="1"/>
    <row r="30267" s="2" customFormat="1"/>
    <row r="30268" s="2" customFormat="1"/>
    <row r="30269" s="2" customFormat="1"/>
    <row r="30270" s="2" customFormat="1"/>
    <row r="30271" s="2" customFormat="1"/>
    <row r="30272" s="2" customFormat="1"/>
    <row r="30273" s="2" customFormat="1"/>
    <row r="30274" s="2" customFormat="1"/>
    <row r="30275" s="2" customFormat="1"/>
    <row r="30276" s="2" customFormat="1"/>
    <row r="30277" s="2" customFormat="1"/>
    <row r="30278" s="2" customFormat="1"/>
    <row r="30279" s="2" customFormat="1"/>
    <row r="30280" s="2" customFormat="1"/>
    <row r="30281" s="2" customFormat="1"/>
    <row r="30282" s="2" customFormat="1"/>
    <row r="30283" s="2" customFormat="1"/>
    <row r="30284" s="2" customFormat="1"/>
    <row r="30285" s="2" customFormat="1"/>
    <row r="30286" s="2" customFormat="1"/>
    <row r="30287" s="2" customFormat="1"/>
    <row r="30288" s="2" customFormat="1"/>
    <row r="30289" s="2" customFormat="1"/>
    <row r="30290" s="2" customFormat="1"/>
    <row r="30291" s="2" customFormat="1"/>
    <row r="30292" s="2" customFormat="1"/>
    <row r="30293" s="2" customFormat="1"/>
    <row r="30294" s="2" customFormat="1"/>
    <row r="30295" s="2" customFormat="1"/>
    <row r="30296" s="2" customFormat="1"/>
    <row r="30297" s="2" customFormat="1"/>
    <row r="30298" s="2" customFormat="1"/>
    <row r="30299" s="2" customFormat="1"/>
    <row r="30300" s="2" customFormat="1"/>
    <row r="30301" s="2" customFormat="1"/>
    <row r="30302" s="2" customFormat="1"/>
    <row r="30303" s="2" customFormat="1"/>
    <row r="30304" s="2" customFormat="1"/>
    <row r="30305" s="2" customFormat="1"/>
    <row r="30306" s="2" customFormat="1"/>
    <row r="30307" s="2" customFormat="1"/>
    <row r="30308" s="2" customFormat="1"/>
    <row r="30309" s="2" customFormat="1"/>
    <row r="30310" s="2" customFormat="1"/>
    <row r="30311" s="2" customFormat="1"/>
    <row r="30312" s="2" customFormat="1"/>
    <row r="30313" s="2" customFormat="1"/>
    <row r="30314" s="2" customFormat="1"/>
    <row r="30315" s="2" customFormat="1"/>
    <row r="30316" s="2" customFormat="1"/>
    <row r="30317" s="2" customFormat="1"/>
    <row r="30318" s="2" customFormat="1"/>
    <row r="30319" s="2" customFormat="1"/>
    <row r="30320" s="2" customFormat="1"/>
    <row r="30321" s="2" customFormat="1"/>
    <row r="30322" s="2" customFormat="1"/>
    <row r="30323" s="2" customFormat="1"/>
    <row r="30324" s="2" customFormat="1"/>
    <row r="30325" s="2" customFormat="1"/>
    <row r="30326" s="2" customFormat="1"/>
    <row r="30327" s="2" customFormat="1"/>
    <row r="30328" s="2" customFormat="1"/>
    <row r="30329" s="2" customFormat="1"/>
    <row r="30330" s="2" customFormat="1"/>
    <row r="30331" s="2" customFormat="1"/>
    <row r="30332" s="2" customFormat="1"/>
    <row r="30333" s="2" customFormat="1"/>
    <row r="30334" s="2" customFormat="1"/>
    <row r="30335" s="2" customFormat="1"/>
    <row r="30336" s="2" customFormat="1"/>
    <row r="30337" s="2" customFormat="1"/>
    <row r="30338" s="2" customFormat="1"/>
    <row r="30339" s="2" customFormat="1"/>
    <row r="30340" s="2" customFormat="1"/>
    <row r="30341" s="2" customFormat="1"/>
    <row r="30342" s="2" customFormat="1"/>
    <row r="30343" s="2" customFormat="1"/>
    <row r="30344" s="2" customFormat="1"/>
    <row r="30345" s="2" customFormat="1"/>
    <row r="30346" s="2" customFormat="1"/>
    <row r="30347" s="2" customFormat="1"/>
    <row r="30348" s="2" customFormat="1"/>
    <row r="30349" s="2" customFormat="1"/>
    <row r="30350" s="2" customFormat="1"/>
    <row r="30351" s="2" customFormat="1"/>
    <row r="30352" s="2" customFormat="1"/>
    <row r="30353" s="2" customFormat="1"/>
    <row r="30354" s="2" customFormat="1"/>
    <row r="30355" s="2" customFormat="1"/>
    <row r="30356" s="2" customFormat="1"/>
    <row r="30357" s="2" customFormat="1"/>
    <row r="30358" s="2" customFormat="1"/>
    <row r="30359" s="2" customFormat="1"/>
    <row r="30360" s="2" customFormat="1"/>
    <row r="30361" s="2" customFormat="1"/>
    <row r="30362" s="2" customFormat="1"/>
    <row r="30363" s="2" customFormat="1"/>
    <row r="30364" s="2" customFormat="1"/>
    <row r="30365" s="2" customFormat="1"/>
    <row r="30366" s="2" customFormat="1"/>
    <row r="30367" s="2" customFormat="1"/>
    <row r="30368" s="2" customFormat="1"/>
    <row r="30369" s="2" customFormat="1"/>
    <row r="30370" s="2" customFormat="1"/>
    <row r="30371" s="2" customFormat="1"/>
    <row r="30372" s="2" customFormat="1"/>
    <row r="30373" s="2" customFormat="1"/>
    <row r="30374" s="2" customFormat="1"/>
    <row r="30375" s="2" customFormat="1"/>
    <row r="30376" s="2" customFormat="1"/>
    <row r="30377" s="2" customFormat="1"/>
    <row r="30378" s="2" customFormat="1"/>
    <row r="30379" s="2" customFormat="1"/>
    <row r="30380" s="2" customFormat="1"/>
    <row r="30381" s="2" customFormat="1"/>
    <row r="30382" s="2" customFormat="1"/>
    <row r="30383" s="2" customFormat="1"/>
    <row r="30384" s="2" customFormat="1"/>
    <row r="30385" s="2" customFormat="1"/>
    <row r="30386" s="2" customFormat="1"/>
    <row r="30387" s="2" customFormat="1"/>
    <row r="30388" s="2" customFormat="1"/>
    <row r="30389" s="2" customFormat="1"/>
    <row r="30390" s="2" customFormat="1"/>
    <row r="30391" s="2" customFormat="1"/>
    <row r="30392" s="2" customFormat="1"/>
    <row r="30393" s="2" customFormat="1"/>
    <row r="30394" s="2" customFormat="1"/>
    <row r="30395" s="2" customFormat="1"/>
    <row r="30396" s="2" customFormat="1"/>
    <row r="30397" s="2" customFormat="1"/>
    <row r="30398" s="2" customFormat="1"/>
    <row r="30399" s="2" customFormat="1"/>
    <row r="30400" s="2" customFormat="1"/>
    <row r="30401" s="2" customFormat="1"/>
    <row r="30402" s="2" customFormat="1"/>
    <row r="30403" s="2" customFormat="1"/>
    <row r="30404" s="2" customFormat="1"/>
    <row r="30405" s="2" customFormat="1"/>
    <row r="30406" s="2" customFormat="1"/>
    <row r="30407" s="2" customFormat="1"/>
    <row r="30408" s="2" customFormat="1"/>
    <row r="30409" s="2" customFormat="1"/>
    <row r="30410" s="2" customFormat="1"/>
    <row r="30411" s="2" customFormat="1"/>
    <row r="30412" s="2" customFormat="1"/>
    <row r="30413" s="2" customFormat="1"/>
    <row r="30414" s="2" customFormat="1"/>
    <row r="30415" s="2" customFormat="1"/>
    <row r="30416" s="2" customFormat="1"/>
    <row r="30417" s="2" customFormat="1"/>
    <row r="30418" s="2" customFormat="1"/>
    <row r="30419" s="2" customFormat="1"/>
    <row r="30420" s="2" customFormat="1"/>
    <row r="30421" s="2" customFormat="1"/>
    <row r="30422" s="2" customFormat="1"/>
    <row r="30423" s="2" customFormat="1"/>
    <row r="30424" s="2" customFormat="1"/>
    <row r="30425" s="2" customFormat="1"/>
    <row r="30426" s="2" customFormat="1"/>
    <row r="30427" s="2" customFormat="1"/>
    <row r="30428" s="2" customFormat="1"/>
    <row r="30429" s="2" customFormat="1"/>
    <row r="30430" s="2" customFormat="1"/>
    <row r="30431" s="2" customFormat="1"/>
    <row r="30432" s="2" customFormat="1"/>
    <row r="30433" s="2" customFormat="1"/>
    <row r="30434" s="2" customFormat="1"/>
    <row r="30435" s="2" customFormat="1"/>
    <row r="30436" s="2" customFormat="1"/>
    <row r="30437" s="2" customFormat="1"/>
    <row r="30438" s="2" customFormat="1"/>
    <row r="30439" s="2" customFormat="1"/>
    <row r="30440" s="2" customFormat="1"/>
    <row r="30441" s="2" customFormat="1"/>
    <row r="30442" s="2" customFormat="1"/>
    <row r="30443" s="2" customFormat="1"/>
    <row r="30444" s="2" customFormat="1"/>
    <row r="30445" s="2" customFormat="1"/>
    <row r="30446" s="2" customFormat="1"/>
    <row r="30447" s="2" customFormat="1"/>
    <row r="30448" s="2" customFormat="1"/>
    <row r="30449" s="2" customFormat="1"/>
    <row r="30450" s="2" customFormat="1"/>
    <row r="30451" s="2" customFormat="1"/>
    <row r="30452" s="2" customFormat="1"/>
    <row r="30453" s="2" customFormat="1"/>
    <row r="30454" s="2" customFormat="1"/>
    <row r="30455" s="2" customFormat="1"/>
    <row r="30456" s="2" customFormat="1"/>
    <row r="30457" s="2" customFormat="1"/>
    <row r="30458" s="2" customFormat="1"/>
    <row r="30459" s="2" customFormat="1"/>
    <row r="30460" s="2" customFormat="1"/>
    <row r="30461" s="2" customFormat="1"/>
    <row r="30462" s="2" customFormat="1"/>
    <row r="30463" s="2" customFormat="1"/>
    <row r="30464" s="2" customFormat="1"/>
    <row r="30465" s="2" customFormat="1"/>
    <row r="30466" s="2" customFormat="1"/>
    <row r="30467" s="2" customFormat="1"/>
    <row r="30468" s="2" customFormat="1"/>
    <row r="30469" s="2" customFormat="1"/>
    <row r="30470" s="2" customFormat="1"/>
    <row r="30471" s="2" customFormat="1"/>
    <row r="30472" s="2" customFormat="1"/>
    <row r="30473" s="2" customFormat="1"/>
    <row r="30474" s="2" customFormat="1"/>
    <row r="30475" s="2" customFormat="1"/>
    <row r="30476" s="2" customFormat="1"/>
    <row r="30477" s="2" customFormat="1"/>
    <row r="30478" s="2" customFormat="1"/>
    <row r="30479" s="2" customFormat="1"/>
    <row r="30480" s="2" customFormat="1"/>
    <row r="30481" s="2" customFormat="1"/>
    <row r="30482" s="2" customFormat="1"/>
    <row r="30483" s="2" customFormat="1"/>
    <row r="30484" s="2" customFormat="1"/>
    <row r="30485" s="2" customFormat="1"/>
    <row r="30486" s="2" customFormat="1"/>
    <row r="30487" s="2" customFormat="1"/>
    <row r="30488" s="2" customFormat="1"/>
    <row r="30489" s="2" customFormat="1"/>
    <row r="30490" s="2" customFormat="1"/>
    <row r="30491" s="2" customFormat="1"/>
    <row r="30492" s="2" customFormat="1"/>
    <row r="30493" s="2" customFormat="1"/>
    <row r="30494" s="2" customFormat="1"/>
    <row r="30495" s="2" customFormat="1"/>
    <row r="30496" s="2" customFormat="1"/>
    <row r="30497" s="2" customFormat="1"/>
    <row r="30498" s="2" customFormat="1"/>
    <row r="30499" s="2" customFormat="1"/>
    <row r="30500" s="2" customFormat="1"/>
    <row r="30501" s="2" customFormat="1"/>
    <row r="30502" s="2" customFormat="1"/>
    <row r="30503" s="2" customFormat="1"/>
    <row r="30504" s="2" customFormat="1"/>
    <row r="30505" s="2" customFormat="1"/>
    <row r="30506" s="2" customFormat="1"/>
    <row r="30507" s="2" customFormat="1"/>
    <row r="30508" s="2" customFormat="1"/>
    <row r="30509" s="2" customFormat="1"/>
    <row r="30510" s="2" customFormat="1"/>
    <row r="30511" s="2" customFormat="1"/>
    <row r="30512" s="2" customFormat="1"/>
    <row r="30513" s="2" customFormat="1"/>
    <row r="30514" s="2" customFormat="1"/>
    <row r="30515" s="2" customFormat="1"/>
    <row r="30516" s="2" customFormat="1"/>
    <row r="30517" s="2" customFormat="1"/>
    <row r="30518" s="2" customFormat="1"/>
    <row r="30519" s="2" customFormat="1"/>
    <row r="30520" s="2" customFormat="1"/>
    <row r="30521" s="2" customFormat="1"/>
    <row r="30522" s="2" customFormat="1"/>
    <row r="30523" s="2" customFormat="1"/>
    <row r="30524" s="2" customFormat="1"/>
    <row r="30525" s="2" customFormat="1"/>
    <row r="30526" s="2" customFormat="1"/>
    <row r="30527" s="2" customFormat="1"/>
    <row r="30528" s="2" customFormat="1"/>
    <row r="30529" s="2" customFormat="1"/>
    <row r="30530" s="2" customFormat="1"/>
    <row r="30531" s="2" customFormat="1"/>
    <row r="30532" s="2" customFormat="1"/>
    <row r="30533" s="2" customFormat="1"/>
    <row r="30534" s="2" customFormat="1"/>
    <row r="30535" s="2" customFormat="1"/>
    <row r="30536" s="2" customFormat="1"/>
    <row r="30537" s="2" customFormat="1"/>
    <row r="30538" s="2" customFormat="1"/>
    <row r="30539" s="2" customFormat="1"/>
    <row r="30540" s="2" customFormat="1"/>
    <row r="30541" s="2" customFormat="1"/>
    <row r="30542" s="2" customFormat="1"/>
    <row r="30543" s="2" customFormat="1"/>
    <row r="30544" s="2" customFormat="1"/>
    <row r="30545" s="2" customFormat="1"/>
    <row r="30546" s="2" customFormat="1"/>
    <row r="30547" s="2" customFormat="1"/>
    <row r="30548" s="2" customFormat="1"/>
    <row r="30549" s="2" customFormat="1"/>
    <row r="30550" s="2" customFormat="1"/>
    <row r="30551" s="2" customFormat="1"/>
    <row r="30552" s="2" customFormat="1"/>
    <row r="30553" s="2" customFormat="1"/>
    <row r="30554" s="2" customFormat="1"/>
    <row r="30555" s="2" customFormat="1"/>
    <row r="30556" s="2" customFormat="1"/>
    <row r="30557" s="2" customFormat="1"/>
    <row r="30558" s="2" customFormat="1"/>
    <row r="30559" s="2" customFormat="1"/>
    <row r="30560" s="2" customFormat="1"/>
    <row r="30561" s="2" customFormat="1"/>
    <row r="30562" s="2" customFormat="1"/>
    <row r="30563" s="2" customFormat="1"/>
    <row r="30564" s="2" customFormat="1"/>
    <row r="30565" s="2" customFormat="1"/>
    <row r="30566" s="2" customFormat="1"/>
    <row r="30567" s="2" customFormat="1"/>
    <row r="30568" s="2" customFormat="1"/>
    <row r="30569" s="2" customFormat="1"/>
    <row r="30570" s="2" customFormat="1"/>
    <row r="30571" s="2" customFormat="1"/>
    <row r="30572" s="2" customFormat="1"/>
    <row r="30573" s="2" customFormat="1"/>
    <row r="30574" s="2" customFormat="1"/>
    <row r="30575" s="2" customFormat="1"/>
    <row r="30576" s="2" customFormat="1"/>
    <row r="30577" s="2" customFormat="1"/>
    <row r="30578" s="2" customFormat="1"/>
    <row r="30579" s="2" customFormat="1"/>
    <row r="30580" s="2" customFormat="1"/>
    <row r="30581" s="2" customFormat="1"/>
    <row r="30582" s="2" customFormat="1"/>
    <row r="30583" s="2" customFormat="1"/>
    <row r="30584" s="2" customFormat="1"/>
    <row r="30585" s="2" customFormat="1"/>
    <row r="30586" s="2" customFormat="1"/>
    <row r="30587" s="2" customFormat="1"/>
    <row r="30588" s="2" customFormat="1"/>
    <row r="30589" s="2" customFormat="1"/>
    <row r="30590" s="2" customFormat="1"/>
    <row r="30591" s="2" customFormat="1"/>
    <row r="30592" s="2" customFormat="1"/>
    <row r="30593" s="2" customFormat="1"/>
    <row r="30594" s="2" customFormat="1"/>
    <row r="30595" s="2" customFormat="1"/>
    <row r="30596" s="2" customFormat="1"/>
    <row r="30597" s="2" customFormat="1"/>
    <row r="30598" s="2" customFormat="1"/>
    <row r="30599" s="2" customFormat="1"/>
    <row r="30600" s="2" customFormat="1"/>
    <row r="30601" s="2" customFormat="1"/>
    <row r="30602" s="2" customFormat="1"/>
    <row r="30603" s="2" customFormat="1"/>
    <row r="30604" s="2" customFormat="1"/>
    <row r="30605" s="2" customFormat="1"/>
    <row r="30606" s="2" customFormat="1"/>
    <row r="30607" s="2" customFormat="1"/>
    <row r="30608" s="2" customFormat="1"/>
    <row r="30609" s="2" customFormat="1"/>
    <row r="30610" s="2" customFormat="1"/>
    <row r="30611" s="2" customFormat="1"/>
    <row r="30612" s="2" customFormat="1"/>
    <row r="30613" s="2" customFormat="1"/>
    <row r="30614" s="2" customFormat="1"/>
    <row r="30615" s="2" customFormat="1"/>
    <row r="30616" s="2" customFormat="1"/>
    <row r="30617" s="2" customFormat="1"/>
    <row r="30618" s="2" customFormat="1"/>
    <row r="30619" s="2" customFormat="1"/>
    <row r="30620" s="2" customFormat="1"/>
    <row r="30621" s="2" customFormat="1"/>
    <row r="30622" s="2" customFormat="1"/>
    <row r="30623" s="2" customFormat="1"/>
    <row r="30624" s="2" customFormat="1"/>
    <row r="30625" s="2" customFormat="1"/>
    <row r="30626" s="2" customFormat="1"/>
    <row r="30627" s="2" customFormat="1"/>
    <row r="30628" s="2" customFormat="1"/>
    <row r="30629" s="2" customFormat="1"/>
    <row r="30630" s="2" customFormat="1"/>
    <row r="30631" s="2" customFormat="1"/>
    <row r="30632" s="2" customFormat="1"/>
    <row r="30633" s="2" customFormat="1"/>
    <row r="30634" s="2" customFormat="1"/>
    <row r="30635" s="2" customFormat="1"/>
    <row r="30636" s="2" customFormat="1"/>
    <row r="30637" s="2" customFormat="1"/>
    <row r="30638" s="2" customFormat="1"/>
    <row r="30639" s="2" customFormat="1"/>
    <row r="30640" s="2" customFormat="1"/>
    <row r="30641" s="2" customFormat="1"/>
    <row r="30642" s="2" customFormat="1"/>
    <row r="30643" s="2" customFormat="1"/>
    <row r="30644" s="2" customFormat="1"/>
    <row r="30645" s="2" customFormat="1"/>
    <row r="30646" s="2" customFormat="1"/>
    <row r="30647" s="2" customFormat="1"/>
    <row r="30648" s="2" customFormat="1"/>
    <row r="30649" s="2" customFormat="1"/>
    <row r="30650" s="2" customFormat="1"/>
    <row r="30651" s="2" customFormat="1"/>
    <row r="30652" s="2" customFormat="1"/>
    <row r="30653" s="2" customFormat="1"/>
    <row r="30654" s="2" customFormat="1"/>
    <row r="30655" s="2" customFormat="1"/>
    <row r="30656" s="2" customFormat="1"/>
    <row r="30657" s="2" customFormat="1"/>
    <row r="30658" s="2" customFormat="1"/>
    <row r="30659" s="2" customFormat="1"/>
    <row r="30660" s="2" customFormat="1"/>
    <row r="30661" s="2" customFormat="1"/>
    <row r="30662" s="2" customFormat="1"/>
    <row r="30663" s="2" customFormat="1"/>
    <row r="30664" s="2" customFormat="1"/>
    <row r="30665" s="2" customFormat="1"/>
    <row r="30666" s="2" customFormat="1"/>
    <row r="30667" s="2" customFormat="1"/>
    <row r="30668" s="2" customFormat="1"/>
    <row r="30669" s="2" customFormat="1"/>
    <row r="30670" s="2" customFormat="1"/>
    <row r="30671" s="2" customFormat="1"/>
    <row r="30672" s="2" customFormat="1"/>
    <row r="30673" s="2" customFormat="1"/>
    <row r="30674" s="2" customFormat="1"/>
    <row r="30675" s="2" customFormat="1"/>
    <row r="30676" s="2" customFormat="1"/>
    <row r="30677" s="2" customFormat="1"/>
    <row r="30678" s="2" customFormat="1"/>
    <row r="30679" s="2" customFormat="1"/>
    <row r="30680" s="2" customFormat="1"/>
    <row r="30681" s="2" customFormat="1"/>
    <row r="30682" s="2" customFormat="1"/>
    <row r="30683" s="2" customFormat="1"/>
    <row r="30684" s="2" customFormat="1"/>
    <row r="30685" s="2" customFormat="1"/>
    <row r="30686" s="2" customFormat="1"/>
    <row r="30687" s="2" customFormat="1"/>
    <row r="30688" s="2" customFormat="1"/>
    <row r="30689" s="2" customFormat="1"/>
    <row r="30690" s="2" customFormat="1"/>
    <row r="30691" s="2" customFormat="1"/>
    <row r="30692" s="2" customFormat="1"/>
    <row r="30693" s="2" customFormat="1"/>
    <row r="30694" s="2" customFormat="1"/>
    <row r="30695" s="2" customFormat="1"/>
    <row r="30696" s="2" customFormat="1"/>
    <row r="30697" s="2" customFormat="1"/>
    <row r="30698" s="2" customFormat="1"/>
    <row r="30699" s="2" customFormat="1"/>
    <row r="30700" s="2" customFormat="1"/>
    <row r="30701" s="2" customFormat="1"/>
    <row r="30702" s="2" customFormat="1"/>
    <row r="30703" s="2" customFormat="1"/>
    <row r="30704" s="2" customFormat="1"/>
    <row r="30705" s="2" customFormat="1"/>
    <row r="30706" s="2" customFormat="1"/>
    <row r="30707" s="2" customFormat="1"/>
    <row r="30708" s="2" customFormat="1"/>
    <row r="30709" s="2" customFormat="1"/>
    <row r="30710" s="2" customFormat="1"/>
    <row r="30711" s="2" customFormat="1"/>
    <row r="30712" s="2" customFormat="1"/>
    <row r="30713" s="2" customFormat="1"/>
    <row r="30714" s="2" customFormat="1"/>
    <row r="30715" s="2" customFormat="1"/>
    <row r="30716" s="2" customFormat="1"/>
    <row r="30717" s="2" customFormat="1"/>
    <row r="30718" s="2" customFormat="1"/>
    <row r="30719" s="2" customFormat="1"/>
    <row r="30720" s="2" customFormat="1"/>
    <row r="30721" s="2" customFormat="1"/>
    <row r="30722" s="2" customFormat="1"/>
    <row r="30723" s="2" customFormat="1"/>
    <row r="30724" s="2" customFormat="1"/>
    <row r="30725" s="2" customFormat="1"/>
    <row r="30726" s="2" customFormat="1"/>
    <row r="30727" s="2" customFormat="1"/>
    <row r="30728" s="2" customFormat="1"/>
    <row r="30729" s="2" customFormat="1"/>
    <row r="30730" s="2" customFormat="1"/>
    <row r="30731" s="2" customFormat="1"/>
    <row r="30732" s="2" customFormat="1"/>
    <row r="30733" s="2" customFormat="1"/>
    <row r="30734" s="2" customFormat="1"/>
    <row r="30735" s="2" customFormat="1"/>
    <row r="30736" s="2" customFormat="1"/>
    <row r="30737" s="2" customFormat="1"/>
    <row r="30738" s="2" customFormat="1"/>
    <row r="30739" s="2" customFormat="1"/>
    <row r="30740" s="2" customFormat="1"/>
    <row r="30741" s="2" customFormat="1"/>
    <row r="30742" s="2" customFormat="1"/>
    <row r="30743" s="2" customFormat="1"/>
    <row r="30744" s="2" customFormat="1"/>
    <row r="30745" s="2" customFormat="1"/>
    <row r="30746" s="2" customFormat="1"/>
    <row r="30747" s="2" customFormat="1"/>
    <row r="30748" s="2" customFormat="1"/>
    <row r="30749" s="2" customFormat="1"/>
    <row r="30750" s="2" customFormat="1"/>
    <row r="30751" s="2" customFormat="1"/>
    <row r="30752" s="2" customFormat="1"/>
    <row r="30753" s="2" customFormat="1"/>
    <row r="30754" s="2" customFormat="1"/>
    <row r="30755" s="2" customFormat="1"/>
    <row r="30756" s="2" customFormat="1"/>
    <row r="30757" s="2" customFormat="1"/>
    <row r="30758" s="2" customFormat="1"/>
    <row r="30759" s="2" customFormat="1"/>
    <row r="30760" s="2" customFormat="1"/>
    <row r="30761" s="2" customFormat="1"/>
    <row r="30762" s="2" customFormat="1"/>
    <row r="30763" s="2" customFormat="1"/>
    <row r="30764" s="2" customFormat="1"/>
    <row r="30765" s="2" customFormat="1"/>
    <row r="30766" s="2" customFormat="1"/>
    <row r="30767" s="2" customFormat="1"/>
    <row r="30768" s="2" customFormat="1"/>
    <row r="30769" s="2" customFormat="1"/>
    <row r="30770" s="2" customFormat="1"/>
    <row r="30771" s="2" customFormat="1"/>
    <row r="30772" s="2" customFormat="1"/>
    <row r="30773" s="2" customFormat="1"/>
    <row r="30774" s="2" customFormat="1"/>
    <row r="30775" s="2" customFormat="1"/>
    <row r="30776" s="2" customFormat="1"/>
    <row r="30777" s="2" customFormat="1"/>
    <row r="30778" s="2" customFormat="1"/>
    <row r="30779" s="2" customFormat="1"/>
    <row r="30780" s="2" customFormat="1"/>
    <row r="30781" s="2" customFormat="1"/>
    <row r="30782" s="2" customFormat="1"/>
    <row r="30783" s="2" customFormat="1"/>
    <row r="30784" s="2" customFormat="1"/>
    <row r="30785" s="2" customFormat="1"/>
    <row r="30786" s="2" customFormat="1"/>
    <row r="30787" s="2" customFormat="1"/>
    <row r="30788" s="2" customFormat="1"/>
    <row r="30789" s="2" customFormat="1"/>
    <row r="30790" s="2" customFormat="1"/>
    <row r="30791" s="2" customFormat="1"/>
    <row r="30792" s="2" customFormat="1"/>
    <row r="30793" s="2" customFormat="1"/>
    <row r="30794" s="2" customFormat="1"/>
    <row r="30795" s="2" customFormat="1"/>
    <row r="30796" s="2" customFormat="1"/>
    <row r="30797" s="2" customFormat="1"/>
    <row r="30798" s="2" customFormat="1"/>
    <row r="30799" s="2" customFormat="1"/>
    <row r="30800" s="2" customFormat="1"/>
    <row r="30801" s="2" customFormat="1"/>
    <row r="30802" s="2" customFormat="1"/>
    <row r="30803" s="2" customFormat="1"/>
    <row r="30804" s="2" customFormat="1"/>
    <row r="30805" s="2" customFormat="1"/>
    <row r="30806" s="2" customFormat="1"/>
    <row r="30807" s="2" customFormat="1"/>
    <row r="30808" s="2" customFormat="1"/>
    <row r="30809" s="2" customFormat="1"/>
    <row r="30810" s="2" customFormat="1"/>
    <row r="30811" s="2" customFormat="1"/>
    <row r="30812" s="2" customFormat="1"/>
    <row r="30813" s="2" customFormat="1"/>
    <row r="30814" s="2" customFormat="1"/>
    <row r="30815" s="2" customFormat="1"/>
    <row r="30816" s="2" customFormat="1"/>
    <row r="30817" s="2" customFormat="1"/>
    <row r="30818" s="2" customFormat="1"/>
    <row r="30819" s="2" customFormat="1"/>
    <row r="30820" s="2" customFormat="1"/>
    <row r="30821" s="2" customFormat="1"/>
    <row r="30822" s="2" customFormat="1"/>
    <row r="30823" s="2" customFormat="1"/>
    <row r="30824" s="2" customFormat="1"/>
    <row r="30825" s="2" customFormat="1"/>
    <row r="30826" s="2" customFormat="1"/>
    <row r="30827" s="2" customFormat="1"/>
    <row r="30828" s="2" customFormat="1"/>
    <row r="30829" s="2" customFormat="1"/>
    <row r="30830" s="2" customFormat="1"/>
    <row r="30831" s="2" customFormat="1"/>
    <row r="30832" s="2" customFormat="1"/>
    <row r="30833" s="2" customFormat="1"/>
    <row r="30834" s="2" customFormat="1"/>
    <row r="30835" s="2" customFormat="1"/>
    <row r="30836" s="2" customFormat="1"/>
    <row r="30837" s="2" customFormat="1"/>
    <row r="30838" s="2" customFormat="1"/>
    <row r="30839" s="2" customFormat="1"/>
    <row r="30840" s="2" customFormat="1"/>
    <row r="30841" s="2" customFormat="1"/>
    <row r="30842" s="2" customFormat="1"/>
    <row r="30843" s="2" customFormat="1"/>
    <row r="30844" s="2" customFormat="1"/>
    <row r="30845" s="2" customFormat="1"/>
    <row r="30846" s="2" customFormat="1"/>
    <row r="30847" s="2" customFormat="1"/>
    <row r="30848" s="2" customFormat="1"/>
    <row r="30849" s="2" customFormat="1"/>
    <row r="30850" s="2" customFormat="1"/>
    <row r="30851" s="2" customFormat="1"/>
    <row r="30852" s="2" customFormat="1"/>
    <row r="30853" s="2" customFormat="1"/>
    <row r="30854" s="2" customFormat="1"/>
    <row r="30855" s="2" customFormat="1"/>
    <row r="30856" s="2" customFormat="1"/>
    <row r="30857" s="2" customFormat="1"/>
    <row r="30858" s="2" customFormat="1"/>
    <row r="30859" s="2" customFormat="1"/>
    <row r="30860" s="2" customFormat="1"/>
    <row r="30861" s="2" customFormat="1"/>
    <row r="30862" s="2" customFormat="1"/>
    <row r="30863" s="2" customFormat="1"/>
    <row r="30864" s="2" customFormat="1"/>
    <row r="30865" s="2" customFormat="1"/>
    <row r="30866" s="2" customFormat="1"/>
    <row r="30867" s="2" customFormat="1"/>
    <row r="30868" s="2" customFormat="1"/>
    <row r="30869" s="2" customFormat="1"/>
    <row r="30870" s="2" customFormat="1"/>
    <row r="30871" s="2" customFormat="1"/>
    <row r="30872" s="2" customFormat="1"/>
    <row r="30873" s="2" customFormat="1"/>
    <row r="30874" s="2" customFormat="1"/>
    <row r="30875" s="2" customFormat="1"/>
    <row r="30876" s="2" customFormat="1"/>
    <row r="30877" s="2" customFormat="1"/>
    <row r="30878" s="2" customFormat="1"/>
    <row r="30879" s="2" customFormat="1"/>
    <row r="30880" s="2" customFormat="1"/>
    <row r="30881" s="2" customFormat="1"/>
    <row r="30882" s="2" customFormat="1"/>
    <row r="30883" s="2" customFormat="1"/>
    <row r="30884" s="2" customFormat="1"/>
    <row r="30885" s="2" customFormat="1"/>
    <row r="30886" s="2" customFormat="1"/>
    <row r="30887" s="2" customFormat="1"/>
    <row r="30888" s="2" customFormat="1"/>
    <row r="30889" s="2" customFormat="1"/>
    <row r="30890" s="2" customFormat="1"/>
    <row r="30891" s="2" customFormat="1"/>
    <row r="30892" s="2" customFormat="1"/>
    <row r="30893" s="2" customFormat="1"/>
    <row r="30894" s="2" customFormat="1"/>
    <row r="30895" s="2" customFormat="1"/>
    <row r="30896" s="2" customFormat="1"/>
    <row r="30897" s="2" customFormat="1"/>
    <row r="30898" s="2" customFormat="1"/>
    <row r="30899" s="2" customFormat="1"/>
    <row r="30900" s="2" customFormat="1"/>
    <row r="30901" s="2" customFormat="1"/>
    <row r="30902" s="2" customFormat="1"/>
    <row r="30903" s="2" customFormat="1"/>
    <row r="30904" s="2" customFormat="1"/>
    <row r="30905" s="2" customFormat="1"/>
    <row r="30906" s="2" customFormat="1"/>
    <row r="30907" s="2" customFormat="1"/>
    <row r="30908" s="2" customFormat="1"/>
    <row r="30909" s="2" customFormat="1"/>
    <row r="30910" s="2" customFormat="1"/>
    <row r="30911" s="2" customFormat="1"/>
    <row r="30912" s="2" customFormat="1"/>
    <row r="30913" s="2" customFormat="1"/>
    <row r="30914" s="2" customFormat="1"/>
    <row r="30915" s="2" customFormat="1"/>
    <row r="30916" s="2" customFormat="1"/>
    <row r="30917" s="2" customFormat="1"/>
    <row r="30918" s="2" customFormat="1"/>
    <row r="30919" s="2" customFormat="1"/>
    <row r="30920" s="2" customFormat="1"/>
    <row r="30921" s="2" customFormat="1"/>
    <row r="30922" s="2" customFormat="1"/>
    <row r="30923" s="2" customFormat="1"/>
    <row r="30924" s="2" customFormat="1"/>
    <row r="30925" s="2" customFormat="1"/>
    <row r="30926" s="2" customFormat="1"/>
    <row r="30927" s="2" customFormat="1"/>
    <row r="30928" s="2" customFormat="1"/>
    <row r="30929" s="2" customFormat="1"/>
    <row r="30930" s="2" customFormat="1"/>
    <row r="30931" s="2" customFormat="1"/>
    <row r="30932" s="2" customFormat="1"/>
    <row r="30933" s="2" customFormat="1"/>
    <row r="30934" s="2" customFormat="1"/>
    <row r="30935" s="2" customFormat="1"/>
    <row r="30936" s="2" customFormat="1"/>
    <row r="30937" s="2" customFormat="1"/>
    <row r="30938" s="2" customFormat="1"/>
    <row r="30939" s="2" customFormat="1"/>
    <row r="30940" s="2" customFormat="1"/>
    <row r="30941" s="2" customFormat="1"/>
    <row r="30942" s="2" customFormat="1"/>
    <row r="30943" s="2" customFormat="1"/>
    <row r="30944" s="2" customFormat="1"/>
    <row r="30945" s="2" customFormat="1"/>
    <row r="30946" s="2" customFormat="1"/>
    <row r="30947" s="2" customFormat="1"/>
    <row r="30948" s="2" customFormat="1"/>
    <row r="30949" s="2" customFormat="1"/>
    <row r="30950" s="2" customFormat="1"/>
    <row r="30951" s="2" customFormat="1"/>
    <row r="30952" s="2" customFormat="1"/>
    <row r="30953" s="2" customFormat="1"/>
    <row r="30954" s="2" customFormat="1"/>
    <row r="30955" s="2" customFormat="1"/>
    <row r="30956" s="2" customFormat="1"/>
    <row r="30957" s="2" customFormat="1"/>
    <row r="30958" s="2" customFormat="1"/>
    <row r="30959" s="2" customFormat="1"/>
    <row r="30960" s="2" customFormat="1"/>
    <row r="30961" s="2" customFormat="1"/>
    <row r="30962" s="2" customFormat="1"/>
    <row r="30963" s="2" customFormat="1"/>
    <row r="30964" s="2" customFormat="1"/>
    <row r="30965" s="2" customFormat="1"/>
    <row r="30966" s="2" customFormat="1"/>
    <row r="30967" s="2" customFormat="1"/>
    <row r="30968" s="2" customFormat="1"/>
    <row r="30969" s="2" customFormat="1"/>
    <row r="30970" s="2" customFormat="1"/>
    <row r="30971" s="2" customFormat="1"/>
    <row r="30972" s="2" customFormat="1"/>
    <row r="30973" s="2" customFormat="1"/>
    <row r="30974" s="2" customFormat="1"/>
    <row r="30975" s="2" customFormat="1"/>
    <row r="30976" s="2" customFormat="1"/>
    <row r="30977" s="2" customFormat="1"/>
    <row r="30978" s="2" customFormat="1"/>
    <row r="30979" s="2" customFormat="1"/>
    <row r="30980" s="2" customFormat="1"/>
    <row r="30981" s="2" customFormat="1"/>
    <row r="30982" s="2" customFormat="1"/>
    <row r="30983" s="2" customFormat="1"/>
    <row r="30984" s="2" customFormat="1"/>
    <row r="30985" s="2" customFormat="1"/>
    <row r="30986" s="2" customFormat="1"/>
    <row r="30987" s="2" customFormat="1"/>
    <row r="30988" s="2" customFormat="1"/>
    <row r="30989" s="2" customFormat="1"/>
    <row r="30990" s="2" customFormat="1"/>
    <row r="30991" s="2" customFormat="1"/>
    <row r="30992" s="2" customFormat="1"/>
    <row r="30993" s="2" customFormat="1"/>
    <row r="30994" s="2" customFormat="1"/>
    <row r="30995" s="2" customFormat="1"/>
    <row r="30996" s="2" customFormat="1"/>
    <row r="30997" s="2" customFormat="1"/>
    <row r="30998" s="2" customFormat="1"/>
    <row r="30999" s="2" customFormat="1"/>
    <row r="31000" s="2" customFormat="1"/>
    <row r="31001" s="2" customFormat="1"/>
    <row r="31002" s="2" customFormat="1"/>
    <row r="31003" s="2" customFormat="1"/>
    <row r="31004" s="2" customFormat="1"/>
    <row r="31005" s="2" customFormat="1"/>
    <row r="31006" s="2" customFormat="1"/>
    <row r="31007" s="2" customFormat="1"/>
    <row r="31008" s="2" customFormat="1"/>
    <row r="31009" s="2" customFormat="1"/>
    <row r="31010" s="2" customFormat="1"/>
    <row r="31011" s="2" customFormat="1"/>
    <row r="31012" s="2" customFormat="1"/>
    <row r="31013" s="2" customFormat="1"/>
    <row r="31014" s="2" customFormat="1"/>
    <row r="31015" s="2" customFormat="1"/>
    <row r="31016" s="2" customFormat="1"/>
    <row r="31017" s="2" customFormat="1"/>
    <row r="31018" s="2" customFormat="1"/>
    <row r="31019" s="2" customFormat="1"/>
    <row r="31020" s="2" customFormat="1"/>
    <row r="31021" s="2" customFormat="1"/>
    <row r="31022" s="2" customFormat="1"/>
    <row r="31023" s="2" customFormat="1"/>
    <row r="31024" s="2" customFormat="1"/>
    <row r="31025" s="2" customFormat="1"/>
    <row r="31026" s="2" customFormat="1"/>
    <row r="31027" s="2" customFormat="1"/>
    <row r="31028" s="2" customFormat="1"/>
    <row r="31029" s="2" customFormat="1"/>
    <row r="31030" s="2" customFormat="1"/>
    <row r="31031" s="2" customFormat="1"/>
    <row r="31032" s="2" customFormat="1"/>
    <row r="31033" s="2" customFormat="1"/>
    <row r="31034" s="2" customFormat="1"/>
    <row r="31035" s="2" customFormat="1"/>
    <row r="31036" s="2" customFormat="1"/>
    <row r="31037" s="2" customFormat="1"/>
    <row r="31038" s="2" customFormat="1"/>
    <row r="31039" s="2" customFormat="1"/>
    <row r="31040" s="2" customFormat="1"/>
    <row r="31041" s="2" customFormat="1"/>
    <row r="31042" s="2" customFormat="1"/>
    <row r="31043" s="2" customFormat="1"/>
    <row r="31044" s="2" customFormat="1"/>
    <row r="31045" s="2" customFormat="1"/>
    <row r="31046" s="2" customFormat="1"/>
    <row r="31047" s="2" customFormat="1"/>
    <row r="31048" s="2" customFormat="1"/>
    <row r="31049" s="2" customFormat="1"/>
    <row r="31050" s="2" customFormat="1"/>
    <row r="31051" s="2" customFormat="1"/>
    <row r="31052" s="2" customFormat="1"/>
    <row r="31053" s="2" customFormat="1"/>
    <row r="31054" s="2" customFormat="1"/>
    <row r="31055" s="2" customFormat="1"/>
    <row r="31056" s="2" customFormat="1"/>
    <row r="31057" s="2" customFormat="1"/>
    <row r="31058" s="2" customFormat="1"/>
    <row r="31059" s="2" customFormat="1"/>
    <row r="31060" s="2" customFormat="1"/>
    <row r="31061" s="2" customFormat="1"/>
    <row r="31062" s="2" customFormat="1"/>
    <row r="31063" s="2" customFormat="1"/>
    <row r="31064" s="2" customFormat="1"/>
    <row r="31065" s="2" customFormat="1"/>
    <row r="31066" s="2" customFormat="1"/>
    <row r="31067" s="2" customFormat="1"/>
    <row r="31068" s="2" customFormat="1"/>
    <row r="31069" s="2" customFormat="1"/>
    <row r="31070" s="2" customFormat="1"/>
    <row r="31071" s="2" customFormat="1"/>
    <row r="31072" s="2" customFormat="1"/>
    <row r="31073" s="2" customFormat="1"/>
    <row r="31074" s="2" customFormat="1"/>
    <row r="31075" s="2" customFormat="1"/>
    <row r="31076" s="2" customFormat="1"/>
    <row r="31077" s="2" customFormat="1"/>
    <row r="31078" s="2" customFormat="1"/>
    <row r="31079" s="2" customFormat="1"/>
    <row r="31080" s="2" customFormat="1"/>
    <row r="31081" s="2" customFormat="1"/>
    <row r="31082" s="2" customFormat="1"/>
    <row r="31083" s="2" customFormat="1"/>
    <row r="31084" s="2" customFormat="1"/>
    <row r="31085" s="2" customFormat="1"/>
    <row r="31086" s="2" customFormat="1"/>
    <row r="31087" s="2" customFormat="1"/>
    <row r="31088" s="2" customFormat="1"/>
    <row r="31089" s="2" customFormat="1"/>
    <row r="31090" s="2" customFormat="1"/>
    <row r="31091" s="2" customFormat="1"/>
    <row r="31092" s="2" customFormat="1"/>
    <row r="31093" s="2" customFormat="1"/>
    <row r="31094" s="2" customFormat="1"/>
    <row r="31095" s="2" customFormat="1"/>
    <row r="31096" s="2" customFormat="1"/>
    <row r="31097" s="2" customFormat="1"/>
    <row r="31098" s="2" customFormat="1"/>
    <row r="31099" s="2" customFormat="1"/>
    <row r="31100" s="2" customFormat="1"/>
    <row r="31101" s="2" customFormat="1"/>
    <row r="31102" s="2" customFormat="1"/>
    <row r="31103" s="2" customFormat="1"/>
    <row r="31104" s="2" customFormat="1"/>
    <row r="31105" s="2" customFormat="1"/>
    <row r="31106" s="2" customFormat="1"/>
    <row r="31107" s="2" customFormat="1"/>
    <row r="31108" s="2" customFormat="1"/>
    <row r="31109" s="2" customFormat="1"/>
    <row r="31110" s="2" customFormat="1"/>
    <row r="31111" s="2" customFormat="1"/>
    <row r="31112" s="2" customFormat="1"/>
    <row r="31113" s="2" customFormat="1"/>
    <row r="31114" s="2" customFormat="1"/>
    <row r="31115" s="2" customFormat="1"/>
    <row r="31116" s="2" customFormat="1"/>
    <row r="31117" s="2" customFormat="1"/>
    <row r="31118" s="2" customFormat="1"/>
    <row r="31119" s="2" customFormat="1"/>
    <row r="31120" s="2" customFormat="1"/>
    <row r="31121" s="2" customFormat="1"/>
    <row r="31122" s="2" customFormat="1"/>
    <row r="31123" s="2" customFormat="1"/>
    <row r="31124" s="2" customFormat="1"/>
    <row r="31125" s="2" customFormat="1"/>
    <row r="31126" s="2" customFormat="1"/>
    <row r="31127" s="2" customFormat="1"/>
    <row r="31128" s="2" customFormat="1"/>
    <row r="31129" s="2" customFormat="1"/>
    <row r="31130" s="2" customFormat="1"/>
    <row r="31131" s="2" customFormat="1"/>
    <row r="31132" s="2" customFormat="1"/>
    <row r="31133" s="2" customFormat="1"/>
    <row r="31134" s="2" customFormat="1"/>
    <row r="31135" s="2" customFormat="1"/>
    <row r="31136" s="2" customFormat="1"/>
    <row r="31137" s="2" customFormat="1"/>
    <row r="31138" s="2" customFormat="1"/>
    <row r="31139" s="2" customFormat="1"/>
    <row r="31140" s="2" customFormat="1"/>
    <row r="31141" s="2" customFormat="1"/>
    <row r="31142" s="2" customFormat="1"/>
    <row r="31143" s="2" customFormat="1"/>
    <row r="31144" s="2" customFormat="1"/>
    <row r="31145" s="2" customFormat="1"/>
    <row r="31146" s="2" customFormat="1"/>
    <row r="31147" s="2" customFormat="1"/>
    <row r="31148" s="2" customFormat="1"/>
    <row r="31149" s="2" customFormat="1"/>
    <row r="31150" s="2" customFormat="1"/>
    <row r="31151" s="2" customFormat="1"/>
    <row r="31152" s="2" customFormat="1"/>
    <row r="31153" s="2" customFormat="1"/>
    <row r="31154" s="2" customFormat="1"/>
    <row r="31155" s="2" customFormat="1"/>
    <row r="31156" s="2" customFormat="1"/>
    <row r="31157" s="2" customFormat="1"/>
    <row r="31158" s="2" customFormat="1"/>
    <row r="31159" s="2" customFormat="1"/>
    <row r="31160" s="2" customFormat="1"/>
    <row r="31161" s="2" customFormat="1"/>
    <row r="31162" s="2" customFormat="1"/>
    <row r="31163" s="2" customFormat="1"/>
    <row r="31164" s="2" customFormat="1"/>
    <row r="31165" s="2" customFormat="1"/>
    <row r="31166" s="2" customFormat="1"/>
    <row r="31167" s="2" customFormat="1"/>
    <row r="31168" s="2" customFormat="1"/>
    <row r="31169" s="2" customFormat="1"/>
    <row r="31170" s="2" customFormat="1"/>
    <row r="31171" s="2" customFormat="1"/>
    <row r="31172" s="2" customFormat="1"/>
    <row r="31173" s="2" customFormat="1"/>
    <row r="31174" s="2" customFormat="1"/>
    <row r="31175" s="2" customFormat="1"/>
    <row r="31176" s="2" customFormat="1"/>
    <row r="31177" s="2" customFormat="1"/>
    <row r="31178" s="2" customFormat="1"/>
    <row r="31179" s="2" customFormat="1"/>
    <row r="31180" s="2" customFormat="1"/>
    <row r="31181" s="2" customFormat="1"/>
    <row r="31182" s="2" customFormat="1"/>
    <row r="31183" s="2" customFormat="1"/>
    <row r="31184" s="2" customFormat="1"/>
    <row r="31185" s="2" customFormat="1"/>
    <row r="31186" s="2" customFormat="1"/>
    <row r="31187" s="2" customFormat="1"/>
    <row r="31188" s="2" customFormat="1"/>
    <row r="31189" s="2" customFormat="1"/>
    <row r="31190" s="2" customFormat="1"/>
    <row r="31191" s="2" customFormat="1"/>
    <row r="31192" s="2" customFormat="1"/>
    <row r="31193" s="2" customFormat="1"/>
    <row r="31194" s="2" customFormat="1"/>
    <row r="31195" s="2" customFormat="1"/>
    <row r="31196" s="2" customFormat="1"/>
    <row r="31197" s="2" customFormat="1"/>
    <row r="31198" s="2" customFormat="1"/>
    <row r="31199" s="2" customFormat="1"/>
    <row r="31200" s="2" customFormat="1"/>
    <row r="31201" s="2" customFormat="1"/>
    <row r="31202" s="2" customFormat="1"/>
    <row r="31203" s="2" customFormat="1"/>
    <row r="31204" s="2" customFormat="1"/>
    <row r="31205" s="2" customFormat="1"/>
    <row r="31206" s="2" customFormat="1"/>
    <row r="31207" s="2" customFormat="1"/>
    <row r="31208" s="2" customFormat="1"/>
    <row r="31209" s="2" customFormat="1"/>
    <row r="31210" s="2" customFormat="1"/>
    <row r="31211" s="2" customFormat="1"/>
    <row r="31212" s="2" customFormat="1"/>
    <row r="31213" s="2" customFormat="1"/>
    <row r="31214" s="2" customFormat="1"/>
    <row r="31215" s="2" customFormat="1"/>
    <row r="31216" s="2" customFormat="1"/>
    <row r="31217" s="2" customFormat="1"/>
    <row r="31218" s="2" customFormat="1"/>
    <row r="31219" s="2" customFormat="1"/>
    <row r="31220" s="2" customFormat="1"/>
    <row r="31221" s="2" customFormat="1"/>
    <row r="31222" s="2" customFormat="1"/>
    <row r="31223" s="2" customFormat="1"/>
    <row r="31224" s="2" customFormat="1"/>
    <row r="31225" s="2" customFormat="1"/>
    <row r="31226" s="2" customFormat="1"/>
    <row r="31227" s="2" customFormat="1"/>
    <row r="31228" s="2" customFormat="1"/>
    <row r="31229" s="2" customFormat="1"/>
    <row r="31230" s="2" customFormat="1"/>
    <row r="31231" s="2" customFormat="1"/>
    <row r="31232" s="2" customFormat="1"/>
    <row r="31233" s="2" customFormat="1"/>
    <row r="31234" s="2" customFormat="1"/>
    <row r="31235" s="2" customFormat="1"/>
    <row r="31236" s="2" customFormat="1"/>
    <row r="31237" s="2" customFormat="1"/>
    <row r="31238" s="2" customFormat="1"/>
    <row r="31239" s="2" customFormat="1"/>
    <row r="31240" s="2" customFormat="1"/>
    <row r="31241" s="2" customFormat="1"/>
    <row r="31242" s="2" customFormat="1"/>
    <row r="31243" s="2" customFormat="1"/>
    <row r="31244" s="2" customFormat="1"/>
    <row r="31245" s="2" customFormat="1"/>
    <row r="31246" s="2" customFormat="1"/>
    <row r="31247" s="2" customFormat="1"/>
    <row r="31248" s="2" customFormat="1"/>
    <row r="31249" s="2" customFormat="1"/>
    <row r="31250" s="2" customFormat="1"/>
    <row r="31251" s="2" customFormat="1"/>
    <row r="31252" s="2" customFormat="1"/>
    <row r="31253" s="2" customFormat="1"/>
    <row r="31254" s="2" customFormat="1"/>
    <row r="31255" s="2" customFormat="1"/>
    <row r="31256" s="2" customFormat="1"/>
    <row r="31257" s="2" customFormat="1"/>
    <row r="31258" s="2" customFormat="1"/>
    <row r="31259" s="2" customFormat="1"/>
    <row r="31260" s="2" customFormat="1"/>
    <row r="31261" s="2" customFormat="1"/>
    <row r="31262" s="2" customFormat="1"/>
    <row r="31263" s="2" customFormat="1"/>
    <row r="31264" s="2" customFormat="1"/>
    <row r="31265" s="2" customFormat="1"/>
    <row r="31266" s="2" customFormat="1"/>
    <row r="31267" s="2" customFormat="1"/>
    <row r="31268" s="2" customFormat="1"/>
    <row r="31269" s="2" customFormat="1"/>
    <row r="31270" s="2" customFormat="1"/>
    <row r="31271" s="2" customFormat="1"/>
    <row r="31272" s="2" customFormat="1"/>
    <row r="31273" s="2" customFormat="1"/>
    <row r="31274" s="2" customFormat="1"/>
    <row r="31275" s="2" customFormat="1"/>
    <row r="31276" s="2" customFormat="1"/>
    <row r="31277" s="2" customFormat="1"/>
    <row r="31278" s="2" customFormat="1"/>
    <row r="31279" s="2" customFormat="1"/>
    <row r="31280" s="2" customFormat="1"/>
    <row r="31281" s="2" customFormat="1"/>
    <row r="31282" s="2" customFormat="1"/>
    <row r="31283" s="2" customFormat="1"/>
    <row r="31284" s="2" customFormat="1"/>
    <row r="31285" s="2" customFormat="1"/>
    <row r="31286" s="2" customFormat="1"/>
    <row r="31287" s="2" customFormat="1"/>
    <row r="31288" s="2" customFormat="1"/>
    <row r="31289" s="2" customFormat="1"/>
    <row r="31290" s="2" customFormat="1"/>
    <row r="31291" s="2" customFormat="1"/>
    <row r="31292" s="2" customFormat="1"/>
    <row r="31293" s="2" customFormat="1"/>
    <row r="31294" s="2" customFormat="1"/>
    <row r="31295" s="2" customFormat="1"/>
    <row r="31296" s="2" customFormat="1"/>
    <row r="31297" s="2" customFormat="1"/>
    <row r="31298" s="2" customFormat="1"/>
    <row r="31299" s="2" customFormat="1"/>
    <row r="31300" s="2" customFormat="1"/>
    <row r="31301" s="2" customFormat="1"/>
    <row r="31302" s="2" customFormat="1"/>
    <row r="31303" s="2" customFormat="1"/>
    <row r="31304" s="2" customFormat="1"/>
    <row r="31305" s="2" customFormat="1"/>
    <row r="31306" s="2" customFormat="1"/>
    <row r="31307" s="2" customFormat="1"/>
    <row r="31308" s="2" customFormat="1"/>
    <row r="31309" s="2" customFormat="1"/>
    <row r="31310" s="2" customFormat="1"/>
    <row r="31311" s="2" customFormat="1"/>
    <row r="31312" s="2" customFormat="1"/>
    <row r="31313" s="2" customFormat="1"/>
    <row r="31314" s="2" customFormat="1"/>
    <row r="31315" s="2" customFormat="1"/>
    <row r="31316" s="2" customFormat="1"/>
    <row r="31317" s="2" customFormat="1"/>
    <row r="31318" s="2" customFormat="1"/>
    <row r="31319" s="2" customFormat="1"/>
    <row r="31320" s="2" customFormat="1"/>
    <row r="31321" s="2" customFormat="1"/>
    <row r="31322" s="2" customFormat="1"/>
    <row r="31323" s="2" customFormat="1"/>
    <row r="31324" s="2" customFormat="1"/>
    <row r="31325" s="2" customFormat="1"/>
    <row r="31326" s="2" customFormat="1"/>
    <row r="31327" s="2" customFormat="1"/>
    <row r="31328" s="2" customFormat="1"/>
    <row r="31329" s="2" customFormat="1"/>
    <row r="31330" s="2" customFormat="1"/>
    <row r="31331" s="2" customFormat="1"/>
    <row r="31332" s="2" customFormat="1"/>
    <row r="31333" s="2" customFormat="1"/>
    <row r="31334" s="2" customFormat="1"/>
    <row r="31335" s="2" customFormat="1"/>
    <row r="31336" s="2" customFormat="1"/>
    <row r="31337" s="2" customFormat="1"/>
    <row r="31338" s="2" customFormat="1"/>
    <row r="31339" s="2" customFormat="1"/>
    <row r="31340" s="2" customFormat="1"/>
    <row r="31341" s="2" customFormat="1"/>
    <row r="31342" s="2" customFormat="1"/>
    <row r="31343" s="2" customFormat="1"/>
    <row r="31344" s="2" customFormat="1"/>
    <row r="31345" s="2" customFormat="1"/>
    <row r="31346" s="2" customFormat="1"/>
    <row r="31347" s="2" customFormat="1"/>
    <row r="31348" s="2" customFormat="1"/>
    <row r="31349" s="2" customFormat="1"/>
    <row r="31350" s="2" customFormat="1"/>
    <row r="31351" s="2" customFormat="1"/>
    <row r="31352" s="2" customFormat="1"/>
    <row r="31353" s="2" customFormat="1"/>
    <row r="31354" s="2" customFormat="1"/>
    <row r="31355" s="2" customFormat="1"/>
    <row r="31356" s="2" customFormat="1"/>
    <row r="31357" s="2" customFormat="1"/>
    <row r="31358" s="2" customFormat="1"/>
    <row r="31359" s="2" customFormat="1"/>
    <row r="31360" s="2" customFormat="1"/>
    <row r="31361" s="2" customFormat="1"/>
    <row r="31362" s="2" customFormat="1"/>
    <row r="31363" s="2" customFormat="1"/>
    <row r="31364" s="2" customFormat="1"/>
    <row r="31365" s="2" customFormat="1"/>
    <row r="31366" s="2" customFormat="1"/>
    <row r="31367" s="2" customFormat="1"/>
    <row r="31368" s="2" customFormat="1"/>
    <row r="31369" s="2" customFormat="1"/>
    <row r="31370" s="2" customFormat="1"/>
    <row r="31371" s="2" customFormat="1"/>
    <row r="31372" s="2" customFormat="1"/>
    <row r="31373" s="2" customFormat="1"/>
    <row r="31374" s="2" customFormat="1"/>
    <row r="31375" s="2" customFormat="1"/>
    <row r="31376" s="2" customFormat="1"/>
    <row r="31377" s="2" customFormat="1"/>
    <row r="31378" s="2" customFormat="1"/>
    <row r="31379" s="2" customFormat="1"/>
    <row r="31380" s="2" customFormat="1"/>
    <row r="31381" s="2" customFormat="1"/>
    <row r="31382" s="2" customFormat="1"/>
    <row r="31383" s="2" customFormat="1"/>
    <row r="31384" s="2" customFormat="1"/>
    <row r="31385" s="2" customFormat="1"/>
    <row r="31386" s="2" customFormat="1"/>
    <row r="31387" s="2" customFormat="1"/>
    <row r="31388" s="2" customFormat="1"/>
    <row r="31389" s="2" customFormat="1"/>
    <row r="31390" s="2" customFormat="1"/>
    <row r="31391" s="2" customFormat="1"/>
    <row r="31392" s="2" customFormat="1"/>
    <row r="31393" s="2" customFormat="1"/>
    <row r="31394" s="2" customFormat="1"/>
    <row r="31395" s="2" customFormat="1"/>
    <row r="31396" s="2" customFormat="1"/>
    <row r="31397" s="2" customFormat="1"/>
    <row r="31398" s="2" customFormat="1"/>
    <row r="31399" s="2" customFormat="1"/>
    <row r="31400" s="2" customFormat="1"/>
    <row r="31401" s="2" customFormat="1"/>
    <row r="31402" s="2" customFormat="1"/>
    <row r="31403" s="2" customFormat="1"/>
    <row r="31404" s="2" customFormat="1"/>
    <row r="31405" s="2" customFormat="1"/>
    <row r="31406" s="2" customFormat="1"/>
    <row r="31407" s="2" customFormat="1"/>
    <row r="31408" s="2" customFormat="1"/>
    <row r="31409" s="2" customFormat="1"/>
    <row r="31410" s="2" customFormat="1"/>
    <row r="31411" s="2" customFormat="1"/>
    <row r="31412" s="2" customFormat="1"/>
    <row r="31413" s="2" customFormat="1"/>
    <row r="31414" s="2" customFormat="1"/>
    <row r="31415" s="2" customFormat="1"/>
    <row r="31416" s="2" customFormat="1"/>
    <row r="31417" s="2" customFormat="1"/>
    <row r="31418" s="2" customFormat="1"/>
    <row r="31419" s="2" customFormat="1"/>
    <row r="31420" s="2" customFormat="1"/>
    <row r="31421" s="2" customFormat="1"/>
    <row r="31422" s="2" customFormat="1"/>
    <row r="31423" s="2" customFormat="1"/>
    <row r="31424" s="2" customFormat="1"/>
    <row r="31425" s="2" customFormat="1"/>
    <row r="31426" s="2" customFormat="1"/>
    <row r="31427" s="2" customFormat="1"/>
    <row r="31428" s="2" customFormat="1"/>
    <row r="31429" s="2" customFormat="1"/>
    <row r="31430" s="2" customFormat="1"/>
    <row r="31431" s="2" customFormat="1"/>
    <row r="31432" s="2" customFormat="1"/>
    <row r="31433" s="2" customFormat="1"/>
    <row r="31434" s="2" customFormat="1"/>
    <row r="31435" s="2" customFormat="1"/>
    <row r="31436" s="2" customFormat="1"/>
    <row r="31437" s="2" customFormat="1"/>
    <row r="31438" s="2" customFormat="1"/>
    <row r="31439" s="2" customFormat="1"/>
    <row r="31440" s="2" customFormat="1"/>
    <row r="31441" s="2" customFormat="1"/>
    <row r="31442" s="2" customFormat="1"/>
    <row r="31443" s="2" customFormat="1"/>
    <row r="31444" s="2" customFormat="1"/>
    <row r="31445" s="2" customFormat="1"/>
    <row r="31446" s="2" customFormat="1"/>
    <row r="31447" s="2" customFormat="1"/>
    <row r="31448" s="2" customFormat="1"/>
    <row r="31449" s="2" customFormat="1"/>
    <row r="31450" s="2" customFormat="1"/>
    <row r="31451" s="2" customFormat="1"/>
    <row r="31452" s="2" customFormat="1"/>
    <row r="31453" s="2" customFormat="1"/>
    <row r="31454" s="2" customFormat="1"/>
    <row r="31455" s="2" customFormat="1"/>
    <row r="31456" s="2" customFormat="1"/>
    <row r="31457" s="2" customFormat="1"/>
    <row r="31458" s="2" customFormat="1"/>
    <row r="31459" s="2" customFormat="1"/>
    <row r="31460" s="2" customFormat="1"/>
    <row r="31461" s="2" customFormat="1"/>
    <row r="31462" s="2" customFormat="1"/>
    <row r="31463" s="2" customFormat="1"/>
    <row r="31464" s="2" customFormat="1"/>
    <row r="31465" s="2" customFormat="1"/>
    <row r="31466" s="2" customFormat="1"/>
    <row r="31467" s="2" customFormat="1"/>
    <row r="31468" s="2" customFormat="1"/>
    <row r="31469" s="2" customFormat="1"/>
    <row r="31470" s="2" customFormat="1"/>
    <row r="31471" s="2" customFormat="1"/>
    <row r="31472" s="2" customFormat="1"/>
    <row r="31473" s="2" customFormat="1"/>
    <row r="31474" s="2" customFormat="1"/>
    <row r="31475" s="2" customFormat="1"/>
    <row r="31476" s="2" customFormat="1"/>
    <row r="31477" s="2" customFormat="1"/>
    <row r="31478" s="2" customFormat="1"/>
    <row r="31479" s="2" customFormat="1"/>
    <row r="31480" s="2" customFormat="1"/>
    <row r="31481" s="2" customFormat="1"/>
    <row r="31482" s="2" customFormat="1"/>
    <row r="31483" s="2" customFormat="1"/>
    <row r="31484" s="2" customFormat="1"/>
    <row r="31485" s="2" customFormat="1"/>
    <row r="31486" s="2" customFormat="1"/>
    <row r="31487" s="2" customFormat="1"/>
    <row r="31488" s="2" customFormat="1"/>
    <row r="31489" s="2" customFormat="1"/>
    <row r="31490" s="2" customFormat="1"/>
    <row r="31491" s="2" customFormat="1"/>
    <row r="31492" s="2" customFormat="1"/>
    <row r="31493" s="2" customFormat="1"/>
    <row r="31494" s="2" customFormat="1"/>
    <row r="31495" s="2" customFormat="1"/>
    <row r="31496" s="2" customFormat="1"/>
    <row r="31497" s="2" customFormat="1"/>
    <row r="31498" s="2" customFormat="1"/>
    <row r="31499" s="2" customFormat="1"/>
    <row r="31500" s="2" customFormat="1"/>
    <row r="31501" s="2" customFormat="1"/>
    <row r="31502" s="2" customFormat="1"/>
    <row r="31503" s="2" customFormat="1"/>
    <row r="31504" s="2" customFormat="1"/>
    <row r="31505" s="2" customFormat="1"/>
    <row r="31506" s="2" customFormat="1"/>
    <row r="31507" s="2" customFormat="1"/>
    <row r="31508" s="2" customFormat="1"/>
    <row r="31509" s="2" customFormat="1"/>
    <row r="31510" s="2" customFormat="1"/>
    <row r="31511" s="2" customFormat="1"/>
    <row r="31512" s="2" customFormat="1"/>
    <row r="31513" s="2" customFormat="1"/>
    <row r="31514" s="2" customFormat="1"/>
    <row r="31515" s="2" customFormat="1"/>
    <row r="31516" s="2" customFormat="1"/>
    <row r="31517" s="2" customFormat="1"/>
    <row r="31518" s="2" customFormat="1"/>
    <row r="31519" s="2" customFormat="1"/>
    <row r="31520" s="2" customFormat="1"/>
    <row r="31521" s="2" customFormat="1"/>
    <row r="31522" s="2" customFormat="1"/>
    <row r="31523" s="2" customFormat="1"/>
    <row r="31524" s="2" customFormat="1"/>
    <row r="31525" s="2" customFormat="1"/>
    <row r="31526" s="2" customFormat="1"/>
    <row r="31527" s="2" customFormat="1"/>
    <row r="31528" s="2" customFormat="1"/>
    <row r="31529" s="2" customFormat="1"/>
    <row r="31530" s="2" customFormat="1"/>
    <row r="31531" s="2" customFormat="1"/>
    <row r="31532" s="2" customFormat="1"/>
    <row r="31533" s="2" customFormat="1"/>
    <row r="31534" s="2" customFormat="1"/>
    <row r="31535" s="2" customFormat="1"/>
    <row r="31536" s="2" customFormat="1"/>
    <row r="31537" s="2" customFormat="1"/>
    <row r="31538" s="2" customFormat="1"/>
    <row r="31539" s="2" customFormat="1"/>
    <row r="31540" s="2" customFormat="1"/>
    <row r="31541" s="2" customFormat="1"/>
    <row r="31542" s="2" customFormat="1"/>
    <row r="31543" s="2" customFormat="1"/>
    <row r="31544" s="2" customFormat="1"/>
    <row r="31545" s="2" customFormat="1"/>
    <row r="31546" s="2" customFormat="1"/>
    <row r="31547" s="2" customFormat="1"/>
    <row r="31548" s="2" customFormat="1"/>
    <row r="31549" s="2" customFormat="1"/>
    <row r="31550" s="2" customFormat="1"/>
    <row r="31551" s="2" customFormat="1"/>
    <row r="31552" s="2" customFormat="1"/>
    <row r="31553" s="2" customFormat="1"/>
    <row r="31554" s="2" customFormat="1"/>
    <row r="31555" s="2" customFormat="1"/>
    <row r="31556" s="2" customFormat="1"/>
    <row r="31557" s="2" customFormat="1"/>
    <row r="31558" s="2" customFormat="1"/>
    <row r="31559" s="2" customFormat="1"/>
    <row r="31560" s="2" customFormat="1"/>
    <row r="31561" s="2" customFormat="1"/>
    <row r="31562" s="2" customFormat="1"/>
    <row r="31563" s="2" customFormat="1"/>
    <row r="31564" s="2" customFormat="1"/>
    <row r="31565" s="2" customFormat="1"/>
    <row r="31566" s="2" customFormat="1"/>
    <row r="31567" s="2" customFormat="1"/>
    <row r="31568" s="2" customFormat="1"/>
    <row r="31569" s="2" customFormat="1"/>
    <row r="31570" s="2" customFormat="1"/>
    <row r="31571" s="2" customFormat="1"/>
    <row r="31572" s="2" customFormat="1"/>
    <row r="31573" s="2" customFormat="1"/>
    <row r="31574" s="2" customFormat="1"/>
    <row r="31575" s="2" customFormat="1"/>
    <row r="31576" s="2" customFormat="1"/>
    <row r="31577" s="2" customFormat="1"/>
    <row r="31578" s="2" customFormat="1"/>
    <row r="31579" s="2" customFormat="1"/>
    <row r="31580" s="2" customFormat="1"/>
    <row r="31581" s="2" customFormat="1"/>
    <row r="31582" s="2" customFormat="1"/>
    <row r="31583" s="2" customFormat="1"/>
    <row r="31584" s="2" customFormat="1"/>
    <row r="31585" s="2" customFormat="1"/>
    <row r="31586" s="2" customFormat="1"/>
    <row r="31587" s="2" customFormat="1"/>
    <row r="31588" s="2" customFormat="1"/>
    <row r="31589" s="2" customFormat="1"/>
    <row r="31590" s="2" customFormat="1"/>
    <row r="31591" s="2" customFormat="1"/>
    <row r="31592" s="2" customFormat="1"/>
    <row r="31593" s="2" customFormat="1"/>
    <row r="31594" s="2" customFormat="1"/>
    <row r="31595" s="2" customFormat="1"/>
    <row r="31596" s="2" customFormat="1"/>
    <row r="31597" s="2" customFormat="1"/>
    <row r="31598" s="2" customFormat="1"/>
    <row r="31599" s="2" customFormat="1"/>
    <row r="31600" s="2" customFormat="1"/>
    <row r="31601" s="2" customFormat="1"/>
    <row r="31602" s="2" customFormat="1"/>
    <row r="31603" s="2" customFormat="1"/>
    <row r="31604" s="2" customFormat="1"/>
    <row r="31605" s="2" customFormat="1"/>
    <row r="31606" s="2" customFormat="1"/>
    <row r="31607" s="2" customFormat="1"/>
    <row r="31608" s="2" customFormat="1"/>
    <row r="31609" s="2" customFormat="1"/>
    <row r="31610" s="2" customFormat="1"/>
    <row r="31611" s="2" customFormat="1"/>
    <row r="31612" s="2" customFormat="1"/>
    <row r="31613" s="2" customFormat="1"/>
    <row r="31614" s="2" customFormat="1"/>
    <row r="31615" s="2" customFormat="1"/>
    <row r="31616" s="2" customFormat="1"/>
    <row r="31617" s="2" customFormat="1"/>
    <row r="31618" s="2" customFormat="1"/>
    <row r="31619" s="2" customFormat="1"/>
    <row r="31620" s="2" customFormat="1"/>
    <row r="31621" s="2" customFormat="1"/>
    <row r="31622" s="2" customFormat="1"/>
    <row r="31623" s="2" customFormat="1"/>
    <row r="31624" s="2" customFormat="1"/>
    <row r="31625" s="2" customFormat="1"/>
    <row r="31626" s="2" customFormat="1"/>
    <row r="31627" s="2" customFormat="1"/>
    <row r="31628" s="2" customFormat="1"/>
    <row r="31629" s="2" customFormat="1"/>
    <row r="31630" s="2" customFormat="1"/>
    <row r="31631" s="2" customFormat="1"/>
    <row r="31632" s="2" customFormat="1"/>
    <row r="31633" s="2" customFormat="1"/>
    <row r="31634" s="2" customFormat="1"/>
    <row r="31635" s="2" customFormat="1"/>
    <row r="31636" s="2" customFormat="1"/>
    <row r="31637" s="2" customFormat="1"/>
    <row r="31638" s="2" customFormat="1"/>
    <row r="31639" s="2" customFormat="1"/>
    <row r="31640" s="2" customFormat="1"/>
    <row r="31641" s="2" customFormat="1"/>
    <row r="31642" s="2" customFormat="1"/>
    <row r="31643" s="2" customFormat="1"/>
    <row r="31644" s="2" customFormat="1"/>
    <row r="31645" s="2" customFormat="1"/>
    <row r="31646" s="2" customFormat="1"/>
    <row r="31647" s="2" customFormat="1"/>
    <row r="31648" s="2" customFormat="1"/>
    <row r="31649" s="2" customFormat="1"/>
    <row r="31650" s="2" customFormat="1"/>
    <row r="31651" s="2" customFormat="1"/>
    <row r="31652" s="2" customFormat="1"/>
    <row r="31653" s="2" customFormat="1"/>
    <row r="31654" s="2" customFormat="1"/>
    <row r="31655" s="2" customFormat="1"/>
    <row r="31656" s="2" customFormat="1"/>
    <row r="31657" s="2" customFormat="1"/>
    <row r="31658" s="2" customFormat="1"/>
    <row r="31659" s="2" customFormat="1"/>
    <row r="31660" s="2" customFormat="1"/>
    <row r="31661" s="2" customFormat="1"/>
    <row r="31662" s="2" customFormat="1"/>
    <row r="31663" s="2" customFormat="1"/>
    <row r="31664" s="2" customFormat="1"/>
    <row r="31665" s="2" customFormat="1"/>
    <row r="31666" s="2" customFormat="1"/>
    <row r="31667" s="2" customFormat="1"/>
    <row r="31668" s="2" customFormat="1"/>
    <row r="31669" s="2" customFormat="1"/>
    <row r="31670" s="2" customFormat="1"/>
    <row r="31671" s="2" customFormat="1"/>
    <row r="31672" s="2" customFormat="1"/>
    <row r="31673" s="2" customFormat="1"/>
    <row r="31674" s="2" customFormat="1"/>
    <row r="31675" s="2" customFormat="1"/>
    <row r="31676" s="2" customFormat="1"/>
    <row r="31677" s="2" customFormat="1"/>
    <row r="31678" s="2" customFormat="1"/>
    <row r="31679" s="2" customFormat="1"/>
    <row r="31680" s="2" customFormat="1"/>
    <row r="31681" s="2" customFormat="1"/>
    <row r="31682" s="2" customFormat="1"/>
    <row r="31683" s="2" customFormat="1"/>
    <row r="31684" s="2" customFormat="1"/>
    <row r="31685" s="2" customFormat="1"/>
    <row r="31686" s="2" customFormat="1"/>
    <row r="31687" s="2" customFormat="1"/>
    <row r="31688" s="2" customFormat="1"/>
    <row r="31689" s="2" customFormat="1"/>
    <row r="31690" s="2" customFormat="1"/>
    <row r="31691" s="2" customFormat="1"/>
    <row r="31692" s="2" customFormat="1"/>
    <row r="31693" s="2" customFormat="1"/>
    <row r="31694" s="2" customFormat="1"/>
    <row r="31695" s="2" customFormat="1"/>
    <row r="31696" s="2" customFormat="1"/>
    <row r="31697" s="2" customFormat="1"/>
    <row r="31698" s="2" customFormat="1"/>
    <row r="31699" s="2" customFormat="1"/>
    <row r="31700" s="2" customFormat="1"/>
    <row r="31701" s="2" customFormat="1"/>
    <row r="31702" s="2" customFormat="1"/>
    <row r="31703" s="2" customFormat="1"/>
    <row r="31704" s="2" customFormat="1"/>
    <row r="31705" s="2" customFormat="1"/>
    <row r="31706" s="2" customFormat="1"/>
    <row r="31707" s="2" customFormat="1"/>
    <row r="31708" s="2" customFormat="1"/>
    <row r="31709" s="2" customFormat="1"/>
    <row r="31710" s="2" customFormat="1"/>
    <row r="31711" s="2" customFormat="1"/>
    <row r="31712" s="2" customFormat="1"/>
    <row r="31713" s="2" customFormat="1"/>
    <row r="31714" s="2" customFormat="1"/>
    <row r="31715" s="2" customFormat="1"/>
    <row r="31716" s="2" customFormat="1"/>
    <row r="31717" s="2" customFormat="1"/>
    <row r="31718" s="2" customFormat="1"/>
    <row r="31719" s="2" customFormat="1"/>
    <row r="31720" s="2" customFormat="1"/>
    <row r="31721" s="2" customFormat="1"/>
    <row r="31722" s="2" customFormat="1"/>
    <row r="31723" s="2" customFormat="1"/>
    <row r="31724" s="2" customFormat="1"/>
    <row r="31725" s="2" customFormat="1"/>
    <row r="31726" s="2" customFormat="1"/>
    <row r="31727" s="2" customFormat="1"/>
    <row r="31728" s="2" customFormat="1"/>
    <row r="31729" s="2" customFormat="1"/>
    <row r="31730" s="2" customFormat="1"/>
    <row r="31731" s="2" customFormat="1"/>
    <row r="31732" s="2" customFormat="1"/>
    <row r="31733" s="2" customFormat="1"/>
    <row r="31734" s="2" customFormat="1"/>
    <row r="31735" s="2" customFormat="1"/>
    <row r="31736" s="2" customFormat="1"/>
    <row r="31737" s="2" customFormat="1"/>
    <row r="31738" s="2" customFormat="1"/>
    <row r="31739" s="2" customFormat="1"/>
    <row r="31740" s="2" customFormat="1"/>
    <row r="31741" s="2" customFormat="1"/>
    <row r="31742" s="2" customFormat="1"/>
    <row r="31743" s="2" customFormat="1"/>
    <row r="31744" s="2" customFormat="1"/>
    <row r="31745" s="2" customFormat="1"/>
    <row r="31746" s="2" customFormat="1"/>
    <row r="31747" s="2" customFormat="1"/>
    <row r="31748" s="2" customFormat="1"/>
    <row r="31749" s="2" customFormat="1"/>
    <row r="31750" s="2" customFormat="1"/>
    <row r="31751" s="2" customFormat="1"/>
    <row r="31752" s="2" customFormat="1"/>
    <row r="31753" s="2" customFormat="1"/>
    <row r="31754" s="2" customFormat="1"/>
    <row r="31755" s="2" customFormat="1"/>
    <row r="31756" s="2" customFormat="1"/>
    <row r="31757" s="2" customFormat="1"/>
    <row r="31758" s="2" customFormat="1"/>
    <row r="31759" s="2" customFormat="1"/>
    <row r="31760" s="2" customFormat="1"/>
    <row r="31761" s="2" customFormat="1"/>
    <row r="31762" s="2" customFormat="1"/>
    <row r="31763" s="2" customFormat="1"/>
    <row r="31764" s="2" customFormat="1"/>
    <row r="31765" s="2" customFormat="1"/>
    <row r="31766" s="2" customFormat="1"/>
    <row r="31767" s="2" customFormat="1"/>
    <row r="31768" s="2" customFormat="1"/>
    <row r="31769" s="2" customFormat="1"/>
    <row r="31770" s="2" customFormat="1"/>
    <row r="31771" s="2" customFormat="1"/>
    <row r="31772" s="2" customFormat="1"/>
    <row r="31773" s="2" customFormat="1"/>
    <row r="31774" s="2" customFormat="1"/>
    <row r="31775" s="2" customFormat="1"/>
    <row r="31776" s="2" customFormat="1"/>
    <row r="31777" s="2" customFormat="1"/>
    <row r="31778" s="2" customFormat="1"/>
    <row r="31779" s="2" customFormat="1"/>
    <row r="31780" s="2" customFormat="1"/>
    <row r="31781" s="2" customFormat="1"/>
    <row r="31782" s="2" customFormat="1"/>
    <row r="31783" s="2" customFormat="1"/>
    <row r="31784" s="2" customFormat="1"/>
    <row r="31785" s="2" customFormat="1"/>
    <row r="31786" s="2" customFormat="1"/>
    <row r="31787" s="2" customFormat="1"/>
    <row r="31788" s="2" customFormat="1"/>
    <row r="31789" s="2" customFormat="1"/>
    <row r="31790" s="2" customFormat="1"/>
    <row r="31791" s="2" customFormat="1"/>
    <row r="31792" s="2" customFormat="1"/>
    <row r="31793" s="2" customFormat="1"/>
    <row r="31794" s="2" customFormat="1"/>
    <row r="31795" s="2" customFormat="1"/>
    <row r="31796" s="2" customFormat="1"/>
    <row r="31797" s="2" customFormat="1"/>
    <row r="31798" s="2" customFormat="1"/>
    <row r="31799" s="2" customFormat="1"/>
    <row r="31800" s="2" customFormat="1"/>
    <row r="31801" s="2" customFormat="1"/>
    <row r="31802" s="2" customFormat="1"/>
    <row r="31803" s="2" customFormat="1"/>
    <row r="31804" s="2" customFormat="1"/>
    <row r="31805" s="2" customFormat="1"/>
    <row r="31806" s="2" customFormat="1"/>
    <row r="31807" s="2" customFormat="1"/>
    <row r="31808" s="2" customFormat="1"/>
    <row r="31809" s="2" customFormat="1"/>
    <row r="31810" s="2" customFormat="1"/>
    <row r="31811" s="2" customFormat="1"/>
    <row r="31812" s="2" customFormat="1"/>
    <row r="31813" s="2" customFormat="1"/>
    <row r="31814" s="2" customFormat="1"/>
    <row r="31815" s="2" customFormat="1"/>
    <row r="31816" s="2" customFormat="1"/>
    <row r="31817" s="2" customFormat="1"/>
    <row r="31818" s="2" customFormat="1"/>
    <row r="31819" s="2" customFormat="1"/>
    <row r="31820" s="2" customFormat="1"/>
    <row r="31821" s="2" customFormat="1"/>
    <row r="31822" s="2" customFormat="1"/>
    <row r="31823" s="2" customFormat="1"/>
    <row r="31824" s="2" customFormat="1"/>
    <row r="31825" s="2" customFormat="1"/>
    <row r="31826" s="2" customFormat="1"/>
    <row r="31827" s="2" customFormat="1"/>
    <row r="31828" s="2" customFormat="1"/>
    <row r="31829" s="2" customFormat="1"/>
    <row r="31830" s="2" customFormat="1"/>
    <row r="31831" s="2" customFormat="1"/>
    <row r="31832" s="2" customFormat="1"/>
    <row r="31833" s="2" customFormat="1"/>
    <row r="31834" s="2" customFormat="1"/>
    <row r="31835" s="2" customFormat="1"/>
    <row r="31836" s="2" customFormat="1"/>
    <row r="31837" s="2" customFormat="1"/>
    <row r="31838" s="2" customFormat="1"/>
    <row r="31839" s="2" customFormat="1"/>
    <row r="31840" s="2" customFormat="1"/>
    <row r="31841" s="2" customFormat="1"/>
    <row r="31842" s="2" customFormat="1"/>
    <row r="31843" s="2" customFormat="1"/>
    <row r="31844" s="2" customFormat="1"/>
    <row r="31845" s="2" customFormat="1"/>
    <row r="31846" s="2" customFormat="1"/>
    <row r="31847" s="2" customFormat="1"/>
    <row r="31848" s="2" customFormat="1"/>
    <row r="31849" s="2" customFormat="1"/>
    <row r="31850" s="2" customFormat="1"/>
    <row r="31851" s="2" customFormat="1"/>
    <row r="31852" s="2" customFormat="1"/>
    <row r="31853" s="2" customFormat="1"/>
    <row r="31854" s="2" customFormat="1"/>
    <row r="31855" s="2" customFormat="1"/>
    <row r="31856" s="2" customFormat="1"/>
    <row r="31857" s="2" customFormat="1"/>
    <row r="31858" s="2" customFormat="1"/>
    <row r="31859" s="2" customFormat="1"/>
    <row r="31860" s="2" customFormat="1"/>
    <row r="31861" s="2" customFormat="1"/>
    <row r="31862" s="2" customFormat="1"/>
    <row r="31863" s="2" customFormat="1"/>
    <row r="31864" s="2" customFormat="1"/>
    <row r="31865" s="2" customFormat="1"/>
    <row r="31866" s="2" customFormat="1"/>
    <row r="31867" s="2" customFormat="1"/>
    <row r="31868" s="2" customFormat="1"/>
    <row r="31869" s="2" customFormat="1"/>
    <row r="31870" s="2" customFormat="1"/>
    <row r="31871" s="2" customFormat="1"/>
    <row r="31872" s="2" customFormat="1"/>
    <row r="31873" s="2" customFormat="1"/>
    <row r="31874" s="2" customFormat="1"/>
    <row r="31875" s="2" customFormat="1"/>
    <row r="31876" s="2" customFormat="1"/>
    <row r="31877" s="2" customFormat="1"/>
    <row r="31878" s="2" customFormat="1"/>
    <row r="31879" s="2" customFormat="1"/>
    <row r="31880" s="2" customFormat="1"/>
    <row r="31881" s="2" customFormat="1"/>
    <row r="31882" s="2" customFormat="1"/>
    <row r="31883" s="2" customFormat="1"/>
    <row r="31884" s="2" customFormat="1"/>
    <row r="31885" s="2" customFormat="1"/>
    <row r="31886" s="2" customFormat="1"/>
    <row r="31887" s="2" customFormat="1"/>
    <row r="31888" s="2" customFormat="1"/>
    <row r="31889" s="2" customFormat="1"/>
    <row r="31890" s="2" customFormat="1"/>
    <row r="31891" s="2" customFormat="1"/>
    <row r="31892" s="2" customFormat="1"/>
    <row r="31893" s="2" customFormat="1"/>
    <row r="31894" s="2" customFormat="1"/>
    <row r="31895" s="2" customFormat="1"/>
    <row r="31896" s="2" customFormat="1"/>
    <row r="31897" s="2" customFormat="1"/>
    <row r="31898" s="2" customFormat="1"/>
    <row r="31899" s="2" customFormat="1"/>
    <row r="31900" s="2" customFormat="1"/>
    <row r="31901" s="2" customFormat="1"/>
    <row r="31902" s="2" customFormat="1"/>
    <row r="31903" s="2" customFormat="1"/>
    <row r="31904" s="2" customFormat="1"/>
    <row r="31905" s="2" customFormat="1"/>
    <row r="31906" s="2" customFormat="1"/>
    <row r="31907" s="2" customFormat="1"/>
    <row r="31908" s="2" customFormat="1"/>
    <row r="31909" s="2" customFormat="1"/>
    <row r="31910" s="2" customFormat="1"/>
    <row r="31911" s="2" customFormat="1"/>
    <row r="31912" s="2" customFormat="1"/>
    <row r="31913" s="2" customFormat="1"/>
    <row r="31914" s="2" customFormat="1"/>
    <row r="31915" s="2" customFormat="1"/>
    <row r="31916" s="2" customFormat="1"/>
    <row r="31917" s="2" customFormat="1"/>
    <row r="31918" s="2" customFormat="1"/>
    <row r="31919" s="2" customFormat="1"/>
    <row r="31920" s="2" customFormat="1"/>
    <row r="31921" s="2" customFormat="1"/>
    <row r="31922" s="2" customFormat="1"/>
    <row r="31923" s="2" customFormat="1"/>
    <row r="31924" s="2" customFormat="1"/>
    <row r="31925" s="2" customFormat="1"/>
    <row r="31926" s="2" customFormat="1"/>
    <row r="31927" s="2" customFormat="1"/>
    <row r="31928" s="2" customFormat="1"/>
    <row r="31929" s="2" customFormat="1"/>
    <row r="31930" s="2" customFormat="1"/>
    <row r="31931" s="2" customFormat="1"/>
    <row r="31932" s="2" customFormat="1"/>
    <row r="31933" s="2" customFormat="1"/>
    <row r="31934" s="2" customFormat="1"/>
    <row r="31935" s="2" customFormat="1"/>
    <row r="31936" s="2" customFormat="1"/>
    <row r="31937" s="2" customFormat="1"/>
    <row r="31938" s="2" customFormat="1"/>
    <row r="31939" s="2" customFormat="1"/>
    <row r="31940" s="2" customFormat="1"/>
    <row r="31941" s="2" customFormat="1"/>
    <row r="31942" s="2" customFormat="1"/>
    <row r="31943" s="2" customFormat="1"/>
    <row r="31944" s="2" customFormat="1"/>
    <row r="31945" s="2" customFormat="1"/>
    <row r="31946" s="2" customFormat="1"/>
    <row r="31947" s="2" customFormat="1"/>
    <row r="31948" s="2" customFormat="1"/>
    <row r="31949" s="2" customFormat="1"/>
    <row r="31950" s="2" customFormat="1"/>
    <row r="31951" s="2" customFormat="1"/>
    <row r="31952" s="2" customFormat="1"/>
    <row r="31953" s="2" customFormat="1"/>
    <row r="31954" s="2" customFormat="1"/>
    <row r="31955" s="2" customFormat="1"/>
    <row r="31956" s="2" customFormat="1"/>
    <row r="31957" s="2" customFormat="1"/>
    <row r="31958" s="2" customFormat="1"/>
    <row r="31959" s="2" customFormat="1"/>
    <row r="31960" s="2" customFormat="1"/>
    <row r="31961" s="2" customFormat="1"/>
    <row r="31962" s="2" customFormat="1"/>
    <row r="31963" s="2" customFormat="1"/>
    <row r="31964" s="2" customFormat="1"/>
    <row r="31965" s="2" customFormat="1"/>
    <row r="31966" s="2" customFormat="1"/>
    <row r="31967" s="2" customFormat="1"/>
    <row r="31968" s="2" customFormat="1"/>
    <row r="31969" s="2" customFormat="1"/>
    <row r="31970" s="2" customFormat="1"/>
    <row r="31971" s="2" customFormat="1"/>
    <row r="31972" s="2" customFormat="1"/>
    <row r="31973" s="2" customFormat="1"/>
    <row r="31974" s="2" customFormat="1"/>
    <row r="31975" s="2" customFormat="1"/>
    <row r="31976" s="2" customFormat="1"/>
    <row r="31977" s="2" customFormat="1"/>
    <row r="31978" s="2" customFormat="1"/>
    <row r="31979" s="2" customFormat="1"/>
    <row r="31980" s="2" customFormat="1"/>
    <row r="31981" s="2" customFormat="1"/>
    <row r="31982" s="2" customFormat="1"/>
    <row r="31983" s="2" customFormat="1"/>
    <row r="31984" s="2" customFormat="1"/>
    <row r="31985" s="2" customFormat="1"/>
    <row r="31986" s="2" customFormat="1"/>
    <row r="31987" s="2" customFormat="1"/>
    <row r="31988" s="2" customFormat="1"/>
    <row r="31989" s="2" customFormat="1"/>
    <row r="31990" s="2" customFormat="1"/>
    <row r="31991" s="2" customFormat="1"/>
    <row r="31992" s="2" customFormat="1"/>
    <row r="31993" s="2" customFormat="1"/>
    <row r="31994" s="2" customFormat="1"/>
    <row r="31995" s="2" customFormat="1"/>
    <row r="31996" s="2" customFormat="1"/>
    <row r="31997" s="2" customFormat="1"/>
    <row r="31998" s="2" customFormat="1"/>
    <row r="31999" s="2" customFormat="1"/>
    <row r="32000" s="2" customFormat="1"/>
    <row r="32001" s="2" customFormat="1"/>
    <row r="32002" s="2" customFormat="1"/>
    <row r="32003" s="2" customFormat="1"/>
    <row r="32004" s="2" customFormat="1"/>
    <row r="32005" s="2" customFormat="1"/>
    <row r="32006" s="2" customFormat="1"/>
    <row r="32007" s="2" customFormat="1"/>
    <row r="32008" s="2" customFormat="1"/>
    <row r="32009" s="2" customFormat="1"/>
    <row r="32010" s="2" customFormat="1"/>
    <row r="32011" s="2" customFormat="1"/>
    <row r="32012" s="2" customFormat="1"/>
    <row r="32013" s="2" customFormat="1"/>
    <row r="32014" s="2" customFormat="1"/>
    <row r="32015" s="2" customFormat="1"/>
    <row r="32016" s="2" customFormat="1"/>
    <row r="32017" s="2" customFormat="1"/>
    <row r="32018" s="2" customFormat="1"/>
    <row r="32019" s="2" customFormat="1"/>
    <row r="32020" s="2" customFormat="1"/>
    <row r="32021" s="2" customFormat="1"/>
    <row r="32022" s="2" customFormat="1"/>
    <row r="32023" s="2" customFormat="1"/>
    <row r="32024" s="2" customFormat="1"/>
    <row r="32025" s="2" customFormat="1"/>
    <row r="32026" s="2" customFormat="1"/>
    <row r="32027" s="2" customFormat="1"/>
    <row r="32028" s="2" customFormat="1"/>
    <row r="32029" s="2" customFormat="1"/>
    <row r="32030" s="2" customFormat="1"/>
    <row r="32031" s="2" customFormat="1"/>
    <row r="32032" s="2" customFormat="1"/>
    <row r="32033" s="2" customFormat="1"/>
    <row r="32034" s="2" customFormat="1"/>
    <row r="32035" s="2" customFormat="1"/>
    <row r="32036" s="2" customFormat="1"/>
    <row r="32037" s="2" customFormat="1"/>
    <row r="32038" s="2" customFormat="1"/>
    <row r="32039" s="2" customFormat="1"/>
    <row r="32040" s="2" customFormat="1"/>
    <row r="32041" s="2" customFormat="1"/>
    <row r="32042" s="2" customFormat="1"/>
    <row r="32043" s="2" customFormat="1"/>
    <row r="32044" s="2" customFormat="1"/>
    <row r="32045" s="2" customFormat="1"/>
    <row r="32046" s="2" customFormat="1"/>
    <row r="32047" s="2" customFormat="1"/>
    <row r="32048" s="2" customFormat="1"/>
    <row r="32049" s="2" customFormat="1"/>
    <row r="32050" s="2" customFormat="1"/>
    <row r="32051" s="2" customFormat="1"/>
    <row r="32052" s="2" customFormat="1"/>
    <row r="32053" s="2" customFormat="1"/>
    <row r="32054" s="2" customFormat="1"/>
    <row r="32055" s="2" customFormat="1"/>
    <row r="32056" s="2" customFormat="1"/>
    <row r="32057" s="2" customFormat="1"/>
    <row r="32058" s="2" customFormat="1"/>
    <row r="32059" s="2" customFormat="1"/>
    <row r="32060" s="2" customFormat="1"/>
    <row r="32061" s="2" customFormat="1"/>
    <row r="32062" s="2" customFormat="1"/>
    <row r="32063" s="2" customFormat="1"/>
    <row r="32064" s="2" customFormat="1"/>
    <row r="32065" s="2" customFormat="1"/>
    <row r="32066" s="2" customFormat="1"/>
    <row r="32067" s="2" customFormat="1"/>
    <row r="32068" s="2" customFormat="1"/>
    <row r="32069" s="2" customFormat="1"/>
    <row r="32070" s="2" customFormat="1"/>
    <row r="32071" s="2" customFormat="1"/>
    <row r="32072" s="2" customFormat="1"/>
    <row r="32073" s="2" customFormat="1"/>
    <row r="32074" s="2" customFormat="1"/>
    <row r="32075" s="2" customFormat="1"/>
    <row r="32076" s="2" customFormat="1"/>
    <row r="32077" s="2" customFormat="1"/>
    <row r="32078" s="2" customFormat="1"/>
    <row r="32079" s="2" customFormat="1"/>
    <row r="32080" s="2" customFormat="1"/>
    <row r="32081" s="2" customFormat="1"/>
    <row r="32082" s="2" customFormat="1"/>
    <row r="32083" s="2" customFormat="1"/>
    <row r="32084" s="2" customFormat="1"/>
    <row r="32085" s="2" customFormat="1"/>
    <row r="32086" s="2" customFormat="1"/>
    <row r="32087" s="2" customFormat="1"/>
    <row r="32088" s="2" customFormat="1"/>
    <row r="32089" s="2" customFormat="1"/>
    <row r="32090" s="2" customFormat="1"/>
    <row r="32091" s="2" customFormat="1"/>
    <row r="32092" s="2" customFormat="1"/>
    <row r="32093" s="2" customFormat="1"/>
    <row r="32094" s="2" customFormat="1"/>
    <row r="32095" s="2" customFormat="1"/>
    <row r="32096" s="2" customFormat="1"/>
    <row r="32097" s="2" customFormat="1"/>
    <row r="32098" s="2" customFormat="1"/>
    <row r="32099" s="2" customFormat="1"/>
    <row r="32100" s="2" customFormat="1"/>
    <row r="32101" s="2" customFormat="1"/>
    <row r="32102" s="2" customFormat="1"/>
    <row r="32103" s="2" customFormat="1"/>
    <row r="32104" s="2" customFormat="1"/>
    <row r="32105" s="2" customFormat="1"/>
    <row r="32106" s="2" customFormat="1"/>
    <row r="32107" s="2" customFormat="1"/>
    <row r="32108" s="2" customFormat="1"/>
    <row r="32109" s="2" customFormat="1"/>
    <row r="32110" s="2" customFormat="1"/>
    <row r="32111" s="2" customFormat="1"/>
    <row r="32112" s="2" customFormat="1"/>
    <row r="32113" s="2" customFormat="1"/>
    <row r="32114" s="2" customFormat="1"/>
    <row r="32115" s="2" customFormat="1"/>
    <row r="32116" s="2" customFormat="1"/>
    <row r="32117" s="2" customFormat="1"/>
    <row r="32118" s="2" customFormat="1"/>
    <row r="32119" s="2" customFormat="1"/>
    <row r="32120" s="2" customFormat="1"/>
    <row r="32121" s="2" customFormat="1"/>
    <row r="32122" s="2" customFormat="1"/>
    <row r="32123" s="2" customFormat="1"/>
    <row r="32124" s="2" customFormat="1"/>
    <row r="32125" s="2" customFormat="1"/>
    <row r="32126" s="2" customFormat="1"/>
    <row r="32127" s="2" customFormat="1"/>
    <row r="32128" s="2" customFormat="1"/>
    <row r="32129" s="2" customFormat="1"/>
    <row r="32130" s="2" customFormat="1"/>
    <row r="32131" s="2" customFormat="1"/>
    <row r="32132" s="2" customFormat="1"/>
    <row r="32133" s="2" customFormat="1"/>
    <row r="32134" s="2" customFormat="1"/>
    <row r="32135" s="2" customFormat="1"/>
    <row r="32136" s="2" customFormat="1"/>
    <row r="32137" s="2" customFormat="1"/>
    <row r="32138" s="2" customFormat="1"/>
    <row r="32139" s="2" customFormat="1"/>
    <row r="32140" s="2" customFormat="1"/>
    <row r="32141" s="2" customFormat="1"/>
    <row r="32142" s="2" customFormat="1"/>
    <row r="32143" s="2" customFormat="1"/>
    <row r="32144" s="2" customFormat="1"/>
    <row r="32145" s="2" customFormat="1"/>
    <row r="32146" s="2" customFormat="1"/>
    <row r="32147" s="2" customFormat="1"/>
    <row r="32148" s="2" customFormat="1"/>
    <row r="32149" s="2" customFormat="1"/>
    <row r="32150" s="2" customFormat="1"/>
    <row r="32151" s="2" customFormat="1"/>
    <row r="32152" s="2" customFormat="1"/>
    <row r="32153" s="2" customFormat="1"/>
    <row r="32154" s="2" customFormat="1"/>
    <row r="32155" s="2" customFormat="1"/>
    <row r="32156" s="2" customFormat="1"/>
    <row r="32157" s="2" customFormat="1"/>
    <row r="32158" s="2" customFormat="1"/>
    <row r="32159" s="2" customFormat="1"/>
    <row r="32160" s="2" customFormat="1"/>
    <row r="32161" s="2" customFormat="1"/>
    <row r="32162" s="2" customFormat="1"/>
    <row r="32163" s="2" customFormat="1"/>
    <row r="32164" s="2" customFormat="1"/>
    <row r="32165" s="2" customFormat="1"/>
    <row r="32166" s="2" customFormat="1"/>
    <row r="32167" s="2" customFormat="1"/>
    <row r="32168" s="2" customFormat="1"/>
    <row r="32169" s="2" customFormat="1"/>
    <row r="32170" s="2" customFormat="1"/>
    <row r="32171" s="2" customFormat="1"/>
    <row r="32172" s="2" customFormat="1"/>
    <row r="32173" s="2" customFormat="1"/>
    <row r="32174" s="2" customFormat="1"/>
    <row r="32175" s="2" customFormat="1"/>
    <row r="32176" s="2" customFormat="1"/>
    <row r="32177" s="2" customFormat="1"/>
    <row r="32178" s="2" customFormat="1"/>
    <row r="32179" s="2" customFormat="1"/>
    <row r="32180" s="2" customFormat="1"/>
    <row r="32181" s="2" customFormat="1"/>
    <row r="32182" s="2" customFormat="1"/>
    <row r="32183" s="2" customFormat="1"/>
    <row r="32184" s="2" customFormat="1"/>
    <row r="32185" s="2" customFormat="1"/>
    <row r="32186" s="2" customFormat="1"/>
    <row r="32187" s="2" customFormat="1"/>
    <row r="32188" s="2" customFormat="1"/>
    <row r="32189" s="2" customFormat="1"/>
    <row r="32190" s="2" customFormat="1"/>
    <row r="32191" s="2" customFormat="1"/>
    <row r="32192" s="2" customFormat="1"/>
    <row r="32193" s="2" customFormat="1"/>
    <row r="32194" s="2" customFormat="1"/>
    <row r="32195" s="2" customFormat="1"/>
    <row r="32196" s="2" customFormat="1"/>
    <row r="32197" s="2" customFormat="1"/>
    <row r="32198" s="2" customFormat="1"/>
    <row r="32199" s="2" customFormat="1"/>
    <row r="32200" s="2" customFormat="1"/>
    <row r="32201" s="2" customFormat="1"/>
    <row r="32202" s="2" customFormat="1"/>
    <row r="32203" s="2" customFormat="1"/>
    <row r="32204" s="2" customFormat="1"/>
    <row r="32205" s="2" customFormat="1"/>
    <row r="32206" s="2" customFormat="1"/>
    <row r="32207" s="2" customFormat="1"/>
    <row r="32208" s="2" customFormat="1"/>
    <row r="32209" s="2" customFormat="1"/>
    <row r="32210" s="2" customFormat="1"/>
    <row r="32211" s="2" customFormat="1"/>
    <row r="32212" s="2" customFormat="1"/>
    <row r="32213" s="2" customFormat="1"/>
    <row r="32214" s="2" customFormat="1"/>
    <row r="32215" s="2" customFormat="1"/>
    <row r="32216" s="2" customFormat="1"/>
    <row r="32217" s="2" customFormat="1"/>
    <row r="32218" s="2" customFormat="1"/>
    <row r="32219" s="2" customFormat="1"/>
    <row r="32220" s="2" customFormat="1"/>
    <row r="32221" s="2" customFormat="1"/>
    <row r="32222" s="2" customFormat="1"/>
    <row r="32223" s="2" customFormat="1"/>
    <row r="32224" s="2" customFormat="1"/>
    <row r="32225" s="2" customFormat="1"/>
    <row r="32226" s="2" customFormat="1"/>
    <row r="32227" s="2" customFormat="1"/>
    <row r="32228" s="2" customFormat="1"/>
    <row r="32229" s="2" customFormat="1"/>
    <row r="32230" s="2" customFormat="1"/>
    <row r="32231" s="2" customFormat="1"/>
    <row r="32232" s="2" customFormat="1"/>
    <row r="32233" s="2" customFormat="1"/>
    <row r="32234" s="2" customFormat="1"/>
    <row r="32235" s="2" customFormat="1"/>
    <row r="32236" s="2" customFormat="1"/>
    <row r="32237" s="2" customFormat="1"/>
    <row r="32238" s="2" customFormat="1"/>
    <row r="32239" s="2" customFormat="1"/>
    <row r="32240" s="2" customFormat="1"/>
    <row r="32241" s="2" customFormat="1"/>
    <row r="32242" s="2" customFormat="1"/>
    <row r="32243" s="2" customFormat="1"/>
    <row r="32244" s="2" customFormat="1"/>
    <row r="32245" s="2" customFormat="1"/>
    <row r="32246" s="2" customFormat="1"/>
    <row r="32247" s="2" customFormat="1"/>
    <row r="32248" s="2" customFormat="1"/>
    <row r="32249" s="2" customFormat="1"/>
    <row r="32250" s="2" customFormat="1"/>
    <row r="32251" s="2" customFormat="1"/>
    <row r="32252" s="2" customFormat="1"/>
    <row r="32253" s="2" customFormat="1"/>
    <row r="32254" s="2" customFormat="1"/>
    <row r="32255" s="2" customFormat="1"/>
    <row r="32256" s="2" customFormat="1"/>
    <row r="32257" s="2" customFormat="1"/>
    <row r="32258" s="2" customFormat="1"/>
    <row r="32259" s="2" customFormat="1"/>
    <row r="32260" s="2" customFormat="1"/>
    <row r="32261" s="2" customFormat="1"/>
    <row r="32262" s="2" customFormat="1"/>
    <row r="32263" s="2" customFormat="1"/>
    <row r="32264" s="2" customFormat="1"/>
    <row r="32265" s="2" customFormat="1"/>
    <row r="32266" s="2" customFormat="1"/>
    <row r="32267" s="2" customFormat="1"/>
    <row r="32268" s="2" customFormat="1"/>
    <row r="32269" s="2" customFormat="1"/>
    <row r="32270" s="2" customFormat="1"/>
    <row r="32271" s="2" customFormat="1"/>
    <row r="32272" s="2" customFormat="1"/>
    <row r="32273" s="2" customFormat="1"/>
    <row r="32274" s="2" customFormat="1"/>
    <row r="32275" s="2" customFormat="1"/>
    <row r="32276" s="2" customFormat="1"/>
    <row r="32277" s="2" customFormat="1"/>
    <row r="32278" s="2" customFormat="1"/>
    <row r="32279" s="2" customFormat="1"/>
    <row r="32280" s="2" customFormat="1"/>
    <row r="32281" s="2" customFormat="1"/>
    <row r="32282" s="2" customFormat="1"/>
    <row r="32283" s="2" customFormat="1"/>
    <row r="32284" s="2" customFormat="1"/>
    <row r="32285" s="2" customFormat="1"/>
    <row r="32286" s="2" customFormat="1"/>
    <row r="32287" s="2" customFormat="1"/>
    <row r="32288" s="2" customFormat="1"/>
    <row r="32289" s="2" customFormat="1"/>
    <row r="32290" s="2" customFormat="1"/>
    <row r="32291" s="2" customFormat="1"/>
    <row r="32292" s="2" customFormat="1"/>
    <row r="32293" s="2" customFormat="1"/>
    <row r="32294" s="2" customFormat="1"/>
    <row r="32295" s="2" customFormat="1"/>
    <row r="32296" s="2" customFormat="1"/>
    <row r="32297" s="2" customFormat="1"/>
    <row r="32298" s="2" customFormat="1"/>
    <row r="32299" s="2" customFormat="1"/>
    <row r="32300" s="2" customFormat="1"/>
    <row r="32301" s="2" customFormat="1"/>
    <row r="32302" s="2" customFormat="1"/>
    <row r="32303" s="2" customFormat="1"/>
    <row r="32304" s="2" customFormat="1"/>
    <row r="32305" s="2" customFormat="1"/>
    <row r="32306" s="2" customFormat="1"/>
    <row r="32307" s="2" customFormat="1"/>
    <row r="32308" s="2" customFormat="1"/>
    <row r="32309" s="2" customFormat="1"/>
    <row r="32310" s="2" customFormat="1"/>
    <row r="32311" s="2" customFormat="1"/>
    <row r="32312" s="2" customFormat="1"/>
    <row r="32313" s="2" customFormat="1"/>
    <row r="32314" s="2" customFormat="1"/>
    <row r="32315" s="2" customFormat="1"/>
    <row r="32316" s="2" customFormat="1"/>
    <row r="32317" s="2" customFormat="1"/>
    <row r="32318" s="2" customFormat="1"/>
    <row r="32319" s="2" customFormat="1"/>
    <row r="32320" s="2" customFormat="1"/>
    <row r="32321" s="2" customFormat="1"/>
    <row r="32322" s="2" customFormat="1"/>
    <row r="32323" s="2" customFormat="1"/>
    <row r="32324" s="2" customFormat="1"/>
    <row r="32325" s="2" customFormat="1"/>
    <row r="32326" s="2" customFormat="1"/>
    <row r="32327" s="2" customFormat="1"/>
    <row r="32328" s="2" customFormat="1"/>
    <row r="32329" s="2" customFormat="1"/>
    <row r="32330" s="2" customFormat="1"/>
    <row r="32331" s="2" customFormat="1"/>
    <row r="32332" s="2" customFormat="1"/>
    <row r="32333" s="2" customFormat="1"/>
    <row r="32334" s="2" customFormat="1"/>
    <row r="32335" s="2" customFormat="1"/>
    <row r="32336" s="2" customFormat="1"/>
    <row r="32337" s="2" customFormat="1"/>
    <row r="32338" s="2" customFormat="1"/>
    <row r="32339" s="2" customFormat="1"/>
    <row r="32340" s="2" customFormat="1"/>
    <row r="32341" s="2" customFormat="1"/>
    <row r="32342" s="2" customFormat="1"/>
    <row r="32343" s="2" customFormat="1"/>
    <row r="32344" s="2" customFormat="1"/>
    <row r="32345" s="2" customFormat="1"/>
    <row r="32346" s="2" customFormat="1"/>
    <row r="32347" s="2" customFormat="1"/>
    <row r="32348" s="2" customFormat="1"/>
    <row r="32349" s="2" customFormat="1"/>
    <row r="32350" s="2" customFormat="1"/>
    <row r="32351" s="2" customFormat="1"/>
    <row r="32352" s="2" customFormat="1"/>
    <row r="32353" s="2" customFormat="1"/>
    <row r="32354" s="2" customFormat="1"/>
    <row r="32355" s="2" customFormat="1"/>
    <row r="32356" s="2" customFormat="1"/>
    <row r="32357" s="2" customFormat="1"/>
    <row r="32358" s="2" customFormat="1"/>
    <row r="32359" s="2" customFormat="1"/>
    <row r="32360" s="2" customFormat="1"/>
    <row r="32361" s="2" customFormat="1"/>
    <row r="32362" s="2" customFormat="1"/>
    <row r="32363" s="2" customFormat="1"/>
    <row r="32364" s="2" customFormat="1"/>
    <row r="32365" s="2" customFormat="1"/>
    <row r="32366" s="2" customFormat="1"/>
    <row r="32367" s="2" customFormat="1"/>
    <row r="32368" s="2" customFormat="1"/>
    <row r="32369" s="2" customFormat="1"/>
    <row r="32370" s="2" customFormat="1"/>
    <row r="32371" s="2" customFormat="1"/>
    <row r="32372" s="2" customFormat="1"/>
    <row r="32373" s="2" customFormat="1"/>
    <row r="32374" s="2" customFormat="1"/>
    <row r="32375" s="2" customFormat="1"/>
    <row r="32376" s="2" customFormat="1"/>
    <row r="32377" s="2" customFormat="1"/>
    <row r="32378" s="2" customFormat="1"/>
    <row r="32379" s="2" customFormat="1"/>
    <row r="32380" s="2" customFormat="1"/>
    <row r="32381" s="2" customFormat="1"/>
    <row r="32382" s="2" customFormat="1"/>
    <row r="32383" s="2" customFormat="1"/>
    <row r="32384" s="2" customFormat="1"/>
    <row r="32385" s="2" customFormat="1"/>
    <row r="32386" s="2" customFormat="1"/>
    <row r="32387" s="2" customFormat="1"/>
    <row r="32388" s="2" customFormat="1"/>
    <row r="32389" s="2" customFormat="1"/>
    <row r="32390" s="2" customFormat="1"/>
    <row r="32391" s="2" customFormat="1"/>
    <row r="32392" s="2" customFormat="1"/>
    <row r="32393" s="2" customFormat="1"/>
    <row r="32394" s="2" customFormat="1"/>
    <row r="32395" s="2" customFormat="1"/>
    <row r="32396" s="2" customFormat="1"/>
    <row r="32397" s="2" customFormat="1"/>
    <row r="32398" s="2" customFormat="1"/>
    <row r="32399" s="2" customFormat="1"/>
    <row r="32400" s="2" customFormat="1"/>
    <row r="32401" s="2" customFormat="1"/>
    <row r="32402" s="2" customFormat="1"/>
    <row r="32403" s="2" customFormat="1"/>
    <row r="32404" s="2" customFormat="1"/>
    <row r="32405" s="2" customFormat="1"/>
    <row r="32406" s="2" customFormat="1"/>
    <row r="32407" s="2" customFormat="1"/>
    <row r="32408" s="2" customFormat="1"/>
    <row r="32409" s="2" customFormat="1"/>
    <row r="32410" s="2" customFormat="1"/>
    <row r="32411" s="2" customFormat="1"/>
    <row r="32412" s="2" customFormat="1"/>
    <row r="32413" s="2" customFormat="1"/>
    <row r="32414" s="2" customFormat="1"/>
    <row r="32415" s="2" customFormat="1"/>
    <row r="32416" s="2" customFormat="1"/>
    <row r="32417" s="2" customFormat="1"/>
    <row r="32418" s="2" customFormat="1"/>
    <row r="32419" s="2" customFormat="1"/>
    <row r="32420" s="2" customFormat="1"/>
    <row r="32421" s="2" customFormat="1"/>
    <row r="32422" s="2" customFormat="1"/>
    <row r="32423" s="2" customFormat="1"/>
    <row r="32424" s="2" customFormat="1"/>
    <row r="32425" s="2" customFormat="1"/>
    <row r="32426" s="2" customFormat="1"/>
    <row r="32427" s="2" customFormat="1"/>
    <row r="32428" s="2" customFormat="1"/>
    <row r="32429" s="2" customFormat="1"/>
    <row r="32430" s="2" customFormat="1"/>
    <row r="32431" s="2" customFormat="1"/>
    <row r="32432" s="2" customFormat="1"/>
    <row r="32433" s="2" customFormat="1"/>
    <row r="32434" s="2" customFormat="1"/>
    <row r="32435" s="2" customFormat="1"/>
    <row r="32436" s="2" customFormat="1"/>
    <row r="32437" s="2" customFormat="1"/>
    <row r="32438" s="2" customFormat="1"/>
    <row r="32439" s="2" customFormat="1"/>
    <row r="32440" s="2" customFormat="1"/>
    <row r="32441" s="2" customFormat="1"/>
    <row r="32442" s="2" customFormat="1"/>
    <row r="32443" s="2" customFormat="1"/>
    <row r="32444" s="2" customFormat="1"/>
    <row r="32445" s="2" customFormat="1"/>
    <row r="32446" s="2" customFormat="1"/>
    <row r="32447" s="2" customFormat="1"/>
    <row r="32448" s="2" customFormat="1"/>
    <row r="32449" s="2" customFormat="1"/>
    <row r="32450" s="2" customFormat="1"/>
    <row r="32451" s="2" customFormat="1"/>
    <row r="32452" s="2" customFormat="1"/>
    <row r="32453" s="2" customFormat="1"/>
    <row r="32454" s="2" customFormat="1"/>
    <row r="32455" s="2" customFormat="1"/>
    <row r="32456" s="2" customFormat="1"/>
    <row r="32457" s="2" customFormat="1"/>
    <row r="32458" s="2" customFormat="1"/>
    <row r="32459" s="2" customFormat="1"/>
    <row r="32460" s="2" customFormat="1"/>
    <row r="32461" s="2" customFormat="1"/>
    <row r="32462" s="2" customFormat="1"/>
    <row r="32463" s="2" customFormat="1"/>
    <row r="32464" s="2" customFormat="1"/>
    <row r="32465" s="2" customFormat="1"/>
    <row r="32466" s="2" customFormat="1"/>
    <row r="32467" s="2" customFormat="1"/>
    <row r="32468" s="2" customFormat="1"/>
    <row r="32469" s="2" customFormat="1"/>
    <row r="32470" s="2" customFormat="1"/>
    <row r="32471" s="2" customFormat="1"/>
    <row r="32472" s="2" customFormat="1"/>
    <row r="32473" s="2" customFormat="1"/>
    <row r="32474" s="2" customFormat="1"/>
    <row r="32475" s="2" customFormat="1"/>
    <row r="32476" s="2" customFormat="1"/>
    <row r="32477" s="2" customFormat="1"/>
    <row r="32478" s="2" customFormat="1"/>
    <row r="32479" s="2" customFormat="1"/>
    <row r="32480" s="2" customFormat="1"/>
    <row r="32481" s="2" customFormat="1"/>
    <row r="32482" s="2" customFormat="1"/>
    <row r="32483" s="2" customFormat="1"/>
    <row r="32484" s="2" customFormat="1"/>
    <row r="32485" s="2" customFormat="1"/>
    <row r="32486" s="2" customFormat="1"/>
    <row r="32487" s="2" customFormat="1"/>
    <row r="32488" s="2" customFormat="1"/>
    <row r="32489" s="2" customFormat="1"/>
    <row r="32490" s="2" customFormat="1"/>
    <row r="32491" s="2" customFormat="1"/>
    <row r="32492" s="2" customFormat="1"/>
    <row r="32493" s="2" customFormat="1"/>
    <row r="32494" s="2" customFormat="1"/>
    <row r="32495" s="2" customFormat="1"/>
    <row r="32496" s="2" customFormat="1"/>
    <row r="32497" s="2" customFormat="1"/>
    <row r="32498" s="2" customFormat="1"/>
    <row r="32499" s="2" customFormat="1"/>
    <row r="32500" s="2" customFormat="1"/>
    <row r="32501" s="2" customFormat="1"/>
    <row r="32502" s="2" customFormat="1"/>
    <row r="32503" s="2" customFormat="1"/>
    <row r="32504" s="2" customFormat="1"/>
    <row r="32505" s="2" customFormat="1"/>
    <row r="32506" s="2" customFormat="1"/>
    <row r="32507" s="2" customFormat="1"/>
    <row r="32508" s="2" customFormat="1"/>
    <row r="32509" s="2" customFormat="1"/>
    <row r="32510" s="2" customFormat="1"/>
    <row r="32511" s="2" customFormat="1"/>
    <row r="32512" s="2" customFormat="1"/>
    <row r="32513" s="2" customFormat="1"/>
    <row r="32514" s="2" customFormat="1"/>
    <row r="32515" s="2" customFormat="1"/>
    <row r="32516" s="2" customFormat="1"/>
    <row r="32517" s="2" customFormat="1"/>
    <row r="32518" s="2" customFormat="1"/>
    <row r="32519" s="2" customFormat="1"/>
    <row r="32520" s="2" customFormat="1"/>
    <row r="32521" s="2" customFormat="1"/>
    <row r="32522" s="2" customFormat="1"/>
    <row r="32523" s="2" customFormat="1"/>
    <row r="32524" s="2" customFormat="1"/>
    <row r="32525" s="2" customFormat="1"/>
    <row r="32526" s="2" customFormat="1"/>
    <row r="32527" s="2" customFormat="1"/>
    <row r="32528" s="2" customFormat="1"/>
    <row r="32529" s="2" customFormat="1"/>
    <row r="32530" s="2" customFormat="1"/>
    <row r="32531" s="2" customFormat="1"/>
    <row r="32532" s="2" customFormat="1"/>
    <row r="32533" s="2" customFormat="1"/>
    <row r="32534" s="2" customFormat="1"/>
    <row r="32535" s="2" customFormat="1"/>
    <row r="32536" s="2" customFormat="1"/>
    <row r="32537" s="2" customFormat="1"/>
    <row r="32538" s="2" customFormat="1"/>
    <row r="32539" s="2" customFormat="1"/>
    <row r="32540" s="2" customFormat="1"/>
    <row r="32541" s="2" customFormat="1"/>
    <row r="32542" s="2" customFormat="1"/>
    <row r="32543" s="2" customFormat="1"/>
    <row r="32544" s="2" customFormat="1"/>
    <row r="32545" s="2" customFormat="1"/>
    <row r="32546" s="2" customFormat="1"/>
    <row r="32547" s="2" customFormat="1"/>
    <row r="32548" s="2" customFormat="1"/>
    <row r="32549" s="2" customFormat="1"/>
    <row r="32550" s="2" customFormat="1"/>
    <row r="32551" s="2" customFormat="1"/>
    <row r="32552" s="2" customFormat="1"/>
    <row r="32553" s="2" customFormat="1"/>
    <row r="32554" s="2" customFormat="1"/>
    <row r="32555" s="2" customFormat="1"/>
    <row r="32556" s="2" customFormat="1"/>
    <row r="32557" s="2" customFormat="1"/>
    <row r="32558" s="2" customFormat="1"/>
    <row r="32559" s="2" customFormat="1"/>
    <row r="32560" s="2" customFormat="1"/>
    <row r="32561" s="2" customFormat="1"/>
    <row r="32562" s="2" customFormat="1"/>
    <row r="32563" s="2" customFormat="1"/>
    <row r="32564" s="2" customFormat="1"/>
    <row r="32565" s="2" customFormat="1"/>
    <row r="32566" s="2" customFormat="1"/>
    <row r="32567" s="2" customFormat="1"/>
    <row r="32568" s="2" customFormat="1"/>
    <row r="32569" s="2" customFormat="1"/>
    <row r="32570" s="2" customFormat="1"/>
    <row r="32571" s="2" customFormat="1"/>
    <row r="32572" s="2" customFormat="1"/>
    <row r="32573" s="2" customFormat="1"/>
    <row r="32574" s="2" customFormat="1"/>
    <row r="32575" s="2" customFormat="1"/>
    <row r="32576" s="2" customFormat="1"/>
    <row r="32577" s="2" customFormat="1"/>
    <row r="32578" s="2" customFormat="1"/>
    <row r="32579" s="2" customFormat="1"/>
    <row r="32580" s="2" customFormat="1"/>
    <row r="32581" s="2" customFormat="1"/>
    <row r="32582" s="2" customFormat="1"/>
    <row r="32583" s="2" customFormat="1"/>
    <row r="32584" s="2" customFormat="1"/>
    <row r="32585" s="2" customFormat="1"/>
    <row r="32586" s="2" customFormat="1"/>
    <row r="32587" s="2" customFormat="1"/>
    <row r="32588" s="2" customFormat="1"/>
    <row r="32589" s="2" customFormat="1"/>
    <row r="32590" s="2" customFormat="1"/>
    <row r="32591" s="2" customFormat="1"/>
    <row r="32592" s="2" customFormat="1"/>
    <row r="32593" s="2" customFormat="1"/>
    <row r="32594" s="2" customFormat="1"/>
    <row r="32595" s="2" customFormat="1"/>
    <row r="32596" s="2" customFormat="1"/>
    <row r="32597" s="2" customFormat="1"/>
    <row r="32598" s="2" customFormat="1"/>
    <row r="32599" s="2" customFormat="1"/>
    <row r="32600" s="2" customFormat="1"/>
    <row r="32601" s="2" customFormat="1"/>
    <row r="32602" s="2" customFormat="1"/>
    <row r="32603" s="2" customFormat="1"/>
    <row r="32604" s="2" customFormat="1"/>
    <row r="32605" s="2" customFormat="1"/>
    <row r="32606" s="2" customFormat="1"/>
    <row r="32607" s="2" customFormat="1"/>
    <row r="32608" s="2" customFormat="1"/>
    <row r="32609" s="2" customFormat="1"/>
    <row r="32610" s="2" customFormat="1"/>
    <row r="32611" s="2" customFormat="1"/>
    <row r="32612" s="2" customFormat="1"/>
    <row r="32613" s="2" customFormat="1"/>
    <row r="32614" s="2" customFormat="1"/>
    <row r="32615" s="2" customFormat="1"/>
    <row r="32616" s="2" customFormat="1"/>
    <row r="32617" s="2" customFormat="1"/>
    <row r="32618" s="2" customFormat="1"/>
    <row r="32619" s="2" customFormat="1"/>
    <row r="32620" s="2" customFormat="1"/>
    <row r="32621" s="2" customFormat="1"/>
    <row r="32622" s="2" customFormat="1"/>
    <row r="32623" s="2" customFormat="1"/>
    <row r="32624" s="2" customFormat="1"/>
    <row r="32625" s="2" customFormat="1"/>
    <row r="32626" s="2" customFormat="1"/>
    <row r="32627" s="2" customFormat="1"/>
    <row r="32628" s="2" customFormat="1"/>
    <row r="32629" s="2" customFormat="1"/>
    <row r="32630" s="2" customFormat="1"/>
    <row r="32631" s="2" customFormat="1"/>
    <row r="32632" s="2" customFormat="1"/>
    <row r="32633" s="2" customFormat="1"/>
    <row r="32634" s="2" customFormat="1"/>
    <row r="32635" s="2" customFormat="1"/>
    <row r="32636" s="2" customFormat="1"/>
    <row r="32637" s="2" customFormat="1"/>
    <row r="32638" s="2" customFormat="1"/>
    <row r="32639" s="2" customFormat="1"/>
    <row r="32640" s="2" customFormat="1"/>
    <row r="32641" s="2" customFormat="1"/>
    <row r="32642" s="2" customFormat="1"/>
    <row r="32643" s="2" customFormat="1"/>
    <row r="32644" s="2" customFormat="1"/>
    <row r="32645" s="2" customFormat="1"/>
    <row r="32646" s="2" customFormat="1"/>
    <row r="32647" s="2" customFormat="1"/>
    <row r="32648" s="2" customFormat="1"/>
    <row r="32649" s="2" customFormat="1"/>
    <row r="32650" s="2" customFormat="1"/>
    <row r="32651" s="2" customFormat="1"/>
    <row r="32652" s="2" customFormat="1"/>
    <row r="32653" s="2" customFormat="1"/>
    <row r="32654" s="2" customFormat="1"/>
    <row r="32655" s="2" customFormat="1"/>
    <row r="32656" s="2" customFormat="1"/>
    <row r="32657" s="2" customFormat="1"/>
    <row r="32658" s="2" customFormat="1"/>
    <row r="32659" s="2" customFormat="1"/>
    <row r="32660" s="2" customFormat="1"/>
    <row r="32661" s="2" customFormat="1"/>
    <row r="32662" s="2" customFormat="1"/>
    <row r="32663" s="2" customFormat="1"/>
    <row r="32664" s="2" customFormat="1"/>
    <row r="32665" s="2" customFormat="1"/>
    <row r="32666" s="2" customFormat="1"/>
    <row r="32667" s="2" customFormat="1"/>
    <row r="32668" s="2" customFormat="1"/>
    <row r="32669" s="2" customFormat="1"/>
    <row r="32670" s="2" customFormat="1"/>
    <row r="32671" s="2" customFormat="1"/>
    <row r="32672" s="2" customFormat="1"/>
    <row r="32673" s="2" customFormat="1"/>
    <row r="32674" s="2" customFormat="1"/>
    <row r="32675" s="2" customFormat="1"/>
    <row r="32676" s="2" customFormat="1"/>
    <row r="32677" s="2" customFormat="1"/>
    <row r="32678" s="2" customFormat="1"/>
    <row r="32679" s="2" customFormat="1"/>
    <row r="32680" s="2" customFormat="1"/>
    <row r="32681" s="2" customFormat="1"/>
    <row r="32682" s="2" customFormat="1"/>
    <row r="32683" s="2" customFormat="1"/>
    <row r="32684" s="2" customFormat="1"/>
    <row r="32685" s="2" customFormat="1"/>
    <row r="32686" s="2" customFormat="1"/>
    <row r="32687" s="2" customFormat="1"/>
    <row r="32688" s="2" customFormat="1"/>
    <row r="32689" s="2" customFormat="1"/>
    <row r="32690" s="2" customFormat="1"/>
    <row r="32691" s="2" customFormat="1"/>
    <row r="32692" s="2" customFormat="1"/>
    <row r="32693" s="2" customFormat="1"/>
    <row r="32694" s="2" customFormat="1"/>
    <row r="32695" s="2" customFormat="1"/>
    <row r="32696" s="2" customFormat="1"/>
    <row r="32697" s="2" customFormat="1"/>
    <row r="32698" s="2" customFormat="1"/>
    <row r="32699" s="2" customFormat="1"/>
    <row r="32700" s="2" customFormat="1"/>
    <row r="32701" s="2" customFormat="1"/>
    <row r="32702" s="2" customFormat="1"/>
    <row r="32703" s="2" customFormat="1"/>
    <row r="32704" s="2" customFormat="1"/>
    <row r="32705" s="2" customFormat="1"/>
    <row r="32706" s="2" customFormat="1"/>
    <row r="32707" s="2" customFormat="1"/>
    <row r="32708" s="2" customFormat="1"/>
    <row r="32709" s="2" customFormat="1"/>
    <row r="32710" s="2" customFormat="1"/>
    <row r="32711" s="2" customFormat="1"/>
    <row r="32712" s="2" customFormat="1"/>
    <row r="32713" s="2" customFormat="1"/>
    <row r="32714" s="2" customFormat="1"/>
    <row r="32715" s="2" customFormat="1"/>
    <row r="32716" s="2" customFormat="1"/>
    <row r="32717" s="2" customFormat="1"/>
    <row r="32718" s="2" customFormat="1"/>
    <row r="32719" s="2" customFormat="1"/>
    <row r="32720" s="2" customFormat="1"/>
    <row r="32721" s="2" customFormat="1"/>
    <row r="32722" s="2" customFormat="1"/>
    <row r="32723" s="2" customFormat="1"/>
    <row r="32724" s="2" customFormat="1"/>
    <row r="32725" s="2" customFormat="1"/>
    <row r="32726" s="2" customFormat="1"/>
    <row r="32727" s="2" customFormat="1"/>
    <row r="32728" s="2" customFormat="1"/>
    <row r="32729" s="2" customFormat="1"/>
    <row r="32730" s="2" customFormat="1"/>
    <row r="32731" s="2" customFormat="1"/>
    <row r="32732" s="2" customFormat="1"/>
    <row r="32733" s="2" customFormat="1"/>
    <row r="32734" s="2" customFormat="1"/>
    <row r="32735" s="2" customFormat="1"/>
    <row r="32736" s="2" customFormat="1"/>
    <row r="32737" s="2" customFormat="1"/>
    <row r="32738" s="2" customFormat="1"/>
    <row r="32739" s="2" customFormat="1"/>
    <row r="32740" s="2" customFormat="1"/>
    <row r="32741" s="2" customFormat="1"/>
    <row r="32742" s="2" customFormat="1"/>
    <row r="32743" s="2" customFormat="1"/>
    <row r="32744" s="2" customFormat="1"/>
    <row r="32745" s="2" customFormat="1"/>
    <row r="32746" s="2" customFormat="1"/>
    <row r="32747" s="2" customFormat="1"/>
    <row r="32748" s="2" customFormat="1"/>
    <row r="32749" s="2" customFormat="1"/>
    <row r="32750" s="2" customFormat="1"/>
    <row r="32751" s="2" customFormat="1"/>
    <row r="32752" s="2" customFormat="1"/>
    <row r="32753" s="2" customFormat="1"/>
    <row r="32754" s="2" customFormat="1"/>
    <row r="32755" s="2" customFormat="1"/>
    <row r="32756" s="2" customFormat="1"/>
    <row r="32757" s="2" customFormat="1"/>
    <row r="32758" s="2" customFormat="1"/>
    <row r="32759" s="2" customFormat="1"/>
    <row r="32760" s="2" customFormat="1"/>
    <row r="32761" s="2" customFormat="1"/>
    <row r="32762" s="2" customFormat="1"/>
    <row r="32763" s="2" customFormat="1"/>
    <row r="32764" s="2" customFormat="1"/>
    <row r="32765" s="2" customFormat="1"/>
    <row r="32766" s="2" customFormat="1"/>
    <row r="32767" s="2" customFormat="1"/>
    <row r="32768" s="2" customFormat="1"/>
    <row r="32769" s="2" customFormat="1"/>
    <row r="32770" s="2" customFormat="1"/>
    <row r="32771" s="2" customFormat="1"/>
    <row r="32772" s="2" customFormat="1"/>
    <row r="32773" s="2" customFormat="1"/>
    <row r="32774" s="2" customFormat="1"/>
    <row r="32775" s="2" customFormat="1"/>
    <row r="32776" s="2" customFormat="1"/>
    <row r="32777" s="2" customFormat="1"/>
    <row r="32778" s="2" customFormat="1"/>
    <row r="32779" s="2" customFormat="1"/>
    <row r="32780" s="2" customFormat="1"/>
    <row r="32781" s="2" customFormat="1"/>
    <row r="32782" s="2" customFormat="1"/>
    <row r="32783" s="2" customFormat="1"/>
    <row r="32784" s="2" customFormat="1"/>
    <row r="32785" s="2" customFormat="1"/>
    <row r="32786" s="2" customFormat="1"/>
    <row r="32787" s="2" customFormat="1"/>
    <row r="32788" s="2" customFormat="1"/>
    <row r="32789" s="2" customFormat="1"/>
    <row r="32790" s="2" customFormat="1"/>
    <row r="32791" s="2" customFormat="1"/>
    <row r="32792" s="2" customFormat="1"/>
    <row r="32793" s="2" customFormat="1"/>
    <row r="32794" s="2" customFormat="1"/>
    <row r="32795" s="2" customFormat="1"/>
    <row r="32796" s="2" customFormat="1"/>
    <row r="32797" s="2" customFormat="1"/>
    <row r="32798" s="2" customFormat="1"/>
    <row r="32799" s="2" customFormat="1"/>
    <row r="32800" s="2" customFormat="1"/>
    <row r="32801" s="2" customFormat="1"/>
    <row r="32802" s="2" customFormat="1"/>
    <row r="32803" s="2" customFormat="1"/>
    <row r="32804" s="2" customFormat="1"/>
    <row r="32805" s="2" customFormat="1"/>
    <row r="32806" s="2" customFormat="1"/>
    <row r="32807" s="2" customFormat="1"/>
    <row r="32808" s="2" customFormat="1"/>
    <row r="32809" s="2" customFormat="1"/>
    <row r="32810" s="2" customFormat="1"/>
    <row r="32811" s="2" customFormat="1"/>
    <row r="32812" s="2" customFormat="1"/>
    <row r="32813" s="2" customFormat="1"/>
    <row r="32814" s="2" customFormat="1"/>
    <row r="32815" s="2" customFormat="1"/>
    <row r="32816" s="2" customFormat="1"/>
    <row r="32817" s="2" customFormat="1"/>
    <row r="32818" s="2" customFormat="1"/>
    <row r="32819" s="2" customFormat="1"/>
    <row r="32820" s="2" customFormat="1"/>
    <row r="32821" s="2" customFormat="1"/>
    <row r="32822" s="2" customFormat="1"/>
    <row r="32823" s="2" customFormat="1"/>
    <row r="32824" s="2" customFormat="1"/>
    <row r="32825" s="2" customFormat="1"/>
    <row r="32826" s="2" customFormat="1"/>
    <row r="32827" s="2" customFormat="1"/>
    <row r="32828" s="2" customFormat="1"/>
    <row r="32829" s="2" customFormat="1"/>
    <row r="32830" s="2" customFormat="1"/>
    <row r="32831" s="2" customFormat="1"/>
    <row r="32832" s="2" customFormat="1"/>
    <row r="32833" s="2" customFormat="1"/>
    <row r="32834" s="2" customFormat="1"/>
    <row r="32835" s="2" customFormat="1"/>
    <row r="32836" s="2" customFormat="1"/>
    <row r="32837" s="2" customFormat="1"/>
    <row r="32838" s="2" customFormat="1"/>
    <row r="32839" s="2" customFormat="1"/>
    <row r="32840" s="2" customFormat="1"/>
    <row r="32841" s="2" customFormat="1"/>
    <row r="32842" s="2" customFormat="1"/>
    <row r="32843" s="2" customFormat="1"/>
    <row r="32844" s="2" customFormat="1"/>
    <row r="32845" s="2" customFormat="1"/>
    <row r="32846" s="2" customFormat="1"/>
    <row r="32847" s="2" customFormat="1"/>
    <row r="32848" s="2" customFormat="1"/>
    <row r="32849" s="2" customFormat="1"/>
    <row r="32850" s="2" customFormat="1"/>
    <row r="32851" s="2" customFormat="1"/>
    <row r="32852" s="2" customFormat="1"/>
    <row r="32853" s="2" customFormat="1"/>
    <row r="32854" s="2" customFormat="1"/>
    <row r="32855" s="2" customFormat="1"/>
    <row r="32856" s="2" customFormat="1"/>
    <row r="32857" s="2" customFormat="1"/>
    <row r="32858" s="2" customFormat="1"/>
    <row r="32859" s="2" customFormat="1"/>
    <row r="32860" s="2" customFormat="1"/>
    <row r="32861" s="2" customFormat="1"/>
    <row r="32862" s="2" customFormat="1"/>
    <row r="32863" s="2" customFormat="1"/>
    <row r="32864" s="2" customFormat="1"/>
    <row r="32865" s="2" customFormat="1"/>
    <row r="32866" s="2" customFormat="1"/>
    <row r="32867" s="2" customFormat="1"/>
    <row r="32868" s="2" customFormat="1"/>
    <row r="32869" s="2" customFormat="1"/>
    <row r="32870" s="2" customFormat="1"/>
    <row r="32871" s="2" customFormat="1"/>
    <row r="32872" s="2" customFormat="1"/>
    <row r="32873" s="2" customFormat="1"/>
    <row r="32874" s="2" customFormat="1"/>
    <row r="32875" s="2" customFormat="1"/>
    <row r="32876" s="2" customFormat="1"/>
    <row r="32877" s="2" customFormat="1"/>
    <row r="32878" s="2" customFormat="1"/>
    <row r="32879" s="2" customFormat="1"/>
    <row r="32880" s="2" customFormat="1"/>
    <row r="32881" s="2" customFormat="1"/>
    <row r="32882" s="2" customFormat="1"/>
    <row r="32883" s="2" customFormat="1"/>
    <row r="32884" s="2" customFormat="1"/>
    <row r="32885" s="2" customFormat="1"/>
    <row r="32886" s="2" customFormat="1"/>
    <row r="32887" s="2" customFormat="1"/>
    <row r="32888" s="2" customFormat="1"/>
    <row r="32889" s="2" customFormat="1"/>
    <row r="32890" s="2" customFormat="1"/>
    <row r="32891" s="2" customFormat="1"/>
    <row r="32892" s="2" customFormat="1"/>
    <row r="32893" s="2" customFormat="1"/>
    <row r="32894" s="2" customFormat="1"/>
    <row r="32895" s="2" customFormat="1"/>
    <row r="32896" s="2" customFormat="1"/>
    <row r="32897" s="2" customFormat="1"/>
    <row r="32898" s="2" customFormat="1"/>
    <row r="32899" s="2" customFormat="1"/>
    <row r="32900" s="2" customFormat="1"/>
    <row r="32901" s="2" customFormat="1"/>
    <row r="32902" s="2" customFormat="1"/>
    <row r="32903" s="2" customFormat="1"/>
    <row r="32904" s="2" customFormat="1"/>
    <row r="32905" s="2" customFormat="1"/>
    <row r="32906" s="2" customFormat="1"/>
    <row r="32907" s="2" customFormat="1"/>
    <row r="32908" s="2" customFormat="1"/>
    <row r="32909" s="2" customFormat="1"/>
    <row r="32910" s="2" customFormat="1"/>
    <row r="32911" s="2" customFormat="1"/>
    <row r="32912" s="2" customFormat="1"/>
    <row r="32913" s="2" customFormat="1"/>
    <row r="32914" s="2" customFormat="1"/>
    <row r="32915" s="2" customFormat="1"/>
    <row r="32916" s="2" customFormat="1"/>
    <row r="32917" s="2" customFormat="1"/>
    <row r="32918" s="2" customFormat="1"/>
    <row r="32919" s="2" customFormat="1"/>
    <row r="32920" s="2" customFormat="1"/>
    <row r="32921" s="2" customFormat="1"/>
    <row r="32922" s="2" customFormat="1"/>
    <row r="32923" s="2" customFormat="1"/>
    <row r="32924" s="2" customFormat="1"/>
    <row r="32925" s="2" customFormat="1"/>
    <row r="32926" s="2" customFormat="1"/>
    <row r="32927" s="2" customFormat="1"/>
    <row r="32928" s="2" customFormat="1"/>
    <row r="32929" s="2" customFormat="1"/>
    <row r="32930" s="2" customFormat="1"/>
    <row r="32931" s="2" customFormat="1"/>
    <row r="32932" s="2" customFormat="1"/>
    <row r="32933" s="2" customFormat="1"/>
    <row r="32934" s="2" customFormat="1"/>
    <row r="32935" s="2" customFormat="1"/>
    <row r="32936" s="2" customFormat="1"/>
    <row r="32937" s="2" customFormat="1"/>
    <row r="32938" s="2" customFormat="1"/>
    <row r="32939" s="2" customFormat="1"/>
    <row r="32940" s="2" customFormat="1"/>
    <row r="32941" s="2" customFormat="1"/>
    <row r="32942" s="2" customFormat="1"/>
    <row r="32943" s="2" customFormat="1"/>
    <row r="32944" s="2" customFormat="1"/>
    <row r="32945" s="2" customFormat="1"/>
    <row r="32946" s="2" customFormat="1"/>
    <row r="32947" s="2" customFormat="1"/>
    <row r="32948" s="2" customFormat="1"/>
    <row r="32949" s="2" customFormat="1"/>
    <row r="32950" s="2" customFormat="1"/>
    <row r="32951" s="2" customFormat="1"/>
    <row r="32952" s="2" customFormat="1"/>
    <row r="32953" s="2" customFormat="1"/>
    <row r="32954" s="2" customFormat="1"/>
    <row r="32955" s="2" customFormat="1"/>
    <row r="32956" s="2" customFormat="1"/>
    <row r="32957" s="2" customFormat="1"/>
    <row r="32958" s="2" customFormat="1"/>
    <row r="32959" s="2" customFormat="1"/>
    <row r="32960" s="2" customFormat="1"/>
    <row r="32961" s="2" customFormat="1"/>
    <row r="32962" s="2" customFormat="1"/>
    <row r="32963" s="2" customFormat="1"/>
    <row r="32964" s="2" customFormat="1"/>
    <row r="32965" s="2" customFormat="1"/>
    <row r="32966" s="2" customFormat="1"/>
    <row r="32967" s="2" customFormat="1"/>
    <row r="32968" s="2" customFormat="1"/>
    <row r="32969" s="2" customFormat="1"/>
    <row r="32970" s="2" customFormat="1"/>
    <row r="32971" s="2" customFormat="1"/>
    <row r="32972" s="2" customFormat="1"/>
    <row r="32973" s="2" customFormat="1"/>
    <row r="32974" s="2" customFormat="1"/>
    <row r="32975" s="2" customFormat="1"/>
    <row r="32976" s="2" customFormat="1"/>
    <row r="32977" s="2" customFormat="1"/>
    <row r="32978" s="2" customFormat="1"/>
    <row r="32979" s="2" customFormat="1"/>
    <row r="32980" s="2" customFormat="1"/>
    <row r="32981" s="2" customFormat="1"/>
    <row r="32982" s="2" customFormat="1"/>
    <row r="32983" s="2" customFormat="1"/>
    <row r="32984" s="2" customFormat="1"/>
    <row r="32985" s="2" customFormat="1"/>
    <row r="32986" s="2" customFormat="1"/>
    <row r="32987" s="2" customFormat="1"/>
    <row r="32988" s="2" customFormat="1"/>
    <row r="32989" s="2" customFormat="1"/>
    <row r="32990" s="2" customFormat="1"/>
    <row r="32991" s="2" customFormat="1"/>
    <row r="32992" s="2" customFormat="1"/>
    <row r="32993" s="2" customFormat="1"/>
    <row r="32994" s="2" customFormat="1"/>
    <row r="32995" s="2" customFormat="1"/>
    <row r="32996" s="2" customFormat="1"/>
    <row r="32997" s="2" customFormat="1"/>
    <row r="32998" s="2" customFormat="1"/>
    <row r="32999" s="2" customFormat="1"/>
    <row r="33000" s="2" customFormat="1"/>
    <row r="33001" s="2" customFormat="1"/>
    <row r="33002" s="2" customFormat="1"/>
    <row r="33003" s="2" customFormat="1"/>
    <row r="33004" s="2" customFormat="1"/>
    <row r="33005" s="2" customFormat="1"/>
    <row r="33006" s="2" customFormat="1"/>
    <row r="33007" s="2" customFormat="1"/>
    <row r="33008" s="2" customFormat="1"/>
    <row r="33009" s="2" customFormat="1"/>
    <row r="33010" s="2" customFormat="1"/>
    <row r="33011" s="2" customFormat="1"/>
    <row r="33012" s="2" customFormat="1"/>
    <row r="33013" s="2" customFormat="1"/>
    <row r="33014" s="2" customFormat="1"/>
    <row r="33015" s="2" customFormat="1"/>
    <row r="33016" s="2" customFormat="1"/>
    <row r="33017" s="2" customFormat="1"/>
    <row r="33018" s="2" customFormat="1"/>
    <row r="33019" s="2" customFormat="1"/>
    <row r="33020" s="2" customFormat="1"/>
    <row r="33021" s="2" customFormat="1"/>
    <row r="33022" s="2" customFormat="1"/>
    <row r="33023" s="2" customFormat="1"/>
    <row r="33024" s="2" customFormat="1"/>
    <row r="33025" s="2" customFormat="1"/>
    <row r="33026" s="2" customFormat="1"/>
    <row r="33027" s="2" customFormat="1"/>
    <row r="33028" s="2" customFormat="1"/>
    <row r="33029" s="2" customFormat="1"/>
    <row r="33030" s="2" customFormat="1"/>
    <row r="33031" s="2" customFormat="1"/>
    <row r="33032" s="2" customFormat="1"/>
    <row r="33033" s="2" customFormat="1"/>
    <row r="33034" s="2" customFormat="1"/>
    <row r="33035" s="2" customFormat="1"/>
    <row r="33036" s="2" customFormat="1"/>
    <row r="33037" s="2" customFormat="1"/>
    <row r="33038" s="2" customFormat="1"/>
    <row r="33039" s="2" customFormat="1"/>
    <row r="33040" s="2" customFormat="1"/>
    <row r="33041" s="2" customFormat="1"/>
    <row r="33042" s="2" customFormat="1"/>
    <row r="33043" s="2" customFormat="1"/>
    <row r="33044" s="2" customFormat="1"/>
    <row r="33045" s="2" customFormat="1"/>
    <row r="33046" s="2" customFormat="1"/>
    <row r="33047" s="2" customFormat="1"/>
    <row r="33048" s="2" customFormat="1"/>
    <row r="33049" s="2" customFormat="1"/>
    <row r="33050" s="2" customFormat="1"/>
    <row r="33051" s="2" customFormat="1"/>
    <row r="33052" s="2" customFormat="1"/>
    <row r="33053" s="2" customFormat="1"/>
    <row r="33054" s="2" customFormat="1"/>
    <row r="33055" s="2" customFormat="1"/>
    <row r="33056" s="2" customFormat="1"/>
    <row r="33057" s="2" customFormat="1"/>
    <row r="33058" s="2" customFormat="1"/>
    <row r="33059" s="2" customFormat="1"/>
    <row r="33060" s="2" customFormat="1"/>
    <row r="33061" s="2" customFormat="1"/>
    <row r="33062" s="2" customFormat="1"/>
    <row r="33063" s="2" customFormat="1"/>
    <row r="33064" s="2" customFormat="1"/>
    <row r="33065" s="2" customFormat="1"/>
    <row r="33066" s="2" customFormat="1"/>
    <row r="33067" s="2" customFormat="1"/>
    <row r="33068" s="2" customFormat="1"/>
    <row r="33069" s="2" customFormat="1"/>
    <row r="33070" s="2" customFormat="1"/>
    <row r="33071" s="2" customFormat="1"/>
    <row r="33072" s="2" customFormat="1"/>
    <row r="33073" s="2" customFormat="1"/>
    <row r="33074" s="2" customFormat="1"/>
    <row r="33075" s="2" customFormat="1"/>
    <row r="33076" s="2" customFormat="1"/>
    <row r="33077" s="2" customFormat="1"/>
    <row r="33078" s="2" customFormat="1"/>
    <row r="33079" s="2" customFormat="1"/>
    <row r="33080" s="2" customFormat="1"/>
    <row r="33081" s="2" customFormat="1"/>
    <row r="33082" s="2" customFormat="1"/>
    <row r="33083" s="2" customFormat="1"/>
    <row r="33084" s="2" customFormat="1"/>
    <row r="33085" s="2" customFormat="1"/>
    <row r="33086" s="2" customFormat="1"/>
    <row r="33087" s="2" customFormat="1"/>
    <row r="33088" s="2" customFormat="1"/>
    <row r="33089" s="2" customFormat="1"/>
    <row r="33090" s="2" customFormat="1"/>
    <row r="33091" s="2" customFormat="1"/>
    <row r="33092" s="2" customFormat="1"/>
    <row r="33093" s="2" customFormat="1"/>
    <row r="33094" s="2" customFormat="1"/>
    <row r="33095" s="2" customFormat="1"/>
    <row r="33096" s="2" customFormat="1"/>
    <row r="33097" s="2" customFormat="1"/>
    <row r="33098" s="2" customFormat="1"/>
    <row r="33099" s="2" customFormat="1"/>
    <row r="33100" s="2" customFormat="1"/>
    <row r="33101" s="2" customFormat="1"/>
    <row r="33102" s="2" customFormat="1"/>
    <row r="33103" s="2" customFormat="1"/>
    <row r="33104" s="2" customFormat="1"/>
    <row r="33105" s="2" customFormat="1"/>
    <row r="33106" s="2" customFormat="1"/>
    <row r="33107" s="2" customFormat="1"/>
    <row r="33108" s="2" customFormat="1"/>
    <row r="33109" s="2" customFormat="1"/>
    <row r="33110" s="2" customFormat="1"/>
    <row r="33111" s="2" customFormat="1"/>
    <row r="33112" s="2" customFormat="1"/>
    <row r="33113" s="2" customFormat="1"/>
    <row r="33114" s="2" customFormat="1"/>
    <row r="33115" s="2" customFormat="1"/>
    <row r="33116" s="2" customFormat="1"/>
    <row r="33117" s="2" customFormat="1"/>
    <row r="33118" s="2" customFormat="1"/>
    <row r="33119" s="2" customFormat="1"/>
    <row r="33120" s="2" customFormat="1"/>
    <row r="33121" s="2" customFormat="1"/>
    <row r="33122" s="2" customFormat="1"/>
    <row r="33123" s="2" customFormat="1"/>
    <row r="33124" s="2" customFormat="1"/>
    <row r="33125" s="2" customFormat="1"/>
    <row r="33126" s="2" customFormat="1"/>
    <row r="33127" s="2" customFormat="1"/>
    <row r="33128" s="2" customFormat="1"/>
    <row r="33129" s="2" customFormat="1"/>
    <row r="33130" s="2" customFormat="1"/>
    <row r="33131" s="2" customFormat="1"/>
    <row r="33132" s="2" customFormat="1"/>
    <row r="33133" s="2" customFormat="1"/>
    <row r="33134" s="2" customFormat="1"/>
    <row r="33135" s="2" customFormat="1"/>
    <row r="33136" s="2" customFormat="1"/>
    <row r="33137" s="2" customFormat="1"/>
    <row r="33138" s="2" customFormat="1"/>
    <row r="33139" s="2" customFormat="1"/>
    <row r="33140" s="2" customFormat="1"/>
    <row r="33141" s="2" customFormat="1"/>
    <row r="33142" s="2" customFormat="1"/>
    <row r="33143" s="2" customFormat="1"/>
    <row r="33144" s="2" customFormat="1"/>
    <row r="33145" s="2" customFormat="1"/>
    <row r="33146" s="2" customFormat="1"/>
    <row r="33147" s="2" customFormat="1"/>
    <row r="33148" s="2" customFormat="1"/>
    <row r="33149" s="2" customFormat="1"/>
    <row r="33150" s="2" customFormat="1"/>
    <row r="33151" s="2" customFormat="1"/>
    <row r="33152" s="2" customFormat="1"/>
    <row r="33153" s="2" customFormat="1"/>
    <row r="33154" s="2" customFormat="1"/>
    <row r="33155" s="2" customFormat="1"/>
    <row r="33156" s="2" customFormat="1"/>
    <row r="33157" s="2" customFormat="1"/>
    <row r="33158" s="2" customFormat="1"/>
    <row r="33159" s="2" customFormat="1"/>
    <row r="33160" s="2" customFormat="1"/>
    <row r="33161" s="2" customFormat="1"/>
    <row r="33162" s="2" customFormat="1"/>
    <row r="33163" s="2" customFormat="1"/>
    <row r="33164" s="2" customFormat="1"/>
    <row r="33165" s="2" customFormat="1"/>
    <row r="33166" s="2" customFormat="1"/>
    <row r="33167" s="2" customFormat="1"/>
    <row r="33168" s="2" customFormat="1"/>
    <row r="33169" s="2" customFormat="1"/>
    <row r="33170" s="2" customFormat="1"/>
    <row r="33171" s="2" customFormat="1"/>
    <row r="33172" s="2" customFormat="1"/>
    <row r="33173" s="2" customFormat="1"/>
    <row r="33174" s="2" customFormat="1"/>
    <row r="33175" s="2" customFormat="1"/>
    <row r="33176" s="2" customFormat="1"/>
    <row r="33177" s="2" customFormat="1"/>
    <row r="33178" s="2" customFormat="1"/>
    <row r="33179" s="2" customFormat="1"/>
    <row r="33180" s="2" customFormat="1"/>
    <row r="33181" s="2" customFormat="1"/>
    <row r="33182" s="2" customFormat="1"/>
    <row r="33183" s="2" customFormat="1"/>
    <row r="33184" s="2" customFormat="1"/>
    <row r="33185" s="2" customFormat="1"/>
    <row r="33186" s="2" customFormat="1"/>
    <row r="33187" s="2" customFormat="1"/>
    <row r="33188" s="2" customFormat="1"/>
    <row r="33189" s="2" customFormat="1"/>
    <row r="33190" s="2" customFormat="1"/>
    <row r="33191" s="2" customFormat="1"/>
    <row r="33192" s="2" customFormat="1"/>
    <row r="33193" s="2" customFormat="1"/>
    <row r="33194" s="2" customFormat="1"/>
    <row r="33195" s="2" customFormat="1"/>
    <row r="33196" s="2" customFormat="1"/>
    <row r="33197" s="2" customFormat="1"/>
    <row r="33198" s="2" customFormat="1"/>
    <row r="33199" s="2" customFormat="1"/>
    <row r="33200" s="2" customFormat="1"/>
    <row r="33201" s="2" customFormat="1"/>
    <row r="33202" s="2" customFormat="1"/>
    <row r="33203" s="2" customFormat="1"/>
    <row r="33204" s="2" customFormat="1"/>
    <row r="33205" s="2" customFormat="1"/>
    <row r="33206" s="2" customFormat="1"/>
    <row r="33207" s="2" customFormat="1"/>
    <row r="33208" s="2" customFormat="1"/>
    <row r="33209" s="2" customFormat="1"/>
    <row r="33210" s="2" customFormat="1"/>
    <row r="33211" s="2" customFormat="1"/>
    <row r="33212" s="2" customFormat="1"/>
    <row r="33213" s="2" customFormat="1"/>
    <row r="33214" s="2" customFormat="1"/>
    <row r="33215" s="2" customFormat="1"/>
    <row r="33216" s="2" customFormat="1"/>
    <row r="33217" s="2" customFormat="1"/>
    <row r="33218" s="2" customFormat="1"/>
    <row r="33219" s="2" customFormat="1"/>
    <row r="33220" s="2" customFormat="1"/>
    <row r="33221" s="2" customFormat="1"/>
    <row r="33222" s="2" customFormat="1"/>
    <row r="33223" s="2" customFormat="1"/>
    <row r="33224" s="2" customFormat="1"/>
    <row r="33225" s="2" customFormat="1"/>
    <row r="33226" s="2" customFormat="1"/>
    <row r="33227" s="2" customFormat="1"/>
    <row r="33228" s="2" customFormat="1"/>
    <row r="33229" s="2" customFormat="1"/>
    <row r="33230" s="2" customFormat="1"/>
    <row r="33231" s="2" customFormat="1"/>
    <row r="33232" s="2" customFormat="1"/>
    <row r="33233" s="2" customFormat="1"/>
    <row r="33234" s="2" customFormat="1"/>
    <row r="33235" s="2" customFormat="1"/>
    <row r="33236" s="2" customFormat="1"/>
    <row r="33237" s="2" customFormat="1"/>
    <row r="33238" s="2" customFormat="1"/>
    <row r="33239" s="2" customFormat="1"/>
    <row r="33240" s="2" customFormat="1"/>
    <row r="33241" s="2" customFormat="1"/>
    <row r="33242" s="2" customFormat="1"/>
    <row r="33243" s="2" customFormat="1"/>
    <row r="33244" s="2" customFormat="1"/>
    <row r="33245" s="2" customFormat="1"/>
    <row r="33246" s="2" customFormat="1"/>
    <row r="33247" s="2" customFormat="1"/>
    <row r="33248" s="2" customFormat="1"/>
    <row r="33249" s="2" customFormat="1"/>
    <row r="33250" s="2" customFormat="1"/>
    <row r="33251" s="2" customFormat="1"/>
    <row r="33252" s="2" customFormat="1"/>
    <row r="33253" s="2" customFormat="1"/>
    <row r="33254" s="2" customFormat="1"/>
    <row r="33255" s="2" customFormat="1"/>
    <row r="33256" s="2" customFormat="1"/>
    <row r="33257" s="2" customFormat="1"/>
    <row r="33258" s="2" customFormat="1"/>
    <row r="33259" s="2" customFormat="1"/>
    <row r="33260" s="2" customFormat="1"/>
    <row r="33261" s="2" customFormat="1"/>
    <row r="33262" s="2" customFormat="1"/>
    <row r="33263" s="2" customFormat="1"/>
    <row r="33264" s="2" customFormat="1"/>
    <row r="33265" s="2" customFormat="1"/>
    <row r="33266" s="2" customFormat="1"/>
    <row r="33267" s="2" customFormat="1"/>
    <row r="33268" s="2" customFormat="1"/>
    <row r="33269" s="2" customFormat="1"/>
    <row r="33270" s="2" customFormat="1"/>
    <row r="33271" s="2" customFormat="1"/>
    <row r="33272" s="2" customFormat="1"/>
    <row r="33273" s="2" customFormat="1"/>
    <row r="33274" s="2" customFormat="1"/>
    <row r="33275" s="2" customFormat="1"/>
    <row r="33276" s="2" customFormat="1"/>
    <row r="33277" s="2" customFormat="1"/>
    <row r="33278" s="2" customFormat="1"/>
    <row r="33279" s="2" customFormat="1"/>
    <row r="33280" s="2" customFormat="1"/>
    <row r="33281" s="2" customFormat="1"/>
    <row r="33282" s="2" customFormat="1"/>
    <row r="33283" s="2" customFormat="1"/>
    <row r="33284" s="2" customFormat="1"/>
    <row r="33285" s="2" customFormat="1"/>
    <row r="33286" s="2" customFormat="1"/>
    <row r="33287" s="2" customFormat="1"/>
    <row r="33288" s="2" customFormat="1"/>
    <row r="33289" s="2" customFormat="1"/>
    <row r="33290" s="2" customFormat="1"/>
    <row r="33291" s="2" customFormat="1"/>
    <row r="33292" s="2" customFormat="1"/>
    <row r="33293" s="2" customFormat="1"/>
    <row r="33294" s="2" customFormat="1"/>
    <row r="33295" s="2" customFormat="1"/>
    <row r="33296" s="2" customFormat="1"/>
    <row r="33297" s="2" customFormat="1"/>
    <row r="33298" s="2" customFormat="1"/>
    <row r="33299" s="2" customFormat="1"/>
    <row r="33300" s="2" customFormat="1"/>
    <row r="33301" s="2" customFormat="1"/>
    <row r="33302" s="2" customFormat="1"/>
    <row r="33303" s="2" customFormat="1"/>
    <row r="33304" s="2" customFormat="1"/>
    <row r="33305" s="2" customFormat="1"/>
    <row r="33306" s="2" customFormat="1"/>
    <row r="33307" s="2" customFormat="1"/>
    <row r="33308" s="2" customFormat="1"/>
    <row r="33309" s="2" customFormat="1"/>
    <row r="33310" s="2" customFormat="1"/>
    <row r="33311" s="2" customFormat="1"/>
    <row r="33312" s="2" customFormat="1"/>
    <row r="33313" s="2" customFormat="1"/>
    <row r="33314" s="2" customFormat="1"/>
    <row r="33315" s="2" customFormat="1"/>
    <row r="33316" s="2" customFormat="1"/>
    <row r="33317" s="2" customFormat="1"/>
    <row r="33318" s="2" customFormat="1"/>
    <row r="33319" s="2" customFormat="1"/>
    <row r="33320" s="2" customFormat="1"/>
    <row r="33321" s="2" customFormat="1"/>
    <row r="33322" s="2" customFormat="1"/>
    <row r="33323" s="2" customFormat="1"/>
    <row r="33324" s="2" customFormat="1"/>
    <row r="33325" s="2" customFormat="1"/>
    <row r="33326" s="2" customFormat="1"/>
    <row r="33327" s="2" customFormat="1"/>
    <row r="33328" s="2" customFormat="1"/>
    <row r="33329" s="2" customFormat="1"/>
    <row r="33330" s="2" customFormat="1"/>
    <row r="33331" s="2" customFormat="1"/>
    <row r="33332" s="2" customFormat="1"/>
    <row r="33333" s="2" customFormat="1"/>
    <row r="33334" s="2" customFormat="1"/>
    <row r="33335" s="2" customFormat="1"/>
    <row r="33336" s="2" customFormat="1"/>
    <row r="33337" s="2" customFormat="1"/>
    <row r="33338" s="2" customFormat="1"/>
    <row r="33339" s="2" customFormat="1"/>
    <row r="33340" s="2" customFormat="1"/>
    <row r="33341" s="2" customFormat="1"/>
    <row r="33342" s="2" customFormat="1"/>
    <row r="33343" s="2" customFormat="1"/>
    <row r="33344" s="2" customFormat="1"/>
    <row r="33345" s="2" customFormat="1"/>
    <row r="33346" s="2" customFormat="1"/>
    <row r="33347" s="2" customFormat="1"/>
    <row r="33348" s="2" customFormat="1"/>
    <row r="33349" s="2" customFormat="1"/>
    <row r="33350" s="2" customFormat="1"/>
    <row r="33351" s="2" customFormat="1"/>
    <row r="33352" s="2" customFormat="1"/>
    <row r="33353" s="2" customFormat="1"/>
    <row r="33354" s="2" customFormat="1"/>
    <row r="33355" s="2" customFormat="1"/>
    <row r="33356" s="2" customFormat="1"/>
    <row r="33357" s="2" customFormat="1"/>
    <row r="33358" s="2" customFormat="1"/>
    <row r="33359" s="2" customFormat="1"/>
    <row r="33360" s="2" customFormat="1"/>
    <row r="33361" s="2" customFormat="1"/>
    <row r="33362" s="2" customFormat="1"/>
    <row r="33363" s="2" customFormat="1"/>
    <row r="33364" s="2" customFormat="1"/>
    <row r="33365" s="2" customFormat="1"/>
    <row r="33366" s="2" customFormat="1"/>
    <row r="33367" s="2" customFormat="1"/>
    <row r="33368" s="2" customFormat="1"/>
    <row r="33369" s="2" customFormat="1"/>
    <row r="33370" s="2" customFormat="1"/>
    <row r="33371" s="2" customFormat="1"/>
    <row r="33372" s="2" customFormat="1"/>
    <row r="33373" s="2" customFormat="1"/>
    <row r="33374" s="2" customFormat="1"/>
    <row r="33375" s="2" customFormat="1"/>
    <row r="33376" s="2" customFormat="1"/>
    <row r="33377" s="2" customFormat="1"/>
    <row r="33378" s="2" customFormat="1"/>
    <row r="33379" s="2" customFormat="1"/>
    <row r="33380" s="2" customFormat="1"/>
    <row r="33381" s="2" customFormat="1"/>
    <row r="33382" s="2" customFormat="1"/>
    <row r="33383" s="2" customFormat="1"/>
    <row r="33384" s="2" customFormat="1"/>
    <row r="33385" s="2" customFormat="1"/>
    <row r="33386" s="2" customFormat="1"/>
    <row r="33387" s="2" customFormat="1"/>
    <row r="33388" s="2" customFormat="1"/>
    <row r="33389" s="2" customFormat="1"/>
    <row r="33390" s="2" customFormat="1"/>
    <row r="33391" s="2" customFormat="1"/>
    <row r="33392" s="2" customFormat="1"/>
    <row r="33393" s="2" customFormat="1"/>
    <row r="33394" s="2" customFormat="1"/>
    <row r="33395" s="2" customFormat="1"/>
    <row r="33396" s="2" customFormat="1"/>
    <row r="33397" s="2" customFormat="1"/>
    <row r="33398" s="2" customFormat="1"/>
    <row r="33399" s="2" customFormat="1"/>
    <row r="33400" s="2" customFormat="1"/>
    <row r="33401" s="2" customFormat="1"/>
    <row r="33402" s="2" customFormat="1"/>
    <row r="33403" s="2" customFormat="1"/>
    <row r="33404" s="2" customFormat="1"/>
    <row r="33405" s="2" customFormat="1"/>
    <row r="33406" s="2" customFormat="1"/>
    <row r="33407" s="2" customFormat="1"/>
    <row r="33408" s="2" customFormat="1"/>
    <row r="33409" s="2" customFormat="1"/>
    <row r="33410" s="2" customFormat="1"/>
    <row r="33411" s="2" customFormat="1"/>
    <row r="33412" s="2" customFormat="1"/>
    <row r="33413" s="2" customFormat="1"/>
    <row r="33414" s="2" customFormat="1"/>
    <row r="33415" s="2" customFormat="1"/>
    <row r="33416" s="2" customFormat="1"/>
    <row r="33417" s="2" customFormat="1"/>
    <row r="33418" s="2" customFormat="1"/>
    <row r="33419" s="2" customFormat="1"/>
    <row r="33420" s="2" customFormat="1"/>
    <row r="33421" s="2" customFormat="1"/>
    <row r="33422" s="2" customFormat="1"/>
    <row r="33423" s="2" customFormat="1"/>
    <row r="33424" s="2" customFormat="1"/>
    <row r="33425" s="2" customFormat="1"/>
    <row r="33426" s="2" customFormat="1"/>
    <row r="33427" s="2" customFormat="1"/>
    <row r="33428" s="2" customFormat="1"/>
    <row r="33429" s="2" customFormat="1"/>
    <row r="33430" s="2" customFormat="1"/>
    <row r="33431" s="2" customFormat="1"/>
    <row r="33432" s="2" customFormat="1"/>
    <row r="33433" s="2" customFormat="1"/>
    <row r="33434" s="2" customFormat="1"/>
    <row r="33435" s="2" customFormat="1"/>
    <row r="33436" s="2" customFormat="1"/>
    <row r="33437" s="2" customFormat="1"/>
    <row r="33438" s="2" customFormat="1"/>
    <row r="33439" s="2" customFormat="1"/>
    <row r="33440" s="2" customFormat="1"/>
    <row r="33441" s="2" customFormat="1"/>
    <row r="33442" s="2" customFormat="1"/>
    <row r="33443" s="2" customFormat="1"/>
    <row r="33444" s="2" customFormat="1"/>
    <row r="33445" s="2" customFormat="1"/>
    <row r="33446" s="2" customFormat="1"/>
    <row r="33447" s="2" customFormat="1"/>
    <row r="33448" s="2" customFormat="1"/>
    <row r="33449" s="2" customFormat="1"/>
    <row r="33450" s="2" customFormat="1"/>
    <row r="33451" s="2" customFormat="1"/>
    <row r="33452" s="2" customFormat="1"/>
    <row r="33453" s="2" customFormat="1"/>
    <row r="33454" s="2" customFormat="1"/>
    <row r="33455" s="2" customFormat="1"/>
    <row r="33456" s="2" customFormat="1"/>
    <row r="33457" s="2" customFormat="1"/>
    <row r="33458" s="2" customFormat="1"/>
    <row r="33459" s="2" customFormat="1"/>
    <row r="33460" s="2" customFormat="1"/>
    <row r="33461" s="2" customFormat="1"/>
    <row r="33462" s="2" customFormat="1"/>
    <row r="33463" s="2" customFormat="1"/>
    <row r="33464" s="2" customFormat="1"/>
    <row r="33465" s="2" customFormat="1"/>
    <row r="33466" s="2" customFormat="1"/>
    <row r="33467" s="2" customFormat="1"/>
    <row r="33468" s="2" customFormat="1"/>
    <row r="33469" s="2" customFormat="1"/>
    <row r="33470" s="2" customFormat="1"/>
    <row r="33471" s="2" customFormat="1"/>
    <row r="33472" s="2" customFormat="1"/>
    <row r="33473" s="2" customFormat="1"/>
    <row r="33474" s="2" customFormat="1"/>
    <row r="33475" s="2" customFormat="1"/>
    <row r="33476" s="2" customFormat="1"/>
    <row r="33477" s="2" customFormat="1"/>
    <row r="33478" s="2" customFormat="1"/>
    <row r="33479" s="2" customFormat="1"/>
    <row r="33480" s="2" customFormat="1"/>
    <row r="33481" s="2" customFormat="1"/>
    <row r="33482" s="2" customFormat="1"/>
    <row r="33483" s="2" customFormat="1"/>
    <row r="33484" s="2" customFormat="1"/>
    <row r="33485" s="2" customFormat="1"/>
    <row r="33486" s="2" customFormat="1"/>
    <row r="33487" s="2" customFormat="1"/>
    <row r="33488" s="2" customFormat="1"/>
    <row r="33489" s="2" customFormat="1"/>
    <row r="33490" s="2" customFormat="1"/>
    <row r="33491" s="2" customFormat="1"/>
    <row r="33492" s="2" customFormat="1"/>
    <row r="33493" s="2" customFormat="1"/>
    <row r="33494" s="2" customFormat="1"/>
    <row r="33495" s="2" customFormat="1"/>
    <row r="33496" s="2" customFormat="1"/>
    <row r="33497" s="2" customFormat="1"/>
    <row r="33498" s="2" customFormat="1"/>
    <row r="33499" s="2" customFormat="1"/>
    <row r="33500" s="2" customFormat="1"/>
    <row r="33501" s="2" customFormat="1"/>
    <row r="33502" s="2" customFormat="1"/>
    <row r="33503" s="2" customFormat="1"/>
    <row r="33504" s="2" customFormat="1"/>
    <row r="33505" s="2" customFormat="1"/>
    <row r="33506" s="2" customFormat="1"/>
    <row r="33507" s="2" customFormat="1"/>
    <row r="33508" s="2" customFormat="1"/>
    <row r="33509" s="2" customFormat="1"/>
    <row r="33510" s="2" customFormat="1"/>
    <row r="33511" s="2" customFormat="1"/>
    <row r="33512" s="2" customFormat="1"/>
    <row r="33513" s="2" customFormat="1"/>
    <row r="33514" s="2" customFormat="1"/>
    <row r="33515" s="2" customFormat="1"/>
    <row r="33516" s="2" customFormat="1"/>
    <row r="33517" s="2" customFormat="1"/>
    <row r="33518" s="2" customFormat="1"/>
    <row r="33519" s="2" customFormat="1"/>
    <row r="33520" s="2" customFormat="1"/>
    <row r="33521" s="2" customFormat="1"/>
    <row r="33522" s="2" customFormat="1"/>
    <row r="33523" s="2" customFormat="1"/>
    <row r="33524" s="2" customFormat="1"/>
    <row r="33525" s="2" customFormat="1"/>
    <row r="33526" s="2" customFormat="1"/>
    <row r="33527" s="2" customFormat="1"/>
    <row r="33528" s="2" customFormat="1"/>
    <row r="33529" s="2" customFormat="1"/>
    <row r="33530" s="2" customFormat="1"/>
    <row r="33531" s="2" customFormat="1"/>
    <row r="33532" s="2" customFormat="1"/>
    <row r="33533" s="2" customFormat="1"/>
    <row r="33534" s="2" customFormat="1"/>
    <row r="33535" s="2" customFormat="1"/>
    <row r="33536" s="2" customFormat="1"/>
    <row r="33537" s="2" customFormat="1"/>
    <row r="33538" s="2" customFormat="1"/>
    <row r="33539" s="2" customFormat="1"/>
    <row r="33540" s="2" customFormat="1"/>
    <row r="33541" s="2" customFormat="1"/>
    <row r="33542" s="2" customFormat="1"/>
    <row r="33543" s="2" customFormat="1"/>
    <row r="33544" s="2" customFormat="1"/>
    <row r="33545" s="2" customFormat="1"/>
    <row r="33546" s="2" customFormat="1"/>
    <row r="33547" s="2" customFormat="1"/>
    <row r="33548" s="2" customFormat="1"/>
    <row r="33549" s="2" customFormat="1"/>
    <row r="33550" s="2" customFormat="1"/>
    <row r="33551" s="2" customFormat="1"/>
    <row r="33552" s="2" customFormat="1"/>
    <row r="33553" s="2" customFormat="1"/>
    <row r="33554" s="2" customFormat="1"/>
    <row r="33555" s="2" customFormat="1"/>
    <row r="33556" s="2" customFormat="1"/>
    <row r="33557" s="2" customFormat="1"/>
    <row r="33558" s="2" customFormat="1"/>
    <row r="33559" s="2" customFormat="1"/>
    <row r="33560" s="2" customFormat="1"/>
    <row r="33561" s="2" customFormat="1"/>
    <row r="33562" s="2" customFormat="1"/>
    <row r="33563" s="2" customFormat="1"/>
    <row r="33564" s="2" customFormat="1"/>
    <row r="33565" s="2" customFormat="1"/>
    <row r="33566" s="2" customFormat="1"/>
    <row r="33567" s="2" customFormat="1"/>
    <row r="33568" s="2" customFormat="1"/>
    <row r="33569" s="2" customFormat="1"/>
    <row r="33570" s="2" customFormat="1"/>
    <row r="33571" s="2" customFormat="1"/>
    <row r="33572" s="2" customFormat="1"/>
    <row r="33573" s="2" customFormat="1"/>
    <row r="33574" s="2" customFormat="1"/>
    <row r="33575" s="2" customFormat="1"/>
    <row r="33576" s="2" customFormat="1"/>
    <row r="33577" s="2" customFormat="1"/>
    <row r="33578" s="2" customFormat="1"/>
    <row r="33579" s="2" customFormat="1"/>
    <row r="33580" s="2" customFormat="1"/>
    <row r="33581" s="2" customFormat="1"/>
    <row r="33582" s="2" customFormat="1"/>
    <row r="33583" s="2" customFormat="1"/>
    <row r="33584" s="2" customFormat="1"/>
    <row r="33585" s="2" customFormat="1"/>
    <row r="33586" s="2" customFormat="1"/>
    <row r="33587" s="2" customFormat="1"/>
    <row r="33588" s="2" customFormat="1"/>
    <row r="33589" s="2" customFormat="1"/>
    <row r="33590" s="2" customFormat="1"/>
    <row r="33591" s="2" customFormat="1"/>
    <row r="33592" s="2" customFormat="1"/>
    <row r="33593" s="2" customFormat="1"/>
    <row r="33594" s="2" customFormat="1"/>
    <row r="33595" s="2" customFormat="1"/>
    <row r="33596" s="2" customFormat="1"/>
    <row r="33597" s="2" customFormat="1"/>
    <row r="33598" s="2" customFormat="1"/>
    <row r="33599" s="2" customFormat="1"/>
    <row r="33600" s="2" customFormat="1"/>
    <row r="33601" s="2" customFormat="1"/>
    <row r="33602" s="2" customFormat="1"/>
    <row r="33603" s="2" customFormat="1"/>
    <row r="33604" s="2" customFormat="1"/>
    <row r="33605" s="2" customFormat="1"/>
    <row r="33606" s="2" customFormat="1"/>
    <row r="33607" s="2" customFormat="1"/>
    <row r="33608" s="2" customFormat="1"/>
    <row r="33609" s="2" customFormat="1"/>
    <row r="33610" s="2" customFormat="1"/>
    <row r="33611" s="2" customFormat="1"/>
    <row r="33612" s="2" customFormat="1"/>
    <row r="33613" s="2" customFormat="1"/>
    <row r="33614" s="2" customFormat="1"/>
    <row r="33615" s="2" customFormat="1"/>
    <row r="33616" s="2" customFormat="1"/>
    <row r="33617" s="2" customFormat="1"/>
    <row r="33618" s="2" customFormat="1"/>
    <row r="33619" s="2" customFormat="1"/>
    <row r="33620" s="2" customFormat="1"/>
    <row r="33621" s="2" customFormat="1"/>
    <row r="33622" s="2" customFormat="1"/>
    <row r="33623" s="2" customFormat="1"/>
    <row r="33624" s="2" customFormat="1"/>
    <row r="33625" s="2" customFormat="1"/>
    <row r="33626" s="2" customFormat="1"/>
    <row r="33627" s="2" customFormat="1"/>
    <row r="33628" s="2" customFormat="1"/>
    <row r="33629" s="2" customFormat="1"/>
    <row r="33630" s="2" customFormat="1"/>
    <row r="33631" s="2" customFormat="1"/>
    <row r="33632" s="2" customFormat="1"/>
    <row r="33633" s="2" customFormat="1"/>
    <row r="33634" s="2" customFormat="1"/>
    <row r="33635" s="2" customFormat="1"/>
    <row r="33636" s="2" customFormat="1"/>
    <row r="33637" s="2" customFormat="1"/>
    <row r="33638" s="2" customFormat="1"/>
    <row r="33639" s="2" customFormat="1"/>
    <row r="33640" s="2" customFormat="1"/>
    <row r="33641" s="2" customFormat="1"/>
    <row r="33642" s="2" customFormat="1"/>
    <row r="33643" s="2" customFormat="1"/>
    <row r="33644" s="2" customFormat="1"/>
    <row r="33645" s="2" customFormat="1"/>
    <row r="33646" s="2" customFormat="1"/>
    <row r="33647" s="2" customFormat="1"/>
    <row r="33648" s="2" customFormat="1"/>
    <row r="33649" s="2" customFormat="1"/>
    <row r="33650" s="2" customFormat="1"/>
    <row r="33651" s="2" customFormat="1"/>
    <row r="33652" s="2" customFormat="1"/>
    <row r="33653" s="2" customFormat="1"/>
    <row r="33654" s="2" customFormat="1"/>
    <row r="33655" s="2" customFormat="1"/>
    <row r="33656" s="2" customFormat="1"/>
    <row r="33657" s="2" customFormat="1"/>
    <row r="33658" s="2" customFormat="1"/>
    <row r="33659" s="2" customFormat="1"/>
    <row r="33660" s="2" customFormat="1"/>
    <row r="33661" s="2" customFormat="1"/>
    <row r="33662" s="2" customFormat="1"/>
    <row r="33663" s="2" customFormat="1"/>
    <row r="33664" s="2" customFormat="1"/>
    <row r="33665" s="2" customFormat="1"/>
    <row r="33666" s="2" customFormat="1"/>
    <row r="33667" s="2" customFormat="1"/>
    <row r="33668" s="2" customFormat="1"/>
    <row r="33669" s="2" customFormat="1"/>
    <row r="33670" s="2" customFormat="1"/>
    <row r="33671" s="2" customFormat="1"/>
    <row r="33672" s="2" customFormat="1"/>
    <row r="33673" s="2" customFormat="1"/>
    <row r="33674" s="2" customFormat="1"/>
    <row r="33675" s="2" customFormat="1"/>
    <row r="33676" s="2" customFormat="1"/>
    <row r="33677" s="2" customFormat="1"/>
    <row r="33678" s="2" customFormat="1"/>
    <row r="33679" s="2" customFormat="1"/>
    <row r="33680" s="2" customFormat="1"/>
    <row r="33681" s="2" customFormat="1"/>
    <row r="33682" s="2" customFormat="1"/>
    <row r="33683" s="2" customFormat="1"/>
    <row r="33684" s="2" customFormat="1"/>
    <row r="33685" s="2" customFormat="1"/>
    <row r="33686" s="2" customFormat="1"/>
    <row r="33687" s="2" customFormat="1"/>
    <row r="33688" s="2" customFormat="1"/>
    <row r="33689" s="2" customFormat="1"/>
    <row r="33690" s="2" customFormat="1"/>
    <row r="33691" s="2" customFormat="1"/>
    <row r="33692" s="2" customFormat="1"/>
    <row r="33693" s="2" customFormat="1"/>
    <row r="33694" s="2" customFormat="1"/>
    <row r="33695" s="2" customFormat="1"/>
    <row r="33696" s="2" customFormat="1"/>
    <row r="33697" s="2" customFormat="1"/>
    <row r="33698" s="2" customFormat="1"/>
    <row r="33699" s="2" customFormat="1"/>
    <row r="33700" s="2" customFormat="1"/>
    <row r="33701" s="2" customFormat="1"/>
    <row r="33702" s="2" customFormat="1"/>
    <row r="33703" s="2" customFormat="1"/>
    <row r="33704" s="2" customFormat="1"/>
    <row r="33705" s="2" customFormat="1"/>
    <row r="33706" s="2" customFormat="1"/>
    <row r="33707" s="2" customFormat="1"/>
    <row r="33708" s="2" customFormat="1"/>
    <row r="33709" s="2" customFormat="1"/>
    <row r="33710" s="2" customFormat="1"/>
    <row r="33711" s="2" customFormat="1"/>
    <row r="33712" s="2" customFormat="1"/>
    <row r="33713" s="2" customFormat="1"/>
    <row r="33714" s="2" customFormat="1"/>
    <row r="33715" s="2" customFormat="1"/>
    <row r="33716" s="2" customFormat="1"/>
    <row r="33717" s="2" customFormat="1"/>
    <row r="33718" s="2" customFormat="1"/>
    <row r="33719" s="2" customFormat="1"/>
    <row r="33720" s="2" customFormat="1"/>
    <row r="33721" s="2" customFormat="1"/>
    <row r="33722" s="2" customFormat="1"/>
    <row r="33723" s="2" customFormat="1"/>
    <row r="33724" s="2" customFormat="1"/>
    <row r="33725" s="2" customFormat="1"/>
    <row r="33726" s="2" customFormat="1"/>
    <row r="33727" s="2" customFormat="1"/>
    <row r="33728" s="2" customFormat="1"/>
    <row r="33729" s="2" customFormat="1"/>
    <row r="33730" s="2" customFormat="1"/>
    <row r="33731" s="2" customFormat="1"/>
    <row r="33732" s="2" customFormat="1"/>
    <row r="33733" s="2" customFormat="1"/>
    <row r="33734" s="2" customFormat="1"/>
    <row r="33735" s="2" customFormat="1"/>
    <row r="33736" s="2" customFormat="1"/>
    <row r="33737" s="2" customFormat="1"/>
    <row r="33738" s="2" customFormat="1"/>
    <row r="33739" s="2" customFormat="1"/>
    <row r="33740" s="2" customFormat="1"/>
    <row r="33741" s="2" customFormat="1"/>
    <row r="33742" s="2" customFormat="1"/>
    <row r="33743" s="2" customFormat="1"/>
    <row r="33744" s="2" customFormat="1"/>
    <row r="33745" s="2" customFormat="1"/>
    <row r="33746" s="2" customFormat="1"/>
    <row r="33747" s="2" customFormat="1"/>
    <row r="33748" s="2" customFormat="1"/>
    <row r="33749" s="2" customFormat="1"/>
    <row r="33750" s="2" customFormat="1"/>
    <row r="33751" s="2" customFormat="1"/>
    <row r="33752" s="2" customFormat="1"/>
    <row r="33753" s="2" customFormat="1"/>
    <row r="33754" s="2" customFormat="1"/>
    <row r="33755" s="2" customFormat="1"/>
    <row r="33756" s="2" customFormat="1"/>
    <row r="33757" s="2" customFormat="1"/>
    <row r="33758" s="2" customFormat="1"/>
    <row r="33759" s="2" customFormat="1"/>
    <row r="33760" s="2" customFormat="1"/>
    <row r="33761" s="2" customFormat="1"/>
    <row r="33762" s="2" customFormat="1"/>
    <row r="33763" s="2" customFormat="1"/>
    <row r="33764" s="2" customFormat="1"/>
    <row r="33765" s="2" customFormat="1"/>
    <row r="33766" s="2" customFormat="1"/>
    <row r="33767" s="2" customFormat="1"/>
    <row r="33768" s="2" customFormat="1"/>
    <row r="33769" s="2" customFormat="1"/>
    <row r="33770" s="2" customFormat="1"/>
    <row r="33771" s="2" customFormat="1"/>
    <row r="33772" s="2" customFormat="1"/>
    <row r="33773" s="2" customFormat="1"/>
    <row r="33774" s="2" customFormat="1"/>
    <row r="33775" s="2" customFormat="1"/>
    <row r="33776" s="2" customFormat="1"/>
    <row r="33777" s="2" customFormat="1"/>
    <row r="33778" s="2" customFormat="1"/>
    <row r="33779" s="2" customFormat="1"/>
    <row r="33780" s="2" customFormat="1"/>
    <row r="33781" s="2" customFormat="1"/>
    <row r="33782" s="2" customFormat="1"/>
    <row r="33783" s="2" customFormat="1"/>
    <row r="33784" s="2" customFormat="1"/>
    <row r="33785" s="2" customFormat="1"/>
    <row r="33786" s="2" customFormat="1"/>
    <row r="33787" s="2" customFormat="1"/>
    <row r="33788" s="2" customFormat="1"/>
    <row r="33789" s="2" customFormat="1"/>
    <row r="33790" s="2" customFormat="1"/>
    <row r="33791" s="2" customFormat="1"/>
    <row r="33792" s="2" customFormat="1"/>
    <row r="33793" s="2" customFormat="1"/>
    <row r="33794" s="2" customFormat="1"/>
    <row r="33795" s="2" customFormat="1"/>
    <row r="33796" s="2" customFormat="1"/>
    <row r="33797" s="2" customFormat="1"/>
    <row r="33798" s="2" customFormat="1"/>
    <row r="33799" s="2" customFormat="1"/>
    <row r="33800" s="2" customFormat="1"/>
    <row r="33801" s="2" customFormat="1"/>
    <row r="33802" s="2" customFormat="1"/>
    <row r="33803" s="2" customFormat="1"/>
    <row r="33804" s="2" customFormat="1"/>
    <row r="33805" s="2" customFormat="1"/>
    <row r="33806" s="2" customFormat="1"/>
    <row r="33807" s="2" customFormat="1"/>
    <row r="33808" s="2" customFormat="1"/>
    <row r="33809" s="2" customFormat="1"/>
    <row r="33810" s="2" customFormat="1"/>
    <row r="33811" s="2" customFormat="1"/>
    <row r="33812" s="2" customFormat="1"/>
    <row r="33813" s="2" customFormat="1"/>
    <row r="33814" s="2" customFormat="1"/>
    <row r="33815" s="2" customFormat="1"/>
    <row r="33816" s="2" customFormat="1"/>
    <row r="33817" s="2" customFormat="1"/>
    <row r="33818" s="2" customFormat="1"/>
    <row r="33819" s="2" customFormat="1"/>
    <row r="33820" s="2" customFormat="1"/>
    <row r="33821" s="2" customFormat="1"/>
    <row r="33822" s="2" customFormat="1"/>
    <row r="33823" s="2" customFormat="1"/>
    <row r="33824" s="2" customFormat="1"/>
    <row r="33825" s="2" customFormat="1"/>
    <row r="33826" s="2" customFormat="1"/>
    <row r="33827" s="2" customFormat="1"/>
    <row r="33828" s="2" customFormat="1"/>
    <row r="33829" s="2" customFormat="1"/>
    <row r="33830" s="2" customFormat="1"/>
    <row r="33831" s="2" customFormat="1"/>
    <row r="33832" s="2" customFormat="1"/>
    <row r="33833" s="2" customFormat="1"/>
    <row r="33834" s="2" customFormat="1"/>
    <row r="33835" s="2" customFormat="1"/>
    <row r="33836" s="2" customFormat="1"/>
    <row r="33837" s="2" customFormat="1"/>
    <row r="33838" s="2" customFormat="1"/>
    <row r="33839" s="2" customFormat="1"/>
    <row r="33840" s="2" customFormat="1"/>
    <row r="33841" s="2" customFormat="1"/>
    <row r="33842" s="2" customFormat="1"/>
    <row r="33843" s="2" customFormat="1"/>
    <row r="33844" s="2" customFormat="1"/>
    <row r="33845" s="2" customFormat="1"/>
    <row r="33846" s="2" customFormat="1"/>
    <row r="33847" s="2" customFormat="1"/>
    <row r="33848" s="2" customFormat="1"/>
    <row r="33849" s="2" customFormat="1"/>
    <row r="33850" s="2" customFormat="1"/>
    <row r="33851" s="2" customFormat="1"/>
    <row r="33852" s="2" customFormat="1"/>
    <row r="33853" s="2" customFormat="1"/>
    <row r="33854" s="2" customFormat="1"/>
    <row r="33855" s="2" customFormat="1"/>
    <row r="33856" s="2" customFormat="1"/>
    <row r="33857" s="2" customFormat="1"/>
    <row r="33858" s="2" customFormat="1"/>
    <row r="33859" s="2" customFormat="1"/>
    <row r="33860" s="2" customFormat="1"/>
    <row r="33861" s="2" customFormat="1"/>
    <row r="33862" s="2" customFormat="1"/>
    <row r="33863" s="2" customFormat="1"/>
    <row r="33864" s="2" customFormat="1"/>
    <row r="33865" s="2" customFormat="1"/>
    <row r="33866" s="2" customFormat="1"/>
    <row r="33867" s="2" customFormat="1"/>
    <row r="33868" s="2" customFormat="1"/>
    <row r="33869" s="2" customFormat="1"/>
    <row r="33870" s="2" customFormat="1"/>
    <row r="33871" s="2" customFormat="1"/>
    <row r="33872" s="2" customFormat="1"/>
    <row r="33873" s="2" customFormat="1"/>
    <row r="33874" s="2" customFormat="1"/>
    <row r="33875" s="2" customFormat="1"/>
    <row r="33876" s="2" customFormat="1"/>
    <row r="33877" s="2" customFormat="1"/>
    <row r="33878" s="2" customFormat="1"/>
    <row r="33879" s="2" customFormat="1"/>
    <row r="33880" s="2" customFormat="1"/>
    <row r="33881" s="2" customFormat="1"/>
    <row r="33882" s="2" customFormat="1"/>
    <row r="33883" s="2" customFormat="1"/>
    <row r="33884" s="2" customFormat="1"/>
    <row r="33885" s="2" customFormat="1"/>
    <row r="33886" s="2" customFormat="1"/>
    <row r="33887" s="2" customFormat="1"/>
    <row r="33888" s="2" customFormat="1"/>
    <row r="33889" s="2" customFormat="1"/>
    <row r="33890" s="2" customFormat="1"/>
    <row r="33891" s="2" customFormat="1"/>
    <row r="33892" s="2" customFormat="1"/>
    <row r="33893" s="2" customFormat="1"/>
    <row r="33894" s="2" customFormat="1"/>
    <row r="33895" s="2" customFormat="1"/>
    <row r="33896" s="2" customFormat="1"/>
    <row r="33897" s="2" customFormat="1"/>
    <row r="33898" s="2" customFormat="1"/>
    <row r="33899" s="2" customFormat="1"/>
    <row r="33900" s="2" customFormat="1"/>
    <row r="33901" s="2" customFormat="1"/>
    <row r="33902" s="2" customFormat="1"/>
    <row r="33903" s="2" customFormat="1"/>
    <row r="33904" s="2" customFormat="1"/>
    <row r="33905" s="2" customFormat="1"/>
    <row r="33906" s="2" customFormat="1"/>
    <row r="33907" s="2" customFormat="1"/>
    <row r="33908" s="2" customFormat="1"/>
    <row r="33909" s="2" customFormat="1"/>
    <row r="33910" s="2" customFormat="1"/>
    <row r="33911" s="2" customFormat="1"/>
    <row r="33912" s="2" customFormat="1"/>
    <row r="33913" s="2" customFormat="1"/>
    <row r="33914" s="2" customFormat="1"/>
    <row r="33915" s="2" customFormat="1"/>
    <row r="33916" s="2" customFormat="1"/>
    <row r="33917" s="2" customFormat="1"/>
    <row r="33918" s="2" customFormat="1"/>
    <row r="33919" s="2" customFormat="1"/>
    <row r="33920" s="2" customFormat="1"/>
    <row r="33921" s="2" customFormat="1"/>
    <row r="33922" s="2" customFormat="1"/>
    <row r="33923" s="2" customFormat="1"/>
    <row r="33924" s="2" customFormat="1"/>
    <row r="33925" s="2" customFormat="1"/>
    <row r="33926" s="2" customFormat="1"/>
    <row r="33927" s="2" customFormat="1"/>
    <row r="33928" s="2" customFormat="1"/>
    <row r="33929" s="2" customFormat="1"/>
    <row r="33930" s="2" customFormat="1"/>
    <row r="33931" s="2" customFormat="1"/>
    <row r="33932" s="2" customFormat="1"/>
    <row r="33933" s="2" customFormat="1"/>
    <row r="33934" s="2" customFormat="1"/>
    <row r="33935" s="2" customFormat="1"/>
    <row r="33936" s="2" customFormat="1"/>
    <row r="33937" s="2" customFormat="1"/>
    <row r="33938" s="2" customFormat="1"/>
    <row r="33939" s="2" customFormat="1"/>
    <row r="33940" s="2" customFormat="1"/>
    <row r="33941" s="2" customFormat="1"/>
    <row r="33942" s="2" customFormat="1"/>
    <row r="33943" s="2" customFormat="1"/>
    <row r="33944" s="2" customFormat="1"/>
    <row r="33945" s="2" customFormat="1"/>
    <row r="33946" s="2" customFormat="1"/>
    <row r="33947" s="2" customFormat="1"/>
    <row r="33948" s="2" customFormat="1"/>
    <row r="33949" s="2" customFormat="1"/>
    <row r="33950" s="2" customFormat="1"/>
    <row r="33951" s="2" customFormat="1"/>
    <row r="33952" s="2" customFormat="1"/>
    <row r="33953" s="2" customFormat="1"/>
    <row r="33954" s="2" customFormat="1"/>
    <row r="33955" s="2" customFormat="1"/>
    <row r="33956" s="2" customFormat="1"/>
    <row r="33957" s="2" customFormat="1"/>
    <row r="33958" s="2" customFormat="1"/>
    <row r="33959" s="2" customFormat="1"/>
    <row r="33960" s="2" customFormat="1"/>
    <row r="33961" s="2" customFormat="1"/>
    <row r="33962" s="2" customFormat="1"/>
    <row r="33963" s="2" customFormat="1"/>
    <row r="33964" s="2" customFormat="1"/>
    <row r="33965" s="2" customFormat="1"/>
    <row r="33966" s="2" customFormat="1"/>
    <row r="33967" s="2" customFormat="1"/>
    <row r="33968" s="2" customFormat="1"/>
    <row r="33969" s="2" customFormat="1"/>
    <row r="33970" s="2" customFormat="1"/>
    <row r="33971" s="2" customFormat="1"/>
    <row r="33972" s="2" customFormat="1"/>
    <row r="33973" s="2" customFormat="1"/>
    <row r="33974" s="2" customFormat="1"/>
    <row r="33975" s="2" customFormat="1"/>
    <row r="33976" s="2" customFormat="1"/>
    <row r="33977" s="2" customFormat="1"/>
    <row r="33978" s="2" customFormat="1"/>
    <row r="33979" s="2" customFormat="1"/>
    <row r="33980" s="2" customFormat="1"/>
    <row r="33981" s="2" customFormat="1"/>
    <row r="33982" s="2" customFormat="1"/>
    <row r="33983" s="2" customFormat="1"/>
    <row r="33984" s="2" customFormat="1"/>
    <row r="33985" s="2" customFormat="1"/>
    <row r="33986" s="2" customFormat="1"/>
    <row r="33987" s="2" customFormat="1"/>
    <row r="33988" s="2" customFormat="1"/>
    <row r="33989" s="2" customFormat="1"/>
    <row r="33990" s="2" customFormat="1"/>
    <row r="33991" s="2" customFormat="1"/>
    <row r="33992" s="2" customFormat="1"/>
    <row r="33993" s="2" customFormat="1"/>
    <row r="33994" s="2" customFormat="1"/>
    <row r="33995" s="2" customFormat="1"/>
    <row r="33996" s="2" customFormat="1"/>
    <row r="33997" s="2" customFormat="1"/>
    <row r="33998" s="2" customFormat="1"/>
    <row r="33999" s="2" customFormat="1"/>
    <row r="34000" s="2" customFormat="1"/>
    <row r="34001" s="2" customFormat="1"/>
    <row r="34002" s="2" customFormat="1"/>
    <row r="34003" s="2" customFormat="1"/>
    <row r="34004" s="2" customFormat="1"/>
    <row r="34005" s="2" customFormat="1"/>
    <row r="34006" s="2" customFormat="1"/>
    <row r="34007" s="2" customFormat="1"/>
    <row r="34008" s="2" customFormat="1"/>
    <row r="34009" s="2" customFormat="1"/>
    <row r="34010" s="2" customFormat="1"/>
    <row r="34011" s="2" customFormat="1"/>
    <row r="34012" s="2" customFormat="1"/>
    <row r="34013" s="2" customFormat="1"/>
    <row r="34014" s="2" customFormat="1"/>
    <row r="34015" s="2" customFormat="1"/>
    <row r="34016" s="2" customFormat="1"/>
    <row r="34017" s="2" customFormat="1"/>
    <row r="34018" s="2" customFormat="1"/>
    <row r="34019" s="2" customFormat="1"/>
    <row r="34020" s="2" customFormat="1"/>
    <row r="34021" s="2" customFormat="1"/>
    <row r="34022" s="2" customFormat="1"/>
    <row r="34023" s="2" customFormat="1"/>
    <row r="34024" s="2" customFormat="1"/>
    <row r="34025" s="2" customFormat="1"/>
    <row r="34026" s="2" customFormat="1"/>
    <row r="34027" s="2" customFormat="1"/>
    <row r="34028" s="2" customFormat="1"/>
    <row r="34029" s="2" customFormat="1"/>
    <row r="34030" s="2" customFormat="1"/>
    <row r="34031" s="2" customFormat="1"/>
    <row r="34032" s="2" customFormat="1"/>
    <row r="34033" s="2" customFormat="1"/>
    <row r="34034" s="2" customFormat="1"/>
    <row r="34035" s="2" customFormat="1"/>
    <row r="34036" s="2" customFormat="1"/>
    <row r="34037" s="2" customFormat="1"/>
    <row r="34038" s="2" customFormat="1"/>
    <row r="34039" s="2" customFormat="1"/>
    <row r="34040" s="2" customFormat="1"/>
    <row r="34041" s="2" customFormat="1"/>
    <row r="34042" s="2" customFormat="1"/>
    <row r="34043" s="2" customFormat="1"/>
    <row r="34044" s="2" customFormat="1"/>
    <row r="34045" s="2" customFormat="1"/>
    <row r="34046" s="2" customFormat="1"/>
    <row r="34047" s="2" customFormat="1"/>
    <row r="34048" s="2" customFormat="1"/>
    <row r="34049" s="2" customFormat="1"/>
    <row r="34050" s="2" customFormat="1"/>
    <row r="34051" s="2" customFormat="1"/>
    <row r="34052" s="2" customFormat="1"/>
    <row r="34053" s="2" customFormat="1"/>
    <row r="34054" s="2" customFormat="1"/>
    <row r="34055" s="2" customFormat="1"/>
    <row r="34056" s="2" customFormat="1"/>
    <row r="34057" s="2" customFormat="1"/>
    <row r="34058" s="2" customFormat="1"/>
    <row r="34059" s="2" customFormat="1"/>
    <row r="34060" s="2" customFormat="1"/>
    <row r="34061" s="2" customFormat="1"/>
    <row r="34062" s="2" customFormat="1"/>
    <row r="34063" s="2" customFormat="1"/>
    <row r="34064" s="2" customFormat="1"/>
    <row r="34065" s="2" customFormat="1"/>
    <row r="34066" s="2" customFormat="1"/>
    <row r="34067" s="2" customFormat="1"/>
    <row r="34068" s="2" customFormat="1"/>
    <row r="34069" s="2" customFormat="1"/>
    <row r="34070" s="2" customFormat="1"/>
    <row r="34071" s="2" customFormat="1"/>
    <row r="34072" s="2" customFormat="1"/>
    <row r="34073" s="2" customFormat="1"/>
    <row r="34074" s="2" customFormat="1"/>
    <row r="34075" s="2" customFormat="1"/>
    <row r="34076" s="2" customFormat="1"/>
    <row r="34077" s="2" customFormat="1"/>
    <row r="34078" s="2" customFormat="1"/>
    <row r="34079" s="2" customFormat="1"/>
    <row r="34080" s="2" customFormat="1"/>
    <row r="34081" s="2" customFormat="1"/>
    <row r="34082" s="2" customFormat="1"/>
    <row r="34083" s="2" customFormat="1"/>
    <row r="34084" s="2" customFormat="1"/>
    <row r="34085" s="2" customFormat="1"/>
    <row r="34086" s="2" customFormat="1"/>
    <row r="34087" s="2" customFormat="1"/>
    <row r="34088" s="2" customFormat="1"/>
    <row r="34089" s="2" customFormat="1"/>
    <row r="34090" s="2" customFormat="1"/>
    <row r="34091" s="2" customFormat="1"/>
    <row r="34092" s="2" customFormat="1"/>
    <row r="34093" s="2" customFormat="1"/>
    <row r="34094" s="2" customFormat="1"/>
    <row r="34095" s="2" customFormat="1"/>
    <row r="34096" s="2" customFormat="1"/>
    <row r="34097" s="2" customFormat="1"/>
    <row r="34098" s="2" customFormat="1"/>
    <row r="34099" s="2" customFormat="1"/>
    <row r="34100" s="2" customFormat="1"/>
    <row r="34101" s="2" customFormat="1"/>
    <row r="34102" s="2" customFormat="1"/>
    <row r="34103" s="2" customFormat="1"/>
    <row r="34104" s="2" customFormat="1"/>
    <row r="34105" s="2" customFormat="1"/>
    <row r="34106" s="2" customFormat="1"/>
    <row r="34107" s="2" customFormat="1"/>
    <row r="34108" s="2" customFormat="1"/>
    <row r="34109" s="2" customFormat="1"/>
    <row r="34110" s="2" customFormat="1"/>
    <row r="34111" s="2" customFormat="1"/>
    <row r="34112" s="2" customFormat="1"/>
    <row r="34113" s="2" customFormat="1"/>
    <row r="34114" s="2" customFormat="1"/>
    <row r="34115" s="2" customFormat="1"/>
    <row r="34116" s="2" customFormat="1"/>
    <row r="34117" s="2" customFormat="1"/>
    <row r="34118" s="2" customFormat="1"/>
    <row r="34119" s="2" customFormat="1"/>
    <row r="34120" s="2" customFormat="1"/>
    <row r="34121" s="2" customFormat="1"/>
    <row r="34122" s="2" customFormat="1"/>
    <row r="34123" s="2" customFormat="1"/>
    <row r="34124" s="2" customFormat="1"/>
    <row r="34125" s="2" customFormat="1"/>
    <row r="34126" s="2" customFormat="1"/>
    <row r="34127" s="2" customFormat="1"/>
    <row r="34128" s="2" customFormat="1"/>
    <row r="34129" s="2" customFormat="1"/>
    <row r="34130" s="2" customFormat="1"/>
    <row r="34131" s="2" customFormat="1"/>
    <row r="34132" s="2" customFormat="1"/>
    <row r="34133" s="2" customFormat="1"/>
    <row r="34134" s="2" customFormat="1"/>
    <row r="34135" s="2" customFormat="1"/>
    <row r="34136" s="2" customFormat="1"/>
    <row r="34137" s="2" customFormat="1"/>
    <row r="34138" s="2" customFormat="1"/>
    <row r="34139" s="2" customFormat="1"/>
    <row r="34140" s="2" customFormat="1"/>
    <row r="34141" s="2" customFormat="1"/>
    <row r="34142" s="2" customFormat="1"/>
    <row r="34143" s="2" customFormat="1"/>
    <row r="34144" s="2" customFormat="1"/>
    <row r="34145" s="2" customFormat="1"/>
    <row r="34146" s="2" customFormat="1"/>
    <row r="34147" s="2" customFormat="1"/>
    <row r="34148" s="2" customFormat="1"/>
    <row r="34149" s="2" customFormat="1"/>
    <row r="34150" s="2" customFormat="1"/>
    <row r="34151" s="2" customFormat="1"/>
    <row r="34152" s="2" customFormat="1"/>
    <row r="34153" s="2" customFormat="1"/>
    <row r="34154" s="2" customFormat="1"/>
    <row r="34155" s="2" customFormat="1"/>
    <row r="34156" s="2" customFormat="1"/>
    <row r="34157" s="2" customFormat="1"/>
    <row r="34158" s="2" customFormat="1"/>
    <row r="34159" s="2" customFormat="1"/>
    <row r="34160" s="2" customFormat="1"/>
    <row r="34161" s="2" customFormat="1"/>
    <row r="34162" s="2" customFormat="1"/>
    <row r="34163" s="2" customFormat="1"/>
    <row r="34164" s="2" customFormat="1"/>
    <row r="34165" s="2" customFormat="1"/>
    <row r="34166" s="2" customFormat="1"/>
    <row r="34167" s="2" customFormat="1"/>
    <row r="34168" s="2" customFormat="1"/>
    <row r="34169" s="2" customFormat="1"/>
    <row r="34170" s="2" customFormat="1"/>
    <row r="34171" s="2" customFormat="1"/>
    <row r="34172" s="2" customFormat="1"/>
    <row r="34173" s="2" customFormat="1"/>
    <row r="34174" s="2" customFormat="1"/>
    <row r="34175" s="2" customFormat="1"/>
    <row r="34176" s="2" customFormat="1"/>
    <row r="34177" s="2" customFormat="1"/>
    <row r="34178" s="2" customFormat="1"/>
    <row r="34179" s="2" customFormat="1"/>
    <row r="34180" s="2" customFormat="1"/>
    <row r="34181" s="2" customFormat="1"/>
    <row r="34182" s="2" customFormat="1"/>
    <row r="34183" s="2" customFormat="1"/>
    <row r="34184" s="2" customFormat="1"/>
    <row r="34185" s="2" customFormat="1"/>
    <row r="34186" s="2" customFormat="1"/>
    <row r="34187" s="2" customFormat="1"/>
    <row r="34188" s="2" customFormat="1"/>
    <row r="34189" s="2" customFormat="1"/>
    <row r="34190" s="2" customFormat="1"/>
    <row r="34191" s="2" customFormat="1"/>
    <row r="34192" s="2" customFormat="1"/>
    <row r="34193" s="2" customFormat="1"/>
    <row r="34194" s="2" customFormat="1"/>
    <row r="34195" s="2" customFormat="1"/>
    <row r="34196" s="2" customFormat="1"/>
    <row r="34197" s="2" customFormat="1"/>
    <row r="34198" s="2" customFormat="1"/>
    <row r="34199" s="2" customFormat="1"/>
    <row r="34200" s="2" customFormat="1"/>
    <row r="34201" s="2" customFormat="1"/>
    <row r="34202" s="2" customFormat="1"/>
    <row r="34203" s="2" customFormat="1"/>
    <row r="34204" s="2" customFormat="1"/>
    <row r="34205" s="2" customFormat="1"/>
    <row r="34206" s="2" customFormat="1"/>
    <row r="34207" s="2" customFormat="1"/>
    <row r="34208" s="2" customFormat="1"/>
    <row r="34209" s="2" customFormat="1"/>
    <row r="34210" s="2" customFormat="1"/>
    <row r="34211" s="2" customFormat="1"/>
    <row r="34212" s="2" customFormat="1"/>
    <row r="34213" s="2" customFormat="1"/>
    <row r="34214" s="2" customFormat="1"/>
    <row r="34215" s="2" customFormat="1"/>
    <row r="34216" s="2" customFormat="1"/>
    <row r="34217" s="2" customFormat="1"/>
    <row r="34218" s="2" customFormat="1"/>
    <row r="34219" s="2" customFormat="1"/>
    <row r="34220" s="2" customFormat="1"/>
    <row r="34221" s="2" customFormat="1"/>
    <row r="34222" s="2" customFormat="1"/>
    <row r="34223" s="2" customFormat="1"/>
    <row r="34224" s="2" customFormat="1"/>
    <row r="34225" s="2" customFormat="1"/>
    <row r="34226" s="2" customFormat="1"/>
    <row r="34227" s="2" customFormat="1"/>
    <row r="34228" s="2" customFormat="1"/>
    <row r="34229" s="2" customFormat="1"/>
    <row r="34230" s="2" customFormat="1"/>
    <row r="34231" s="2" customFormat="1"/>
    <row r="34232" s="2" customFormat="1"/>
    <row r="34233" s="2" customFormat="1"/>
    <row r="34234" s="2" customFormat="1"/>
    <row r="34235" s="2" customFormat="1"/>
    <row r="34236" s="2" customFormat="1"/>
    <row r="34237" s="2" customFormat="1"/>
    <row r="34238" s="2" customFormat="1"/>
    <row r="34239" s="2" customFormat="1"/>
    <row r="34240" s="2" customFormat="1"/>
    <row r="34241" s="2" customFormat="1"/>
    <row r="34242" s="2" customFormat="1"/>
    <row r="34243" s="2" customFormat="1"/>
    <row r="34244" s="2" customFormat="1"/>
    <row r="34245" s="2" customFormat="1"/>
    <row r="34246" s="2" customFormat="1"/>
    <row r="34247" s="2" customFormat="1"/>
    <row r="34248" s="2" customFormat="1"/>
    <row r="34249" s="2" customFormat="1"/>
    <row r="34250" s="2" customFormat="1"/>
    <row r="34251" s="2" customFormat="1"/>
    <row r="34252" s="2" customFormat="1"/>
    <row r="34253" s="2" customFormat="1"/>
    <row r="34254" s="2" customFormat="1"/>
    <row r="34255" s="2" customFormat="1"/>
    <row r="34256" s="2" customFormat="1"/>
    <row r="34257" s="2" customFormat="1"/>
    <row r="34258" s="2" customFormat="1"/>
    <row r="34259" s="2" customFormat="1"/>
    <row r="34260" s="2" customFormat="1"/>
    <row r="34261" s="2" customFormat="1"/>
    <row r="34262" s="2" customFormat="1"/>
    <row r="34263" s="2" customFormat="1"/>
    <row r="34264" s="2" customFormat="1"/>
    <row r="34265" s="2" customFormat="1"/>
    <row r="34266" s="2" customFormat="1"/>
    <row r="34267" s="2" customFormat="1"/>
    <row r="34268" s="2" customFormat="1"/>
    <row r="34269" s="2" customFormat="1"/>
    <row r="34270" s="2" customFormat="1"/>
    <row r="34271" s="2" customFormat="1"/>
    <row r="34272" s="2" customFormat="1"/>
    <row r="34273" s="2" customFormat="1"/>
    <row r="34274" s="2" customFormat="1"/>
    <row r="34275" s="2" customFormat="1"/>
    <row r="34276" s="2" customFormat="1"/>
    <row r="34277" s="2" customFormat="1"/>
    <row r="34278" s="2" customFormat="1"/>
    <row r="34279" s="2" customFormat="1"/>
    <row r="34280" s="2" customFormat="1"/>
    <row r="34281" s="2" customFormat="1"/>
    <row r="34282" s="2" customFormat="1"/>
    <row r="34283" s="2" customFormat="1"/>
    <row r="34284" s="2" customFormat="1"/>
    <row r="34285" s="2" customFormat="1"/>
    <row r="34286" s="2" customFormat="1"/>
    <row r="34287" s="2" customFormat="1"/>
    <row r="34288" s="2" customFormat="1"/>
    <row r="34289" s="2" customFormat="1"/>
    <row r="34290" s="2" customFormat="1"/>
    <row r="34291" s="2" customFormat="1"/>
    <row r="34292" s="2" customFormat="1"/>
    <row r="34293" s="2" customFormat="1"/>
    <row r="34294" s="2" customFormat="1"/>
    <row r="34295" s="2" customFormat="1"/>
    <row r="34296" s="2" customFormat="1"/>
    <row r="34297" s="2" customFormat="1"/>
    <row r="34298" s="2" customFormat="1"/>
    <row r="34299" s="2" customFormat="1"/>
    <row r="34300" s="2" customFormat="1"/>
    <row r="34301" s="2" customFormat="1"/>
    <row r="34302" s="2" customFormat="1"/>
    <row r="34303" s="2" customFormat="1"/>
    <row r="34304" s="2" customFormat="1"/>
    <row r="34305" s="2" customFormat="1"/>
    <row r="34306" s="2" customFormat="1"/>
    <row r="34307" s="2" customFormat="1"/>
    <row r="34308" s="2" customFormat="1"/>
    <row r="34309" s="2" customFormat="1"/>
    <row r="34310" s="2" customFormat="1"/>
    <row r="34311" s="2" customFormat="1"/>
    <row r="34312" s="2" customFormat="1"/>
    <row r="34313" s="2" customFormat="1"/>
    <row r="34314" s="2" customFormat="1"/>
    <row r="34315" s="2" customFormat="1"/>
    <row r="34316" s="2" customFormat="1"/>
    <row r="34317" s="2" customFormat="1"/>
    <row r="34318" s="2" customFormat="1"/>
    <row r="34319" s="2" customFormat="1"/>
    <row r="34320" s="2" customFormat="1"/>
    <row r="34321" s="2" customFormat="1"/>
    <row r="34322" s="2" customFormat="1"/>
    <row r="34323" s="2" customFormat="1"/>
    <row r="34324" s="2" customFormat="1"/>
    <row r="34325" s="2" customFormat="1"/>
    <row r="34326" s="2" customFormat="1"/>
    <row r="34327" s="2" customFormat="1"/>
    <row r="34328" s="2" customFormat="1"/>
    <row r="34329" s="2" customFormat="1"/>
    <row r="34330" s="2" customFormat="1"/>
    <row r="34331" s="2" customFormat="1"/>
    <row r="34332" s="2" customFormat="1"/>
    <row r="34333" s="2" customFormat="1"/>
    <row r="34334" s="2" customFormat="1"/>
    <row r="34335" s="2" customFormat="1"/>
    <row r="34336" s="2" customFormat="1"/>
    <row r="34337" s="2" customFormat="1"/>
    <row r="34338" s="2" customFormat="1"/>
    <row r="34339" s="2" customFormat="1"/>
    <row r="34340" s="2" customFormat="1"/>
    <row r="34341" s="2" customFormat="1"/>
    <row r="34342" s="2" customFormat="1"/>
    <row r="34343" s="2" customFormat="1"/>
    <row r="34344" s="2" customFormat="1"/>
    <row r="34345" s="2" customFormat="1"/>
    <row r="34346" s="2" customFormat="1"/>
    <row r="34347" s="2" customFormat="1"/>
    <row r="34348" s="2" customFormat="1"/>
    <row r="34349" s="2" customFormat="1"/>
    <row r="34350" s="2" customFormat="1"/>
    <row r="34351" s="2" customFormat="1"/>
    <row r="34352" s="2" customFormat="1"/>
    <row r="34353" s="2" customFormat="1"/>
    <row r="34354" s="2" customFormat="1"/>
    <row r="34355" s="2" customFormat="1"/>
    <row r="34356" s="2" customFormat="1"/>
    <row r="34357" s="2" customFormat="1"/>
    <row r="34358" s="2" customFormat="1"/>
    <row r="34359" s="2" customFormat="1"/>
    <row r="34360" s="2" customFormat="1"/>
    <row r="34361" s="2" customFormat="1"/>
    <row r="34362" s="2" customFormat="1"/>
    <row r="34363" s="2" customFormat="1"/>
    <row r="34364" s="2" customFormat="1"/>
    <row r="34365" s="2" customFormat="1"/>
    <row r="34366" s="2" customFormat="1"/>
    <row r="34367" s="2" customFormat="1"/>
    <row r="34368" s="2" customFormat="1"/>
    <row r="34369" s="2" customFormat="1"/>
    <row r="34370" s="2" customFormat="1"/>
    <row r="34371" s="2" customFormat="1"/>
    <row r="34372" s="2" customFormat="1"/>
    <row r="34373" s="2" customFormat="1"/>
    <row r="34374" s="2" customFormat="1"/>
    <row r="34375" s="2" customFormat="1"/>
    <row r="34376" s="2" customFormat="1"/>
    <row r="34377" s="2" customFormat="1"/>
    <row r="34378" s="2" customFormat="1"/>
    <row r="34379" s="2" customFormat="1"/>
    <row r="34380" s="2" customFormat="1"/>
    <row r="34381" s="2" customFormat="1"/>
    <row r="34382" s="2" customFormat="1"/>
    <row r="34383" s="2" customFormat="1"/>
    <row r="34384" s="2" customFormat="1"/>
    <row r="34385" s="2" customFormat="1"/>
    <row r="34386" s="2" customFormat="1"/>
    <row r="34387" s="2" customFormat="1"/>
    <row r="34388" s="2" customFormat="1"/>
    <row r="34389" s="2" customFormat="1"/>
    <row r="34390" s="2" customFormat="1"/>
    <row r="34391" s="2" customFormat="1"/>
    <row r="34392" s="2" customFormat="1"/>
    <row r="34393" s="2" customFormat="1"/>
    <row r="34394" s="2" customFormat="1"/>
    <row r="34395" s="2" customFormat="1"/>
    <row r="34396" s="2" customFormat="1"/>
    <row r="34397" s="2" customFormat="1"/>
    <row r="34398" s="2" customFormat="1"/>
    <row r="34399" s="2" customFormat="1"/>
    <row r="34400" s="2" customFormat="1"/>
    <row r="34401" s="2" customFormat="1"/>
    <row r="34402" s="2" customFormat="1"/>
    <row r="34403" s="2" customFormat="1"/>
    <row r="34404" s="2" customFormat="1"/>
    <row r="34405" s="2" customFormat="1"/>
    <row r="34406" s="2" customFormat="1"/>
    <row r="34407" s="2" customFormat="1"/>
    <row r="34408" s="2" customFormat="1"/>
    <row r="34409" s="2" customFormat="1"/>
    <row r="34410" s="2" customFormat="1"/>
    <row r="34411" s="2" customFormat="1"/>
    <row r="34412" s="2" customFormat="1"/>
    <row r="34413" s="2" customFormat="1"/>
    <row r="34414" s="2" customFormat="1"/>
    <row r="34415" s="2" customFormat="1"/>
    <row r="34416" s="2" customFormat="1"/>
    <row r="34417" s="2" customFormat="1"/>
    <row r="34418" s="2" customFormat="1"/>
    <row r="34419" s="2" customFormat="1"/>
    <row r="34420" s="2" customFormat="1"/>
    <row r="34421" s="2" customFormat="1"/>
    <row r="34422" s="2" customFormat="1"/>
    <row r="34423" s="2" customFormat="1"/>
    <row r="34424" s="2" customFormat="1"/>
    <row r="34425" s="2" customFormat="1"/>
    <row r="34426" s="2" customFormat="1"/>
    <row r="34427" s="2" customFormat="1"/>
    <row r="34428" s="2" customFormat="1"/>
    <row r="34429" s="2" customFormat="1"/>
    <row r="34430" s="2" customFormat="1"/>
    <row r="34431" s="2" customFormat="1"/>
    <row r="34432" s="2" customFormat="1"/>
    <row r="34433" s="2" customFormat="1"/>
    <row r="34434" s="2" customFormat="1"/>
    <row r="34435" s="2" customFormat="1"/>
    <row r="34436" s="2" customFormat="1"/>
    <row r="34437" s="2" customFormat="1"/>
    <row r="34438" s="2" customFormat="1"/>
    <row r="34439" s="2" customFormat="1"/>
    <row r="34440" s="2" customFormat="1"/>
    <row r="34441" s="2" customFormat="1"/>
    <row r="34442" s="2" customFormat="1"/>
    <row r="34443" s="2" customFormat="1"/>
    <row r="34444" s="2" customFormat="1"/>
    <row r="34445" s="2" customFormat="1"/>
    <row r="34446" s="2" customFormat="1"/>
    <row r="34447" s="2" customFormat="1"/>
    <row r="34448" s="2" customFormat="1"/>
    <row r="34449" s="2" customFormat="1"/>
    <row r="34450" s="2" customFormat="1"/>
    <row r="34451" s="2" customFormat="1"/>
    <row r="34452" s="2" customFormat="1"/>
    <row r="34453" s="2" customFormat="1"/>
    <row r="34454" s="2" customFormat="1"/>
    <row r="34455" s="2" customFormat="1"/>
    <row r="34456" s="2" customFormat="1"/>
    <row r="34457" s="2" customFormat="1"/>
    <row r="34458" s="2" customFormat="1"/>
    <row r="34459" s="2" customFormat="1"/>
    <row r="34460" s="2" customFormat="1"/>
    <row r="34461" s="2" customFormat="1"/>
    <row r="34462" s="2" customFormat="1"/>
    <row r="34463" s="2" customFormat="1"/>
    <row r="34464" s="2" customFormat="1"/>
    <row r="34465" s="2" customFormat="1"/>
    <row r="34466" s="2" customFormat="1"/>
    <row r="34467" s="2" customFormat="1"/>
    <row r="34468" s="2" customFormat="1"/>
    <row r="34469" s="2" customFormat="1"/>
    <row r="34470" s="2" customFormat="1"/>
    <row r="34471" s="2" customFormat="1"/>
    <row r="34472" s="2" customFormat="1"/>
    <row r="34473" s="2" customFormat="1"/>
    <row r="34474" s="2" customFormat="1"/>
    <row r="34475" s="2" customFormat="1"/>
    <row r="34476" s="2" customFormat="1"/>
    <row r="34477" s="2" customFormat="1"/>
    <row r="34478" s="2" customFormat="1"/>
    <row r="34479" s="2" customFormat="1"/>
    <row r="34480" s="2" customFormat="1"/>
    <row r="34481" s="2" customFormat="1"/>
    <row r="34482" s="2" customFormat="1"/>
    <row r="34483" s="2" customFormat="1"/>
    <row r="34484" s="2" customFormat="1"/>
    <row r="34485" s="2" customFormat="1"/>
    <row r="34486" s="2" customFormat="1"/>
    <row r="34487" s="2" customFormat="1"/>
    <row r="34488" s="2" customFormat="1"/>
    <row r="34489" s="2" customFormat="1"/>
    <row r="34490" s="2" customFormat="1"/>
    <row r="34491" s="2" customFormat="1"/>
    <row r="34492" s="2" customFormat="1"/>
    <row r="34493" s="2" customFormat="1"/>
    <row r="34494" s="2" customFormat="1"/>
    <row r="34495" s="2" customFormat="1"/>
    <row r="34496" s="2" customFormat="1"/>
    <row r="34497" s="2" customFormat="1"/>
    <row r="34498" s="2" customFormat="1"/>
    <row r="34499" s="2" customFormat="1"/>
    <row r="34500" s="2" customFormat="1"/>
    <row r="34501" s="2" customFormat="1"/>
    <row r="34502" s="2" customFormat="1"/>
    <row r="34503" s="2" customFormat="1"/>
    <row r="34504" s="2" customFormat="1"/>
    <row r="34505" s="2" customFormat="1"/>
    <row r="34506" s="2" customFormat="1"/>
    <row r="34507" s="2" customFormat="1"/>
    <row r="34508" s="2" customFormat="1"/>
    <row r="34509" s="2" customFormat="1"/>
    <row r="34510" s="2" customFormat="1"/>
    <row r="34511" s="2" customFormat="1"/>
    <row r="34512" s="2" customFormat="1"/>
    <row r="34513" s="2" customFormat="1"/>
    <row r="34514" s="2" customFormat="1"/>
    <row r="34515" s="2" customFormat="1"/>
    <row r="34516" s="2" customFormat="1"/>
    <row r="34517" s="2" customFormat="1"/>
    <row r="34518" s="2" customFormat="1"/>
    <row r="34519" s="2" customFormat="1"/>
    <row r="34520" s="2" customFormat="1"/>
    <row r="34521" s="2" customFormat="1"/>
    <row r="34522" s="2" customFormat="1"/>
    <row r="34523" s="2" customFormat="1"/>
    <row r="34524" s="2" customFormat="1"/>
    <row r="34525" s="2" customFormat="1"/>
    <row r="34526" s="2" customFormat="1"/>
    <row r="34527" s="2" customFormat="1"/>
    <row r="34528" s="2" customFormat="1"/>
    <row r="34529" s="2" customFormat="1"/>
    <row r="34530" s="2" customFormat="1"/>
    <row r="34531" s="2" customFormat="1"/>
    <row r="34532" s="2" customFormat="1"/>
    <row r="34533" s="2" customFormat="1"/>
    <row r="34534" s="2" customFormat="1"/>
    <row r="34535" s="2" customFormat="1"/>
    <row r="34536" s="2" customFormat="1"/>
    <row r="34537" s="2" customFormat="1"/>
    <row r="34538" s="2" customFormat="1"/>
    <row r="34539" s="2" customFormat="1"/>
    <row r="34540" s="2" customFormat="1"/>
    <row r="34541" s="2" customFormat="1"/>
    <row r="34542" s="2" customFormat="1"/>
    <row r="34543" s="2" customFormat="1"/>
    <row r="34544" s="2" customFormat="1"/>
    <row r="34545" s="2" customFormat="1"/>
    <row r="34546" s="2" customFormat="1"/>
    <row r="34547" s="2" customFormat="1"/>
    <row r="34548" s="2" customFormat="1"/>
    <row r="34549" s="2" customFormat="1"/>
    <row r="34550" s="2" customFormat="1"/>
    <row r="34551" s="2" customFormat="1"/>
    <row r="34552" s="2" customFormat="1"/>
    <row r="34553" s="2" customFormat="1"/>
    <row r="34554" s="2" customFormat="1"/>
    <row r="34555" s="2" customFormat="1"/>
    <row r="34556" s="2" customFormat="1"/>
    <row r="34557" s="2" customFormat="1"/>
    <row r="34558" s="2" customFormat="1"/>
    <row r="34559" s="2" customFormat="1"/>
    <row r="34560" s="2" customFormat="1"/>
    <row r="34561" s="2" customFormat="1"/>
    <row r="34562" s="2" customFormat="1"/>
    <row r="34563" s="2" customFormat="1"/>
    <row r="34564" s="2" customFormat="1"/>
    <row r="34565" s="2" customFormat="1"/>
    <row r="34566" s="2" customFormat="1"/>
    <row r="34567" s="2" customFormat="1"/>
    <row r="34568" s="2" customFormat="1"/>
    <row r="34569" s="2" customFormat="1"/>
    <row r="34570" s="2" customFormat="1"/>
    <row r="34571" s="2" customFormat="1"/>
    <row r="34572" s="2" customFormat="1"/>
    <row r="34573" s="2" customFormat="1"/>
    <row r="34574" s="2" customFormat="1"/>
    <row r="34575" s="2" customFormat="1"/>
    <row r="34576" s="2" customFormat="1"/>
    <row r="34577" s="2" customFormat="1"/>
    <row r="34578" s="2" customFormat="1"/>
    <row r="34579" s="2" customFormat="1"/>
    <row r="34580" s="2" customFormat="1"/>
    <row r="34581" s="2" customFormat="1"/>
    <row r="34582" s="2" customFormat="1"/>
    <row r="34583" s="2" customFormat="1"/>
    <row r="34584" s="2" customFormat="1"/>
    <row r="34585" s="2" customFormat="1"/>
    <row r="34586" s="2" customFormat="1"/>
    <row r="34587" s="2" customFormat="1"/>
    <row r="34588" s="2" customFormat="1"/>
    <row r="34589" s="2" customFormat="1"/>
    <row r="34590" s="2" customFormat="1"/>
    <row r="34591" s="2" customFormat="1"/>
    <row r="34592" s="2" customFormat="1"/>
    <row r="34593" s="2" customFormat="1"/>
    <row r="34594" s="2" customFormat="1"/>
    <row r="34595" s="2" customFormat="1"/>
    <row r="34596" s="2" customFormat="1"/>
    <row r="34597" s="2" customFormat="1"/>
    <row r="34598" s="2" customFormat="1"/>
    <row r="34599" s="2" customFormat="1"/>
    <row r="34600" s="2" customFormat="1"/>
    <row r="34601" s="2" customFormat="1"/>
    <row r="34602" s="2" customFormat="1"/>
    <row r="34603" s="2" customFormat="1"/>
    <row r="34604" s="2" customFormat="1"/>
    <row r="34605" s="2" customFormat="1"/>
    <row r="34606" s="2" customFormat="1"/>
    <row r="34607" s="2" customFormat="1"/>
    <row r="34608" s="2" customFormat="1"/>
    <row r="34609" s="2" customFormat="1"/>
    <row r="34610" s="2" customFormat="1"/>
    <row r="34611" s="2" customFormat="1"/>
    <row r="34612" s="2" customFormat="1"/>
    <row r="34613" s="2" customFormat="1"/>
    <row r="34614" s="2" customFormat="1"/>
    <row r="34615" s="2" customFormat="1"/>
    <row r="34616" s="2" customFormat="1"/>
    <row r="34617" s="2" customFormat="1"/>
    <row r="34618" s="2" customFormat="1"/>
    <row r="34619" s="2" customFormat="1"/>
    <row r="34620" s="2" customFormat="1"/>
    <row r="34621" s="2" customFormat="1"/>
    <row r="34622" s="2" customFormat="1"/>
    <row r="34623" s="2" customFormat="1"/>
    <row r="34624" s="2" customFormat="1"/>
    <row r="34625" s="2" customFormat="1"/>
    <row r="34626" s="2" customFormat="1"/>
    <row r="34627" s="2" customFormat="1"/>
    <row r="34628" s="2" customFormat="1"/>
    <row r="34629" s="2" customFormat="1"/>
    <row r="34630" s="2" customFormat="1"/>
    <row r="34631" s="2" customFormat="1"/>
    <row r="34632" s="2" customFormat="1"/>
    <row r="34633" s="2" customFormat="1"/>
    <row r="34634" s="2" customFormat="1"/>
    <row r="34635" s="2" customFormat="1"/>
    <row r="34636" s="2" customFormat="1"/>
    <row r="34637" s="2" customFormat="1"/>
    <row r="34638" s="2" customFormat="1"/>
    <row r="34639" s="2" customFormat="1"/>
    <row r="34640" s="2" customFormat="1"/>
    <row r="34641" s="2" customFormat="1"/>
    <row r="34642" s="2" customFormat="1"/>
    <row r="34643" s="2" customFormat="1"/>
    <row r="34644" s="2" customFormat="1"/>
    <row r="34645" s="2" customFormat="1"/>
    <row r="34646" s="2" customFormat="1"/>
    <row r="34647" s="2" customFormat="1"/>
    <row r="34648" s="2" customFormat="1"/>
    <row r="34649" s="2" customFormat="1"/>
    <row r="34650" s="2" customFormat="1"/>
    <row r="34651" s="2" customFormat="1"/>
    <row r="34652" s="2" customFormat="1"/>
    <row r="34653" s="2" customFormat="1"/>
    <row r="34654" s="2" customFormat="1"/>
    <row r="34655" s="2" customFormat="1"/>
    <row r="34656" s="2" customFormat="1"/>
    <row r="34657" s="2" customFormat="1"/>
    <row r="34658" s="2" customFormat="1"/>
    <row r="34659" s="2" customFormat="1"/>
    <row r="34660" s="2" customFormat="1"/>
    <row r="34661" s="2" customFormat="1"/>
    <row r="34662" s="2" customFormat="1"/>
    <row r="34663" s="2" customFormat="1"/>
    <row r="34664" s="2" customFormat="1"/>
    <row r="34665" s="2" customFormat="1"/>
    <row r="34666" s="2" customFormat="1"/>
    <row r="34667" s="2" customFormat="1"/>
    <row r="34668" s="2" customFormat="1"/>
    <row r="34669" s="2" customFormat="1"/>
    <row r="34670" s="2" customFormat="1"/>
    <row r="34671" s="2" customFormat="1"/>
    <row r="34672" s="2" customFormat="1"/>
    <row r="34673" s="2" customFormat="1"/>
    <row r="34674" s="2" customFormat="1"/>
    <row r="34675" s="2" customFormat="1"/>
    <row r="34676" s="2" customFormat="1"/>
    <row r="34677" s="2" customFormat="1"/>
    <row r="34678" s="2" customFormat="1"/>
    <row r="34679" s="2" customFormat="1"/>
    <row r="34680" s="2" customFormat="1"/>
    <row r="34681" s="2" customFormat="1"/>
    <row r="34682" s="2" customFormat="1"/>
    <row r="34683" s="2" customFormat="1"/>
    <row r="34684" s="2" customFormat="1"/>
    <row r="34685" s="2" customFormat="1"/>
    <row r="34686" s="2" customFormat="1"/>
    <row r="34687" s="2" customFormat="1"/>
    <row r="34688" s="2" customFormat="1"/>
    <row r="34689" s="2" customFormat="1"/>
    <row r="34690" s="2" customFormat="1"/>
    <row r="34691" s="2" customFormat="1"/>
    <row r="34692" s="2" customFormat="1"/>
    <row r="34693" s="2" customFormat="1"/>
    <row r="34694" s="2" customFormat="1"/>
    <row r="34695" s="2" customFormat="1"/>
    <row r="34696" s="2" customFormat="1"/>
    <row r="34697" s="2" customFormat="1"/>
    <row r="34698" s="2" customFormat="1"/>
    <row r="34699" s="2" customFormat="1"/>
    <row r="34700" s="2" customFormat="1"/>
    <row r="34701" s="2" customFormat="1"/>
    <row r="34702" s="2" customFormat="1"/>
    <row r="34703" s="2" customFormat="1"/>
    <row r="34704" s="2" customFormat="1"/>
    <row r="34705" s="2" customFormat="1"/>
    <row r="34706" s="2" customFormat="1"/>
    <row r="34707" s="2" customFormat="1"/>
    <row r="34708" s="2" customFormat="1"/>
    <row r="34709" s="2" customFormat="1"/>
    <row r="34710" s="2" customFormat="1"/>
    <row r="34711" s="2" customFormat="1"/>
    <row r="34712" s="2" customFormat="1"/>
    <row r="34713" s="2" customFormat="1"/>
    <row r="34714" s="2" customFormat="1"/>
    <row r="34715" s="2" customFormat="1"/>
    <row r="34716" s="2" customFormat="1"/>
    <row r="34717" s="2" customFormat="1"/>
    <row r="34718" s="2" customFormat="1"/>
    <row r="34719" s="2" customFormat="1"/>
    <row r="34720" s="2" customFormat="1"/>
    <row r="34721" s="2" customFormat="1"/>
    <row r="34722" s="2" customFormat="1"/>
    <row r="34723" s="2" customFormat="1"/>
    <row r="34724" s="2" customFormat="1"/>
    <row r="34725" s="2" customFormat="1"/>
    <row r="34726" s="2" customFormat="1"/>
    <row r="34727" s="2" customFormat="1"/>
    <row r="34728" s="2" customFormat="1"/>
    <row r="34729" s="2" customFormat="1"/>
    <row r="34730" s="2" customFormat="1"/>
    <row r="34731" s="2" customFormat="1"/>
    <row r="34732" s="2" customFormat="1"/>
    <row r="34733" s="2" customFormat="1"/>
    <row r="34734" s="2" customFormat="1"/>
    <row r="34735" s="2" customFormat="1"/>
    <row r="34736" s="2" customFormat="1"/>
    <row r="34737" s="2" customFormat="1"/>
    <row r="34738" s="2" customFormat="1"/>
    <row r="34739" s="2" customFormat="1"/>
    <row r="34740" s="2" customFormat="1"/>
    <row r="34741" s="2" customFormat="1"/>
    <row r="34742" s="2" customFormat="1"/>
    <row r="34743" s="2" customFormat="1"/>
    <row r="34744" s="2" customFormat="1"/>
    <row r="34745" s="2" customFormat="1"/>
    <row r="34746" s="2" customFormat="1"/>
    <row r="34747" s="2" customFormat="1"/>
    <row r="34748" s="2" customFormat="1"/>
    <row r="34749" s="2" customFormat="1"/>
    <row r="34750" s="2" customFormat="1"/>
    <row r="34751" s="2" customFormat="1"/>
    <row r="34752" s="2" customFormat="1"/>
    <row r="34753" s="2" customFormat="1"/>
    <row r="34754" s="2" customFormat="1"/>
    <row r="34755" s="2" customFormat="1"/>
    <row r="34756" s="2" customFormat="1"/>
    <row r="34757" s="2" customFormat="1"/>
    <row r="34758" s="2" customFormat="1"/>
    <row r="34759" s="2" customFormat="1"/>
    <row r="34760" s="2" customFormat="1"/>
    <row r="34761" s="2" customFormat="1"/>
    <row r="34762" s="2" customFormat="1"/>
    <row r="34763" s="2" customFormat="1"/>
    <row r="34764" s="2" customFormat="1"/>
    <row r="34765" s="2" customFormat="1"/>
    <row r="34766" s="2" customFormat="1"/>
    <row r="34767" s="2" customFormat="1"/>
    <row r="34768" s="2" customFormat="1"/>
    <row r="34769" s="2" customFormat="1"/>
    <row r="34770" s="2" customFormat="1"/>
    <row r="34771" s="2" customFormat="1"/>
    <row r="34772" s="2" customFormat="1"/>
    <row r="34773" s="2" customFormat="1"/>
    <row r="34774" s="2" customFormat="1"/>
    <row r="34775" s="2" customFormat="1"/>
    <row r="34776" s="2" customFormat="1"/>
    <row r="34777" s="2" customFormat="1"/>
    <row r="34778" s="2" customFormat="1"/>
    <row r="34779" s="2" customFormat="1"/>
    <row r="34780" s="2" customFormat="1"/>
    <row r="34781" s="2" customFormat="1"/>
    <row r="34782" s="2" customFormat="1"/>
    <row r="34783" s="2" customFormat="1"/>
    <row r="34784" s="2" customFormat="1"/>
    <row r="34785" s="2" customFormat="1"/>
    <row r="34786" s="2" customFormat="1"/>
    <row r="34787" s="2" customFormat="1"/>
    <row r="34788" s="2" customFormat="1"/>
    <row r="34789" s="2" customFormat="1"/>
    <row r="34790" s="2" customFormat="1"/>
    <row r="34791" s="2" customFormat="1"/>
    <row r="34792" s="2" customFormat="1"/>
    <row r="34793" s="2" customFormat="1"/>
    <row r="34794" s="2" customFormat="1"/>
    <row r="34795" s="2" customFormat="1"/>
    <row r="34796" s="2" customFormat="1"/>
    <row r="34797" s="2" customFormat="1"/>
    <row r="34798" s="2" customFormat="1"/>
    <row r="34799" s="2" customFormat="1"/>
    <row r="34800" s="2" customFormat="1"/>
    <row r="34801" s="2" customFormat="1"/>
    <row r="34802" s="2" customFormat="1"/>
    <row r="34803" s="2" customFormat="1"/>
    <row r="34804" s="2" customFormat="1"/>
    <row r="34805" s="2" customFormat="1"/>
    <row r="34806" s="2" customFormat="1"/>
    <row r="34807" s="2" customFormat="1"/>
    <row r="34808" s="2" customFormat="1"/>
    <row r="34809" s="2" customFormat="1"/>
    <row r="34810" s="2" customFormat="1"/>
    <row r="34811" s="2" customFormat="1"/>
    <row r="34812" s="2" customFormat="1"/>
    <row r="34813" s="2" customFormat="1"/>
    <row r="34814" s="2" customFormat="1"/>
    <row r="34815" s="2" customFormat="1"/>
    <row r="34816" s="2" customFormat="1"/>
    <row r="34817" s="2" customFormat="1"/>
    <row r="34818" s="2" customFormat="1"/>
    <row r="34819" s="2" customFormat="1"/>
    <row r="34820" s="2" customFormat="1"/>
    <row r="34821" s="2" customFormat="1"/>
    <row r="34822" s="2" customFormat="1"/>
    <row r="34823" s="2" customFormat="1"/>
    <row r="34824" s="2" customFormat="1"/>
    <row r="34825" s="2" customFormat="1"/>
    <row r="34826" s="2" customFormat="1"/>
    <row r="34827" s="2" customFormat="1"/>
    <row r="34828" s="2" customFormat="1"/>
    <row r="34829" s="2" customFormat="1"/>
    <row r="34830" s="2" customFormat="1"/>
    <row r="34831" s="2" customFormat="1"/>
    <row r="34832" s="2" customFormat="1"/>
    <row r="34833" s="2" customFormat="1"/>
    <row r="34834" s="2" customFormat="1"/>
    <row r="34835" s="2" customFormat="1"/>
    <row r="34836" s="2" customFormat="1"/>
    <row r="34837" s="2" customFormat="1"/>
    <row r="34838" s="2" customFormat="1"/>
    <row r="34839" s="2" customFormat="1"/>
    <row r="34840" s="2" customFormat="1"/>
    <row r="34841" s="2" customFormat="1"/>
    <row r="34842" s="2" customFormat="1"/>
    <row r="34843" s="2" customFormat="1"/>
    <row r="34844" s="2" customFormat="1"/>
    <row r="34845" s="2" customFormat="1"/>
    <row r="34846" s="2" customFormat="1"/>
    <row r="34847" s="2" customFormat="1"/>
    <row r="34848" s="2" customFormat="1"/>
    <row r="34849" s="2" customFormat="1"/>
    <row r="34850" s="2" customFormat="1"/>
    <row r="34851" s="2" customFormat="1"/>
    <row r="34852" s="2" customFormat="1"/>
    <row r="34853" s="2" customFormat="1"/>
    <row r="34854" s="2" customFormat="1"/>
    <row r="34855" s="2" customFormat="1"/>
    <row r="34856" s="2" customFormat="1"/>
    <row r="34857" s="2" customFormat="1"/>
    <row r="34858" s="2" customFormat="1"/>
    <row r="34859" s="2" customFormat="1"/>
    <row r="34860" s="2" customFormat="1"/>
    <row r="34861" s="2" customFormat="1"/>
    <row r="34862" s="2" customFormat="1"/>
    <row r="34863" s="2" customFormat="1"/>
    <row r="34864" s="2" customFormat="1"/>
    <row r="34865" s="2" customFormat="1"/>
    <row r="34866" s="2" customFormat="1"/>
    <row r="34867" s="2" customFormat="1"/>
    <row r="34868" s="2" customFormat="1"/>
    <row r="34869" s="2" customFormat="1"/>
    <row r="34870" s="2" customFormat="1"/>
    <row r="34871" s="2" customFormat="1"/>
    <row r="34872" s="2" customFormat="1"/>
    <row r="34873" s="2" customFormat="1"/>
    <row r="34874" s="2" customFormat="1"/>
    <row r="34875" s="2" customFormat="1"/>
    <row r="34876" s="2" customFormat="1"/>
    <row r="34877" s="2" customFormat="1"/>
    <row r="34878" s="2" customFormat="1"/>
    <row r="34879" s="2" customFormat="1"/>
    <row r="34880" s="2" customFormat="1"/>
    <row r="34881" s="2" customFormat="1"/>
    <row r="34882" s="2" customFormat="1"/>
    <row r="34883" s="2" customFormat="1"/>
    <row r="34884" s="2" customFormat="1"/>
    <row r="34885" s="2" customFormat="1"/>
    <row r="34886" s="2" customFormat="1"/>
    <row r="34887" s="2" customFormat="1"/>
    <row r="34888" s="2" customFormat="1"/>
    <row r="34889" s="2" customFormat="1"/>
    <row r="34890" s="2" customFormat="1"/>
    <row r="34891" s="2" customFormat="1"/>
    <row r="34892" s="2" customFormat="1"/>
    <row r="34893" s="2" customFormat="1"/>
    <row r="34894" s="2" customFormat="1"/>
    <row r="34895" s="2" customFormat="1"/>
    <row r="34896" s="2" customFormat="1"/>
    <row r="34897" s="2" customFormat="1"/>
    <row r="34898" s="2" customFormat="1"/>
    <row r="34899" s="2" customFormat="1"/>
    <row r="34900" s="2" customFormat="1"/>
    <row r="34901" s="2" customFormat="1"/>
    <row r="34902" s="2" customFormat="1"/>
    <row r="34903" s="2" customFormat="1"/>
    <row r="34904" s="2" customFormat="1"/>
    <row r="34905" s="2" customFormat="1"/>
    <row r="34906" s="2" customFormat="1"/>
    <row r="34907" s="2" customFormat="1"/>
    <row r="34908" s="2" customFormat="1"/>
    <row r="34909" s="2" customFormat="1"/>
    <row r="34910" s="2" customFormat="1"/>
    <row r="34911" s="2" customFormat="1"/>
    <row r="34912" s="2" customFormat="1"/>
    <row r="34913" s="2" customFormat="1"/>
    <row r="34914" s="2" customFormat="1"/>
    <row r="34915" s="2" customFormat="1"/>
    <row r="34916" s="2" customFormat="1"/>
    <row r="34917" s="2" customFormat="1"/>
    <row r="34918" s="2" customFormat="1"/>
    <row r="34919" s="2" customFormat="1"/>
    <row r="34920" s="2" customFormat="1"/>
    <row r="34921" s="2" customFormat="1"/>
    <row r="34922" s="2" customFormat="1"/>
    <row r="34923" s="2" customFormat="1"/>
    <row r="34924" s="2" customFormat="1"/>
    <row r="34925" s="2" customFormat="1"/>
    <row r="34926" s="2" customFormat="1"/>
    <row r="34927" s="2" customFormat="1"/>
    <row r="34928" s="2" customFormat="1"/>
    <row r="34929" s="2" customFormat="1"/>
    <row r="34930" s="2" customFormat="1"/>
    <row r="34931" s="2" customFormat="1"/>
    <row r="34932" s="2" customFormat="1"/>
    <row r="34933" s="2" customFormat="1"/>
    <row r="34934" s="2" customFormat="1"/>
    <row r="34935" s="2" customFormat="1"/>
    <row r="34936" s="2" customFormat="1"/>
    <row r="34937" s="2" customFormat="1"/>
    <row r="34938" s="2" customFormat="1"/>
    <row r="34939" s="2" customFormat="1"/>
    <row r="34940" s="2" customFormat="1"/>
    <row r="34941" s="2" customFormat="1"/>
    <row r="34942" s="2" customFormat="1"/>
    <row r="34943" s="2" customFormat="1"/>
    <row r="34944" s="2" customFormat="1"/>
    <row r="34945" s="2" customFormat="1"/>
    <row r="34946" s="2" customFormat="1"/>
    <row r="34947" s="2" customFormat="1"/>
    <row r="34948" s="2" customFormat="1"/>
    <row r="34949" s="2" customFormat="1"/>
    <row r="34950" s="2" customFormat="1"/>
    <row r="34951" s="2" customFormat="1"/>
    <row r="34952" s="2" customFormat="1"/>
    <row r="34953" s="2" customFormat="1"/>
    <row r="34954" s="2" customFormat="1"/>
    <row r="34955" s="2" customFormat="1"/>
    <row r="34956" s="2" customFormat="1"/>
    <row r="34957" s="2" customFormat="1"/>
    <row r="34958" s="2" customFormat="1"/>
    <row r="34959" s="2" customFormat="1"/>
    <row r="34960" s="2" customFormat="1"/>
    <row r="34961" s="2" customFormat="1"/>
    <row r="34962" s="2" customFormat="1"/>
    <row r="34963" s="2" customFormat="1"/>
    <row r="34964" s="2" customFormat="1"/>
    <row r="34965" s="2" customFormat="1"/>
    <row r="34966" s="2" customFormat="1"/>
    <row r="34967" s="2" customFormat="1"/>
    <row r="34968" s="2" customFormat="1"/>
    <row r="34969" s="2" customFormat="1"/>
    <row r="34970" s="2" customFormat="1"/>
    <row r="34971" s="2" customFormat="1"/>
    <row r="34972" s="2" customFormat="1"/>
    <row r="34973" s="2" customFormat="1"/>
    <row r="34974" s="2" customFormat="1"/>
    <row r="34975" s="2" customFormat="1"/>
    <row r="34976" s="2" customFormat="1"/>
    <row r="34977" s="2" customFormat="1"/>
    <row r="34978" s="2" customFormat="1"/>
    <row r="34979" s="2" customFormat="1"/>
    <row r="34980" s="2" customFormat="1"/>
    <row r="34981" s="2" customFormat="1"/>
    <row r="34982" s="2" customFormat="1"/>
    <row r="34983" s="2" customFormat="1"/>
    <row r="34984" s="2" customFormat="1"/>
    <row r="34985" s="2" customFormat="1"/>
    <row r="34986" s="2" customFormat="1"/>
    <row r="34987" s="2" customFormat="1"/>
    <row r="34988" s="2" customFormat="1"/>
    <row r="34989" s="2" customFormat="1"/>
    <row r="34990" s="2" customFormat="1"/>
    <row r="34991" s="2" customFormat="1"/>
    <row r="34992" s="2" customFormat="1"/>
    <row r="34993" s="2" customFormat="1"/>
    <row r="34994" s="2" customFormat="1"/>
    <row r="34995" s="2" customFormat="1"/>
    <row r="34996" s="2" customFormat="1"/>
    <row r="34997" s="2" customFormat="1"/>
    <row r="34998" s="2" customFormat="1"/>
    <row r="34999" s="2" customFormat="1"/>
    <row r="35000" s="2" customFormat="1"/>
    <row r="35001" s="2" customFormat="1"/>
    <row r="35002" s="2" customFormat="1"/>
    <row r="35003" s="2" customFormat="1"/>
    <row r="35004" s="2" customFormat="1"/>
    <row r="35005" s="2" customFormat="1"/>
    <row r="35006" s="2" customFormat="1"/>
    <row r="35007" s="2" customFormat="1"/>
    <row r="35008" s="2" customFormat="1"/>
    <row r="35009" s="2" customFormat="1"/>
    <row r="35010" s="2" customFormat="1"/>
    <row r="35011" s="2" customFormat="1"/>
    <row r="35012" s="2" customFormat="1"/>
    <row r="35013" s="2" customFormat="1"/>
    <row r="35014" s="2" customFormat="1"/>
    <row r="35015" s="2" customFormat="1"/>
    <row r="35016" s="2" customFormat="1"/>
    <row r="35017" s="2" customFormat="1"/>
    <row r="35018" s="2" customFormat="1"/>
    <row r="35019" s="2" customFormat="1"/>
    <row r="35020" s="2" customFormat="1"/>
    <row r="35021" s="2" customFormat="1"/>
    <row r="35022" s="2" customFormat="1"/>
    <row r="35023" s="2" customFormat="1"/>
    <row r="35024" s="2" customFormat="1"/>
    <row r="35025" s="2" customFormat="1"/>
    <row r="35026" s="2" customFormat="1"/>
    <row r="35027" s="2" customFormat="1"/>
    <row r="35028" s="2" customFormat="1"/>
    <row r="35029" s="2" customFormat="1"/>
    <row r="35030" s="2" customFormat="1"/>
    <row r="35031" s="2" customFormat="1"/>
    <row r="35032" s="2" customFormat="1"/>
    <row r="35033" s="2" customFormat="1"/>
    <row r="35034" s="2" customFormat="1"/>
    <row r="35035" s="2" customFormat="1"/>
    <row r="35036" s="2" customFormat="1"/>
    <row r="35037" s="2" customFormat="1"/>
    <row r="35038" s="2" customFormat="1"/>
    <row r="35039" s="2" customFormat="1"/>
    <row r="35040" s="2" customFormat="1"/>
    <row r="35041" s="2" customFormat="1"/>
    <row r="35042" s="2" customFormat="1"/>
    <row r="35043" s="2" customFormat="1"/>
    <row r="35044" s="2" customFormat="1"/>
    <row r="35045" s="2" customFormat="1"/>
    <row r="35046" s="2" customFormat="1"/>
    <row r="35047" s="2" customFormat="1"/>
    <row r="35048" s="2" customFormat="1"/>
    <row r="35049" s="2" customFormat="1"/>
    <row r="35050" s="2" customFormat="1"/>
    <row r="35051" s="2" customFormat="1"/>
    <row r="35052" s="2" customFormat="1"/>
    <row r="35053" s="2" customFormat="1"/>
    <row r="35054" s="2" customFormat="1"/>
    <row r="35055" s="2" customFormat="1"/>
    <row r="35056" s="2" customFormat="1"/>
    <row r="35057" s="2" customFormat="1"/>
    <row r="35058" s="2" customFormat="1"/>
    <row r="35059" s="2" customFormat="1"/>
    <row r="35060" s="2" customFormat="1"/>
    <row r="35061" s="2" customFormat="1"/>
    <row r="35062" s="2" customFormat="1"/>
    <row r="35063" s="2" customFormat="1"/>
    <row r="35064" s="2" customFormat="1"/>
    <row r="35065" s="2" customFormat="1"/>
    <row r="35066" s="2" customFormat="1"/>
    <row r="35067" s="2" customFormat="1"/>
    <row r="35068" s="2" customFormat="1"/>
    <row r="35069" s="2" customFormat="1"/>
    <row r="35070" s="2" customFormat="1"/>
    <row r="35071" s="2" customFormat="1"/>
    <row r="35072" s="2" customFormat="1"/>
    <row r="35073" s="2" customFormat="1"/>
    <row r="35074" s="2" customFormat="1"/>
    <row r="35075" s="2" customFormat="1"/>
    <row r="35076" s="2" customFormat="1"/>
    <row r="35077" s="2" customFormat="1"/>
    <row r="35078" s="2" customFormat="1"/>
    <row r="35079" s="2" customFormat="1"/>
    <row r="35080" s="2" customFormat="1"/>
    <row r="35081" s="2" customFormat="1"/>
    <row r="35082" s="2" customFormat="1"/>
    <row r="35083" s="2" customFormat="1"/>
    <row r="35084" s="2" customFormat="1"/>
    <row r="35085" s="2" customFormat="1"/>
    <row r="35086" s="2" customFormat="1"/>
    <row r="35087" s="2" customFormat="1"/>
    <row r="35088" s="2" customFormat="1"/>
    <row r="35089" s="2" customFormat="1"/>
    <row r="35090" s="2" customFormat="1"/>
    <row r="35091" s="2" customFormat="1"/>
    <row r="35092" s="2" customFormat="1"/>
    <row r="35093" s="2" customFormat="1"/>
    <row r="35094" s="2" customFormat="1"/>
    <row r="35095" s="2" customFormat="1"/>
    <row r="35096" s="2" customFormat="1"/>
    <row r="35097" s="2" customFormat="1"/>
    <row r="35098" s="2" customFormat="1"/>
    <row r="35099" s="2" customFormat="1"/>
    <row r="35100" s="2" customFormat="1"/>
    <row r="35101" s="2" customFormat="1"/>
    <row r="35102" s="2" customFormat="1"/>
    <row r="35103" s="2" customFormat="1"/>
    <row r="35104" s="2" customFormat="1"/>
    <row r="35105" s="2" customFormat="1"/>
    <row r="35106" s="2" customFormat="1"/>
    <row r="35107" s="2" customFormat="1"/>
    <row r="35108" s="2" customFormat="1"/>
    <row r="35109" s="2" customFormat="1"/>
    <row r="35110" s="2" customFormat="1"/>
    <row r="35111" s="2" customFormat="1"/>
    <row r="35112" s="2" customFormat="1"/>
    <row r="35113" s="2" customFormat="1"/>
    <row r="35114" s="2" customFormat="1"/>
    <row r="35115" s="2" customFormat="1"/>
    <row r="35116" s="2" customFormat="1"/>
    <row r="35117" s="2" customFormat="1"/>
    <row r="35118" s="2" customFormat="1"/>
    <row r="35119" s="2" customFormat="1"/>
    <row r="35120" s="2" customFormat="1"/>
    <row r="35121" s="2" customFormat="1"/>
    <row r="35122" s="2" customFormat="1"/>
    <row r="35123" s="2" customFormat="1"/>
    <row r="35124" s="2" customFormat="1"/>
    <row r="35125" s="2" customFormat="1"/>
    <row r="35126" s="2" customFormat="1"/>
    <row r="35127" s="2" customFormat="1"/>
    <row r="35128" s="2" customFormat="1"/>
    <row r="35129" s="2" customFormat="1"/>
    <row r="35130" s="2" customFormat="1"/>
    <row r="35131" s="2" customFormat="1"/>
    <row r="35132" s="2" customFormat="1"/>
    <row r="35133" s="2" customFormat="1"/>
    <row r="35134" s="2" customFormat="1"/>
    <row r="35135" s="2" customFormat="1"/>
    <row r="35136" s="2" customFormat="1"/>
    <row r="35137" s="2" customFormat="1"/>
    <row r="35138" s="2" customFormat="1"/>
    <row r="35139" s="2" customFormat="1"/>
    <row r="35140" s="2" customFormat="1"/>
    <row r="35141" s="2" customFormat="1"/>
    <row r="35142" s="2" customFormat="1"/>
    <row r="35143" s="2" customFormat="1"/>
    <row r="35144" s="2" customFormat="1"/>
    <row r="35145" s="2" customFormat="1"/>
    <row r="35146" s="2" customFormat="1"/>
    <row r="35147" s="2" customFormat="1"/>
    <row r="35148" s="2" customFormat="1"/>
    <row r="35149" s="2" customFormat="1"/>
    <row r="35150" s="2" customFormat="1"/>
    <row r="35151" s="2" customFormat="1"/>
    <row r="35152" s="2" customFormat="1"/>
    <row r="35153" s="2" customFormat="1"/>
    <row r="35154" s="2" customFormat="1"/>
    <row r="35155" s="2" customFormat="1"/>
    <row r="35156" s="2" customFormat="1"/>
    <row r="35157" s="2" customFormat="1"/>
    <row r="35158" s="2" customFormat="1"/>
    <row r="35159" s="2" customFormat="1"/>
    <row r="35160" s="2" customFormat="1"/>
    <row r="35161" s="2" customFormat="1"/>
    <row r="35162" s="2" customFormat="1"/>
    <row r="35163" s="2" customFormat="1"/>
    <row r="35164" s="2" customFormat="1"/>
    <row r="35165" s="2" customFormat="1"/>
    <row r="35166" s="2" customFormat="1"/>
    <row r="35167" s="2" customFormat="1"/>
    <row r="35168" s="2" customFormat="1"/>
    <row r="35169" s="2" customFormat="1"/>
    <row r="35170" s="2" customFormat="1"/>
    <row r="35171" s="2" customFormat="1"/>
    <row r="35172" s="2" customFormat="1"/>
    <row r="35173" s="2" customFormat="1"/>
    <row r="35174" s="2" customFormat="1"/>
    <row r="35175" s="2" customFormat="1"/>
    <row r="35176" s="2" customFormat="1"/>
    <row r="35177" s="2" customFormat="1"/>
    <row r="35178" s="2" customFormat="1"/>
    <row r="35179" s="2" customFormat="1"/>
    <row r="35180" s="2" customFormat="1"/>
    <row r="35181" s="2" customFormat="1"/>
    <row r="35182" s="2" customFormat="1"/>
    <row r="35183" s="2" customFormat="1"/>
    <row r="35184" s="2" customFormat="1"/>
    <row r="35185" s="2" customFormat="1"/>
    <row r="35186" s="2" customFormat="1"/>
    <row r="35187" s="2" customFormat="1"/>
    <row r="35188" s="2" customFormat="1"/>
    <row r="35189" s="2" customFormat="1"/>
    <row r="35190" s="2" customFormat="1"/>
    <row r="35191" s="2" customFormat="1"/>
    <row r="35192" s="2" customFormat="1"/>
    <row r="35193" s="2" customFormat="1"/>
    <row r="35194" s="2" customFormat="1"/>
    <row r="35195" s="2" customFormat="1"/>
    <row r="35196" s="2" customFormat="1"/>
    <row r="35197" s="2" customFormat="1"/>
    <row r="35198" s="2" customFormat="1"/>
    <row r="35199" s="2" customFormat="1"/>
    <row r="35200" s="2" customFormat="1"/>
    <row r="35201" s="2" customFormat="1"/>
    <row r="35202" s="2" customFormat="1"/>
    <row r="35203" s="2" customFormat="1"/>
    <row r="35204" s="2" customFormat="1"/>
    <row r="35205" s="2" customFormat="1"/>
    <row r="35206" s="2" customFormat="1"/>
    <row r="35207" s="2" customFormat="1"/>
    <row r="35208" s="2" customFormat="1"/>
    <row r="35209" s="2" customFormat="1"/>
    <row r="35210" s="2" customFormat="1"/>
    <row r="35211" s="2" customFormat="1"/>
    <row r="35212" s="2" customFormat="1"/>
    <row r="35213" s="2" customFormat="1"/>
    <row r="35214" s="2" customFormat="1"/>
    <row r="35215" s="2" customFormat="1"/>
    <row r="35216" s="2" customFormat="1"/>
    <row r="35217" s="2" customFormat="1"/>
    <row r="35218" s="2" customFormat="1"/>
    <row r="35219" s="2" customFormat="1"/>
    <row r="35220" s="2" customFormat="1"/>
    <row r="35221" s="2" customFormat="1"/>
    <row r="35222" s="2" customFormat="1"/>
    <row r="35223" s="2" customFormat="1"/>
    <row r="35224" s="2" customFormat="1"/>
    <row r="35225" s="2" customFormat="1"/>
    <row r="35226" s="2" customFormat="1"/>
    <row r="35227" s="2" customFormat="1"/>
    <row r="35228" s="2" customFormat="1"/>
    <row r="35229" s="2" customFormat="1"/>
    <row r="35230" s="2" customFormat="1"/>
    <row r="35231" s="2" customFormat="1"/>
    <row r="35232" s="2" customFormat="1"/>
    <row r="35233" s="2" customFormat="1"/>
    <row r="35234" s="2" customFormat="1"/>
    <row r="35235" s="2" customFormat="1"/>
    <row r="35236" s="2" customFormat="1"/>
    <row r="35237" s="2" customFormat="1"/>
    <row r="35238" s="2" customFormat="1"/>
    <row r="35239" s="2" customFormat="1"/>
    <row r="35240" s="2" customFormat="1"/>
    <row r="35241" s="2" customFormat="1"/>
    <row r="35242" s="2" customFormat="1"/>
    <row r="35243" s="2" customFormat="1"/>
    <row r="35244" s="2" customFormat="1"/>
    <row r="35245" s="2" customFormat="1"/>
    <row r="35246" s="2" customFormat="1"/>
    <row r="35247" s="2" customFormat="1"/>
    <row r="35248" s="2" customFormat="1"/>
    <row r="35249" s="2" customFormat="1"/>
    <row r="35250" s="2" customFormat="1"/>
    <row r="35251" s="2" customFormat="1"/>
    <row r="35252" s="2" customFormat="1"/>
    <row r="35253" s="2" customFormat="1"/>
    <row r="35254" s="2" customFormat="1"/>
    <row r="35255" s="2" customFormat="1"/>
    <row r="35256" s="2" customFormat="1"/>
    <row r="35257" s="2" customFormat="1"/>
    <row r="35258" s="2" customFormat="1"/>
    <row r="35259" s="2" customFormat="1"/>
    <row r="35260" s="2" customFormat="1"/>
    <row r="35261" s="2" customFormat="1"/>
    <row r="35262" s="2" customFormat="1"/>
    <row r="35263" s="2" customFormat="1"/>
    <row r="35264" s="2" customFormat="1"/>
    <row r="35265" s="2" customFormat="1"/>
    <row r="35266" s="2" customFormat="1"/>
    <row r="35267" s="2" customFormat="1"/>
    <row r="35268" s="2" customFormat="1"/>
    <row r="35269" s="2" customFormat="1"/>
    <row r="35270" s="2" customFormat="1"/>
    <row r="35271" s="2" customFormat="1"/>
    <row r="35272" s="2" customFormat="1"/>
    <row r="35273" s="2" customFormat="1"/>
    <row r="35274" s="2" customFormat="1"/>
    <row r="35275" s="2" customFormat="1"/>
    <row r="35276" s="2" customFormat="1"/>
    <row r="35277" s="2" customFormat="1"/>
    <row r="35278" s="2" customFormat="1"/>
    <row r="35279" s="2" customFormat="1"/>
    <row r="35280" s="2" customFormat="1"/>
    <row r="35281" s="2" customFormat="1"/>
    <row r="35282" s="2" customFormat="1"/>
    <row r="35283" s="2" customFormat="1"/>
    <row r="35284" s="2" customFormat="1"/>
    <row r="35285" s="2" customFormat="1"/>
    <row r="35286" s="2" customFormat="1"/>
    <row r="35287" s="2" customFormat="1"/>
    <row r="35288" s="2" customFormat="1"/>
    <row r="35289" s="2" customFormat="1"/>
    <row r="35290" s="2" customFormat="1"/>
    <row r="35291" s="2" customFormat="1"/>
    <row r="35292" s="2" customFormat="1"/>
    <row r="35293" s="2" customFormat="1"/>
    <row r="35294" s="2" customFormat="1"/>
    <row r="35295" s="2" customFormat="1"/>
    <row r="35296" s="2" customFormat="1"/>
    <row r="35297" s="2" customFormat="1"/>
    <row r="35298" s="2" customFormat="1"/>
    <row r="35299" s="2" customFormat="1"/>
    <row r="35300" s="2" customFormat="1"/>
    <row r="35301" s="2" customFormat="1"/>
    <row r="35302" s="2" customFormat="1"/>
    <row r="35303" s="2" customFormat="1"/>
    <row r="35304" s="2" customFormat="1"/>
    <row r="35305" s="2" customFormat="1"/>
    <row r="35306" s="2" customFormat="1"/>
    <row r="35307" s="2" customFormat="1"/>
    <row r="35308" s="2" customFormat="1"/>
    <row r="35309" s="2" customFormat="1"/>
    <row r="35310" s="2" customFormat="1"/>
    <row r="35311" s="2" customFormat="1"/>
    <row r="35312" s="2" customFormat="1"/>
    <row r="35313" s="2" customFormat="1"/>
    <row r="35314" s="2" customFormat="1"/>
    <row r="35315" s="2" customFormat="1"/>
    <row r="35316" s="2" customFormat="1"/>
    <row r="35317" s="2" customFormat="1"/>
    <row r="35318" s="2" customFormat="1"/>
    <row r="35319" s="2" customFormat="1"/>
    <row r="35320" s="2" customFormat="1"/>
    <row r="35321" s="2" customFormat="1"/>
    <row r="35322" s="2" customFormat="1"/>
    <row r="35323" s="2" customFormat="1"/>
    <row r="35324" s="2" customFormat="1"/>
    <row r="35325" s="2" customFormat="1"/>
    <row r="35326" s="2" customFormat="1"/>
    <row r="35327" s="2" customFormat="1"/>
    <row r="35328" s="2" customFormat="1"/>
    <row r="35329" s="2" customFormat="1"/>
    <row r="35330" s="2" customFormat="1"/>
    <row r="35331" s="2" customFormat="1"/>
    <row r="35332" s="2" customFormat="1"/>
    <row r="35333" s="2" customFormat="1"/>
    <row r="35334" s="2" customFormat="1"/>
    <row r="35335" s="2" customFormat="1"/>
    <row r="35336" s="2" customFormat="1"/>
    <row r="35337" s="2" customFormat="1"/>
    <row r="35338" s="2" customFormat="1"/>
    <row r="35339" s="2" customFormat="1"/>
    <row r="35340" s="2" customFormat="1"/>
    <row r="35341" s="2" customFormat="1"/>
    <row r="35342" s="2" customFormat="1"/>
    <row r="35343" s="2" customFormat="1"/>
    <row r="35344" s="2" customFormat="1"/>
    <row r="35345" s="2" customFormat="1"/>
    <row r="35346" s="2" customFormat="1"/>
    <row r="35347" s="2" customFormat="1"/>
    <row r="35348" s="2" customFormat="1"/>
    <row r="35349" s="2" customFormat="1"/>
    <row r="35350" s="2" customFormat="1"/>
    <row r="35351" s="2" customFormat="1"/>
    <row r="35352" s="2" customFormat="1"/>
    <row r="35353" s="2" customFormat="1"/>
    <row r="35354" s="2" customFormat="1"/>
    <row r="35355" s="2" customFormat="1"/>
    <row r="35356" s="2" customFormat="1"/>
    <row r="35357" s="2" customFormat="1"/>
    <row r="35358" s="2" customFormat="1"/>
    <row r="35359" s="2" customFormat="1"/>
    <row r="35360" s="2" customFormat="1"/>
    <row r="35361" s="2" customFormat="1"/>
    <row r="35362" s="2" customFormat="1"/>
    <row r="35363" s="2" customFormat="1"/>
    <row r="35364" s="2" customFormat="1"/>
    <row r="35365" s="2" customFormat="1"/>
    <row r="35366" s="2" customFormat="1"/>
    <row r="35367" s="2" customFormat="1"/>
    <row r="35368" s="2" customFormat="1"/>
    <row r="35369" s="2" customFormat="1"/>
    <row r="35370" s="2" customFormat="1"/>
    <row r="35371" s="2" customFormat="1"/>
    <row r="35372" s="2" customFormat="1"/>
    <row r="35373" s="2" customFormat="1"/>
    <row r="35374" s="2" customFormat="1"/>
    <row r="35375" s="2" customFormat="1"/>
    <row r="35376" s="2" customFormat="1"/>
    <row r="35377" s="2" customFormat="1"/>
    <row r="35378" s="2" customFormat="1"/>
    <row r="35379" s="2" customFormat="1"/>
    <row r="35380" s="2" customFormat="1"/>
    <row r="35381" s="2" customFormat="1"/>
    <row r="35382" s="2" customFormat="1"/>
    <row r="35383" s="2" customFormat="1"/>
    <row r="35384" s="2" customFormat="1"/>
    <row r="35385" s="2" customFormat="1"/>
    <row r="35386" s="2" customFormat="1"/>
    <row r="35387" s="2" customFormat="1"/>
    <row r="35388" s="2" customFormat="1"/>
    <row r="35389" s="2" customFormat="1"/>
    <row r="35390" s="2" customFormat="1"/>
    <row r="35391" s="2" customFormat="1"/>
    <row r="35392" s="2" customFormat="1"/>
    <row r="35393" s="2" customFormat="1"/>
    <row r="35394" s="2" customFormat="1"/>
    <row r="35395" s="2" customFormat="1"/>
    <row r="35396" s="2" customFormat="1"/>
    <row r="35397" s="2" customFormat="1"/>
    <row r="35398" s="2" customFormat="1"/>
    <row r="35399" s="2" customFormat="1"/>
    <row r="35400" s="2" customFormat="1"/>
    <row r="35401" s="2" customFormat="1"/>
    <row r="35402" s="2" customFormat="1"/>
    <row r="35403" s="2" customFormat="1"/>
    <row r="35404" s="2" customFormat="1"/>
    <row r="35405" s="2" customFormat="1"/>
    <row r="35406" s="2" customFormat="1"/>
    <row r="35407" s="2" customFormat="1"/>
    <row r="35408" s="2" customFormat="1"/>
    <row r="35409" s="2" customFormat="1"/>
    <row r="35410" s="2" customFormat="1"/>
    <row r="35411" s="2" customFormat="1"/>
    <row r="35412" s="2" customFormat="1"/>
    <row r="35413" s="2" customFormat="1"/>
    <row r="35414" s="2" customFormat="1"/>
    <row r="35415" s="2" customFormat="1"/>
    <row r="35416" s="2" customFormat="1"/>
    <row r="35417" s="2" customFormat="1"/>
    <row r="35418" s="2" customFormat="1"/>
    <row r="35419" s="2" customFormat="1"/>
    <row r="35420" s="2" customFormat="1"/>
    <row r="35421" s="2" customFormat="1"/>
    <row r="35422" s="2" customFormat="1"/>
    <row r="35423" s="2" customFormat="1"/>
    <row r="35424" s="2" customFormat="1"/>
    <row r="35425" s="2" customFormat="1"/>
    <row r="35426" s="2" customFormat="1"/>
    <row r="35427" s="2" customFormat="1"/>
    <row r="35428" s="2" customFormat="1"/>
    <row r="35429" s="2" customFormat="1"/>
    <row r="35430" s="2" customFormat="1"/>
    <row r="35431" s="2" customFormat="1"/>
    <row r="35432" s="2" customFormat="1"/>
    <row r="35433" s="2" customFormat="1"/>
    <row r="35434" s="2" customFormat="1"/>
    <row r="35435" s="2" customFormat="1"/>
    <row r="35436" s="2" customFormat="1"/>
    <row r="35437" s="2" customFormat="1"/>
    <row r="35438" s="2" customFormat="1"/>
    <row r="35439" s="2" customFormat="1"/>
    <row r="35440" s="2" customFormat="1"/>
    <row r="35441" s="2" customFormat="1"/>
    <row r="35442" s="2" customFormat="1"/>
    <row r="35443" s="2" customFormat="1"/>
    <row r="35444" s="2" customFormat="1"/>
    <row r="35445" s="2" customFormat="1"/>
    <row r="35446" s="2" customFormat="1"/>
    <row r="35447" s="2" customFormat="1"/>
    <row r="35448" s="2" customFormat="1"/>
    <row r="35449" s="2" customFormat="1"/>
    <row r="35450" s="2" customFormat="1"/>
    <row r="35451" s="2" customFormat="1"/>
    <row r="35452" s="2" customFormat="1"/>
    <row r="35453" s="2" customFormat="1"/>
    <row r="35454" s="2" customFormat="1"/>
    <row r="35455" s="2" customFormat="1"/>
    <row r="35456" s="2" customFormat="1"/>
    <row r="35457" s="2" customFormat="1"/>
    <row r="35458" s="2" customFormat="1"/>
    <row r="35459" s="2" customFormat="1"/>
    <row r="35460" s="2" customFormat="1"/>
    <row r="35461" s="2" customFormat="1"/>
    <row r="35462" s="2" customFormat="1"/>
    <row r="35463" s="2" customFormat="1"/>
    <row r="35464" s="2" customFormat="1"/>
    <row r="35465" s="2" customFormat="1"/>
    <row r="35466" s="2" customFormat="1"/>
    <row r="35467" s="2" customFormat="1"/>
    <row r="35468" s="2" customFormat="1"/>
    <row r="35469" s="2" customFormat="1"/>
    <row r="35470" s="2" customFormat="1"/>
    <row r="35471" s="2" customFormat="1"/>
    <row r="35472" s="2" customFormat="1"/>
    <row r="35473" s="2" customFormat="1"/>
    <row r="35474" s="2" customFormat="1"/>
    <row r="35475" s="2" customFormat="1"/>
    <row r="35476" s="2" customFormat="1"/>
    <row r="35477" s="2" customFormat="1"/>
    <row r="35478" s="2" customFormat="1"/>
    <row r="35479" s="2" customFormat="1"/>
    <row r="35480" s="2" customFormat="1"/>
    <row r="35481" s="2" customFormat="1"/>
    <row r="35482" s="2" customFormat="1"/>
    <row r="35483" s="2" customFormat="1"/>
    <row r="35484" s="2" customFormat="1"/>
    <row r="35485" s="2" customFormat="1"/>
    <row r="35486" s="2" customFormat="1"/>
    <row r="35487" s="2" customFormat="1"/>
    <row r="35488" s="2" customFormat="1"/>
    <row r="35489" s="2" customFormat="1"/>
    <row r="35490" s="2" customFormat="1"/>
    <row r="35491" s="2" customFormat="1"/>
    <row r="35492" s="2" customFormat="1"/>
    <row r="35493" s="2" customFormat="1"/>
    <row r="35494" s="2" customFormat="1"/>
    <row r="35495" s="2" customFormat="1"/>
    <row r="35496" s="2" customFormat="1"/>
    <row r="35497" s="2" customFormat="1"/>
    <row r="35498" s="2" customFormat="1"/>
    <row r="35499" s="2" customFormat="1"/>
    <row r="35500" s="2" customFormat="1"/>
    <row r="35501" s="2" customFormat="1"/>
    <row r="35502" s="2" customFormat="1"/>
    <row r="35503" s="2" customFormat="1"/>
    <row r="35504" s="2" customFormat="1"/>
    <row r="35505" s="2" customFormat="1"/>
    <row r="35506" s="2" customFormat="1"/>
    <row r="35507" s="2" customFormat="1"/>
    <row r="35508" s="2" customFormat="1"/>
    <row r="35509" s="2" customFormat="1"/>
    <row r="35510" s="2" customFormat="1"/>
    <row r="35511" s="2" customFormat="1"/>
    <row r="35512" s="2" customFormat="1"/>
    <row r="35513" s="2" customFormat="1"/>
    <row r="35514" s="2" customFormat="1"/>
    <row r="35515" s="2" customFormat="1"/>
    <row r="35516" s="2" customFormat="1"/>
    <row r="35517" s="2" customFormat="1"/>
    <row r="35518" s="2" customFormat="1"/>
    <row r="35519" s="2" customFormat="1"/>
    <row r="35520" s="2" customFormat="1"/>
    <row r="35521" s="2" customFormat="1"/>
    <row r="35522" s="2" customFormat="1"/>
    <row r="35523" s="2" customFormat="1"/>
    <row r="35524" s="2" customFormat="1"/>
    <row r="35525" s="2" customFormat="1"/>
    <row r="35526" s="2" customFormat="1"/>
    <row r="35527" s="2" customFormat="1"/>
    <row r="35528" s="2" customFormat="1"/>
    <row r="35529" s="2" customFormat="1"/>
    <row r="35530" s="2" customFormat="1"/>
    <row r="35531" s="2" customFormat="1"/>
    <row r="35532" s="2" customFormat="1"/>
    <row r="35533" s="2" customFormat="1"/>
    <row r="35534" s="2" customFormat="1"/>
    <row r="35535" s="2" customFormat="1"/>
    <row r="35536" s="2" customFormat="1"/>
    <row r="35537" s="2" customFormat="1"/>
    <row r="35538" s="2" customFormat="1"/>
    <row r="35539" s="2" customFormat="1"/>
    <row r="35540" s="2" customFormat="1"/>
    <row r="35541" s="2" customFormat="1"/>
    <row r="35542" s="2" customFormat="1"/>
    <row r="35543" s="2" customFormat="1"/>
    <row r="35544" s="2" customFormat="1"/>
    <row r="35545" s="2" customFormat="1"/>
    <row r="35546" s="2" customFormat="1"/>
    <row r="35547" s="2" customFormat="1"/>
    <row r="35548" s="2" customFormat="1"/>
    <row r="35549" s="2" customFormat="1"/>
    <row r="35550" s="2" customFormat="1"/>
    <row r="35551" s="2" customFormat="1"/>
    <row r="35552" s="2" customFormat="1"/>
    <row r="35553" s="2" customFormat="1"/>
    <row r="35554" s="2" customFormat="1"/>
    <row r="35555" s="2" customFormat="1"/>
    <row r="35556" s="2" customFormat="1"/>
    <row r="35557" s="2" customFormat="1"/>
    <row r="35558" s="2" customFormat="1"/>
    <row r="35559" s="2" customFormat="1"/>
    <row r="35560" s="2" customFormat="1"/>
    <row r="35561" s="2" customFormat="1"/>
    <row r="35562" s="2" customFormat="1"/>
    <row r="35563" s="2" customFormat="1"/>
    <row r="35564" s="2" customFormat="1"/>
    <row r="35565" s="2" customFormat="1"/>
    <row r="35566" s="2" customFormat="1"/>
    <row r="35567" s="2" customFormat="1"/>
    <row r="35568" s="2" customFormat="1"/>
    <row r="35569" s="2" customFormat="1"/>
    <row r="35570" s="2" customFormat="1"/>
    <row r="35571" s="2" customFormat="1"/>
    <row r="35572" s="2" customFormat="1"/>
    <row r="35573" s="2" customFormat="1"/>
    <row r="35574" s="2" customFormat="1"/>
    <row r="35575" s="2" customFormat="1"/>
    <row r="35576" s="2" customFormat="1"/>
    <row r="35577" s="2" customFormat="1"/>
    <row r="35578" s="2" customFormat="1"/>
    <row r="35579" s="2" customFormat="1"/>
    <row r="35580" s="2" customFormat="1"/>
    <row r="35581" s="2" customFormat="1"/>
    <row r="35582" s="2" customFormat="1"/>
    <row r="35583" s="2" customFormat="1"/>
    <row r="35584" s="2" customFormat="1"/>
    <row r="35585" s="2" customFormat="1"/>
    <row r="35586" s="2" customFormat="1"/>
    <row r="35587" s="2" customFormat="1"/>
    <row r="35588" s="2" customFormat="1"/>
    <row r="35589" s="2" customFormat="1"/>
    <row r="35590" s="2" customFormat="1"/>
    <row r="35591" s="2" customFormat="1"/>
    <row r="35592" s="2" customFormat="1"/>
    <row r="35593" s="2" customFormat="1"/>
    <row r="35594" s="2" customFormat="1"/>
    <row r="35595" s="2" customFormat="1"/>
    <row r="35596" s="2" customFormat="1"/>
    <row r="35597" s="2" customFormat="1"/>
    <row r="35598" s="2" customFormat="1"/>
    <row r="35599" s="2" customFormat="1"/>
    <row r="35600" s="2" customFormat="1"/>
    <row r="35601" s="2" customFormat="1"/>
    <row r="35602" s="2" customFormat="1"/>
    <row r="35603" s="2" customFormat="1"/>
    <row r="35604" s="2" customFormat="1"/>
    <row r="35605" s="2" customFormat="1"/>
    <row r="35606" s="2" customFormat="1"/>
    <row r="35607" s="2" customFormat="1"/>
    <row r="35608" s="2" customFormat="1"/>
    <row r="35609" s="2" customFormat="1"/>
    <row r="35610" s="2" customFormat="1"/>
    <row r="35611" s="2" customFormat="1"/>
    <row r="35612" s="2" customFormat="1"/>
    <row r="35613" s="2" customFormat="1"/>
    <row r="35614" s="2" customFormat="1"/>
    <row r="35615" s="2" customFormat="1"/>
    <row r="35616" s="2" customFormat="1"/>
    <row r="35617" s="2" customFormat="1"/>
    <row r="35618" s="2" customFormat="1"/>
    <row r="35619" s="2" customFormat="1"/>
    <row r="35620" s="2" customFormat="1"/>
    <row r="35621" s="2" customFormat="1"/>
    <row r="35622" s="2" customFormat="1"/>
    <row r="35623" s="2" customFormat="1"/>
    <row r="35624" s="2" customFormat="1"/>
    <row r="35625" s="2" customFormat="1"/>
    <row r="35626" s="2" customFormat="1"/>
    <row r="35627" s="2" customFormat="1"/>
    <row r="35628" s="2" customFormat="1"/>
    <row r="35629" s="2" customFormat="1"/>
    <row r="35630" s="2" customFormat="1"/>
    <row r="35631" s="2" customFormat="1"/>
    <row r="35632" s="2" customFormat="1"/>
    <row r="35633" s="2" customFormat="1"/>
    <row r="35634" s="2" customFormat="1"/>
    <row r="35635" s="2" customFormat="1"/>
    <row r="35636" s="2" customFormat="1"/>
    <row r="35637" s="2" customFormat="1"/>
    <row r="35638" s="2" customFormat="1"/>
    <row r="35639" s="2" customFormat="1"/>
    <row r="35640" s="2" customFormat="1"/>
    <row r="35641" s="2" customFormat="1"/>
    <row r="35642" s="2" customFormat="1"/>
    <row r="35643" s="2" customFormat="1"/>
    <row r="35644" s="2" customFormat="1"/>
    <row r="35645" s="2" customFormat="1"/>
    <row r="35646" s="2" customFormat="1"/>
    <row r="35647" s="2" customFormat="1"/>
    <row r="35648" s="2" customFormat="1"/>
    <row r="35649" s="2" customFormat="1"/>
    <row r="35650" s="2" customFormat="1"/>
    <row r="35651" s="2" customFormat="1"/>
    <row r="35652" s="2" customFormat="1"/>
    <row r="35653" s="2" customFormat="1"/>
    <row r="35654" s="2" customFormat="1"/>
    <row r="35655" s="2" customFormat="1"/>
    <row r="35656" s="2" customFormat="1"/>
    <row r="35657" s="2" customFormat="1"/>
    <row r="35658" s="2" customFormat="1"/>
    <row r="35659" s="2" customFormat="1"/>
    <row r="35660" s="2" customFormat="1"/>
    <row r="35661" s="2" customFormat="1"/>
    <row r="35662" s="2" customFormat="1"/>
    <row r="35663" s="2" customFormat="1"/>
    <row r="35664" s="2" customFormat="1"/>
    <row r="35665" s="2" customFormat="1"/>
    <row r="35666" s="2" customFormat="1"/>
    <row r="35667" s="2" customFormat="1"/>
    <row r="35668" s="2" customFormat="1"/>
    <row r="35669" s="2" customFormat="1"/>
    <row r="35670" s="2" customFormat="1"/>
    <row r="35671" s="2" customFormat="1"/>
    <row r="35672" s="2" customFormat="1"/>
    <row r="35673" s="2" customFormat="1"/>
    <row r="35674" s="2" customFormat="1"/>
    <row r="35675" s="2" customFormat="1"/>
    <row r="35676" s="2" customFormat="1"/>
    <row r="35677" s="2" customFormat="1"/>
    <row r="35678" s="2" customFormat="1"/>
    <row r="35679" s="2" customFormat="1"/>
    <row r="35680" s="2" customFormat="1"/>
    <row r="35681" s="2" customFormat="1"/>
    <row r="35682" s="2" customFormat="1"/>
    <row r="35683" s="2" customFormat="1"/>
    <row r="35684" s="2" customFormat="1"/>
    <row r="35685" s="2" customFormat="1"/>
    <row r="35686" s="2" customFormat="1"/>
    <row r="35687" s="2" customFormat="1"/>
    <row r="35688" s="2" customFormat="1"/>
    <row r="35689" s="2" customFormat="1"/>
    <row r="35690" s="2" customFormat="1"/>
    <row r="35691" s="2" customFormat="1"/>
    <row r="35692" s="2" customFormat="1"/>
    <row r="35693" s="2" customFormat="1"/>
    <row r="35694" s="2" customFormat="1"/>
    <row r="35695" s="2" customFormat="1"/>
    <row r="35696" s="2" customFormat="1"/>
    <row r="35697" s="2" customFormat="1"/>
    <row r="35698" s="2" customFormat="1"/>
    <row r="35699" s="2" customFormat="1"/>
    <row r="35700" s="2" customFormat="1"/>
    <row r="35701" s="2" customFormat="1"/>
    <row r="35702" s="2" customFormat="1"/>
    <row r="35703" s="2" customFormat="1"/>
    <row r="35704" s="2" customFormat="1"/>
    <row r="35705" s="2" customFormat="1"/>
    <row r="35706" s="2" customFormat="1"/>
    <row r="35707" s="2" customFormat="1"/>
    <row r="35708" s="2" customFormat="1"/>
    <row r="35709" s="2" customFormat="1"/>
    <row r="35710" s="2" customFormat="1"/>
    <row r="35711" s="2" customFormat="1"/>
    <row r="35712" s="2" customFormat="1"/>
    <row r="35713" s="2" customFormat="1"/>
    <row r="35714" s="2" customFormat="1"/>
    <row r="35715" s="2" customFormat="1"/>
    <row r="35716" s="2" customFormat="1"/>
    <row r="35717" s="2" customFormat="1"/>
    <row r="35718" s="2" customFormat="1"/>
    <row r="35719" s="2" customFormat="1"/>
    <row r="35720" s="2" customFormat="1"/>
    <row r="35721" s="2" customFormat="1"/>
    <row r="35722" s="2" customFormat="1"/>
    <row r="35723" s="2" customFormat="1"/>
    <row r="35724" s="2" customFormat="1"/>
    <row r="35725" s="2" customFormat="1"/>
    <row r="35726" s="2" customFormat="1"/>
    <row r="35727" s="2" customFormat="1"/>
    <row r="35728" s="2" customFormat="1"/>
    <row r="35729" s="2" customFormat="1"/>
    <row r="35730" s="2" customFormat="1"/>
    <row r="35731" s="2" customFormat="1"/>
    <row r="35732" s="2" customFormat="1"/>
    <row r="35733" s="2" customFormat="1"/>
    <row r="35734" s="2" customFormat="1"/>
    <row r="35735" s="2" customFormat="1"/>
    <row r="35736" s="2" customFormat="1"/>
    <row r="35737" s="2" customFormat="1"/>
    <row r="35738" s="2" customFormat="1"/>
    <row r="35739" s="2" customFormat="1"/>
    <row r="35740" s="2" customFormat="1"/>
    <row r="35741" s="2" customFormat="1"/>
    <row r="35742" s="2" customFormat="1"/>
    <row r="35743" s="2" customFormat="1"/>
    <row r="35744" s="2" customFormat="1"/>
    <row r="35745" s="2" customFormat="1"/>
    <row r="35746" s="2" customFormat="1"/>
    <row r="35747" s="2" customFormat="1"/>
    <row r="35748" s="2" customFormat="1"/>
    <row r="35749" s="2" customFormat="1"/>
    <row r="35750" s="2" customFormat="1"/>
    <row r="35751" s="2" customFormat="1"/>
    <row r="35752" s="2" customFormat="1"/>
    <row r="35753" s="2" customFormat="1"/>
    <row r="35754" s="2" customFormat="1"/>
    <row r="35755" s="2" customFormat="1"/>
    <row r="35756" s="2" customFormat="1"/>
    <row r="35757" s="2" customFormat="1"/>
    <row r="35758" s="2" customFormat="1"/>
    <row r="35759" s="2" customFormat="1"/>
    <row r="35760" s="2" customFormat="1"/>
    <row r="35761" s="2" customFormat="1"/>
    <row r="35762" s="2" customFormat="1"/>
    <row r="35763" s="2" customFormat="1"/>
    <row r="35764" s="2" customFormat="1"/>
    <row r="35765" s="2" customFormat="1"/>
    <row r="35766" s="2" customFormat="1"/>
    <row r="35767" s="2" customFormat="1"/>
    <row r="35768" s="2" customFormat="1"/>
    <row r="35769" s="2" customFormat="1"/>
    <row r="35770" s="2" customFormat="1"/>
    <row r="35771" s="2" customFormat="1"/>
    <row r="35772" s="2" customFormat="1"/>
    <row r="35773" s="2" customFormat="1"/>
    <row r="35774" s="2" customFormat="1"/>
    <row r="35775" s="2" customFormat="1"/>
    <row r="35776" s="2" customFormat="1"/>
    <row r="35777" s="2" customFormat="1"/>
    <row r="35778" s="2" customFormat="1"/>
    <row r="35779" s="2" customFormat="1"/>
    <row r="35780" s="2" customFormat="1"/>
    <row r="35781" s="2" customFormat="1"/>
    <row r="35782" s="2" customFormat="1"/>
    <row r="35783" s="2" customFormat="1"/>
    <row r="35784" s="2" customFormat="1"/>
    <row r="35785" s="2" customFormat="1"/>
    <row r="35786" s="2" customFormat="1"/>
    <row r="35787" s="2" customFormat="1"/>
    <row r="35788" s="2" customFormat="1"/>
    <row r="35789" s="2" customFormat="1"/>
    <row r="35790" s="2" customFormat="1"/>
    <row r="35791" s="2" customFormat="1"/>
    <row r="35792" s="2" customFormat="1"/>
    <row r="35793" s="2" customFormat="1"/>
    <row r="35794" s="2" customFormat="1"/>
    <row r="35795" s="2" customFormat="1"/>
    <row r="35796" s="2" customFormat="1"/>
    <row r="35797" s="2" customFormat="1"/>
    <row r="35798" s="2" customFormat="1"/>
    <row r="35799" s="2" customFormat="1"/>
    <row r="35800" s="2" customFormat="1"/>
    <row r="35801" s="2" customFormat="1"/>
    <row r="35802" s="2" customFormat="1"/>
    <row r="35803" s="2" customFormat="1"/>
    <row r="35804" s="2" customFormat="1"/>
    <row r="35805" s="2" customFormat="1"/>
    <row r="35806" s="2" customFormat="1"/>
    <row r="35807" s="2" customFormat="1"/>
    <row r="35808" s="2" customFormat="1"/>
    <row r="35809" s="2" customFormat="1"/>
    <row r="35810" s="2" customFormat="1"/>
    <row r="35811" s="2" customFormat="1"/>
    <row r="35812" s="2" customFormat="1"/>
    <row r="35813" s="2" customFormat="1"/>
    <row r="35814" s="2" customFormat="1"/>
    <row r="35815" s="2" customFormat="1"/>
    <row r="35816" s="2" customFormat="1"/>
    <row r="35817" s="2" customFormat="1"/>
    <row r="35818" s="2" customFormat="1"/>
    <row r="35819" s="2" customFormat="1"/>
    <row r="35820" s="2" customFormat="1"/>
    <row r="35821" s="2" customFormat="1"/>
    <row r="35822" s="2" customFormat="1"/>
    <row r="35823" s="2" customFormat="1"/>
    <row r="35824" s="2" customFormat="1"/>
    <row r="35825" s="2" customFormat="1"/>
    <row r="35826" s="2" customFormat="1"/>
    <row r="35827" s="2" customFormat="1"/>
    <row r="35828" s="2" customFormat="1"/>
    <row r="35829" s="2" customFormat="1"/>
    <row r="35830" s="2" customFormat="1"/>
    <row r="35831" s="2" customFormat="1"/>
    <row r="35832" s="2" customFormat="1"/>
    <row r="35833" s="2" customFormat="1"/>
    <row r="35834" s="2" customFormat="1"/>
    <row r="35835" s="2" customFormat="1"/>
    <row r="35836" s="2" customFormat="1"/>
    <row r="35837" s="2" customFormat="1"/>
    <row r="35838" s="2" customFormat="1"/>
    <row r="35839" s="2" customFormat="1"/>
    <row r="35840" s="2" customFormat="1"/>
    <row r="35841" s="2" customFormat="1"/>
    <row r="35842" s="2" customFormat="1"/>
    <row r="35843" s="2" customFormat="1"/>
    <row r="35844" s="2" customFormat="1"/>
    <row r="35845" s="2" customFormat="1"/>
    <row r="35846" s="2" customFormat="1"/>
    <row r="35847" s="2" customFormat="1"/>
    <row r="35848" s="2" customFormat="1"/>
    <row r="35849" s="2" customFormat="1"/>
    <row r="35850" s="2" customFormat="1"/>
    <row r="35851" s="2" customFormat="1"/>
    <row r="35852" s="2" customFormat="1"/>
    <row r="35853" s="2" customFormat="1"/>
    <row r="35854" s="2" customFormat="1"/>
    <row r="35855" s="2" customFormat="1"/>
    <row r="35856" s="2" customFormat="1"/>
    <row r="35857" s="2" customFormat="1"/>
    <row r="35858" s="2" customFormat="1"/>
    <row r="35859" s="2" customFormat="1"/>
    <row r="35860" s="2" customFormat="1"/>
    <row r="35861" s="2" customFormat="1"/>
    <row r="35862" s="2" customFormat="1"/>
    <row r="35863" s="2" customFormat="1"/>
    <row r="35864" s="2" customFormat="1"/>
    <row r="35865" s="2" customFormat="1"/>
    <row r="35866" s="2" customFormat="1"/>
    <row r="35867" s="2" customFormat="1"/>
    <row r="35868" s="2" customFormat="1"/>
    <row r="35869" s="2" customFormat="1"/>
    <row r="35870" s="2" customFormat="1"/>
    <row r="35871" s="2" customFormat="1"/>
    <row r="35872" s="2" customFormat="1"/>
    <row r="35873" s="2" customFormat="1"/>
    <row r="35874" s="2" customFormat="1"/>
    <row r="35875" s="2" customFormat="1"/>
    <row r="35876" s="2" customFormat="1"/>
    <row r="35877" s="2" customFormat="1"/>
    <row r="35878" s="2" customFormat="1"/>
    <row r="35879" s="2" customFormat="1"/>
    <row r="35880" s="2" customFormat="1"/>
    <row r="35881" s="2" customFormat="1"/>
    <row r="35882" s="2" customFormat="1"/>
    <row r="35883" s="2" customFormat="1"/>
    <row r="35884" s="2" customFormat="1"/>
    <row r="35885" s="2" customFormat="1"/>
    <row r="35886" s="2" customFormat="1"/>
    <row r="35887" s="2" customFormat="1"/>
    <row r="35888" s="2" customFormat="1"/>
    <row r="35889" s="2" customFormat="1"/>
    <row r="35890" s="2" customFormat="1"/>
    <row r="35891" s="2" customFormat="1"/>
    <row r="35892" s="2" customFormat="1"/>
    <row r="35893" s="2" customFormat="1"/>
    <row r="35894" s="2" customFormat="1"/>
    <row r="35895" s="2" customFormat="1"/>
    <row r="35896" s="2" customFormat="1"/>
    <row r="35897" s="2" customFormat="1"/>
    <row r="35898" s="2" customFormat="1"/>
    <row r="35899" s="2" customFormat="1"/>
    <row r="35900" s="2" customFormat="1"/>
    <row r="35901" s="2" customFormat="1"/>
    <row r="35902" s="2" customFormat="1"/>
    <row r="35903" s="2" customFormat="1"/>
    <row r="35904" s="2" customFormat="1"/>
    <row r="35905" s="2" customFormat="1"/>
    <row r="35906" s="2" customFormat="1"/>
    <row r="35907" s="2" customFormat="1"/>
    <row r="35908" s="2" customFormat="1"/>
    <row r="35909" s="2" customFormat="1"/>
    <row r="35910" s="2" customFormat="1"/>
    <row r="35911" s="2" customFormat="1"/>
    <row r="35912" s="2" customFormat="1"/>
    <row r="35913" s="2" customFormat="1"/>
    <row r="35914" s="2" customFormat="1"/>
    <row r="35915" s="2" customFormat="1"/>
    <row r="35916" s="2" customFormat="1"/>
    <row r="35917" s="2" customFormat="1"/>
    <row r="35918" s="2" customFormat="1"/>
    <row r="35919" s="2" customFormat="1"/>
    <row r="35920" s="2" customFormat="1"/>
    <row r="35921" s="2" customFormat="1"/>
    <row r="35922" s="2" customFormat="1"/>
    <row r="35923" s="2" customFormat="1"/>
    <row r="35924" s="2" customFormat="1"/>
    <row r="35925" s="2" customFormat="1"/>
    <row r="35926" s="2" customFormat="1"/>
    <row r="35927" s="2" customFormat="1"/>
    <row r="35928" s="2" customFormat="1"/>
    <row r="35929" s="2" customFormat="1"/>
    <row r="35930" s="2" customFormat="1"/>
    <row r="35931" s="2" customFormat="1"/>
    <row r="35932" s="2" customFormat="1"/>
    <row r="35933" s="2" customFormat="1"/>
    <row r="35934" s="2" customFormat="1"/>
    <row r="35935" s="2" customFormat="1"/>
    <row r="35936" s="2" customFormat="1"/>
    <row r="35937" s="2" customFormat="1"/>
    <row r="35938" s="2" customFormat="1"/>
    <row r="35939" s="2" customFormat="1"/>
    <row r="35940" s="2" customFormat="1"/>
    <row r="35941" s="2" customFormat="1"/>
    <row r="35942" s="2" customFormat="1"/>
    <row r="35943" s="2" customFormat="1"/>
    <row r="35944" s="2" customFormat="1"/>
    <row r="35945" s="2" customFormat="1"/>
    <row r="35946" s="2" customFormat="1"/>
    <row r="35947" s="2" customFormat="1"/>
    <row r="35948" s="2" customFormat="1"/>
    <row r="35949" s="2" customFormat="1"/>
    <row r="35950" s="2" customFormat="1"/>
    <row r="35951" s="2" customFormat="1"/>
    <row r="35952" s="2" customFormat="1"/>
    <row r="35953" s="2" customFormat="1"/>
    <row r="35954" s="2" customFormat="1"/>
    <row r="35955" s="2" customFormat="1"/>
    <row r="35956" s="2" customFormat="1"/>
    <row r="35957" s="2" customFormat="1"/>
    <row r="35958" s="2" customFormat="1"/>
    <row r="35959" s="2" customFormat="1"/>
    <row r="35960" s="2" customFormat="1"/>
    <row r="35961" s="2" customFormat="1"/>
    <row r="35962" s="2" customFormat="1"/>
    <row r="35963" s="2" customFormat="1"/>
    <row r="35964" s="2" customFormat="1"/>
    <row r="35965" s="2" customFormat="1"/>
    <row r="35966" s="2" customFormat="1"/>
    <row r="35967" s="2" customFormat="1"/>
    <row r="35968" s="2" customFormat="1"/>
    <row r="35969" s="2" customFormat="1"/>
    <row r="35970" s="2" customFormat="1"/>
    <row r="35971" s="2" customFormat="1"/>
    <row r="35972" s="2" customFormat="1"/>
    <row r="35973" s="2" customFormat="1"/>
    <row r="35974" s="2" customFormat="1"/>
    <row r="35975" s="2" customFormat="1"/>
    <row r="35976" s="2" customFormat="1"/>
    <row r="35977" s="2" customFormat="1"/>
    <row r="35978" s="2" customFormat="1"/>
    <row r="35979" s="2" customFormat="1"/>
    <row r="35980" s="2" customFormat="1"/>
    <row r="35981" s="2" customFormat="1"/>
    <row r="35982" s="2" customFormat="1"/>
    <row r="35983" s="2" customFormat="1"/>
    <row r="35984" s="2" customFormat="1"/>
    <row r="35985" s="2" customFormat="1"/>
    <row r="35986" s="2" customFormat="1"/>
    <row r="35987" s="2" customFormat="1"/>
    <row r="35988" s="2" customFormat="1"/>
    <row r="35989" s="2" customFormat="1"/>
    <row r="35990" s="2" customFormat="1"/>
    <row r="35991" s="2" customFormat="1"/>
    <row r="35992" s="2" customFormat="1"/>
    <row r="35993" s="2" customFormat="1"/>
    <row r="35994" s="2" customFormat="1"/>
    <row r="35995" s="2" customFormat="1"/>
    <row r="35996" s="2" customFormat="1"/>
    <row r="35997" s="2" customFormat="1"/>
    <row r="35998" s="2" customFormat="1"/>
    <row r="35999" s="2" customFormat="1"/>
    <row r="36000" s="2" customFormat="1"/>
    <row r="36001" s="2" customFormat="1"/>
    <row r="36002" s="2" customFormat="1"/>
    <row r="36003" s="2" customFormat="1"/>
    <row r="36004" s="2" customFormat="1"/>
    <row r="36005" s="2" customFormat="1"/>
    <row r="36006" s="2" customFormat="1"/>
    <row r="36007" s="2" customFormat="1"/>
    <row r="36008" s="2" customFormat="1"/>
    <row r="36009" s="2" customFormat="1"/>
    <row r="36010" s="2" customFormat="1"/>
    <row r="36011" s="2" customFormat="1"/>
    <row r="36012" s="2" customFormat="1"/>
    <row r="36013" s="2" customFormat="1"/>
    <row r="36014" s="2" customFormat="1"/>
    <row r="36015" s="2" customFormat="1"/>
    <row r="36016" s="2" customFormat="1"/>
    <row r="36017" s="2" customFormat="1"/>
    <row r="36018" s="2" customFormat="1"/>
    <row r="36019" s="2" customFormat="1"/>
    <row r="36020" s="2" customFormat="1"/>
    <row r="36021" s="2" customFormat="1"/>
    <row r="36022" s="2" customFormat="1"/>
    <row r="36023" s="2" customFormat="1"/>
    <row r="36024" s="2" customFormat="1"/>
    <row r="36025" s="2" customFormat="1"/>
    <row r="36026" s="2" customFormat="1"/>
    <row r="36027" s="2" customFormat="1"/>
    <row r="36028" s="2" customFormat="1"/>
    <row r="36029" s="2" customFormat="1"/>
    <row r="36030" s="2" customFormat="1"/>
    <row r="36031" s="2" customFormat="1"/>
    <row r="36032" s="2" customFormat="1"/>
    <row r="36033" s="2" customFormat="1"/>
    <row r="36034" s="2" customFormat="1"/>
    <row r="36035" s="2" customFormat="1"/>
    <row r="36036" s="2" customFormat="1"/>
    <row r="36037" s="2" customFormat="1"/>
    <row r="36038" s="2" customFormat="1"/>
    <row r="36039" s="2" customFormat="1"/>
    <row r="36040" s="2" customFormat="1"/>
    <row r="36041" s="2" customFormat="1"/>
    <row r="36042" s="2" customFormat="1"/>
    <row r="36043" s="2" customFormat="1"/>
    <row r="36044" s="2" customFormat="1"/>
    <row r="36045" s="2" customFormat="1"/>
    <row r="36046" s="2" customFormat="1"/>
    <row r="36047" s="2" customFormat="1"/>
    <row r="36048" s="2" customFormat="1"/>
    <row r="36049" s="2" customFormat="1"/>
    <row r="36050" s="2" customFormat="1"/>
    <row r="36051" s="2" customFormat="1"/>
    <row r="36052" s="2" customFormat="1"/>
    <row r="36053" s="2" customFormat="1"/>
    <row r="36054" s="2" customFormat="1"/>
    <row r="36055" s="2" customFormat="1"/>
    <row r="36056" s="2" customFormat="1"/>
    <row r="36057" s="2" customFormat="1"/>
    <row r="36058" s="2" customFormat="1"/>
    <row r="36059" s="2" customFormat="1"/>
    <row r="36060" s="2" customFormat="1"/>
    <row r="36061" s="2" customFormat="1"/>
    <row r="36062" s="2" customFormat="1"/>
    <row r="36063" s="2" customFormat="1"/>
    <row r="36064" s="2" customFormat="1"/>
    <row r="36065" s="2" customFormat="1"/>
    <row r="36066" s="2" customFormat="1"/>
    <row r="36067" s="2" customFormat="1"/>
    <row r="36068" s="2" customFormat="1"/>
    <row r="36069" s="2" customFormat="1"/>
    <row r="36070" s="2" customFormat="1"/>
    <row r="36071" s="2" customFormat="1"/>
    <row r="36072" s="2" customFormat="1"/>
    <row r="36073" s="2" customFormat="1"/>
    <row r="36074" s="2" customFormat="1"/>
    <row r="36075" s="2" customFormat="1"/>
    <row r="36076" s="2" customFormat="1"/>
    <row r="36077" s="2" customFormat="1"/>
    <row r="36078" s="2" customFormat="1"/>
    <row r="36079" s="2" customFormat="1"/>
    <row r="36080" s="2" customFormat="1"/>
    <row r="36081" s="2" customFormat="1"/>
    <row r="36082" s="2" customFormat="1"/>
    <row r="36083" s="2" customFormat="1"/>
    <row r="36084" s="2" customFormat="1"/>
    <row r="36085" s="2" customFormat="1"/>
    <row r="36086" s="2" customFormat="1"/>
    <row r="36087" s="2" customFormat="1"/>
    <row r="36088" s="2" customFormat="1"/>
    <row r="36089" s="2" customFormat="1"/>
    <row r="36090" s="2" customFormat="1"/>
    <row r="36091" s="2" customFormat="1"/>
    <row r="36092" s="2" customFormat="1"/>
    <row r="36093" s="2" customFormat="1"/>
    <row r="36094" s="2" customFormat="1"/>
    <row r="36095" s="2" customFormat="1"/>
    <row r="36096" s="2" customFormat="1"/>
    <row r="36097" s="2" customFormat="1"/>
    <row r="36098" s="2" customFormat="1"/>
    <row r="36099" s="2" customFormat="1"/>
    <row r="36100" s="2" customFormat="1"/>
    <row r="36101" s="2" customFormat="1"/>
    <row r="36102" s="2" customFormat="1"/>
    <row r="36103" s="2" customFormat="1"/>
    <row r="36104" s="2" customFormat="1"/>
    <row r="36105" s="2" customFormat="1"/>
    <row r="36106" s="2" customFormat="1"/>
    <row r="36107" s="2" customFormat="1"/>
    <row r="36108" s="2" customFormat="1"/>
    <row r="36109" s="2" customFormat="1"/>
    <row r="36110" s="2" customFormat="1"/>
    <row r="36111" s="2" customFormat="1"/>
    <row r="36112" s="2" customFormat="1"/>
    <row r="36113" s="2" customFormat="1"/>
    <row r="36114" s="2" customFormat="1"/>
    <row r="36115" s="2" customFormat="1"/>
    <row r="36116" s="2" customFormat="1"/>
    <row r="36117" s="2" customFormat="1"/>
    <row r="36118" s="2" customFormat="1"/>
    <row r="36119" s="2" customFormat="1"/>
    <row r="36120" s="2" customFormat="1"/>
    <row r="36121" s="2" customFormat="1"/>
    <row r="36122" s="2" customFormat="1"/>
    <row r="36123" s="2" customFormat="1"/>
    <row r="36124" s="2" customFormat="1"/>
    <row r="36125" s="2" customFormat="1"/>
    <row r="36126" s="2" customFormat="1"/>
    <row r="36127" s="2" customFormat="1"/>
    <row r="36128" s="2" customFormat="1"/>
    <row r="36129" s="2" customFormat="1"/>
    <row r="36130" s="2" customFormat="1"/>
    <row r="36131" s="2" customFormat="1"/>
    <row r="36132" s="2" customFormat="1"/>
    <row r="36133" s="2" customFormat="1"/>
    <row r="36134" s="2" customFormat="1"/>
    <row r="36135" s="2" customFormat="1"/>
    <row r="36136" s="2" customFormat="1"/>
    <row r="36137" s="2" customFormat="1"/>
    <row r="36138" s="2" customFormat="1"/>
    <row r="36139" s="2" customFormat="1"/>
    <row r="36140" s="2" customFormat="1"/>
    <row r="36141" s="2" customFormat="1"/>
    <row r="36142" s="2" customFormat="1"/>
    <row r="36143" s="2" customFormat="1"/>
    <row r="36144" s="2" customFormat="1"/>
    <row r="36145" s="2" customFormat="1"/>
    <row r="36146" s="2" customFormat="1"/>
    <row r="36147" s="2" customFormat="1"/>
    <row r="36148" s="2" customFormat="1"/>
    <row r="36149" s="2" customFormat="1"/>
    <row r="36150" s="2" customFormat="1"/>
    <row r="36151" s="2" customFormat="1"/>
    <row r="36152" s="2" customFormat="1"/>
    <row r="36153" s="2" customFormat="1"/>
    <row r="36154" s="2" customFormat="1"/>
    <row r="36155" s="2" customFormat="1"/>
    <row r="36156" s="2" customFormat="1"/>
    <row r="36157" s="2" customFormat="1"/>
    <row r="36158" s="2" customFormat="1"/>
    <row r="36159" s="2" customFormat="1"/>
    <row r="36160" s="2" customFormat="1"/>
    <row r="36161" s="2" customFormat="1"/>
    <row r="36162" s="2" customFormat="1"/>
    <row r="36163" s="2" customFormat="1"/>
    <row r="36164" s="2" customFormat="1"/>
    <row r="36165" s="2" customFormat="1"/>
    <row r="36166" s="2" customFormat="1"/>
    <row r="36167" s="2" customFormat="1"/>
    <row r="36168" s="2" customFormat="1"/>
    <row r="36169" s="2" customFormat="1"/>
    <row r="36170" s="2" customFormat="1"/>
    <row r="36171" s="2" customFormat="1"/>
    <row r="36172" s="2" customFormat="1"/>
    <row r="36173" s="2" customFormat="1"/>
    <row r="36174" s="2" customFormat="1"/>
    <row r="36175" s="2" customFormat="1"/>
    <row r="36176" s="2" customFormat="1"/>
    <row r="36177" s="2" customFormat="1"/>
    <row r="36178" s="2" customFormat="1"/>
    <row r="36179" s="2" customFormat="1"/>
    <row r="36180" s="2" customFormat="1"/>
    <row r="36181" s="2" customFormat="1"/>
    <row r="36182" s="2" customFormat="1"/>
    <row r="36183" s="2" customFormat="1"/>
    <row r="36184" s="2" customFormat="1"/>
    <row r="36185" s="2" customFormat="1"/>
    <row r="36186" s="2" customFormat="1"/>
    <row r="36187" s="2" customFormat="1"/>
    <row r="36188" s="2" customFormat="1"/>
    <row r="36189" s="2" customFormat="1"/>
    <row r="36190" s="2" customFormat="1"/>
    <row r="36191" s="2" customFormat="1"/>
    <row r="36192" s="2" customFormat="1"/>
    <row r="36193" s="2" customFormat="1"/>
    <row r="36194" s="2" customFormat="1"/>
    <row r="36195" s="2" customFormat="1"/>
    <row r="36196" s="2" customFormat="1"/>
    <row r="36197" s="2" customFormat="1"/>
    <row r="36198" s="2" customFormat="1"/>
    <row r="36199" s="2" customFormat="1"/>
    <row r="36200" s="2" customFormat="1"/>
    <row r="36201" s="2" customFormat="1"/>
    <row r="36202" s="2" customFormat="1"/>
    <row r="36203" s="2" customFormat="1"/>
    <row r="36204" s="2" customFormat="1"/>
    <row r="36205" s="2" customFormat="1"/>
    <row r="36206" s="2" customFormat="1"/>
    <row r="36207" s="2" customFormat="1"/>
    <row r="36208" s="2" customFormat="1"/>
    <row r="36209" s="2" customFormat="1"/>
    <row r="36210" s="2" customFormat="1"/>
    <row r="36211" s="2" customFormat="1"/>
    <row r="36212" s="2" customFormat="1"/>
    <row r="36213" s="2" customFormat="1"/>
    <row r="36214" s="2" customFormat="1"/>
    <row r="36215" s="2" customFormat="1"/>
    <row r="36216" s="2" customFormat="1"/>
    <row r="36217" s="2" customFormat="1"/>
    <row r="36218" s="2" customFormat="1"/>
    <row r="36219" s="2" customFormat="1"/>
    <row r="36220" s="2" customFormat="1"/>
    <row r="36221" s="2" customFormat="1"/>
    <row r="36222" s="2" customFormat="1"/>
    <row r="36223" s="2" customFormat="1"/>
    <row r="36224" s="2" customFormat="1"/>
    <row r="36225" s="2" customFormat="1"/>
    <row r="36226" s="2" customFormat="1"/>
    <row r="36227" s="2" customFormat="1"/>
    <row r="36228" s="2" customFormat="1"/>
    <row r="36229" s="2" customFormat="1"/>
    <row r="36230" s="2" customFormat="1"/>
    <row r="36231" s="2" customFormat="1"/>
    <row r="36232" s="2" customFormat="1"/>
    <row r="36233" s="2" customFormat="1"/>
    <row r="36234" s="2" customFormat="1"/>
    <row r="36235" s="2" customFormat="1"/>
    <row r="36236" s="2" customFormat="1"/>
    <row r="36237" s="2" customFormat="1"/>
    <row r="36238" s="2" customFormat="1"/>
    <row r="36239" s="2" customFormat="1"/>
    <row r="36240" s="2" customFormat="1"/>
    <row r="36241" s="2" customFormat="1"/>
    <row r="36242" s="2" customFormat="1"/>
    <row r="36243" s="2" customFormat="1"/>
    <row r="36244" s="2" customFormat="1"/>
    <row r="36245" s="2" customFormat="1"/>
    <row r="36246" s="2" customFormat="1"/>
    <row r="36247" s="2" customFormat="1"/>
    <row r="36248" s="2" customFormat="1"/>
    <row r="36249" s="2" customFormat="1"/>
    <row r="36250" s="2" customFormat="1"/>
    <row r="36251" s="2" customFormat="1"/>
    <row r="36252" s="2" customFormat="1"/>
    <row r="36253" s="2" customFormat="1"/>
    <row r="36254" s="2" customFormat="1"/>
    <row r="36255" s="2" customFormat="1"/>
    <row r="36256" s="2" customFormat="1"/>
    <row r="36257" s="2" customFormat="1"/>
    <row r="36258" s="2" customFormat="1"/>
    <row r="36259" s="2" customFormat="1"/>
    <row r="36260" s="2" customFormat="1"/>
    <row r="36261" s="2" customFormat="1"/>
    <row r="36262" s="2" customFormat="1"/>
    <row r="36263" s="2" customFormat="1"/>
    <row r="36264" s="2" customFormat="1"/>
    <row r="36265" s="2" customFormat="1"/>
    <row r="36266" s="2" customFormat="1"/>
    <row r="36267" s="2" customFormat="1"/>
    <row r="36268" s="2" customFormat="1"/>
    <row r="36269" s="2" customFormat="1"/>
    <row r="36270" s="2" customFormat="1"/>
    <row r="36271" s="2" customFormat="1"/>
    <row r="36272" s="2" customFormat="1"/>
    <row r="36273" s="2" customFormat="1"/>
    <row r="36274" s="2" customFormat="1"/>
    <row r="36275" s="2" customFormat="1"/>
    <row r="36276" s="2" customFormat="1"/>
    <row r="36277" s="2" customFormat="1"/>
    <row r="36278" s="2" customFormat="1"/>
    <row r="36279" s="2" customFormat="1"/>
    <row r="36280" s="2" customFormat="1"/>
    <row r="36281" s="2" customFormat="1"/>
    <row r="36282" s="2" customFormat="1"/>
    <row r="36283" s="2" customFormat="1"/>
    <row r="36284" s="2" customFormat="1"/>
    <row r="36285" s="2" customFormat="1"/>
    <row r="36286" s="2" customFormat="1"/>
    <row r="36287" s="2" customFormat="1"/>
    <row r="36288" s="2" customFormat="1"/>
    <row r="36289" s="2" customFormat="1"/>
    <row r="36290" s="2" customFormat="1"/>
    <row r="36291" s="2" customFormat="1"/>
    <row r="36292" s="2" customFormat="1"/>
    <row r="36293" s="2" customFormat="1"/>
    <row r="36294" s="2" customFormat="1"/>
    <row r="36295" s="2" customFormat="1"/>
    <row r="36296" s="2" customFormat="1"/>
    <row r="36297" s="2" customFormat="1"/>
    <row r="36298" s="2" customFormat="1"/>
    <row r="36299" s="2" customFormat="1"/>
    <row r="36300" s="2" customFormat="1"/>
    <row r="36301" s="2" customFormat="1"/>
    <row r="36302" s="2" customFormat="1"/>
    <row r="36303" s="2" customFormat="1"/>
    <row r="36304" s="2" customFormat="1"/>
    <row r="36305" s="2" customFormat="1"/>
    <row r="36306" s="2" customFormat="1"/>
    <row r="36307" s="2" customFormat="1"/>
    <row r="36308" s="2" customFormat="1"/>
    <row r="36309" s="2" customFormat="1"/>
    <row r="36310" s="2" customFormat="1"/>
    <row r="36311" s="2" customFormat="1"/>
    <row r="36312" s="2" customFormat="1"/>
    <row r="36313" s="2" customFormat="1"/>
    <row r="36314" s="2" customFormat="1"/>
    <row r="36315" s="2" customFormat="1"/>
    <row r="36316" s="2" customFormat="1"/>
    <row r="36317" s="2" customFormat="1"/>
    <row r="36318" s="2" customFormat="1"/>
    <row r="36319" s="2" customFormat="1"/>
    <row r="36320" s="2" customFormat="1"/>
    <row r="36321" s="2" customFormat="1"/>
    <row r="36322" s="2" customFormat="1"/>
    <row r="36323" s="2" customFormat="1"/>
    <row r="36324" s="2" customFormat="1"/>
    <row r="36325" s="2" customFormat="1"/>
    <row r="36326" s="2" customFormat="1"/>
    <row r="36327" s="2" customFormat="1"/>
    <row r="36328" s="2" customFormat="1"/>
    <row r="36329" s="2" customFormat="1"/>
    <row r="36330" s="2" customFormat="1"/>
    <row r="36331" s="2" customFormat="1"/>
    <row r="36332" s="2" customFormat="1"/>
    <row r="36333" s="2" customFormat="1"/>
    <row r="36334" s="2" customFormat="1"/>
    <row r="36335" s="2" customFormat="1"/>
    <row r="36336" s="2" customFormat="1"/>
    <row r="36337" s="2" customFormat="1"/>
    <row r="36338" s="2" customFormat="1"/>
    <row r="36339" s="2" customFormat="1"/>
    <row r="36340" s="2" customFormat="1"/>
    <row r="36341" s="2" customFormat="1"/>
    <row r="36342" s="2" customFormat="1"/>
    <row r="36343" s="2" customFormat="1"/>
    <row r="36344" s="2" customFormat="1"/>
    <row r="36345" s="2" customFormat="1"/>
    <row r="36346" s="2" customFormat="1"/>
    <row r="36347" s="2" customFormat="1"/>
    <row r="36348" s="2" customFormat="1"/>
    <row r="36349" s="2" customFormat="1"/>
    <row r="36350" s="2" customFormat="1"/>
    <row r="36351" s="2" customFormat="1"/>
    <row r="36352" s="2" customFormat="1"/>
    <row r="36353" s="2" customFormat="1"/>
    <row r="36354" s="2" customFormat="1"/>
    <row r="36355" s="2" customFormat="1"/>
    <row r="36356" s="2" customFormat="1"/>
    <row r="36357" s="2" customFormat="1"/>
    <row r="36358" s="2" customFormat="1"/>
    <row r="36359" s="2" customFormat="1"/>
    <row r="36360" s="2" customFormat="1"/>
    <row r="36361" s="2" customFormat="1"/>
    <row r="36362" s="2" customFormat="1"/>
    <row r="36363" s="2" customFormat="1"/>
    <row r="36364" s="2" customFormat="1"/>
    <row r="36365" s="2" customFormat="1"/>
    <row r="36366" s="2" customFormat="1"/>
    <row r="36367" s="2" customFormat="1"/>
    <row r="36368" s="2" customFormat="1"/>
    <row r="36369" s="2" customFormat="1"/>
    <row r="36370" s="2" customFormat="1"/>
    <row r="36371" s="2" customFormat="1"/>
    <row r="36372" s="2" customFormat="1"/>
    <row r="36373" s="2" customFormat="1"/>
    <row r="36374" s="2" customFormat="1"/>
    <row r="36375" s="2" customFormat="1"/>
    <row r="36376" s="2" customFormat="1"/>
    <row r="36377" s="2" customFormat="1"/>
    <row r="36378" s="2" customFormat="1"/>
    <row r="36379" s="2" customFormat="1"/>
    <row r="36380" s="2" customFormat="1"/>
    <row r="36381" s="2" customFormat="1"/>
    <row r="36382" s="2" customFormat="1"/>
    <row r="36383" s="2" customFormat="1"/>
    <row r="36384" s="2" customFormat="1"/>
    <row r="36385" s="2" customFormat="1"/>
    <row r="36386" s="2" customFormat="1"/>
    <row r="36387" s="2" customFormat="1"/>
    <row r="36388" s="2" customFormat="1"/>
    <row r="36389" s="2" customFormat="1"/>
    <row r="36390" s="2" customFormat="1"/>
    <row r="36391" s="2" customFormat="1"/>
    <row r="36392" s="2" customFormat="1"/>
    <row r="36393" s="2" customFormat="1"/>
    <row r="36394" s="2" customFormat="1"/>
    <row r="36395" s="2" customFormat="1"/>
    <row r="36396" s="2" customFormat="1"/>
    <row r="36397" s="2" customFormat="1"/>
    <row r="36398" s="2" customFormat="1"/>
    <row r="36399" s="2" customFormat="1"/>
    <row r="36400" s="2" customFormat="1"/>
    <row r="36401" s="2" customFormat="1"/>
    <row r="36402" s="2" customFormat="1"/>
    <row r="36403" s="2" customFormat="1"/>
    <row r="36404" s="2" customFormat="1"/>
    <row r="36405" s="2" customFormat="1"/>
    <row r="36406" s="2" customFormat="1"/>
    <row r="36407" s="2" customFormat="1"/>
    <row r="36408" s="2" customFormat="1"/>
    <row r="36409" s="2" customFormat="1"/>
    <row r="36410" s="2" customFormat="1"/>
    <row r="36411" s="2" customFormat="1"/>
    <row r="36412" s="2" customFormat="1"/>
    <row r="36413" s="2" customFormat="1"/>
    <row r="36414" s="2" customFormat="1"/>
    <row r="36415" s="2" customFormat="1"/>
    <row r="36416" s="2" customFormat="1"/>
    <row r="36417" s="2" customFormat="1"/>
    <row r="36418" s="2" customFormat="1"/>
    <row r="36419" s="2" customFormat="1"/>
    <row r="36420" s="2" customFormat="1"/>
    <row r="36421" s="2" customFormat="1"/>
    <row r="36422" s="2" customFormat="1"/>
    <row r="36423" s="2" customFormat="1"/>
    <row r="36424" s="2" customFormat="1"/>
    <row r="36425" s="2" customFormat="1"/>
    <row r="36426" s="2" customFormat="1"/>
    <row r="36427" s="2" customFormat="1"/>
    <row r="36428" s="2" customFormat="1"/>
    <row r="36429" s="2" customFormat="1"/>
    <row r="36430" s="2" customFormat="1"/>
    <row r="36431" s="2" customFormat="1"/>
    <row r="36432" s="2" customFormat="1"/>
    <row r="36433" s="2" customFormat="1"/>
    <row r="36434" s="2" customFormat="1"/>
    <row r="36435" s="2" customFormat="1"/>
    <row r="36436" s="2" customFormat="1"/>
    <row r="36437" s="2" customFormat="1"/>
    <row r="36438" s="2" customFormat="1"/>
    <row r="36439" s="2" customFormat="1"/>
    <row r="36440" s="2" customFormat="1"/>
    <row r="36441" s="2" customFormat="1"/>
    <row r="36442" s="2" customFormat="1"/>
    <row r="36443" s="2" customFormat="1"/>
    <row r="36444" s="2" customFormat="1"/>
    <row r="36445" s="2" customFormat="1"/>
    <row r="36446" s="2" customFormat="1"/>
    <row r="36447" s="2" customFormat="1"/>
    <row r="36448" s="2" customFormat="1"/>
    <row r="36449" s="2" customFormat="1"/>
    <row r="36450" s="2" customFormat="1"/>
    <row r="36451" s="2" customFormat="1"/>
    <row r="36452" s="2" customFormat="1"/>
    <row r="36453" s="2" customFormat="1"/>
    <row r="36454" s="2" customFormat="1"/>
    <row r="36455" s="2" customFormat="1"/>
    <row r="36456" s="2" customFormat="1"/>
    <row r="36457" s="2" customFormat="1"/>
    <row r="36458" s="2" customFormat="1"/>
    <row r="36459" s="2" customFormat="1"/>
    <row r="36460" s="2" customFormat="1"/>
    <row r="36461" s="2" customFormat="1"/>
    <row r="36462" s="2" customFormat="1"/>
    <row r="36463" s="2" customFormat="1"/>
    <row r="36464" s="2" customFormat="1"/>
    <row r="36465" s="2" customFormat="1"/>
    <row r="36466" s="2" customFormat="1"/>
    <row r="36467" s="2" customFormat="1"/>
    <row r="36468" s="2" customFormat="1"/>
    <row r="36469" s="2" customFormat="1"/>
    <row r="36470" s="2" customFormat="1"/>
    <row r="36471" s="2" customFormat="1"/>
    <row r="36472" s="2" customFormat="1"/>
    <row r="36473" s="2" customFormat="1"/>
    <row r="36474" s="2" customFormat="1"/>
    <row r="36475" s="2" customFormat="1"/>
    <row r="36476" s="2" customFormat="1"/>
    <row r="36477" s="2" customFormat="1"/>
    <row r="36478" s="2" customFormat="1"/>
    <row r="36479" s="2" customFormat="1"/>
    <row r="36480" s="2" customFormat="1"/>
    <row r="36481" s="2" customFormat="1"/>
    <row r="36482" s="2" customFormat="1"/>
    <row r="36483" s="2" customFormat="1"/>
    <row r="36484" s="2" customFormat="1"/>
    <row r="36485" s="2" customFormat="1"/>
    <row r="36486" s="2" customFormat="1"/>
    <row r="36487" s="2" customFormat="1"/>
    <row r="36488" s="2" customFormat="1"/>
    <row r="36489" s="2" customFormat="1"/>
    <row r="36490" s="2" customFormat="1"/>
    <row r="36491" s="2" customFormat="1"/>
    <row r="36492" s="2" customFormat="1"/>
    <row r="36493" s="2" customFormat="1"/>
    <row r="36494" s="2" customFormat="1"/>
    <row r="36495" s="2" customFormat="1"/>
    <row r="36496" s="2" customFormat="1"/>
    <row r="36497" s="2" customFormat="1"/>
    <row r="36498" s="2" customFormat="1"/>
    <row r="36499" s="2" customFormat="1"/>
    <row r="36500" s="2" customFormat="1"/>
    <row r="36501" s="2" customFormat="1"/>
    <row r="36502" s="2" customFormat="1"/>
    <row r="36503" s="2" customFormat="1"/>
    <row r="36504" s="2" customFormat="1"/>
    <row r="36505" s="2" customFormat="1"/>
    <row r="36506" s="2" customFormat="1"/>
    <row r="36507" s="2" customFormat="1"/>
    <row r="36508" s="2" customFormat="1"/>
    <row r="36509" s="2" customFormat="1"/>
    <row r="36510" s="2" customFormat="1"/>
    <row r="36511" s="2" customFormat="1"/>
    <row r="36512" s="2" customFormat="1"/>
    <row r="36513" s="2" customFormat="1"/>
    <row r="36514" s="2" customFormat="1"/>
    <row r="36515" s="2" customFormat="1"/>
    <row r="36516" s="2" customFormat="1"/>
    <row r="36517" s="2" customFormat="1"/>
    <row r="36518" s="2" customFormat="1"/>
    <row r="36519" s="2" customFormat="1"/>
    <row r="36520" s="2" customFormat="1"/>
    <row r="36521" s="2" customFormat="1"/>
    <row r="36522" s="2" customFormat="1"/>
    <row r="36523" s="2" customFormat="1"/>
    <row r="36524" s="2" customFormat="1"/>
    <row r="36525" s="2" customFormat="1"/>
    <row r="36526" s="2" customFormat="1"/>
    <row r="36527" s="2" customFormat="1"/>
    <row r="36528" s="2" customFormat="1"/>
    <row r="36529" s="2" customFormat="1"/>
    <row r="36530" s="2" customFormat="1"/>
    <row r="36531" s="2" customFormat="1"/>
    <row r="36532" s="2" customFormat="1"/>
    <row r="36533" s="2" customFormat="1"/>
    <row r="36534" s="2" customFormat="1"/>
    <row r="36535" s="2" customFormat="1"/>
    <row r="36536" s="2" customFormat="1"/>
    <row r="36537" s="2" customFormat="1"/>
    <row r="36538" s="2" customFormat="1"/>
    <row r="36539" s="2" customFormat="1"/>
    <row r="36540" s="2" customFormat="1"/>
    <row r="36541" s="2" customFormat="1"/>
    <row r="36542" s="2" customFormat="1"/>
    <row r="36543" s="2" customFormat="1"/>
    <row r="36544" s="2" customFormat="1"/>
    <row r="36545" s="2" customFormat="1"/>
    <row r="36546" s="2" customFormat="1"/>
    <row r="36547" s="2" customFormat="1"/>
    <row r="36548" s="2" customFormat="1"/>
    <row r="36549" s="2" customFormat="1"/>
    <row r="36550" s="2" customFormat="1"/>
    <row r="36551" s="2" customFormat="1"/>
    <row r="36552" s="2" customFormat="1"/>
    <row r="36553" s="2" customFormat="1"/>
    <row r="36554" s="2" customFormat="1"/>
    <row r="36555" s="2" customFormat="1"/>
    <row r="36556" s="2" customFormat="1"/>
    <row r="36557" s="2" customFormat="1"/>
    <row r="36558" s="2" customFormat="1"/>
    <row r="36559" s="2" customFormat="1"/>
    <row r="36560" s="2" customFormat="1"/>
    <row r="36561" s="2" customFormat="1"/>
    <row r="36562" s="2" customFormat="1"/>
    <row r="36563" s="2" customFormat="1"/>
    <row r="36564" s="2" customFormat="1"/>
    <row r="36565" s="2" customFormat="1"/>
    <row r="36566" s="2" customFormat="1"/>
    <row r="36567" s="2" customFormat="1"/>
    <row r="36568" s="2" customFormat="1"/>
    <row r="36569" s="2" customFormat="1"/>
    <row r="36570" s="2" customFormat="1"/>
    <row r="36571" s="2" customFormat="1"/>
    <row r="36572" s="2" customFormat="1"/>
    <row r="36573" s="2" customFormat="1"/>
    <row r="36574" s="2" customFormat="1"/>
    <row r="36575" s="2" customFormat="1"/>
    <row r="36576" s="2" customFormat="1"/>
    <row r="36577" s="2" customFormat="1"/>
    <row r="36578" s="2" customFormat="1"/>
    <row r="36579" s="2" customFormat="1"/>
    <row r="36580" s="2" customFormat="1"/>
    <row r="36581" s="2" customFormat="1"/>
    <row r="36582" s="2" customFormat="1"/>
    <row r="36583" s="2" customFormat="1"/>
    <row r="36584" s="2" customFormat="1"/>
    <row r="36585" s="2" customFormat="1"/>
    <row r="36586" s="2" customFormat="1"/>
    <row r="36587" s="2" customFormat="1"/>
    <row r="36588" s="2" customFormat="1"/>
    <row r="36589" s="2" customFormat="1"/>
    <row r="36590" s="2" customFormat="1"/>
    <row r="36591" s="2" customFormat="1"/>
    <row r="36592" s="2" customFormat="1"/>
    <row r="36593" s="2" customFormat="1"/>
    <row r="36594" s="2" customFormat="1"/>
    <row r="36595" s="2" customFormat="1"/>
    <row r="36596" s="2" customFormat="1"/>
    <row r="36597" s="2" customFormat="1"/>
    <row r="36598" s="2" customFormat="1"/>
    <row r="36599" s="2" customFormat="1"/>
    <row r="36600" s="2" customFormat="1"/>
    <row r="36601" s="2" customFormat="1"/>
    <row r="36602" s="2" customFormat="1"/>
    <row r="36603" s="2" customFormat="1"/>
    <row r="36604" s="2" customFormat="1"/>
    <row r="36605" s="2" customFormat="1"/>
    <row r="36606" s="2" customFormat="1"/>
    <row r="36607" s="2" customFormat="1"/>
    <row r="36608" s="2" customFormat="1"/>
    <row r="36609" s="2" customFormat="1"/>
    <row r="36610" s="2" customFormat="1"/>
    <row r="36611" s="2" customFormat="1"/>
    <row r="36612" s="2" customFormat="1"/>
    <row r="36613" s="2" customFormat="1"/>
    <row r="36614" s="2" customFormat="1"/>
    <row r="36615" s="2" customFormat="1"/>
    <row r="36616" s="2" customFormat="1"/>
    <row r="36617" s="2" customFormat="1"/>
    <row r="36618" s="2" customFormat="1"/>
    <row r="36619" s="2" customFormat="1"/>
    <row r="36620" s="2" customFormat="1"/>
    <row r="36621" s="2" customFormat="1"/>
    <row r="36622" s="2" customFormat="1"/>
    <row r="36623" s="2" customFormat="1"/>
    <row r="36624" s="2" customFormat="1"/>
    <row r="36625" s="2" customFormat="1"/>
    <row r="36626" s="2" customFormat="1"/>
    <row r="36627" s="2" customFormat="1"/>
    <row r="36628" s="2" customFormat="1"/>
    <row r="36629" s="2" customFormat="1"/>
    <row r="36630" s="2" customFormat="1"/>
    <row r="36631" s="2" customFormat="1"/>
    <row r="36632" s="2" customFormat="1"/>
    <row r="36633" s="2" customFormat="1"/>
    <row r="36634" s="2" customFormat="1"/>
    <row r="36635" s="2" customFormat="1"/>
    <row r="36636" s="2" customFormat="1"/>
    <row r="36637" s="2" customFormat="1"/>
    <row r="36638" s="2" customFormat="1"/>
    <row r="36639" s="2" customFormat="1"/>
    <row r="36640" s="2" customFormat="1"/>
    <row r="36641" s="2" customFormat="1"/>
    <row r="36642" s="2" customFormat="1"/>
    <row r="36643" s="2" customFormat="1"/>
    <row r="36644" s="2" customFormat="1"/>
    <row r="36645" s="2" customFormat="1"/>
    <row r="36646" s="2" customFormat="1"/>
    <row r="36647" s="2" customFormat="1"/>
    <row r="36648" s="2" customFormat="1"/>
    <row r="36649" s="2" customFormat="1"/>
    <row r="36650" s="2" customFormat="1"/>
    <row r="36651" s="2" customFormat="1"/>
    <row r="36652" s="2" customFormat="1"/>
    <row r="36653" s="2" customFormat="1"/>
    <row r="36654" s="2" customFormat="1"/>
    <row r="36655" s="2" customFormat="1"/>
    <row r="36656" s="2" customFormat="1"/>
    <row r="36657" s="2" customFormat="1"/>
    <row r="36658" s="2" customFormat="1"/>
    <row r="36659" s="2" customFormat="1"/>
    <row r="36660" s="2" customFormat="1"/>
    <row r="36661" s="2" customFormat="1"/>
    <row r="36662" s="2" customFormat="1"/>
    <row r="36663" s="2" customFormat="1"/>
    <row r="36664" s="2" customFormat="1"/>
    <row r="36665" s="2" customFormat="1"/>
    <row r="36666" s="2" customFormat="1"/>
    <row r="36667" s="2" customFormat="1"/>
    <row r="36668" s="2" customFormat="1"/>
    <row r="36669" s="2" customFormat="1"/>
    <row r="36670" s="2" customFormat="1"/>
    <row r="36671" s="2" customFormat="1"/>
    <row r="36672" s="2" customFormat="1"/>
    <row r="36673" s="2" customFormat="1"/>
    <row r="36674" s="2" customFormat="1"/>
    <row r="36675" s="2" customFormat="1"/>
    <row r="36676" s="2" customFormat="1"/>
    <row r="36677" s="2" customFormat="1"/>
    <row r="36678" s="2" customFormat="1"/>
    <row r="36679" s="2" customFormat="1"/>
    <row r="36680" s="2" customFormat="1"/>
    <row r="36681" s="2" customFormat="1"/>
    <row r="36682" s="2" customFormat="1"/>
    <row r="36683" s="2" customFormat="1"/>
    <row r="36684" s="2" customFormat="1"/>
    <row r="36685" s="2" customFormat="1"/>
    <row r="36686" s="2" customFormat="1"/>
    <row r="36687" s="2" customFormat="1"/>
    <row r="36688" s="2" customFormat="1"/>
    <row r="36689" s="2" customFormat="1"/>
    <row r="36690" s="2" customFormat="1"/>
    <row r="36691" s="2" customFormat="1"/>
    <row r="36692" s="2" customFormat="1"/>
    <row r="36693" s="2" customFormat="1"/>
    <row r="36694" s="2" customFormat="1"/>
    <row r="36695" s="2" customFormat="1"/>
    <row r="36696" s="2" customFormat="1"/>
    <row r="36697" s="2" customFormat="1"/>
    <row r="36698" s="2" customFormat="1"/>
    <row r="36699" s="2" customFormat="1"/>
    <row r="36700" s="2" customFormat="1"/>
    <row r="36701" s="2" customFormat="1"/>
    <row r="36702" s="2" customFormat="1"/>
    <row r="36703" s="2" customFormat="1"/>
    <row r="36704" s="2" customFormat="1"/>
    <row r="36705" s="2" customFormat="1"/>
    <row r="36706" s="2" customFormat="1"/>
    <row r="36707" s="2" customFormat="1"/>
    <row r="36708" s="2" customFormat="1"/>
    <row r="36709" s="2" customFormat="1"/>
    <row r="36710" s="2" customFormat="1"/>
    <row r="36711" s="2" customFormat="1"/>
    <row r="36712" s="2" customFormat="1"/>
    <row r="36713" s="2" customFormat="1"/>
    <row r="36714" s="2" customFormat="1"/>
    <row r="36715" s="2" customFormat="1"/>
    <row r="36716" s="2" customFormat="1"/>
    <row r="36717" s="2" customFormat="1"/>
    <row r="36718" s="2" customFormat="1"/>
    <row r="36719" s="2" customFormat="1"/>
    <row r="36720" s="2" customFormat="1"/>
    <row r="36721" s="2" customFormat="1"/>
    <row r="36722" s="2" customFormat="1"/>
    <row r="36723" s="2" customFormat="1"/>
    <row r="36724" s="2" customFormat="1"/>
    <row r="36725" s="2" customFormat="1"/>
    <row r="36726" s="2" customFormat="1"/>
    <row r="36727" s="2" customFormat="1"/>
    <row r="36728" s="2" customFormat="1"/>
    <row r="36729" s="2" customFormat="1"/>
    <row r="36730" s="2" customFormat="1"/>
    <row r="36731" s="2" customFormat="1"/>
    <row r="36732" s="2" customFormat="1"/>
    <row r="36733" s="2" customFormat="1"/>
    <row r="36734" s="2" customFormat="1"/>
    <row r="36735" s="2" customFormat="1"/>
    <row r="36736" s="2" customFormat="1"/>
    <row r="36737" s="2" customFormat="1"/>
    <row r="36738" s="2" customFormat="1"/>
    <row r="36739" s="2" customFormat="1"/>
    <row r="36740" s="2" customFormat="1"/>
    <row r="36741" s="2" customFormat="1"/>
    <row r="36742" s="2" customFormat="1"/>
    <row r="36743" s="2" customFormat="1"/>
    <row r="36744" s="2" customFormat="1"/>
    <row r="36745" s="2" customFormat="1"/>
    <row r="36746" s="2" customFormat="1"/>
    <row r="36747" s="2" customFormat="1"/>
    <row r="36748" s="2" customFormat="1"/>
    <row r="36749" s="2" customFormat="1"/>
    <row r="36750" s="2" customFormat="1"/>
    <row r="36751" s="2" customFormat="1"/>
    <row r="36752" s="2" customFormat="1"/>
    <row r="36753" s="2" customFormat="1"/>
    <row r="36754" s="2" customFormat="1"/>
    <row r="36755" s="2" customFormat="1"/>
    <row r="36756" s="2" customFormat="1"/>
    <row r="36757" s="2" customFormat="1"/>
    <row r="36758" s="2" customFormat="1"/>
    <row r="36759" s="2" customFormat="1"/>
    <row r="36760" s="2" customFormat="1"/>
    <row r="36761" s="2" customFormat="1"/>
    <row r="36762" s="2" customFormat="1"/>
    <row r="36763" s="2" customFormat="1"/>
    <row r="36764" s="2" customFormat="1"/>
    <row r="36765" s="2" customFormat="1"/>
    <row r="36766" s="2" customFormat="1"/>
    <row r="36767" s="2" customFormat="1"/>
    <row r="36768" s="2" customFormat="1"/>
    <row r="36769" s="2" customFormat="1"/>
    <row r="36770" s="2" customFormat="1"/>
    <row r="36771" s="2" customFormat="1"/>
    <row r="36772" s="2" customFormat="1"/>
    <row r="36773" s="2" customFormat="1"/>
    <row r="36774" s="2" customFormat="1"/>
    <row r="36775" s="2" customFormat="1"/>
    <row r="36776" s="2" customFormat="1"/>
    <row r="36777" s="2" customFormat="1"/>
    <row r="36778" s="2" customFormat="1"/>
    <row r="36779" s="2" customFormat="1"/>
    <row r="36780" s="2" customFormat="1"/>
    <row r="36781" s="2" customFormat="1"/>
    <row r="36782" s="2" customFormat="1"/>
    <row r="36783" s="2" customFormat="1"/>
    <row r="36784" s="2" customFormat="1"/>
    <row r="36785" s="2" customFormat="1"/>
    <row r="36786" s="2" customFormat="1"/>
    <row r="36787" s="2" customFormat="1"/>
    <row r="36788" s="2" customFormat="1"/>
    <row r="36789" s="2" customFormat="1"/>
    <row r="36790" s="2" customFormat="1"/>
    <row r="36791" s="2" customFormat="1"/>
    <row r="36792" s="2" customFormat="1"/>
    <row r="36793" s="2" customFormat="1"/>
    <row r="36794" s="2" customFormat="1"/>
    <row r="36795" s="2" customFormat="1"/>
    <row r="36796" s="2" customFormat="1"/>
    <row r="36797" s="2" customFormat="1"/>
    <row r="36798" s="2" customFormat="1"/>
    <row r="36799" s="2" customFormat="1"/>
    <row r="36800" s="2" customFormat="1"/>
    <row r="36801" s="2" customFormat="1"/>
    <row r="36802" s="2" customFormat="1"/>
    <row r="36803" s="2" customFormat="1"/>
    <row r="36804" s="2" customFormat="1"/>
    <row r="36805" s="2" customFormat="1"/>
    <row r="36806" s="2" customFormat="1"/>
    <row r="36807" s="2" customFormat="1"/>
    <row r="36808" s="2" customFormat="1"/>
    <row r="36809" s="2" customFormat="1"/>
    <row r="36810" s="2" customFormat="1"/>
    <row r="36811" s="2" customFormat="1"/>
    <row r="36812" s="2" customFormat="1"/>
    <row r="36813" s="2" customFormat="1"/>
    <row r="36814" s="2" customFormat="1"/>
    <row r="36815" s="2" customFormat="1"/>
    <row r="36816" s="2" customFormat="1"/>
    <row r="36817" s="2" customFormat="1"/>
    <row r="36818" s="2" customFormat="1"/>
    <row r="36819" s="2" customFormat="1"/>
    <row r="36820" s="2" customFormat="1"/>
    <row r="36821" s="2" customFormat="1"/>
    <row r="36822" s="2" customFormat="1"/>
    <row r="36823" s="2" customFormat="1"/>
    <row r="36824" s="2" customFormat="1"/>
    <row r="36825" s="2" customFormat="1"/>
    <row r="36826" s="2" customFormat="1"/>
    <row r="36827" s="2" customFormat="1"/>
    <row r="36828" s="2" customFormat="1"/>
    <row r="36829" s="2" customFormat="1"/>
    <row r="36830" s="2" customFormat="1"/>
    <row r="36831" s="2" customFormat="1"/>
    <row r="36832" s="2" customFormat="1"/>
    <row r="36833" s="2" customFormat="1"/>
    <row r="36834" s="2" customFormat="1"/>
    <row r="36835" s="2" customFormat="1"/>
    <row r="36836" s="2" customFormat="1"/>
    <row r="36837" s="2" customFormat="1"/>
    <row r="36838" s="2" customFormat="1"/>
    <row r="36839" s="2" customFormat="1"/>
    <row r="36840" s="2" customFormat="1"/>
    <row r="36841" s="2" customFormat="1"/>
    <row r="36842" s="2" customFormat="1"/>
    <row r="36843" s="2" customFormat="1"/>
    <row r="36844" s="2" customFormat="1"/>
    <row r="36845" s="2" customFormat="1"/>
    <row r="36846" s="2" customFormat="1"/>
    <row r="36847" s="2" customFormat="1"/>
    <row r="36848" s="2" customFormat="1"/>
    <row r="36849" s="2" customFormat="1"/>
    <row r="36850" s="2" customFormat="1"/>
    <row r="36851" s="2" customFormat="1"/>
    <row r="36852" s="2" customFormat="1"/>
    <row r="36853" s="2" customFormat="1"/>
    <row r="36854" s="2" customFormat="1"/>
    <row r="36855" s="2" customFormat="1"/>
    <row r="36856" s="2" customFormat="1"/>
    <row r="36857" s="2" customFormat="1"/>
    <row r="36858" s="2" customFormat="1"/>
    <row r="36859" s="2" customFormat="1"/>
    <row r="36860" s="2" customFormat="1"/>
    <row r="36861" s="2" customFormat="1"/>
    <row r="36862" s="2" customFormat="1"/>
    <row r="36863" s="2" customFormat="1"/>
    <row r="36864" s="2" customFormat="1"/>
    <row r="36865" s="2" customFormat="1"/>
    <row r="36866" s="2" customFormat="1"/>
    <row r="36867" s="2" customFormat="1"/>
    <row r="36868" s="2" customFormat="1"/>
    <row r="36869" s="2" customFormat="1"/>
    <row r="36870" s="2" customFormat="1"/>
    <row r="36871" s="2" customFormat="1"/>
    <row r="36872" s="2" customFormat="1"/>
    <row r="36873" s="2" customFormat="1"/>
    <row r="36874" s="2" customFormat="1"/>
    <row r="36875" s="2" customFormat="1"/>
    <row r="36876" s="2" customFormat="1"/>
    <row r="36877" s="2" customFormat="1"/>
    <row r="36878" s="2" customFormat="1"/>
    <row r="36879" s="2" customFormat="1"/>
    <row r="36880" s="2" customFormat="1"/>
    <row r="36881" s="2" customFormat="1"/>
    <row r="36882" s="2" customFormat="1"/>
    <row r="36883" s="2" customFormat="1"/>
    <row r="36884" s="2" customFormat="1"/>
    <row r="36885" s="2" customFormat="1"/>
    <row r="36886" s="2" customFormat="1"/>
    <row r="36887" s="2" customFormat="1"/>
    <row r="36888" s="2" customFormat="1"/>
    <row r="36889" s="2" customFormat="1"/>
    <row r="36890" s="2" customFormat="1"/>
    <row r="36891" s="2" customFormat="1"/>
    <row r="36892" s="2" customFormat="1"/>
    <row r="36893" s="2" customFormat="1"/>
    <row r="36894" s="2" customFormat="1"/>
    <row r="36895" s="2" customFormat="1"/>
    <row r="36896" s="2" customFormat="1"/>
    <row r="36897" s="2" customFormat="1"/>
    <row r="36898" s="2" customFormat="1"/>
    <row r="36899" s="2" customFormat="1"/>
    <row r="36900" s="2" customFormat="1"/>
    <row r="36901" s="2" customFormat="1"/>
    <row r="36902" s="2" customFormat="1"/>
    <row r="36903" s="2" customFormat="1"/>
    <row r="36904" s="2" customFormat="1"/>
    <row r="36905" s="2" customFormat="1"/>
    <row r="36906" s="2" customFormat="1"/>
    <row r="36907" s="2" customFormat="1"/>
    <row r="36908" s="2" customFormat="1"/>
    <row r="36909" s="2" customFormat="1"/>
    <row r="36910" s="2" customFormat="1"/>
    <row r="36911" s="2" customFormat="1"/>
    <row r="36912" s="2" customFormat="1"/>
    <row r="36913" s="2" customFormat="1"/>
    <row r="36914" s="2" customFormat="1"/>
    <row r="36915" s="2" customFormat="1"/>
    <row r="36916" s="2" customFormat="1"/>
    <row r="36917" s="2" customFormat="1"/>
    <row r="36918" s="2" customFormat="1"/>
    <row r="36919" s="2" customFormat="1"/>
    <row r="36920" s="2" customFormat="1"/>
    <row r="36921" s="2" customFormat="1"/>
    <row r="36922" s="2" customFormat="1"/>
    <row r="36923" s="2" customFormat="1"/>
    <row r="36924" s="2" customFormat="1"/>
    <row r="36925" s="2" customFormat="1"/>
    <row r="36926" s="2" customFormat="1"/>
    <row r="36927" s="2" customFormat="1"/>
    <row r="36928" s="2" customFormat="1"/>
    <row r="36929" s="2" customFormat="1"/>
    <row r="36930" s="2" customFormat="1"/>
    <row r="36931" s="2" customFormat="1"/>
    <row r="36932" s="2" customFormat="1"/>
    <row r="36933" s="2" customFormat="1"/>
    <row r="36934" s="2" customFormat="1"/>
    <row r="36935" s="2" customFormat="1"/>
    <row r="36936" s="2" customFormat="1"/>
    <row r="36937" s="2" customFormat="1"/>
    <row r="36938" s="2" customFormat="1"/>
    <row r="36939" s="2" customFormat="1"/>
    <row r="36940" s="2" customFormat="1"/>
    <row r="36941" s="2" customFormat="1"/>
    <row r="36942" s="2" customFormat="1"/>
    <row r="36943" s="2" customFormat="1"/>
    <row r="36944" s="2" customFormat="1"/>
    <row r="36945" s="2" customFormat="1"/>
    <row r="36946" s="2" customFormat="1"/>
    <row r="36947" s="2" customFormat="1"/>
    <row r="36948" s="2" customFormat="1"/>
    <row r="36949" s="2" customFormat="1"/>
    <row r="36950" s="2" customFormat="1"/>
    <row r="36951" s="2" customFormat="1"/>
    <row r="36952" s="2" customFormat="1"/>
    <row r="36953" s="2" customFormat="1"/>
    <row r="36954" s="2" customFormat="1"/>
    <row r="36955" s="2" customFormat="1"/>
    <row r="36956" s="2" customFormat="1"/>
    <row r="36957" s="2" customFormat="1"/>
    <row r="36958" s="2" customFormat="1"/>
    <row r="36959" s="2" customFormat="1"/>
    <row r="36960" s="2" customFormat="1"/>
    <row r="36961" s="2" customFormat="1"/>
    <row r="36962" s="2" customFormat="1"/>
    <row r="36963" s="2" customFormat="1"/>
    <row r="36964" s="2" customFormat="1"/>
    <row r="36965" s="2" customFormat="1"/>
    <row r="36966" s="2" customFormat="1"/>
    <row r="36967" s="2" customFormat="1"/>
    <row r="36968" s="2" customFormat="1"/>
    <row r="36969" s="2" customFormat="1"/>
    <row r="36970" s="2" customFormat="1"/>
    <row r="36971" s="2" customFormat="1"/>
    <row r="36972" s="2" customFormat="1"/>
    <row r="36973" s="2" customFormat="1"/>
    <row r="36974" s="2" customFormat="1"/>
    <row r="36975" s="2" customFormat="1"/>
    <row r="36976" s="2" customFormat="1"/>
    <row r="36977" s="2" customFormat="1"/>
    <row r="36978" s="2" customFormat="1"/>
    <row r="36979" s="2" customFormat="1"/>
    <row r="36980" s="2" customFormat="1"/>
    <row r="36981" s="2" customFormat="1"/>
    <row r="36982" s="2" customFormat="1"/>
    <row r="36983" s="2" customFormat="1"/>
    <row r="36984" s="2" customFormat="1"/>
    <row r="36985" s="2" customFormat="1"/>
    <row r="36986" s="2" customFormat="1"/>
    <row r="36987" s="2" customFormat="1"/>
    <row r="36988" s="2" customFormat="1"/>
    <row r="36989" s="2" customFormat="1"/>
    <row r="36990" s="2" customFormat="1"/>
    <row r="36991" s="2" customFormat="1"/>
    <row r="36992" s="2" customFormat="1"/>
    <row r="36993" s="2" customFormat="1"/>
    <row r="36994" s="2" customFormat="1"/>
    <row r="36995" s="2" customFormat="1"/>
    <row r="36996" s="2" customFormat="1"/>
    <row r="36997" s="2" customFormat="1"/>
    <row r="36998" s="2" customFormat="1"/>
    <row r="36999" s="2" customFormat="1"/>
    <row r="37000" s="2" customFormat="1"/>
    <row r="37001" s="2" customFormat="1"/>
    <row r="37002" s="2" customFormat="1"/>
    <row r="37003" s="2" customFormat="1"/>
    <row r="37004" s="2" customFormat="1"/>
    <row r="37005" s="2" customFormat="1"/>
    <row r="37006" s="2" customFormat="1"/>
    <row r="37007" s="2" customFormat="1"/>
    <row r="37008" s="2" customFormat="1"/>
    <row r="37009" s="2" customFormat="1"/>
    <row r="37010" s="2" customFormat="1"/>
    <row r="37011" s="2" customFormat="1"/>
    <row r="37012" s="2" customFormat="1"/>
    <row r="37013" s="2" customFormat="1"/>
    <row r="37014" s="2" customFormat="1"/>
    <row r="37015" s="2" customFormat="1"/>
    <row r="37016" s="2" customFormat="1"/>
    <row r="37017" s="2" customFormat="1"/>
    <row r="37018" s="2" customFormat="1"/>
    <row r="37019" s="2" customFormat="1"/>
    <row r="37020" s="2" customFormat="1"/>
    <row r="37021" s="2" customFormat="1"/>
    <row r="37022" s="2" customFormat="1"/>
    <row r="37023" s="2" customFormat="1"/>
    <row r="37024" s="2" customFormat="1"/>
    <row r="37025" s="2" customFormat="1"/>
    <row r="37026" s="2" customFormat="1"/>
    <row r="37027" s="2" customFormat="1"/>
    <row r="37028" s="2" customFormat="1"/>
    <row r="37029" s="2" customFormat="1"/>
    <row r="37030" s="2" customFormat="1"/>
    <row r="37031" s="2" customFormat="1"/>
    <row r="37032" s="2" customFormat="1"/>
    <row r="37033" s="2" customFormat="1"/>
    <row r="37034" s="2" customFormat="1"/>
    <row r="37035" s="2" customFormat="1"/>
    <row r="37036" s="2" customFormat="1"/>
    <row r="37037" s="2" customFormat="1"/>
    <row r="37038" s="2" customFormat="1"/>
    <row r="37039" s="2" customFormat="1"/>
    <row r="37040" s="2" customFormat="1"/>
    <row r="37041" s="2" customFormat="1"/>
    <row r="37042" s="2" customFormat="1"/>
    <row r="37043" s="2" customFormat="1"/>
    <row r="37044" s="2" customFormat="1"/>
    <row r="37045" s="2" customFormat="1"/>
    <row r="37046" s="2" customFormat="1"/>
    <row r="37047" s="2" customFormat="1"/>
    <row r="37048" s="2" customFormat="1"/>
    <row r="37049" s="2" customFormat="1"/>
    <row r="37050" s="2" customFormat="1"/>
    <row r="37051" s="2" customFormat="1"/>
    <row r="37052" s="2" customFormat="1"/>
    <row r="37053" s="2" customFormat="1"/>
    <row r="37054" s="2" customFormat="1"/>
    <row r="37055" s="2" customFormat="1"/>
    <row r="37056" s="2" customFormat="1"/>
    <row r="37057" s="2" customFormat="1"/>
    <row r="37058" s="2" customFormat="1"/>
    <row r="37059" s="2" customFormat="1"/>
    <row r="37060" s="2" customFormat="1"/>
    <row r="37061" s="2" customFormat="1"/>
    <row r="37062" s="2" customFormat="1"/>
    <row r="37063" s="2" customFormat="1"/>
    <row r="37064" s="2" customFormat="1"/>
    <row r="37065" s="2" customFormat="1"/>
    <row r="37066" s="2" customFormat="1"/>
    <row r="37067" s="2" customFormat="1"/>
    <row r="37068" s="2" customFormat="1"/>
    <row r="37069" s="2" customFormat="1"/>
    <row r="37070" s="2" customFormat="1"/>
    <row r="37071" s="2" customFormat="1"/>
    <row r="37072" s="2" customFormat="1"/>
    <row r="37073" s="2" customFormat="1"/>
    <row r="37074" s="2" customFormat="1"/>
    <row r="37075" s="2" customFormat="1"/>
    <row r="37076" s="2" customFormat="1"/>
    <row r="37077" s="2" customFormat="1"/>
    <row r="37078" s="2" customFormat="1"/>
    <row r="37079" s="2" customFormat="1"/>
    <row r="37080" s="2" customFormat="1"/>
    <row r="37081" s="2" customFormat="1"/>
    <row r="37082" s="2" customFormat="1"/>
    <row r="37083" s="2" customFormat="1"/>
    <row r="37084" s="2" customFormat="1"/>
    <row r="37085" s="2" customFormat="1"/>
    <row r="37086" s="2" customFormat="1"/>
    <row r="37087" s="2" customFormat="1"/>
    <row r="37088" s="2" customFormat="1"/>
    <row r="37089" s="2" customFormat="1"/>
    <row r="37090" s="2" customFormat="1"/>
    <row r="37091" s="2" customFormat="1"/>
    <row r="37092" s="2" customFormat="1"/>
    <row r="37093" s="2" customFormat="1"/>
    <row r="37094" s="2" customFormat="1"/>
    <row r="37095" s="2" customFormat="1"/>
    <row r="37096" s="2" customFormat="1"/>
    <row r="37097" s="2" customFormat="1"/>
    <row r="37098" s="2" customFormat="1"/>
    <row r="37099" s="2" customFormat="1"/>
    <row r="37100" s="2" customFormat="1"/>
    <row r="37101" s="2" customFormat="1"/>
    <row r="37102" s="2" customFormat="1"/>
    <row r="37103" s="2" customFormat="1"/>
    <row r="37104" s="2" customFormat="1"/>
    <row r="37105" s="2" customFormat="1"/>
    <row r="37106" s="2" customFormat="1"/>
    <row r="37107" s="2" customFormat="1"/>
    <row r="37108" s="2" customFormat="1"/>
    <row r="37109" s="2" customFormat="1"/>
    <row r="37110" s="2" customFormat="1"/>
    <row r="37111" s="2" customFormat="1"/>
    <row r="37112" s="2" customFormat="1"/>
    <row r="37113" s="2" customFormat="1"/>
    <row r="37114" s="2" customFormat="1"/>
    <row r="37115" s="2" customFormat="1"/>
    <row r="37116" s="2" customFormat="1"/>
    <row r="37117" s="2" customFormat="1"/>
    <row r="37118" s="2" customFormat="1"/>
    <row r="37119" s="2" customFormat="1"/>
    <row r="37120" s="2" customFormat="1"/>
    <row r="37121" s="2" customFormat="1"/>
    <row r="37122" s="2" customFormat="1"/>
    <row r="37123" s="2" customFormat="1"/>
    <row r="37124" s="2" customFormat="1"/>
    <row r="37125" s="2" customFormat="1"/>
    <row r="37126" s="2" customFormat="1"/>
    <row r="37127" s="2" customFormat="1"/>
    <row r="37128" s="2" customFormat="1"/>
    <row r="37129" s="2" customFormat="1"/>
    <row r="37130" s="2" customFormat="1"/>
    <row r="37131" s="2" customFormat="1"/>
    <row r="37132" s="2" customFormat="1"/>
    <row r="37133" s="2" customFormat="1"/>
    <row r="37134" s="2" customFormat="1"/>
    <row r="37135" s="2" customFormat="1"/>
    <row r="37136" s="2" customFormat="1"/>
    <row r="37137" s="2" customFormat="1"/>
    <row r="37138" s="2" customFormat="1"/>
    <row r="37139" s="2" customFormat="1"/>
    <row r="37140" s="2" customFormat="1"/>
    <row r="37141" s="2" customFormat="1"/>
    <row r="37142" s="2" customFormat="1"/>
    <row r="37143" s="2" customFormat="1"/>
    <row r="37144" s="2" customFormat="1"/>
    <row r="37145" s="2" customFormat="1"/>
    <row r="37146" s="2" customFormat="1"/>
    <row r="37147" s="2" customFormat="1"/>
    <row r="37148" s="2" customFormat="1"/>
    <row r="37149" s="2" customFormat="1"/>
    <row r="37150" s="2" customFormat="1"/>
    <row r="37151" s="2" customFormat="1"/>
    <row r="37152" s="2" customFormat="1"/>
    <row r="37153" s="2" customFormat="1"/>
    <row r="37154" s="2" customFormat="1"/>
    <row r="37155" s="2" customFormat="1"/>
    <row r="37156" s="2" customFormat="1"/>
    <row r="37157" s="2" customFormat="1"/>
    <row r="37158" s="2" customFormat="1"/>
    <row r="37159" s="2" customFormat="1"/>
    <row r="37160" s="2" customFormat="1"/>
    <row r="37161" s="2" customFormat="1"/>
    <row r="37162" s="2" customFormat="1"/>
    <row r="37163" s="2" customFormat="1"/>
    <row r="37164" s="2" customFormat="1"/>
    <row r="37165" s="2" customFormat="1"/>
    <row r="37166" s="2" customFormat="1"/>
    <row r="37167" s="2" customFormat="1"/>
    <row r="37168" s="2" customFormat="1"/>
    <row r="37169" s="2" customFormat="1"/>
    <row r="37170" s="2" customFormat="1"/>
    <row r="37171" s="2" customFormat="1"/>
    <row r="37172" s="2" customFormat="1"/>
    <row r="37173" s="2" customFormat="1"/>
    <row r="37174" s="2" customFormat="1"/>
    <row r="37175" s="2" customFormat="1"/>
    <row r="37176" s="2" customFormat="1"/>
    <row r="37177" s="2" customFormat="1"/>
    <row r="37178" s="2" customFormat="1"/>
    <row r="37179" s="2" customFormat="1"/>
    <row r="37180" s="2" customFormat="1"/>
    <row r="37181" s="2" customFormat="1"/>
    <row r="37182" s="2" customFormat="1"/>
    <row r="37183" s="2" customFormat="1"/>
    <row r="37184" s="2" customFormat="1"/>
    <row r="37185" s="2" customFormat="1"/>
    <row r="37186" s="2" customFormat="1"/>
    <row r="37187" s="2" customFormat="1"/>
    <row r="37188" s="2" customFormat="1"/>
    <row r="37189" s="2" customFormat="1"/>
    <row r="37190" s="2" customFormat="1"/>
    <row r="37191" s="2" customFormat="1"/>
    <row r="37192" s="2" customFormat="1"/>
    <row r="37193" s="2" customFormat="1"/>
    <row r="37194" s="2" customFormat="1"/>
    <row r="37195" s="2" customFormat="1"/>
    <row r="37196" s="2" customFormat="1"/>
    <row r="37197" s="2" customFormat="1"/>
    <row r="37198" s="2" customFormat="1"/>
    <row r="37199" s="2" customFormat="1"/>
    <row r="37200" s="2" customFormat="1"/>
    <row r="37201" s="2" customFormat="1"/>
    <row r="37202" s="2" customFormat="1"/>
    <row r="37203" s="2" customFormat="1"/>
    <row r="37204" s="2" customFormat="1"/>
    <row r="37205" s="2" customFormat="1"/>
    <row r="37206" s="2" customFormat="1"/>
    <row r="37207" s="2" customFormat="1"/>
    <row r="37208" s="2" customFormat="1"/>
    <row r="37209" s="2" customFormat="1"/>
    <row r="37210" s="2" customFormat="1"/>
    <row r="37211" s="2" customFormat="1"/>
    <row r="37212" s="2" customFormat="1"/>
    <row r="37213" s="2" customFormat="1"/>
    <row r="37214" s="2" customFormat="1"/>
    <row r="37215" s="2" customFormat="1"/>
    <row r="37216" s="2" customFormat="1"/>
    <row r="37217" s="2" customFormat="1"/>
    <row r="37218" s="2" customFormat="1"/>
    <row r="37219" s="2" customFormat="1"/>
    <row r="37220" s="2" customFormat="1"/>
    <row r="37221" s="2" customFormat="1"/>
    <row r="37222" s="2" customFormat="1"/>
    <row r="37223" s="2" customFormat="1"/>
    <row r="37224" s="2" customFormat="1"/>
    <row r="37225" s="2" customFormat="1"/>
    <row r="37226" s="2" customFormat="1"/>
    <row r="37227" s="2" customFormat="1"/>
    <row r="37228" s="2" customFormat="1"/>
    <row r="37229" s="2" customFormat="1"/>
    <row r="37230" s="2" customFormat="1"/>
    <row r="37231" s="2" customFormat="1"/>
    <row r="37232" s="2" customFormat="1"/>
    <row r="37233" s="2" customFormat="1"/>
    <row r="37234" s="2" customFormat="1"/>
    <row r="37235" s="2" customFormat="1"/>
    <row r="37236" s="2" customFormat="1"/>
    <row r="37237" s="2" customFormat="1"/>
    <row r="37238" s="2" customFormat="1"/>
    <row r="37239" s="2" customFormat="1"/>
    <row r="37240" s="2" customFormat="1"/>
    <row r="37241" s="2" customFormat="1"/>
    <row r="37242" s="2" customFormat="1"/>
    <row r="37243" s="2" customFormat="1"/>
    <row r="37244" s="2" customFormat="1"/>
    <row r="37245" s="2" customFormat="1"/>
    <row r="37246" s="2" customFormat="1"/>
    <row r="37247" s="2" customFormat="1"/>
    <row r="37248" s="2" customFormat="1"/>
    <row r="37249" s="2" customFormat="1"/>
    <row r="37250" s="2" customFormat="1"/>
    <row r="37251" s="2" customFormat="1"/>
    <row r="37252" s="2" customFormat="1"/>
    <row r="37253" s="2" customFormat="1"/>
    <row r="37254" s="2" customFormat="1"/>
    <row r="37255" s="2" customFormat="1"/>
    <row r="37256" s="2" customFormat="1"/>
    <row r="37257" s="2" customFormat="1"/>
    <row r="37258" s="2" customFormat="1"/>
    <row r="37259" s="2" customFormat="1"/>
    <row r="37260" s="2" customFormat="1"/>
    <row r="37261" s="2" customFormat="1"/>
    <row r="37262" s="2" customFormat="1"/>
    <row r="37263" s="2" customFormat="1"/>
    <row r="37264" s="2" customFormat="1"/>
    <row r="37265" s="2" customFormat="1"/>
    <row r="37266" s="2" customFormat="1"/>
    <row r="37267" s="2" customFormat="1"/>
    <row r="37268" s="2" customFormat="1"/>
    <row r="37269" s="2" customFormat="1"/>
    <row r="37270" s="2" customFormat="1"/>
    <row r="37271" s="2" customFormat="1"/>
    <row r="37272" s="2" customFormat="1"/>
    <row r="37273" s="2" customFormat="1"/>
    <row r="37274" s="2" customFormat="1"/>
    <row r="37275" s="2" customFormat="1"/>
    <row r="37276" s="2" customFormat="1"/>
    <row r="37277" s="2" customFormat="1"/>
    <row r="37278" s="2" customFormat="1"/>
    <row r="37279" s="2" customFormat="1"/>
    <row r="37280" s="2" customFormat="1"/>
    <row r="37281" s="2" customFormat="1"/>
    <row r="37282" s="2" customFormat="1"/>
    <row r="37283" s="2" customFormat="1"/>
    <row r="37284" s="2" customFormat="1"/>
    <row r="37285" s="2" customFormat="1"/>
    <row r="37286" s="2" customFormat="1"/>
    <row r="37287" s="2" customFormat="1"/>
    <row r="37288" s="2" customFormat="1"/>
    <row r="37289" s="2" customFormat="1"/>
    <row r="37290" s="2" customFormat="1"/>
    <row r="37291" s="2" customFormat="1"/>
    <row r="37292" s="2" customFormat="1"/>
    <row r="37293" s="2" customFormat="1"/>
    <row r="37294" s="2" customFormat="1"/>
    <row r="37295" s="2" customFormat="1"/>
    <row r="37296" s="2" customFormat="1"/>
    <row r="37297" s="2" customFormat="1"/>
    <row r="37298" s="2" customFormat="1"/>
    <row r="37299" s="2" customFormat="1"/>
    <row r="37300" s="2" customFormat="1"/>
    <row r="37301" s="2" customFormat="1"/>
    <row r="37302" s="2" customFormat="1"/>
    <row r="37303" s="2" customFormat="1"/>
    <row r="37304" s="2" customFormat="1"/>
    <row r="37305" s="2" customFormat="1"/>
    <row r="37306" s="2" customFormat="1"/>
    <row r="37307" s="2" customFormat="1"/>
    <row r="37308" s="2" customFormat="1"/>
    <row r="37309" s="2" customFormat="1"/>
    <row r="37310" s="2" customFormat="1"/>
    <row r="37311" s="2" customFormat="1"/>
    <row r="37312" s="2" customFormat="1"/>
    <row r="37313" s="2" customFormat="1"/>
    <row r="37314" s="2" customFormat="1"/>
    <row r="37315" s="2" customFormat="1"/>
    <row r="37316" s="2" customFormat="1"/>
    <row r="37317" s="2" customFormat="1"/>
    <row r="37318" s="2" customFormat="1"/>
    <row r="37319" s="2" customFormat="1"/>
    <row r="37320" s="2" customFormat="1"/>
    <row r="37321" s="2" customFormat="1"/>
    <row r="37322" s="2" customFormat="1"/>
    <row r="37323" s="2" customFormat="1"/>
    <row r="37324" s="2" customFormat="1"/>
    <row r="37325" s="2" customFormat="1"/>
    <row r="37326" s="2" customFormat="1"/>
    <row r="37327" s="2" customFormat="1"/>
    <row r="37328" s="2" customFormat="1"/>
    <row r="37329" s="2" customFormat="1"/>
    <row r="37330" s="2" customFormat="1"/>
    <row r="37331" s="2" customFormat="1"/>
    <row r="37332" s="2" customFormat="1"/>
    <row r="37333" s="2" customFormat="1"/>
    <row r="37334" s="2" customFormat="1"/>
    <row r="37335" s="2" customFormat="1"/>
    <row r="37336" s="2" customFormat="1"/>
    <row r="37337" s="2" customFormat="1"/>
    <row r="37338" s="2" customFormat="1"/>
    <row r="37339" s="2" customFormat="1"/>
    <row r="37340" s="2" customFormat="1"/>
    <row r="37341" s="2" customFormat="1"/>
    <row r="37342" s="2" customFormat="1"/>
    <row r="37343" s="2" customFormat="1"/>
    <row r="37344" s="2" customFormat="1"/>
    <row r="37345" s="2" customFormat="1"/>
    <row r="37346" s="2" customFormat="1"/>
    <row r="37347" s="2" customFormat="1"/>
    <row r="37348" s="2" customFormat="1"/>
    <row r="37349" s="2" customFormat="1"/>
    <row r="37350" s="2" customFormat="1"/>
    <row r="37351" s="2" customFormat="1"/>
    <row r="37352" s="2" customFormat="1"/>
    <row r="37353" s="2" customFormat="1"/>
    <row r="37354" s="2" customFormat="1"/>
    <row r="37355" s="2" customFormat="1"/>
    <row r="37356" s="2" customFormat="1"/>
    <row r="37357" s="2" customFormat="1"/>
    <row r="37358" s="2" customFormat="1"/>
    <row r="37359" s="2" customFormat="1"/>
    <row r="37360" s="2" customFormat="1"/>
    <row r="37361" s="2" customFormat="1"/>
    <row r="37362" s="2" customFormat="1"/>
    <row r="37363" s="2" customFormat="1"/>
    <row r="37364" s="2" customFormat="1"/>
    <row r="37365" s="2" customFormat="1"/>
    <row r="37366" s="2" customFormat="1"/>
    <row r="37367" s="2" customFormat="1"/>
    <row r="37368" s="2" customFormat="1"/>
    <row r="37369" s="2" customFormat="1"/>
    <row r="37370" s="2" customFormat="1"/>
    <row r="37371" s="2" customFormat="1"/>
    <row r="37372" s="2" customFormat="1"/>
    <row r="37373" s="2" customFormat="1"/>
    <row r="37374" s="2" customFormat="1"/>
    <row r="37375" s="2" customFormat="1"/>
    <row r="37376" s="2" customFormat="1"/>
    <row r="37377" s="2" customFormat="1"/>
    <row r="37378" s="2" customFormat="1"/>
    <row r="37379" s="2" customFormat="1"/>
    <row r="37380" s="2" customFormat="1"/>
    <row r="37381" s="2" customFormat="1"/>
    <row r="37382" s="2" customFormat="1"/>
    <row r="37383" s="2" customFormat="1"/>
    <row r="37384" s="2" customFormat="1"/>
    <row r="37385" s="2" customFormat="1"/>
    <row r="37386" s="2" customFormat="1"/>
    <row r="37387" s="2" customFormat="1"/>
    <row r="37388" s="2" customFormat="1"/>
    <row r="37389" s="2" customFormat="1"/>
    <row r="37390" s="2" customFormat="1"/>
    <row r="37391" s="2" customFormat="1"/>
    <row r="37392" s="2" customFormat="1"/>
    <row r="37393" s="2" customFormat="1"/>
    <row r="37394" s="2" customFormat="1"/>
    <row r="37395" s="2" customFormat="1"/>
    <row r="37396" s="2" customFormat="1"/>
    <row r="37397" s="2" customFormat="1"/>
    <row r="37398" s="2" customFormat="1"/>
    <row r="37399" s="2" customFormat="1"/>
    <row r="37400" s="2" customFormat="1"/>
    <row r="37401" s="2" customFormat="1"/>
    <row r="37402" s="2" customFormat="1"/>
    <row r="37403" s="2" customFormat="1"/>
    <row r="37404" s="2" customFormat="1"/>
    <row r="37405" s="2" customFormat="1"/>
    <row r="37406" s="2" customFormat="1"/>
    <row r="37407" s="2" customFormat="1"/>
    <row r="37408" s="2" customFormat="1"/>
    <row r="37409" s="2" customFormat="1"/>
    <row r="37410" s="2" customFormat="1"/>
    <row r="37411" s="2" customFormat="1"/>
    <row r="37412" s="2" customFormat="1"/>
    <row r="37413" s="2" customFormat="1"/>
    <row r="37414" s="2" customFormat="1"/>
    <row r="37415" s="2" customFormat="1"/>
    <row r="37416" s="2" customFormat="1"/>
    <row r="37417" s="2" customFormat="1"/>
    <row r="37418" s="2" customFormat="1"/>
    <row r="37419" s="2" customFormat="1"/>
    <row r="37420" s="2" customFormat="1"/>
    <row r="37421" s="2" customFormat="1"/>
    <row r="37422" s="2" customFormat="1"/>
    <row r="37423" s="2" customFormat="1"/>
    <row r="37424" s="2" customFormat="1"/>
    <row r="37425" s="2" customFormat="1"/>
    <row r="37426" s="2" customFormat="1"/>
    <row r="37427" s="2" customFormat="1"/>
    <row r="37428" s="2" customFormat="1"/>
    <row r="37429" s="2" customFormat="1"/>
    <row r="37430" s="2" customFormat="1"/>
    <row r="37431" s="2" customFormat="1"/>
    <row r="37432" s="2" customFormat="1"/>
    <row r="37433" s="2" customFormat="1"/>
    <row r="37434" s="2" customFormat="1"/>
    <row r="37435" s="2" customFormat="1"/>
    <row r="37436" s="2" customFormat="1"/>
    <row r="37437" s="2" customFormat="1"/>
    <row r="37438" s="2" customFormat="1"/>
    <row r="37439" s="2" customFormat="1"/>
    <row r="37440" s="2" customFormat="1"/>
    <row r="37441" s="2" customFormat="1"/>
    <row r="37442" s="2" customFormat="1"/>
    <row r="37443" s="2" customFormat="1"/>
    <row r="37444" s="2" customFormat="1"/>
    <row r="37445" s="2" customFormat="1"/>
    <row r="37446" s="2" customFormat="1"/>
    <row r="37447" s="2" customFormat="1"/>
    <row r="37448" s="2" customFormat="1"/>
    <row r="37449" s="2" customFormat="1"/>
    <row r="37450" s="2" customFormat="1"/>
    <row r="37451" s="2" customFormat="1"/>
    <row r="37452" s="2" customFormat="1"/>
    <row r="37453" s="2" customFormat="1"/>
    <row r="37454" s="2" customFormat="1"/>
    <row r="37455" s="2" customFormat="1"/>
    <row r="37456" s="2" customFormat="1"/>
    <row r="37457" s="2" customFormat="1"/>
    <row r="37458" s="2" customFormat="1"/>
    <row r="37459" s="2" customFormat="1"/>
    <row r="37460" s="2" customFormat="1"/>
    <row r="37461" s="2" customFormat="1"/>
    <row r="37462" s="2" customFormat="1"/>
    <row r="37463" s="2" customFormat="1"/>
    <row r="37464" s="2" customFormat="1"/>
    <row r="37465" s="2" customFormat="1"/>
    <row r="37466" s="2" customFormat="1"/>
    <row r="37467" s="2" customFormat="1"/>
    <row r="37468" s="2" customFormat="1"/>
    <row r="37469" s="2" customFormat="1"/>
    <row r="37470" s="2" customFormat="1"/>
    <row r="37471" s="2" customFormat="1"/>
    <row r="37472" s="2" customFormat="1"/>
    <row r="37473" s="2" customFormat="1"/>
    <row r="37474" s="2" customFormat="1"/>
    <row r="37475" s="2" customFormat="1"/>
    <row r="37476" s="2" customFormat="1"/>
    <row r="37477" s="2" customFormat="1"/>
    <row r="37478" s="2" customFormat="1"/>
    <row r="37479" s="2" customFormat="1"/>
    <row r="37480" s="2" customFormat="1"/>
    <row r="37481" s="2" customFormat="1"/>
    <row r="37482" s="2" customFormat="1"/>
    <row r="37483" s="2" customFormat="1"/>
    <row r="37484" s="2" customFormat="1"/>
    <row r="37485" s="2" customFormat="1"/>
    <row r="37486" s="2" customFormat="1"/>
    <row r="37487" s="2" customFormat="1"/>
    <row r="37488" s="2" customFormat="1"/>
    <row r="37489" s="2" customFormat="1"/>
    <row r="37490" s="2" customFormat="1"/>
    <row r="37491" s="2" customFormat="1"/>
    <row r="37492" s="2" customFormat="1"/>
    <row r="37493" s="2" customFormat="1"/>
    <row r="37494" s="2" customFormat="1"/>
    <row r="37495" s="2" customFormat="1"/>
    <row r="37496" s="2" customFormat="1"/>
    <row r="37497" s="2" customFormat="1"/>
    <row r="37498" s="2" customFormat="1"/>
    <row r="37499" s="2" customFormat="1"/>
    <row r="37500" s="2" customFormat="1"/>
    <row r="37501" s="2" customFormat="1"/>
    <row r="37502" s="2" customFormat="1"/>
    <row r="37503" s="2" customFormat="1"/>
    <row r="37504" s="2" customFormat="1"/>
    <row r="37505" s="2" customFormat="1"/>
    <row r="37506" s="2" customFormat="1"/>
    <row r="37507" s="2" customFormat="1"/>
    <row r="37508" s="2" customFormat="1"/>
    <row r="37509" s="2" customFormat="1"/>
    <row r="37510" s="2" customFormat="1"/>
    <row r="37511" s="2" customFormat="1"/>
    <row r="37512" s="2" customFormat="1"/>
    <row r="37513" s="2" customFormat="1"/>
    <row r="37514" s="2" customFormat="1"/>
    <row r="37515" s="2" customFormat="1"/>
    <row r="37516" s="2" customFormat="1"/>
    <row r="37517" s="2" customFormat="1"/>
    <row r="37518" s="2" customFormat="1"/>
    <row r="37519" s="2" customFormat="1"/>
    <row r="37520" s="2" customFormat="1"/>
    <row r="37521" s="2" customFormat="1"/>
    <row r="37522" s="2" customFormat="1"/>
    <row r="37523" s="2" customFormat="1"/>
    <row r="37524" s="2" customFormat="1"/>
    <row r="37525" s="2" customFormat="1"/>
    <row r="37526" s="2" customFormat="1"/>
    <row r="37527" s="2" customFormat="1"/>
    <row r="37528" s="2" customFormat="1"/>
    <row r="37529" s="2" customFormat="1"/>
    <row r="37530" s="2" customFormat="1"/>
    <row r="37531" s="2" customFormat="1"/>
    <row r="37532" s="2" customFormat="1"/>
    <row r="37533" s="2" customFormat="1"/>
    <row r="37534" s="2" customFormat="1"/>
    <row r="37535" s="2" customFormat="1"/>
    <row r="37536" s="2" customFormat="1"/>
    <row r="37537" s="2" customFormat="1"/>
    <row r="37538" s="2" customFormat="1"/>
    <row r="37539" s="2" customFormat="1"/>
    <row r="37540" s="2" customFormat="1"/>
    <row r="37541" s="2" customFormat="1"/>
    <row r="37542" s="2" customFormat="1"/>
    <row r="37543" s="2" customFormat="1"/>
    <row r="37544" s="2" customFormat="1"/>
    <row r="37545" s="2" customFormat="1"/>
    <row r="37546" s="2" customFormat="1"/>
    <row r="37547" s="2" customFormat="1"/>
    <row r="37548" s="2" customFormat="1"/>
    <row r="37549" s="2" customFormat="1"/>
    <row r="37550" s="2" customFormat="1"/>
    <row r="37551" s="2" customFormat="1"/>
    <row r="37552" s="2" customFormat="1"/>
    <row r="37553" s="2" customFormat="1"/>
    <row r="37554" s="2" customFormat="1"/>
    <row r="37555" s="2" customFormat="1"/>
    <row r="37556" s="2" customFormat="1"/>
    <row r="37557" s="2" customFormat="1"/>
    <row r="37558" s="2" customFormat="1"/>
    <row r="37559" s="2" customFormat="1"/>
    <row r="37560" s="2" customFormat="1"/>
    <row r="37561" s="2" customFormat="1"/>
    <row r="37562" s="2" customFormat="1"/>
    <row r="37563" s="2" customFormat="1"/>
    <row r="37564" s="2" customFormat="1"/>
    <row r="37565" s="2" customFormat="1"/>
    <row r="37566" s="2" customFormat="1"/>
    <row r="37567" s="2" customFormat="1"/>
    <row r="37568" s="2" customFormat="1"/>
    <row r="37569" s="2" customFormat="1"/>
    <row r="37570" s="2" customFormat="1"/>
    <row r="37571" s="2" customFormat="1"/>
    <row r="37572" s="2" customFormat="1"/>
    <row r="37573" s="2" customFormat="1"/>
    <row r="37574" s="2" customFormat="1"/>
    <row r="37575" s="2" customFormat="1"/>
    <row r="37576" s="2" customFormat="1"/>
    <row r="37577" s="2" customFormat="1"/>
    <row r="37578" s="2" customFormat="1"/>
    <row r="37579" s="2" customFormat="1"/>
    <row r="37580" s="2" customFormat="1"/>
    <row r="37581" s="2" customFormat="1"/>
    <row r="37582" s="2" customFormat="1"/>
    <row r="37583" s="2" customFormat="1"/>
    <row r="37584" s="2" customFormat="1"/>
    <row r="37585" s="2" customFormat="1"/>
    <row r="37586" s="2" customFormat="1"/>
    <row r="37587" s="2" customFormat="1"/>
    <row r="37588" s="2" customFormat="1"/>
    <row r="37589" s="2" customFormat="1"/>
    <row r="37590" s="2" customFormat="1"/>
    <row r="37591" s="2" customFormat="1"/>
    <row r="37592" s="2" customFormat="1"/>
    <row r="37593" s="2" customFormat="1"/>
    <row r="37594" s="2" customFormat="1"/>
    <row r="37595" s="2" customFormat="1"/>
    <row r="37596" s="2" customFormat="1"/>
    <row r="37597" s="2" customFormat="1"/>
    <row r="37598" s="2" customFormat="1"/>
    <row r="37599" s="2" customFormat="1"/>
    <row r="37600" s="2" customFormat="1"/>
    <row r="37601" s="2" customFormat="1"/>
    <row r="37602" s="2" customFormat="1"/>
    <row r="37603" s="2" customFormat="1"/>
    <row r="37604" s="2" customFormat="1"/>
    <row r="37605" s="2" customFormat="1"/>
    <row r="37606" s="2" customFormat="1"/>
    <row r="37607" s="2" customFormat="1"/>
    <row r="37608" s="2" customFormat="1"/>
    <row r="37609" s="2" customFormat="1"/>
    <row r="37610" s="2" customFormat="1"/>
    <row r="37611" s="2" customFormat="1"/>
    <row r="37612" s="2" customFormat="1"/>
    <row r="37613" s="2" customFormat="1"/>
    <row r="37614" s="2" customFormat="1"/>
    <row r="37615" s="2" customFormat="1"/>
    <row r="37616" s="2" customFormat="1"/>
    <row r="37617" s="2" customFormat="1"/>
    <row r="37618" s="2" customFormat="1"/>
    <row r="37619" s="2" customFormat="1"/>
    <row r="37620" s="2" customFormat="1"/>
    <row r="37621" s="2" customFormat="1"/>
    <row r="37622" s="2" customFormat="1"/>
    <row r="37623" s="2" customFormat="1"/>
    <row r="37624" s="2" customFormat="1"/>
    <row r="37625" s="2" customFormat="1"/>
    <row r="37626" s="2" customFormat="1"/>
    <row r="37627" s="2" customFormat="1"/>
    <row r="37628" s="2" customFormat="1"/>
    <row r="37629" s="2" customFormat="1"/>
    <row r="37630" s="2" customFormat="1"/>
    <row r="37631" s="2" customFormat="1"/>
    <row r="37632" s="2" customFormat="1"/>
    <row r="37633" s="2" customFormat="1"/>
    <row r="37634" s="2" customFormat="1"/>
    <row r="37635" s="2" customFormat="1"/>
    <row r="37636" s="2" customFormat="1"/>
    <row r="37637" s="2" customFormat="1"/>
    <row r="37638" s="2" customFormat="1"/>
    <row r="37639" s="2" customFormat="1"/>
    <row r="37640" s="2" customFormat="1"/>
    <row r="37641" s="2" customFormat="1"/>
    <row r="37642" s="2" customFormat="1"/>
    <row r="37643" s="2" customFormat="1"/>
    <row r="37644" s="2" customFormat="1"/>
    <row r="37645" s="2" customFormat="1"/>
    <row r="37646" s="2" customFormat="1"/>
    <row r="37647" s="2" customFormat="1"/>
    <row r="37648" s="2" customFormat="1"/>
    <row r="37649" s="2" customFormat="1"/>
    <row r="37650" s="2" customFormat="1"/>
    <row r="37651" s="2" customFormat="1"/>
    <row r="37652" s="2" customFormat="1"/>
    <row r="37653" s="2" customFormat="1"/>
    <row r="37654" s="2" customFormat="1"/>
    <row r="37655" s="2" customFormat="1"/>
    <row r="37656" s="2" customFormat="1"/>
    <row r="37657" s="2" customFormat="1"/>
    <row r="37658" s="2" customFormat="1"/>
    <row r="37659" s="2" customFormat="1"/>
    <row r="37660" s="2" customFormat="1"/>
    <row r="37661" s="2" customFormat="1"/>
    <row r="37662" s="2" customFormat="1"/>
    <row r="37663" s="2" customFormat="1"/>
    <row r="37664" s="2" customFormat="1"/>
    <row r="37665" s="2" customFormat="1"/>
    <row r="37666" s="2" customFormat="1"/>
    <row r="37667" s="2" customFormat="1"/>
    <row r="37668" s="2" customFormat="1"/>
    <row r="37669" s="2" customFormat="1"/>
    <row r="37670" s="2" customFormat="1"/>
    <row r="37671" s="2" customFormat="1"/>
    <row r="37672" s="2" customFormat="1"/>
    <row r="37673" s="2" customFormat="1"/>
    <row r="37674" s="2" customFormat="1"/>
    <row r="37675" s="2" customFormat="1"/>
    <row r="37676" s="2" customFormat="1"/>
    <row r="37677" s="2" customFormat="1"/>
    <row r="37678" s="2" customFormat="1"/>
    <row r="37679" s="2" customFormat="1"/>
    <row r="37680" s="2" customFormat="1"/>
    <row r="37681" s="2" customFormat="1"/>
    <row r="37682" s="2" customFormat="1"/>
    <row r="37683" s="2" customFormat="1"/>
    <row r="37684" s="2" customFormat="1"/>
    <row r="37685" s="2" customFormat="1"/>
    <row r="37686" s="2" customFormat="1"/>
    <row r="37687" s="2" customFormat="1"/>
    <row r="37688" s="2" customFormat="1"/>
    <row r="37689" s="2" customFormat="1"/>
    <row r="37690" s="2" customFormat="1"/>
    <row r="37691" s="2" customFormat="1"/>
    <row r="37692" s="2" customFormat="1"/>
    <row r="37693" s="2" customFormat="1"/>
    <row r="37694" s="2" customFormat="1"/>
    <row r="37695" s="2" customFormat="1"/>
    <row r="37696" s="2" customFormat="1"/>
    <row r="37697" s="2" customFormat="1"/>
    <row r="37698" s="2" customFormat="1"/>
    <row r="37699" s="2" customFormat="1"/>
    <row r="37700" s="2" customFormat="1"/>
    <row r="37701" s="2" customFormat="1"/>
    <row r="37702" s="2" customFormat="1"/>
    <row r="37703" s="2" customFormat="1"/>
    <row r="37704" s="2" customFormat="1"/>
    <row r="37705" s="2" customFormat="1"/>
    <row r="37706" s="2" customFormat="1"/>
    <row r="37707" s="2" customFormat="1"/>
    <row r="37708" s="2" customFormat="1"/>
    <row r="37709" s="2" customFormat="1"/>
    <row r="37710" s="2" customFormat="1"/>
    <row r="37711" s="2" customFormat="1"/>
    <row r="37712" s="2" customFormat="1"/>
    <row r="37713" s="2" customFormat="1"/>
    <row r="37714" s="2" customFormat="1"/>
    <row r="37715" s="2" customFormat="1"/>
    <row r="37716" s="2" customFormat="1"/>
    <row r="37717" s="2" customFormat="1"/>
    <row r="37718" s="2" customFormat="1"/>
    <row r="37719" s="2" customFormat="1"/>
    <row r="37720" s="2" customFormat="1"/>
    <row r="37721" s="2" customFormat="1"/>
    <row r="37722" s="2" customFormat="1"/>
    <row r="37723" s="2" customFormat="1"/>
    <row r="37724" s="2" customFormat="1"/>
    <row r="37725" s="2" customFormat="1"/>
    <row r="37726" s="2" customFormat="1"/>
    <row r="37727" s="2" customFormat="1"/>
    <row r="37728" s="2" customFormat="1"/>
    <row r="37729" s="2" customFormat="1"/>
    <row r="37730" s="2" customFormat="1"/>
    <row r="37731" s="2" customFormat="1"/>
    <row r="37732" s="2" customFormat="1"/>
    <row r="37733" s="2" customFormat="1"/>
    <row r="37734" s="2" customFormat="1"/>
    <row r="37735" s="2" customFormat="1"/>
    <row r="37736" s="2" customFormat="1"/>
    <row r="37737" s="2" customFormat="1"/>
    <row r="37738" s="2" customFormat="1"/>
    <row r="37739" s="2" customFormat="1"/>
    <row r="37740" s="2" customFormat="1"/>
    <row r="37741" s="2" customFormat="1"/>
    <row r="37742" s="2" customFormat="1"/>
    <row r="37743" s="2" customFormat="1"/>
    <row r="37744" s="2" customFormat="1"/>
    <row r="37745" s="2" customFormat="1"/>
    <row r="37746" s="2" customFormat="1"/>
    <row r="37747" s="2" customFormat="1"/>
    <row r="37748" s="2" customFormat="1"/>
    <row r="37749" s="2" customFormat="1"/>
    <row r="37750" s="2" customFormat="1"/>
    <row r="37751" s="2" customFormat="1"/>
    <row r="37752" s="2" customFormat="1"/>
    <row r="37753" s="2" customFormat="1"/>
    <row r="37754" s="2" customFormat="1"/>
    <row r="37755" s="2" customFormat="1"/>
    <row r="37756" s="2" customFormat="1"/>
    <row r="37757" s="2" customFormat="1"/>
    <row r="37758" s="2" customFormat="1"/>
    <row r="37759" s="2" customFormat="1"/>
    <row r="37760" s="2" customFormat="1"/>
    <row r="37761" s="2" customFormat="1"/>
    <row r="37762" s="2" customFormat="1"/>
    <row r="37763" s="2" customFormat="1"/>
    <row r="37764" s="2" customFormat="1"/>
    <row r="37765" s="2" customFormat="1"/>
    <row r="37766" s="2" customFormat="1"/>
    <row r="37767" s="2" customFormat="1"/>
    <row r="37768" s="2" customFormat="1"/>
    <row r="37769" s="2" customFormat="1"/>
    <row r="37770" s="2" customFormat="1"/>
    <row r="37771" s="2" customFormat="1"/>
    <row r="37772" s="2" customFormat="1"/>
    <row r="37773" s="2" customFormat="1"/>
    <row r="37774" s="2" customFormat="1"/>
    <row r="37775" s="2" customFormat="1"/>
    <row r="37776" s="2" customFormat="1"/>
    <row r="37777" s="2" customFormat="1"/>
    <row r="37778" s="2" customFormat="1"/>
    <row r="37779" s="2" customFormat="1"/>
    <row r="37780" s="2" customFormat="1"/>
    <row r="37781" s="2" customFormat="1"/>
    <row r="37782" s="2" customFormat="1"/>
    <row r="37783" s="2" customFormat="1"/>
    <row r="37784" s="2" customFormat="1"/>
    <row r="37785" s="2" customFormat="1"/>
    <row r="37786" s="2" customFormat="1"/>
    <row r="37787" s="2" customFormat="1"/>
    <row r="37788" s="2" customFormat="1"/>
    <row r="37789" s="2" customFormat="1"/>
    <row r="37790" s="2" customFormat="1"/>
    <row r="37791" s="2" customFormat="1"/>
    <row r="37792" s="2" customFormat="1"/>
    <row r="37793" s="2" customFormat="1"/>
    <row r="37794" s="2" customFormat="1"/>
    <row r="37795" s="2" customFormat="1"/>
    <row r="37796" s="2" customFormat="1"/>
    <row r="37797" s="2" customFormat="1"/>
    <row r="37798" s="2" customFormat="1"/>
    <row r="37799" s="2" customFormat="1"/>
    <row r="37800" s="2" customFormat="1"/>
    <row r="37801" s="2" customFormat="1"/>
    <row r="37802" s="2" customFormat="1"/>
    <row r="37803" s="2" customFormat="1"/>
    <row r="37804" s="2" customFormat="1"/>
    <row r="37805" s="2" customFormat="1"/>
    <row r="37806" s="2" customFormat="1"/>
    <row r="37807" s="2" customFormat="1"/>
    <row r="37808" s="2" customFormat="1"/>
    <row r="37809" s="2" customFormat="1"/>
    <row r="37810" s="2" customFormat="1"/>
    <row r="37811" s="2" customFormat="1"/>
    <row r="37812" s="2" customFormat="1"/>
    <row r="37813" s="2" customFormat="1"/>
    <row r="37814" s="2" customFormat="1"/>
    <row r="37815" s="2" customFormat="1"/>
    <row r="37816" s="2" customFormat="1"/>
    <row r="37817" s="2" customFormat="1"/>
    <row r="37818" s="2" customFormat="1"/>
    <row r="37819" s="2" customFormat="1"/>
    <row r="37820" s="2" customFormat="1"/>
    <row r="37821" s="2" customFormat="1"/>
    <row r="37822" s="2" customFormat="1"/>
    <row r="37823" s="2" customFormat="1"/>
    <row r="37824" s="2" customFormat="1"/>
    <row r="37825" s="2" customFormat="1"/>
    <row r="37826" s="2" customFormat="1"/>
    <row r="37827" s="2" customFormat="1"/>
    <row r="37828" s="2" customFormat="1"/>
    <row r="37829" s="2" customFormat="1"/>
    <row r="37830" s="2" customFormat="1"/>
    <row r="37831" s="2" customFormat="1"/>
    <row r="37832" s="2" customFormat="1"/>
    <row r="37833" s="2" customFormat="1"/>
    <row r="37834" s="2" customFormat="1"/>
    <row r="37835" s="2" customFormat="1"/>
    <row r="37836" s="2" customFormat="1"/>
    <row r="37837" s="2" customFormat="1"/>
    <row r="37838" s="2" customFormat="1"/>
    <row r="37839" s="2" customFormat="1"/>
    <row r="37840" s="2" customFormat="1"/>
    <row r="37841" s="2" customFormat="1"/>
    <row r="37842" s="2" customFormat="1"/>
    <row r="37843" s="2" customFormat="1"/>
    <row r="37844" s="2" customFormat="1"/>
    <row r="37845" s="2" customFormat="1"/>
    <row r="37846" s="2" customFormat="1"/>
    <row r="37847" s="2" customFormat="1"/>
    <row r="37848" s="2" customFormat="1"/>
    <row r="37849" s="2" customFormat="1"/>
    <row r="37850" s="2" customFormat="1"/>
    <row r="37851" s="2" customFormat="1"/>
    <row r="37852" s="2" customFormat="1"/>
    <row r="37853" s="2" customFormat="1"/>
    <row r="37854" s="2" customFormat="1"/>
    <row r="37855" s="2" customFormat="1"/>
    <row r="37856" s="2" customFormat="1"/>
    <row r="37857" s="2" customFormat="1"/>
    <row r="37858" s="2" customFormat="1"/>
    <row r="37859" s="2" customFormat="1"/>
    <row r="37860" s="2" customFormat="1"/>
    <row r="37861" s="2" customFormat="1"/>
    <row r="37862" s="2" customFormat="1"/>
    <row r="37863" s="2" customFormat="1"/>
    <row r="37864" s="2" customFormat="1"/>
    <row r="37865" s="2" customFormat="1"/>
    <row r="37866" s="2" customFormat="1"/>
    <row r="37867" s="2" customFormat="1"/>
    <row r="37868" s="2" customFormat="1"/>
    <row r="37869" s="2" customFormat="1"/>
    <row r="37870" s="2" customFormat="1"/>
    <row r="37871" s="2" customFormat="1"/>
    <row r="37872" s="2" customFormat="1"/>
    <row r="37873" s="2" customFormat="1"/>
    <row r="37874" s="2" customFormat="1"/>
    <row r="37875" s="2" customFormat="1"/>
    <row r="37876" s="2" customFormat="1"/>
    <row r="37877" s="2" customFormat="1"/>
    <row r="37878" s="2" customFormat="1"/>
    <row r="37879" s="2" customFormat="1"/>
    <row r="37880" s="2" customFormat="1"/>
    <row r="37881" s="2" customFormat="1"/>
    <row r="37882" s="2" customFormat="1"/>
    <row r="37883" s="2" customFormat="1"/>
    <row r="37884" s="2" customFormat="1"/>
    <row r="37885" s="2" customFormat="1"/>
    <row r="37886" s="2" customFormat="1"/>
    <row r="37887" s="2" customFormat="1"/>
    <row r="37888" s="2" customFormat="1"/>
    <row r="37889" s="2" customFormat="1"/>
    <row r="37890" s="2" customFormat="1"/>
    <row r="37891" s="2" customFormat="1"/>
    <row r="37892" s="2" customFormat="1"/>
    <row r="37893" s="2" customFormat="1"/>
    <row r="37894" s="2" customFormat="1"/>
    <row r="37895" s="2" customFormat="1"/>
    <row r="37896" s="2" customFormat="1"/>
    <row r="37897" s="2" customFormat="1"/>
    <row r="37898" s="2" customFormat="1"/>
    <row r="37899" s="2" customFormat="1"/>
    <row r="37900" s="2" customFormat="1"/>
    <row r="37901" s="2" customFormat="1"/>
    <row r="37902" s="2" customFormat="1"/>
    <row r="37903" s="2" customFormat="1"/>
    <row r="37904" s="2" customFormat="1"/>
    <row r="37905" s="2" customFormat="1"/>
    <row r="37906" s="2" customFormat="1"/>
    <row r="37907" s="2" customFormat="1"/>
    <row r="37908" s="2" customFormat="1"/>
    <row r="37909" s="2" customFormat="1"/>
    <row r="37910" s="2" customFormat="1"/>
    <row r="37911" s="2" customFormat="1"/>
    <row r="37912" s="2" customFormat="1"/>
    <row r="37913" s="2" customFormat="1"/>
    <row r="37914" s="2" customFormat="1"/>
    <row r="37915" s="2" customFormat="1"/>
    <row r="37916" s="2" customFormat="1"/>
    <row r="37917" s="2" customFormat="1"/>
    <row r="37918" s="2" customFormat="1"/>
    <row r="37919" s="2" customFormat="1"/>
    <row r="37920" s="2" customFormat="1"/>
    <row r="37921" s="2" customFormat="1"/>
    <row r="37922" s="2" customFormat="1"/>
    <row r="37923" s="2" customFormat="1"/>
    <row r="37924" s="2" customFormat="1"/>
    <row r="37925" s="2" customFormat="1"/>
    <row r="37926" s="2" customFormat="1"/>
    <row r="37927" s="2" customFormat="1"/>
    <row r="37928" s="2" customFormat="1"/>
    <row r="37929" s="2" customFormat="1"/>
    <row r="37930" s="2" customFormat="1"/>
    <row r="37931" s="2" customFormat="1"/>
    <row r="37932" s="2" customFormat="1"/>
    <row r="37933" s="2" customFormat="1"/>
    <row r="37934" s="2" customFormat="1"/>
    <row r="37935" s="2" customFormat="1"/>
    <row r="37936" s="2" customFormat="1"/>
    <row r="37937" s="2" customFormat="1"/>
    <row r="37938" s="2" customFormat="1"/>
    <row r="37939" s="2" customFormat="1"/>
    <row r="37940" s="2" customFormat="1"/>
    <row r="37941" s="2" customFormat="1"/>
    <row r="37942" s="2" customFormat="1"/>
    <row r="37943" s="2" customFormat="1"/>
    <row r="37944" s="2" customFormat="1"/>
    <row r="37945" s="2" customFormat="1"/>
    <row r="37946" s="2" customFormat="1"/>
    <row r="37947" s="2" customFormat="1"/>
    <row r="37948" s="2" customFormat="1"/>
    <row r="37949" s="2" customFormat="1"/>
    <row r="37950" s="2" customFormat="1"/>
    <row r="37951" s="2" customFormat="1"/>
    <row r="37952" s="2" customFormat="1"/>
    <row r="37953" s="2" customFormat="1"/>
    <row r="37954" s="2" customFormat="1"/>
    <row r="37955" s="2" customFormat="1"/>
    <row r="37956" s="2" customFormat="1"/>
    <row r="37957" s="2" customFormat="1"/>
    <row r="37958" s="2" customFormat="1"/>
    <row r="37959" s="2" customFormat="1"/>
    <row r="37960" s="2" customFormat="1"/>
    <row r="37961" s="2" customFormat="1"/>
    <row r="37962" s="2" customFormat="1"/>
    <row r="37963" s="2" customFormat="1"/>
    <row r="37964" s="2" customFormat="1"/>
    <row r="37965" s="2" customFormat="1"/>
    <row r="37966" s="2" customFormat="1"/>
    <row r="37967" s="2" customFormat="1"/>
    <row r="37968" s="2" customFormat="1"/>
    <row r="37969" s="2" customFormat="1"/>
    <row r="37970" s="2" customFormat="1"/>
    <row r="37971" s="2" customFormat="1"/>
    <row r="37972" s="2" customFormat="1"/>
    <row r="37973" s="2" customFormat="1"/>
    <row r="37974" s="2" customFormat="1"/>
    <row r="37975" s="2" customFormat="1"/>
    <row r="37976" s="2" customFormat="1"/>
    <row r="37977" s="2" customFormat="1"/>
    <row r="37978" s="2" customFormat="1"/>
    <row r="37979" s="2" customFormat="1"/>
    <row r="37980" s="2" customFormat="1"/>
    <row r="37981" s="2" customFormat="1"/>
    <row r="37982" s="2" customFormat="1"/>
    <row r="37983" s="2" customFormat="1"/>
    <row r="37984" s="2" customFormat="1"/>
    <row r="37985" s="2" customFormat="1"/>
    <row r="37986" s="2" customFormat="1"/>
    <row r="37987" s="2" customFormat="1"/>
    <row r="37988" s="2" customFormat="1"/>
    <row r="37989" s="2" customFormat="1"/>
    <row r="37990" s="2" customFormat="1"/>
    <row r="37991" s="2" customFormat="1"/>
    <row r="37992" s="2" customFormat="1"/>
    <row r="37993" s="2" customFormat="1"/>
    <row r="37994" s="2" customFormat="1"/>
    <row r="37995" s="2" customFormat="1"/>
    <row r="37996" s="2" customFormat="1"/>
    <row r="37997" s="2" customFormat="1"/>
    <row r="37998" s="2" customFormat="1"/>
    <row r="37999" s="2" customFormat="1"/>
    <row r="38000" s="2" customFormat="1"/>
    <row r="38001" s="2" customFormat="1"/>
    <row r="38002" s="2" customFormat="1"/>
    <row r="38003" s="2" customFormat="1"/>
    <row r="38004" s="2" customFormat="1"/>
    <row r="38005" s="2" customFormat="1"/>
    <row r="38006" s="2" customFormat="1"/>
    <row r="38007" s="2" customFormat="1"/>
    <row r="38008" s="2" customFormat="1"/>
    <row r="38009" s="2" customFormat="1"/>
    <row r="38010" s="2" customFormat="1"/>
    <row r="38011" s="2" customFormat="1"/>
    <row r="38012" s="2" customFormat="1"/>
    <row r="38013" s="2" customFormat="1"/>
    <row r="38014" s="2" customFormat="1"/>
    <row r="38015" s="2" customFormat="1"/>
    <row r="38016" s="2" customFormat="1"/>
    <row r="38017" s="2" customFormat="1"/>
    <row r="38018" s="2" customFormat="1"/>
    <row r="38019" s="2" customFormat="1"/>
    <row r="38020" s="2" customFormat="1"/>
    <row r="38021" s="2" customFormat="1"/>
    <row r="38022" s="2" customFormat="1"/>
    <row r="38023" s="2" customFormat="1"/>
    <row r="38024" s="2" customFormat="1"/>
    <row r="38025" s="2" customFormat="1"/>
    <row r="38026" s="2" customFormat="1"/>
    <row r="38027" s="2" customFormat="1"/>
    <row r="38028" s="2" customFormat="1"/>
    <row r="38029" s="2" customFormat="1"/>
    <row r="38030" s="2" customFormat="1"/>
    <row r="38031" s="2" customFormat="1"/>
    <row r="38032" s="2" customFormat="1"/>
    <row r="38033" s="2" customFormat="1"/>
    <row r="38034" s="2" customFormat="1"/>
    <row r="38035" s="2" customFormat="1"/>
    <row r="38036" s="2" customFormat="1"/>
    <row r="38037" s="2" customFormat="1"/>
    <row r="38038" s="2" customFormat="1"/>
    <row r="38039" s="2" customFormat="1"/>
    <row r="38040" s="2" customFormat="1"/>
    <row r="38041" s="2" customFormat="1"/>
    <row r="38042" s="2" customFormat="1"/>
    <row r="38043" s="2" customFormat="1"/>
    <row r="38044" s="2" customFormat="1"/>
    <row r="38045" s="2" customFormat="1"/>
    <row r="38046" s="2" customFormat="1"/>
    <row r="38047" s="2" customFormat="1"/>
    <row r="38048" s="2" customFormat="1"/>
    <row r="38049" s="2" customFormat="1"/>
    <row r="38050" s="2" customFormat="1"/>
    <row r="38051" s="2" customFormat="1"/>
    <row r="38052" s="2" customFormat="1"/>
    <row r="38053" s="2" customFormat="1"/>
    <row r="38054" s="2" customFormat="1"/>
    <row r="38055" s="2" customFormat="1"/>
    <row r="38056" s="2" customFormat="1"/>
    <row r="38057" s="2" customFormat="1"/>
    <row r="38058" s="2" customFormat="1"/>
    <row r="38059" s="2" customFormat="1"/>
    <row r="38060" s="2" customFormat="1"/>
    <row r="38061" s="2" customFormat="1"/>
    <row r="38062" s="2" customFormat="1"/>
    <row r="38063" s="2" customFormat="1"/>
    <row r="38064" s="2" customFormat="1"/>
    <row r="38065" s="2" customFormat="1"/>
    <row r="38066" s="2" customFormat="1"/>
    <row r="38067" s="2" customFormat="1"/>
    <row r="38068" s="2" customFormat="1"/>
    <row r="38069" s="2" customFormat="1"/>
    <row r="38070" s="2" customFormat="1"/>
    <row r="38071" s="2" customFormat="1"/>
    <row r="38072" s="2" customFormat="1"/>
    <row r="38073" s="2" customFormat="1"/>
    <row r="38074" s="2" customFormat="1"/>
    <row r="38075" s="2" customFormat="1"/>
    <row r="38076" s="2" customFormat="1"/>
    <row r="38077" s="2" customFormat="1"/>
    <row r="38078" s="2" customFormat="1"/>
    <row r="38079" s="2" customFormat="1"/>
    <row r="38080" s="2" customFormat="1"/>
    <row r="38081" s="2" customFormat="1"/>
    <row r="38082" s="2" customFormat="1"/>
    <row r="38083" s="2" customFormat="1"/>
    <row r="38084" s="2" customFormat="1"/>
    <row r="38085" s="2" customFormat="1"/>
    <row r="38086" s="2" customFormat="1"/>
    <row r="38087" s="2" customFormat="1"/>
    <row r="38088" s="2" customFormat="1"/>
    <row r="38089" s="2" customFormat="1"/>
    <row r="38090" s="2" customFormat="1"/>
    <row r="38091" s="2" customFormat="1"/>
    <row r="38092" s="2" customFormat="1"/>
    <row r="38093" s="2" customFormat="1"/>
    <row r="38094" s="2" customFormat="1"/>
    <row r="38095" s="2" customFormat="1"/>
    <row r="38096" s="2" customFormat="1"/>
    <row r="38097" s="2" customFormat="1"/>
    <row r="38098" s="2" customFormat="1"/>
    <row r="38099" s="2" customFormat="1"/>
    <row r="38100" s="2" customFormat="1"/>
    <row r="38101" s="2" customFormat="1"/>
    <row r="38102" s="2" customFormat="1"/>
    <row r="38103" s="2" customFormat="1"/>
    <row r="38104" s="2" customFormat="1"/>
    <row r="38105" s="2" customFormat="1"/>
    <row r="38106" s="2" customFormat="1"/>
    <row r="38107" s="2" customFormat="1"/>
    <row r="38108" s="2" customFormat="1"/>
    <row r="38109" s="2" customFormat="1"/>
    <row r="38110" s="2" customFormat="1"/>
    <row r="38111" s="2" customFormat="1"/>
    <row r="38112" s="2" customFormat="1"/>
    <row r="38113" s="2" customFormat="1"/>
    <row r="38114" s="2" customFormat="1"/>
    <row r="38115" s="2" customFormat="1"/>
    <row r="38116" s="2" customFormat="1"/>
    <row r="38117" s="2" customFormat="1"/>
    <row r="38118" s="2" customFormat="1"/>
    <row r="38119" s="2" customFormat="1"/>
    <row r="38120" s="2" customFormat="1"/>
    <row r="38121" s="2" customFormat="1"/>
    <row r="38122" s="2" customFormat="1"/>
    <row r="38123" s="2" customFormat="1"/>
    <row r="38124" s="2" customFormat="1"/>
    <row r="38125" s="2" customFormat="1"/>
    <row r="38126" s="2" customFormat="1"/>
    <row r="38127" s="2" customFormat="1"/>
    <row r="38128" s="2" customFormat="1"/>
    <row r="38129" s="2" customFormat="1"/>
    <row r="38130" s="2" customFormat="1"/>
    <row r="38131" s="2" customFormat="1"/>
    <row r="38132" s="2" customFormat="1"/>
    <row r="38133" s="2" customFormat="1"/>
    <row r="38134" s="2" customFormat="1"/>
    <row r="38135" s="2" customFormat="1"/>
    <row r="38136" s="2" customFormat="1"/>
    <row r="38137" s="2" customFormat="1"/>
    <row r="38138" s="2" customFormat="1"/>
    <row r="38139" s="2" customFormat="1"/>
    <row r="38140" s="2" customFormat="1"/>
    <row r="38141" s="2" customFormat="1"/>
    <row r="38142" s="2" customFormat="1"/>
    <row r="38143" s="2" customFormat="1"/>
    <row r="38144" s="2" customFormat="1"/>
    <row r="38145" s="2" customFormat="1"/>
    <row r="38146" s="2" customFormat="1"/>
    <row r="38147" s="2" customFormat="1"/>
    <row r="38148" s="2" customFormat="1"/>
    <row r="38149" s="2" customFormat="1"/>
    <row r="38150" s="2" customFormat="1"/>
    <row r="38151" s="2" customFormat="1"/>
    <row r="38152" s="2" customFormat="1"/>
    <row r="38153" s="2" customFormat="1"/>
    <row r="38154" s="2" customFormat="1"/>
    <row r="38155" s="2" customFormat="1"/>
    <row r="38156" s="2" customFormat="1"/>
    <row r="38157" s="2" customFormat="1"/>
    <row r="38158" s="2" customFormat="1"/>
    <row r="38159" s="2" customFormat="1"/>
    <row r="38160" s="2" customFormat="1"/>
    <row r="38161" s="2" customFormat="1"/>
    <row r="38162" s="2" customFormat="1"/>
    <row r="38163" s="2" customFormat="1"/>
    <row r="38164" s="2" customFormat="1"/>
    <row r="38165" s="2" customFormat="1"/>
    <row r="38166" s="2" customFormat="1"/>
    <row r="38167" s="2" customFormat="1"/>
    <row r="38168" s="2" customFormat="1"/>
    <row r="38169" s="2" customFormat="1"/>
    <row r="38170" s="2" customFormat="1"/>
    <row r="38171" s="2" customFormat="1"/>
    <row r="38172" s="2" customFormat="1"/>
    <row r="38173" s="2" customFormat="1"/>
    <row r="38174" s="2" customFormat="1"/>
    <row r="38175" s="2" customFormat="1"/>
    <row r="38176" s="2" customFormat="1"/>
    <row r="38177" s="2" customFormat="1"/>
    <row r="38178" s="2" customFormat="1"/>
    <row r="38179" s="2" customFormat="1"/>
    <row r="38180" s="2" customFormat="1"/>
    <row r="38181" s="2" customFormat="1"/>
    <row r="38182" s="2" customFormat="1"/>
    <row r="38183" s="2" customFormat="1"/>
    <row r="38184" s="2" customFormat="1"/>
    <row r="38185" s="2" customFormat="1"/>
    <row r="38186" s="2" customFormat="1"/>
    <row r="38187" s="2" customFormat="1"/>
    <row r="38188" s="2" customFormat="1"/>
    <row r="38189" s="2" customFormat="1"/>
    <row r="38190" s="2" customFormat="1"/>
    <row r="38191" s="2" customFormat="1"/>
    <row r="38192" s="2" customFormat="1"/>
    <row r="38193" s="2" customFormat="1"/>
    <row r="38194" s="2" customFormat="1"/>
    <row r="38195" s="2" customFormat="1"/>
    <row r="38196" s="2" customFormat="1"/>
    <row r="38197" s="2" customFormat="1"/>
    <row r="38198" s="2" customFormat="1"/>
    <row r="38199" s="2" customFormat="1"/>
    <row r="38200" s="2" customFormat="1"/>
    <row r="38201" s="2" customFormat="1"/>
    <row r="38202" s="2" customFormat="1"/>
    <row r="38203" s="2" customFormat="1"/>
    <row r="38204" s="2" customFormat="1"/>
    <row r="38205" s="2" customFormat="1"/>
    <row r="38206" s="2" customFormat="1"/>
    <row r="38207" s="2" customFormat="1"/>
    <row r="38208" s="2" customFormat="1"/>
    <row r="38209" s="2" customFormat="1"/>
    <row r="38210" s="2" customFormat="1"/>
    <row r="38211" s="2" customFormat="1"/>
    <row r="38212" s="2" customFormat="1"/>
    <row r="38213" s="2" customFormat="1"/>
    <row r="38214" s="2" customFormat="1"/>
    <row r="38215" s="2" customFormat="1"/>
    <row r="38216" s="2" customFormat="1"/>
    <row r="38217" s="2" customFormat="1"/>
    <row r="38218" s="2" customFormat="1"/>
    <row r="38219" s="2" customFormat="1"/>
    <row r="38220" s="2" customFormat="1"/>
    <row r="38221" s="2" customFormat="1"/>
    <row r="38222" s="2" customFormat="1"/>
    <row r="38223" s="2" customFormat="1"/>
    <row r="38224" s="2" customFormat="1"/>
    <row r="38225" s="2" customFormat="1"/>
    <row r="38226" s="2" customFormat="1"/>
    <row r="38227" s="2" customFormat="1"/>
    <row r="38228" s="2" customFormat="1"/>
    <row r="38229" s="2" customFormat="1"/>
    <row r="38230" s="2" customFormat="1"/>
    <row r="38231" s="2" customFormat="1"/>
    <row r="38232" s="2" customFormat="1"/>
    <row r="38233" s="2" customFormat="1"/>
    <row r="38234" s="2" customFormat="1"/>
    <row r="38235" s="2" customFormat="1"/>
    <row r="38236" s="2" customFormat="1"/>
    <row r="38237" s="2" customFormat="1"/>
    <row r="38238" s="2" customFormat="1"/>
    <row r="38239" s="2" customFormat="1"/>
    <row r="38240" s="2" customFormat="1"/>
    <row r="38241" s="2" customFormat="1"/>
    <row r="38242" s="2" customFormat="1"/>
    <row r="38243" s="2" customFormat="1"/>
    <row r="38244" s="2" customFormat="1"/>
    <row r="38245" s="2" customFormat="1"/>
    <row r="38246" s="2" customFormat="1"/>
    <row r="38247" s="2" customFormat="1"/>
    <row r="38248" s="2" customFormat="1"/>
    <row r="38249" s="2" customFormat="1"/>
    <row r="38250" s="2" customFormat="1"/>
    <row r="38251" s="2" customFormat="1"/>
    <row r="38252" s="2" customFormat="1"/>
    <row r="38253" s="2" customFormat="1"/>
    <row r="38254" s="2" customFormat="1"/>
    <row r="38255" s="2" customFormat="1"/>
    <row r="38256" s="2" customFormat="1"/>
    <row r="38257" s="2" customFormat="1"/>
    <row r="38258" s="2" customFormat="1"/>
    <row r="38259" s="2" customFormat="1"/>
    <row r="38260" s="2" customFormat="1"/>
    <row r="38261" s="2" customFormat="1"/>
    <row r="38262" s="2" customFormat="1"/>
    <row r="38263" s="2" customFormat="1"/>
    <row r="38264" s="2" customFormat="1"/>
    <row r="38265" s="2" customFormat="1"/>
    <row r="38266" s="2" customFormat="1"/>
    <row r="38267" s="2" customFormat="1"/>
    <row r="38268" s="2" customFormat="1"/>
    <row r="38269" s="2" customFormat="1"/>
    <row r="38270" s="2" customFormat="1"/>
    <row r="38271" s="2" customFormat="1"/>
    <row r="38272" s="2" customFormat="1"/>
    <row r="38273" s="2" customFormat="1"/>
    <row r="38274" s="2" customFormat="1"/>
    <row r="38275" s="2" customFormat="1"/>
    <row r="38276" s="2" customFormat="1"/>
    <row r="38277" s="2" customFormat="1"/>
    <row r="38278" s="2" customFormat="1"/>
    <row r="38279" s="2" customFormat="1"/>
    <row r="38280" s="2" customFormat="1"/>
    <row r="38281" s="2" customFormat="1"/>
    <row r="38282" s="2" customFormat="1"/>
    <row r="38283" s="2" customFormat="1"/>
    <row r="38284" s="2" customFormat="1"/>
    <row r="38285" s="2" customFormat="1"/>
    <row r="38286" s="2" customFormat="1"/>
    <row r="38287" s="2" customFormat="1"/>
    <row r="38288" s="2" customFormat="1"/>
    <row r="38289" s="2" customFormat="1"/>
    <row r="38290" s="2" customFormat="1"/>
    <row r="38291" s="2" customFormat="1"/>
    <row r="38292" s="2" customFormat="1"/>
    <row r="38293" s="2" customFormat="1"/>
    <row r="38294" s="2" customFormat="1"/>
    <row r="38295" s="2" customFormat="1"/>
    <row r="38296" s="2" customFormat="1"/>
    <row r="38297" s="2" customFormat="1"/>
    <row r="38298" s="2" customFormat="1"/>
    <row r="38299" s="2" customFormat="1"/>
    <row r="38300" s="2" customFormat="1"/>
    <row r="38301" s="2" customFormat="1"/>
    <row r="38302" s="2" customFormat="1"/>
    <row r="38303" s="2" customFormat="1"/>
    <row r="38304" s="2" customFormat="1"/>
    <row r="38305" s="2" customFormat="1"/>
    <row r="38306" s="2" customFormat="1"/>
    <row r="38307" s="2" customFormat="1"/>
    <row r="38308" s="2" customFormat="1"/>
    <row r="38309" s="2" customFormat="1"/>
    <row r="38310" s="2" customFormat="1"/>
    <row r="38311" s="2" customFormat="1"/>
    <row r="38312" s="2" customFormat="1"/>
    <row r="38313" s="2" customFormat="1"/>
    <row r="38314" s="2" customFormat="1"/>
    <row r="38315" s="2" customFormat="1"/>
    <row r="38316" s="2" customFormat="1"/>
    <row r="38317" s="2" customFormat="1"/>
    <row r="38318" s="2" customFormat="1"/>
    <row r="38319" s="2" customFormat="1"/>
    <row r="38320" s="2" customFormat="1"/>
    <row r="38321" s="2" customFormat="1"/>
    <row r="38322" s="2" customFormat="1"/>
    <row r="38323" s="2" customFormat="1"/>
    <row r="38324" s="2" customFormat="1"/>
    <row r="38325" s="2" customFormat="1"/>
    <row r="38326" s="2" customFormat="1"/>
    <row r="38327" s="2" customFormat="1"/>
    <row r="38328" s="2" customFormat="1"/>
    <row r="38329" s="2" customFormat="1"/>
    <row r="38330" s="2" customFormat="1"/>
    <row r="38331" s="2" customFormat="1"/>
    <row r="38332" s="2" customFormat="1"/>
    <row r="38333" s="2" customFormat="1"/>
    <row r="38334" s="2" customFormat="1"/>
    <row r="38335" s="2" customFormat="1"/>
    <row r="38336" s="2" customFormat="1"/>
    <row r="38337" s="2" customFormat="1"/>
    <row r="38338" s="2" customFormat="1"/>
    <row r="38339" s="2" customFormat="1"/>
    <row r="38340" s="2" customFormat="1"/>
    <row r="38341" s="2" customFormat="1"/>
    <row r="38342" s="2" customFormat="1"/>
    <row r="38343" s="2" customFormat="1"/>
    <row r="38344" s="2" customFormat="1"/>
    <row r="38345" s="2" customFormat="1"/>
    <row r="38346" s="2" customFormat="1"/>
    <row r="38347" s="2" customFormat="1"/>
    <row r="38348" s="2" customFormat="1"/>
    <row r="38349" s="2" customFormat="1"/>
    <row r="38350" s="2" customFormat="1"/>
    <row r="38351" s="2" customFormat="1"/>
    <row r="38352" s="2" customFormat="1"/>
    <row r="38353" s="2" customFormat="1"/>
    <row r="38354" s="2" customFormat="1"/>
    <row r="38355" s="2" customFormat="1"/>
    <row r="38356" s="2" customFormat="1"/>
    <row r="38357" s="2" customFormat="1"/>
    <row r="38358" s="2" customFormat="1"/>
    <row r="38359" s="2" customFormat="1"/>
    <row r="38360" s="2" customFormat="1"/>
    <row r="38361" s="2" customFormat="1"/>
    <row r="38362" s="2" customFormat="1"/>
    <row r="38363" s="2" customFormat="1"/>
    <row r="38364" s="2" customFormat="1"/>
    <row r="38365" s="2" customFormat="1"/>
    <row r="38366" s="2" customFormat="1"/>
    <row r="38367" s="2" customFormat="1"/>
    <row r="38368" s="2" customFormat="1"/>
    <row r="38369" s="2" customFormat="1"/>
    <row r="38370" s="2" customFormat="1"/>
    <row r="38371" s="2" customFormat="1"/>
    <row r="38372" s="2" customFormat="1"/>
    <row r="38373" s="2" customFormat="1"/>
    <row r="38374" s="2" customFormat="1"/>
    <row r="38375" s="2" customFormat="1"/>
    <row r="38376" s="2" customFormat="1"/>
    <row r="38377" s="2" customFormat="1"/>
    <row r="38378" s="2" customFormat="1"/>
    <row r="38379" s="2" customFormat="1"/>
    <row r="38380" s="2" customFormat="1"/>
    <row r="38381" s="2" customFormat="1"/>
    <row r="38382" s="2" customFormat="1"/>
    <row r="38383" s="2" customFormat="1"/>
    <row r="38384" s="2" customFormat="1"/>
    <row r="38385" s="2" customFormat="1"/>
    <row r="38386" s="2" customFormat="1"/>
    <row r="38387" s="2" customFormat="1"/>
    <row r="38388" s="2" customFormat="1"/>
    <row r="38389" s="2" customFormat="1"/>
    <row r="38390" s="2" customFormat="1"/>
    <row r="38391" s="2" customFormat="1"/>
    <row r="38392" s="2" customFormat="1"/>
    <row r="38393" s="2" customFormat="1"/>
    <row r="38394" s="2" customFormat="1"/>
    <row r="38395" s="2" customFormat="1"/>
    <row r="38396" s="2" customFormat="1"/>
    <row r="38397" s="2" customFormat="1"/>
    <row r="38398" s="2" customFormat="1"/>
    <row r="38399" s="2" customFormat="1"/>
    <row r="38400" s="2" customFormat="1"/>
    <row r="38401" s="2" customFormat="1"/>
    <row r="38402" s="2" customFormat="1"/>
    <row r="38403" s="2" customFormat="1"/>
    <row r="38404" s="2" customFormat="1"/>
    <row r="38405" s="2" customFormat="1"/>
    <row r="38406" s="2" customFormat="1"/>
    <row r="38407" s="2" customFormat="1"/>
    <row r="38408" s="2" customFormat="1"/>
    <row r="38409" s="2" customFormat="1"/>
    <row r="38410" s="2" customFormat="1"/>
    <row r="38411" s="2" customFormat="1"/>
    <row r="38412" s="2" customFormat="1"/>
    <row r="38413" s="2" customFormat="1"/>
    <row r="38414" s="2" customFormat="1"/>
    <row r="38415" s="2" customFormat="1"/>
    <row r="38416" s="2" customFormat="1"/>
    <row r="38417" s="2" customFormat="1"/>
    <row r="38418" s="2" customFormat="1"/>
    <row r="38419" s="2" customFormat="1"/>
    <row r="38420" s="2" customFormat="1"/>
    <row r="38421" s="2" customFormat="1"/>
    <row r="38422" s="2" customFormat="1"/>
    <row r="38423" s="2" customFormat="1"/>
    <row r="38424" s="2" customFormat="1"/>
    <row r="38425" s="2" customFormat="1"/>
    <row r="38426" s="2" customFormat="1"/>
    <row r="38427" s="2" customFormat="1"/>
    <row r="38428" s="2" customFormat="1"/>
    <row r="38429" s="2" customFormat="1"/>
    <row r="38430" s="2" customFormat="1"/>
    <row r="38431" s="2" customFormat="1"/>
    <row r="38432" s="2" customFormat="1"/>
    <row r="38433" s="2" customFormat="1"/>
    <row r="38434" s="2" customFormat="1"/>
    <row r="38435" s="2" customFormat="1"/>
    <row r="38436" s="2" customFormat="1"/>
    <row r="38437" s="2" customFormat="1"/>
    <row r="38438" s="2" customFormat="1"/>
    <row r="38439" s="2" customFormat="1"/>
    <row r="38440" s="2" customFormat="1"/>
    <row r="38441" s="2" customFormat="1"/>
    <row r="38442" s="2" customFormat="1"/>
    <row r="38443" s="2" customFormat="1"/>
    <row r="38444" s="2" customFormat="1"/>
    <row r="38445" s="2" customFormat="1"/>
    <row r="38446" s="2" customFormat="1"/>
    <row r="38447" s="2" customFormat="1"/>
    <row r="38448" s="2" customFormat="1"/>
    <row r="38449" s="2" customFormat="1"/>
    <row r="38450" s="2" customFormat="1"/>
    <row r="38451" s="2" customFormat="1"/>
    <row r="38452" s="2" customFormat="1"/>
    <row r="38453" s="2" customFormat="1"/>
    <row r="38454" s="2" customFormat="1"/>
    <row r="38455" s="2" customFormat="1"/>
    <row r="38456" s="2" customFormat="1"/>
    <row r="38457" s="2" customFormat="1"/>
    <row r="38458" s="2" customFormat="1"/>
    <row r="38459" s="2" customFormat="1"/>
    <row r="38460" s="2" customFormat="1"/>
    <row r="38461" s="2" customFormat="1"/>
    <row r="38462" s="2" customFormat="1"/>
    <row r="38463" s="2" customFormat="1"/>
    <row r="38464" s="2" customFormat="1"/>
    <row r="38465" s="2" customFormat="1"/>
    <row r="38466" s="2" customFormat="1"/>
    <row r="38467" s="2" customFormat="1"/>
    <row r="38468" s="2" customFormat="1"/>
    <row r="38469" s="2" customFormat="1"/>
    <row r="38470" s="2" customFormat="1"/>
    <row r="38471" s="2" customFormat="1"/>
    <row r="38472" s="2" customFormat="1"/>
    <row r="38473" s="2" customFormat="1"/>
    <row r="38474" s="2" customFormat="1"/>
    <row r="38475" s="2" customFormat="1"/>
    <row r="38476" s="2" customFormat="1"/>
    <row r="38477" s="2" customFormat="1"/>
    <row r="38478" s="2" customFormat="1"/>
    <row r="38479" s="2" customFormat="1"/>
    <row r="38480" s="2" customFormat="1"/>
    <row r="38481" s="2" customFormat="1"/>
    <row r="38482" s="2" customFormat="1"/>
    <row r="38483" s="2" customFormat="1"/>
    <row r="38484" s="2" customFormat="1"/>
    <row r="38485" s="2" customFormat="1"/>
    <row r="38486" s="2" customFormat="1"/>
    <row r="38487" s="2" customFormat="1"/>
    <row r="38488" s="2" customFormat="1"/>
    <row r="38489" s="2" customFormat="1"/>
    <row r="38490" s="2" customFormat="1"/>
    <row r="38491" s="2" customFormat="1"/>
    <row r="38492" s="2" customFormat="1"/>
    <row r="38493" s="2" customFormat="1"/>
    <row r="38494" s="2" customFormat="1"/>
    <row r="38495" s="2" customFormat="1"/>
    <row r="38496" s="2" customFormat="1"/>
    <row r="38497" s="2" customFormat="1"/>
    <row r="38498" s="2" customFormat="1"/>
    <row r="38499" s="2" customFormat="1"/>
    <row r="38500" s="2" customFormat="1"/>
    <row r="38501" s="2" customFormat="1"/>
    <row r="38502" s="2" customFormat="1"/>
    <row r="38503" s="2" customFormat="1"/>
    <row r="38504" s="2" customFormat="1"/>
    <row r="38505" s="2" customFormat="1"/>
    <row r="38506" s="2" customFormat="1"/>
    <row r="38507" s="2" customFormat="1"/>
    <row r="38508" s="2" customFormat="1"/>
    <row r="38509" s="2" customFormat="1"/>
    <row r="38510" s="2" customFormat="1"/>
    <row r="38511" s="2" customFormat="1"/>
    <row r="38512" s="2" customFormat="1"/>
    <row r="38513" s="2" customFormat="1"/>
    <row r="38514" s="2" customFormat="1"/>
    <row r="38515" s="2" customFormat="1"/>
    <row r="38516" s="2" customFormat="1"/>
    <row r="38517" s="2" customFormat="1"/>
    <row r="38518" s="2" customFormat="1"/>
    <row r="38519" s="2" customFormat="1"/>
    <row r="38520" s="2" customFormat="1"/>
    <row r="38521" s="2" customFormat="1"/>
    <row r="38522" s="2" customFormat="1"/>
    <row r="38523" s="2" customFormat="1"/>
    <row r="38524" s="2" customFormat="1"/>
    <row r="38525" s="2" customFormat="1"/>
    <row r="38526" s="2" customFormat="1"/>
    <row r="38527" s="2" customFormat="1"/>
    <row r="38528" s="2" customFormat="1"/>
    <row r="38529" s="2" customFormat="1"/>
    <row r="38530" s="2" customFormat="1"/>
    <row r="38531" s="2" customFormat="1"/>
    <row r="38532" s="2" customFormat="1"/>
    <row r="38533" s="2" customFormat="1"/>
    <row r="38534" s="2" customFormat="1"/>
    <row r="38535" s="2" customFormat="1"/>
    <row r="38536" s="2" customFormat="1"/>
    <row r="38537" s="2" customFormat="1"/>
    <row r="38538" s="2" customFormat="1"/>
    <row r="38539" s="2" customFormat="1"/>
    <row r="38540" s="2" customFormat="1"/>
    <row r="38541" s="2" customFormat="1"/>
    <row r="38542" s="2" customFormat="1"/>
    <row r="38543" s="2" customFormat="1"/>
    <row r="38544" s="2" customFormat="1"/>
    <row r="38545" s="2" customFormat="1"/>
    <row r="38546" s="2" customFormat="1"/>
    <row r="38547" s="2" customFormat="1"/>
    <row r="38548" s="2" customFormat="1"/>
    <row r="38549" s="2" customFormat="1"/>
    <row r="38550" s="2" customFormat="1"/>
    <row r="38551" s="2" customFormat="1"/>
    <row r="38552" s="2" customFormat="1"/>
    <row r="38553" s="2" customFormat="1"/>
    <row r="38554" s="2" customFormat="1"/>
    <row r="38555" s="2" customFormat="1"/>
    <row r="38556" s="2" customFormat="1"/>
    <row r="38557" s="2" customFormat="1"/>
    <row r="38558" s="2" customFormat="1"/>
    <row r="38559" s="2" customFormat="1"/>
    <row r="38560" s="2" customFormat="1"/>
    <row r="38561" s="2" customFormat="1"/>
    <row r="38562" s="2" customFormat="1"/>
    <row r="38563" s="2" customFormat="1"/>
    <row r="38564" s="2" customFormat="1"/>
    <row r="38565" s="2" customFormat="1"/>
    <row r="38566" s="2" customFormat="1"/>
    <row r="38567" s="2" customFormat="1"/>
    <row r="38568" s="2" customFormat="1"/>
    <row r="38569" s="2" customFormat="1"/>
    <row r="38570" s="2" customFormat="1"/>
    <row r="38571" s="2" customFormat="1"/>
    <row r="38572" s="2" customFormat="1"/>
    <row r="38573" s="2" customFormat="1"/>
    <row r="38574" s="2" customFormat="1"/>
    <row r="38575" s="2" customFormat="1"/>
    <row r="38576" s="2" customFormat="1"/>
    <row r="38577" s="2" customFormat="1"/>
    <row r="38578" s="2" customFormat="1"/>
    <row r="38579" s="2" customFormat="1"/>
    <row r="38580" s="2" customFormat="1"/>
    <row r="38581" s="2" customFormat="1"/>
    <row r="38582" s="2" customFormat="1"/>
    <row r="38583" s="2" customFormat="1"/>
    <row r="38584" s="2" customFormat="1"/>
    <row r="38585" s="2" customFormat="1"/>
    <row r="38586" s="2" customFormat="1"/>
    <row r="38587" s="2" customFormat="1"/>
    <row r="38588" s="2" customFormat="1"/>
    <row r="38589" s="2" customFormat="1"/>
    <row r="38590" s="2" customFormat="1"/>
    <row r="38591" s="2" customFormat="1"/>
    <row r="38592" s="2" customFormat="1"/>
    <row r="38593" s="2" customFormat="1"/>
    <row r="38594" s="2" customFormat="1"/>
    <row r="38595" s="2" customFormat="1"/>
    <row r="38596" s="2" customFormat="1"/>
    <row r="38597" s="2" customFormat="1"/>
    <row r="38598" s="2" customFormat="1"/>
    <row r="38599" s="2" customFormat="1"/>
    <row r="38600" s="2" customFormat="1"/>
    <row r="38601" s="2" customFormat="1"/>
    <row r="38602" s="2" customFormat="1"/>
    <row r="38603" s="2" customFormat="1"/>
    <row r="38604" s="2" customFormat="1"/>
    <row r="38605" s="2" customFormat="1"/>
    <row r="38606" s="2" customFormat="1"/>
    <row r="38607" s="2" customFormat="1"/>
    <row r="38608" s="2" customFormat="1"/>
    <row r="38609" s="2" customFormat="1"/>
    <row r="38610" s="2" customFormat="1"/>
    <row r="38611" s="2" customFormat="1"/>
    <row r="38612" s="2" customFormat="1"/>
    <row r="38613" s="2" customFormat="1"/>
    <row r="38614" s="2" customFormat="1"/>
    <row r="38615" s="2" customFormat="1"/>
    <row r="38616" s="2" customFormat="1"/>
    <row r="38617" s="2" customFormat="1"/>
    <row r="38618" s="2" customFormat="1"/>
    <row r="38619" s="2" customFormat="1"/>
    <row r="38620" s="2" customFormat="1"/>
    <row r="38621" s="2" customFormat="1"/>
    <row r="38622" s="2" customFormat="1"/>
    <row r="38623" s="2" customFormat="1"/>
    <row r="38624" s="2" customFormat="1"/>
    <row r="38625" s="2" customFormat="1"/>
    <row r="38626" s="2" customFormat="1"/>
    <row r="38627" s="2" customFormat="1"/>
    <row r="38628" s="2" customFormat="1"/>
    <row r="38629" s="2" customFormat="1"/>
    <row r="38630" s="2" customFormat="1"/>
    <row r="38631" s="2" customFormat="1"/>
    <row r="38632" s="2" customFormat="1"/>
    <row r="38633" s="2" customFormat="1"/>
    <row r="38634" s="2" customFormat="1"/>
    <row r="38635" s="2" customFormat="1"/>
    <row r="38636" s="2" customFormat="1"/>
    <row r="38637" s="2" customFormat="1"/>
    <row r="38638" s="2" customFormat="1"/>
    <row r="38639" s="2" customFormat="1"/>
    <row r="38640" s="2" customFormat="1"/>
    <row r="38641" s="2" customFormat="1"/>
    <row r="38642" s="2" customFormat="1"/>
    <row r="38643" s="2" customFormat="1"/>
    <row r="38644" s="2" customFormat="1"/>
    <row r="38645" s="2" customFormat="1"/>
    <row r="38646" s="2" customFormat="1"/>
    <row r="38647" s="2" customFormat="1"/>
    <row r="38648" s="2" customFormat="1"/>
    <row r="38649" s="2" customFormat="1"/>
    <row r="38650" s="2" customFormat="1"/>
    <row r="38651" s="2" customFormat="1"/>
    <row r="38652" s="2" customFormat="1"/>
    <row r="38653" s="2" customFormat="1"/>
    <row r="38654" s="2" customFormat="1"/>
    <row r="38655" s="2" customFormat="1"/>
    <row r="38656" s="2" customFormat="1"/>
    <row r="38657" s="2" customFormat="1"/>
    <row r="38658" s="2" customFormat="1"/>
    <row r="38659" s="2" customFormat="1"/>
    <row r="38660" s="2" customFormat="1"/>
    <row r="38661" s="2" customFormat="1"/>
    <row r="38662" s="2" customFormat="1"/>
    <row r="38663" s="2" customFormat="1"/>
    <row r="38664" s="2" customFormat="1"/>
    <row r="38665" s="2" customFormat="1"/>
    <row r="38666" s="2" customFormat="1"/>
    <row r="38667" s="2" customFormat="1"/>
    <row r="38668" s="2" customFormat="1"/>
    <row r="38669" s="2" customFormat="1"/>
    <row r="38670" s="2" customFormat="1"/>
    <row r="38671" s="2" customFormat="1"/>
    <row r="38672" s="2" customFormat="1"/>
    <row r="38673" s="2" customFormat="1"/>
    <row r="38674" s="2" customFormat="1"/>
    <row r="38675" s="2" customFormat="1"/>
    <row r="38676" s="2" customFormat="1"/>
    <row r="38677" s="2" customFormat="1"/>
    <row r="38678" s="2" customFormat="1"/>
    <row r="38679" s="2" customFormat="1"/>
    <row r="38680" s="2" customFormat="1"/>
    <row r="38681" s="2" customFormat="1"/>
    <row r="38682" s="2" customFormat="1"/>
    <row r="38683" s="2" customFormat="1"/>
    <row r="38684" s="2" customFormat="1"/>
    <row r="38685" s="2" customFormat="1"/>
    <row r="38686" s="2" customFormat="1"/>
    <row r="38687" s="2" customFormat="1"/>
    <row r="38688" s="2" customFormat="1"/>
    <row r="38689" s="2" customFormat="1"/>
    <row r="38690" s="2" customFormat="1"/>
    <row r="38691" s="2" customFormat="1"/>
    <row r="38692" s="2" customFormat="1"/>
    <row r="38693" s="2" customFormat="1"/>
    <row r="38694" s="2" customFormat="1"/>
    <row r="38695" s="2" customFormat="1"/>
    <row r="38696" s="2" customFormat="1"/>
    <row r="38697" s="2" customFormat="1"/>
    <row r="38698" s="2" customFormat="1"/>
    <row r="38699" s="2" customFormat="1"/>
    <row r="38700" s="2" customFormat="1"/>
    <row r="38701" s="2" customFormat="1"/>
    <row r="38702" s="2" customFormat="1"/>
    <row r="38703" s="2" customFormat="1"/>
    <row r="38704" s="2" customFormat="1"/>
    <row r="38705" s="2" customFormat="1"/>
    <row r="38706" s="2" customFormat="1"/>
    <row r="38707" s="2" customFormat="1"/>
    <row r="38708" s="2" customFormat="1"/>
    <row r="38709" s="2" customFormat="1"/>
    <row r="38710" s="2" customFormat="1"/>
    <row r="38711" s="2" customFormat="1"/>
    <row r="38712" s="2" customFormat="1"/>
    <row r="38713" s="2" customFormat="1"/>
    <row r="38714" s="2" customFormat="1"/>
    <row r="38715" s="2" customFormat="1"/>
    <row r="38716" s="2" customFormat="1"/>
    <row r="38717" s="2" customFormat="1"/>
    <row r="38718" s="2" customFormat="1"/>
    <row r="38719" s="2" customFormat="1"/>
    <row r="38720" s="2" customFormat="1"/>
    <row r="38721" s="2" customFormat="1"/>
    <row r="38722" s="2" customFormat="1"/>
    <row r="38723" s="2" customFormat="1"/>
    <row r="38724" s="2" customFormat="1"/>
    <row r="38725" s="2" customFormat="1"/>
    <row r="38726" s="2" customFormat="1"/>
    <row r="38727" s="2" customFormat="1"/>
    <row r="38728" s="2" customFormat="1"/>
    <row r="38729" s="2" customFormat="1"/>
    <row r="38730" s="2" customFormat="1"/>
    <row r="38731" s="2" customFormat="1"/>
    <row r="38732" s="2" customFormat="1"/>
    <row r="38733" s="2" customFormat="1"/>
    <row r="38734" s="2" customFormat="1"/>
    <row r="38735" s="2" customFormat="1"/>
    <row r="38736" s="2" customFormat="1"/>
    <row r="38737" s="2" customFormat="1"/>
    <row r="38738" s="2" customFormat="1"/>
    <row r="38739" s="2" customFormat="1"/>
    <row r="38740" s="2" customFormat="1"/>
    <row r="38741" s="2" customFormat="1"/>
    <row r="38742" s="2" customFormat="1"/>
    <row r="38743" s="2" customFormat="1"/>
    <row r="38744" s="2" customFormat="1"/>
    <row r="38745" s="2" customFormat="1"/>
    <row r="38746" s="2" customFormat="1"/>
    <row r="38747" s="2" customFormat="1"/>
    <row r="38748" s="2" customFormat="1"/>
    <row r="38749" s="2" customFormat="1"/>
    <row r="38750" s="2" customFormat="1"/>
    <row r="38751" s="2" customFormat="1"/>
    <row r="38752" s="2" customFormat="1"/>
    <row r="38753" s="2" customFormat="1"/>
    <row r="38754" s="2" customFormat="1"/>
    <row r="38755" s="2" customFormat="1"/>
    <row r="38756" s="2" customFormat="1"/>
    <row r="38757" s="2" customFormat="1"/>
    <row r="38758" s="2" customFormat="1"/>
    <row r="38759" s="2" customFormat="1"/>
    <row r="38760" s="2" customFormat="1"/>
    <row r="38761" s="2" customFormat="1"/>
    <row r="38762" s="2" customFormat="1"/>
    <row r="38763" s="2" customFormat="1"/>
    <row r="38764" s="2" customFormat="1"/>
    <row r="38765" s="2" customFormat="1"/>
    <row r="38766" s="2" customFormat="1"/>
    <row r="38767" s="2" customFormat="1"/>
    <row r="38768" s="2" customFormat="1"/>
    <row r="38769" s="2" customFormat="1"/>
    <row r="38770" s="2" customFormat="1"/>
    <row r="38771" s="2" customFormat="1"/>
    <row r="38772" s="2" customFormat="1"/>
    <row r="38773" s="2" customFormat="1"/>
    <row r="38774" s="2" customFormat="1"/>
    <row r="38775" s="2" customFormat="1"/>
    <row r="38776" s="2" customFormat="1"/>
    <row r="38777" s="2" customFormat="1"/>
    <row r="38778" s="2" customFormat="1"/>
    <row r="38779" s="2" customFormat="1"/>
    <row r="38780" s="2" customFormat="1"/>
    <row r="38781" s="2" customFormat="1"/>
    <row r="38782" s="2" customFormat="1"/>
    <row r="38783" s="2" customFormat="1"/>
    <row r="38784" s="2" customFormat="1"/>
    <row r="38785" s="2" customFormat="1"/>
    <row r="38786" s="2" customFormat="1"/>
    <row r="38787" s="2" customFormat="1"/>
    <row r="38788" s="2" customFormat="1"/>
    <row r="38789" s="2" customFormat="1"/>
    <row r="38790" s="2" customFormat="1"/>
    <row r="38791" s="2" customFormat="1"/>
    <row r="38792" s="2" customFormat="1"/>
    <row r="38793" s="2" customFormat="1"/>
    <row r="38794" s="2" customFormat="1"/>
    <row r="38795" s="2" customFormat="1"/>
    <row r="38796" s="2" customFormat="1"/>
    <row r="38797" s="2" customFormat="1"/>
    <row r="38798" s="2" customFormat="1"/>
    <row r="38799" s="2" customFormat="1"/>
    <row r="38800" s="2" customFormat="1"/>
    <row r="38801" s="2" customFormat="1"/>
    <row r="38802" s="2" customFormat="1"/>
    <row r="38803" s="2" customFormat="1"/>
    <row r="38804" s="2" customFormat="1"/>
    <row r="38805" s="2" customFormat="1"/>
    <row r="38806" s="2" customFormat="1"/>
    <row r="38807" s="2" customFormat="1"/>
    <row r="38808" s="2" customFormat="1"/>
    <row r="38809" s="2" customFormat="1"/>
    <row r="38810" s="2" customFormat="1"/>
    <row r="38811" s="2" customFormat="1"/>
    <row r="38812" s="2" customFormat="1"/>
    <row r="38813" s="2" customFormat="1"/>
    <row r="38814" s="2" customFormat="1"/>
    <row r="38815" s="2" customFormat="1"/>
    <row r="38816" s="2" customFormat="1"/>
    <row r="38817" s="2" customFormat="1"/>
    <row r="38818" s="2" customFormat="1"/>
    <row r="38819" s="2" customFormat="1"/>
    <row r="38820" s="2" customFormat="1"/>
    <row r="38821" s="2" customFormat="1"/>
    <row r="38822" s="2" customFormat="1"/>
    <row r="38823" s="2" customFormat="1"/>
    <row r="38824" s="2" customFormat="1"/>
    <row r="38825" s="2" customFormat="1"/>
    <row r="38826" s="2" customFormat="1"/>
    <row r="38827" s="2" customFormat="1"/>
    <row r="38828" s="2" customFormat="1"/>
    <row r="38829" s="2" customFormat="1"/>
    <row r="38830" s="2" customFormat="1"/>
    <row r="38831" s="2" customFormat="1"/>
    <row r="38832" s="2" customFormat="1"/>
    <row r="38833" s="2" customFormat="1"/>
    <row r="38834" s="2" customFormat="1"/>
    <row r="38835" s="2" customFormat="1"/>
    <row r="38836" s="2" customFormat="1"/>
    <row r="38837" s="2" customFormat="1"/>
    <row r="38838" s="2" customFormat="1"/>
    <row r="38839" s="2" customFormat="1"/>
    <row r="38840" s="2" customFormat="1"/>
    <row r="38841" s="2" customFormat="1"/>
    <row r="38842" s="2" customFormat="1"/>
    <row r="38843" s="2" customFormat="1"/>
    <row r="38844" s="2" customFormat="1"/>
    <row r="38845" s="2" customFormat="1"/>
    <row r="38846" s="2" customFormat="1"/>
    <row r="38847" s="2" customFormat="1"/>
    <row r="38848" s="2" customFormat="1"/>
    <row r="38849" s="2" customFormat="1"/>
    <row r="38850" s="2" customFormat="1"/>
    <row r="38851" s="2" customFormat="1"/>
    <row r="38852" s="2" customFormat="1"/>
    <row r="38853" s="2" customFormat="1"/>
    <row r="38854" s="2" customFormat="1"/>
    <row r="38855" s="2" customFormat="1"/>
    <row r="38856" s="2" customFormat="1"/>
    <row r="38857" s="2" customFormat="1"/>
    <row r="38858" s="2" customFormat="1"/>
    <row r="38859" s="2" customFormat="1"/>
    <row r="38860" s="2" customFormat="1"/>
    <row r="38861" s="2" customFormat="1"/>
    <row r="38862" s="2" customFormat="1"/>
    <row r="38863" s="2" customFormat="1"/>
    <row r="38864" s="2" customFormat="1"/>
    <row r="38865" s="2" customFormat="1"/>
    <row r="38866" s="2" customFormat="1"/>
    <row r="38867" s="2" customFormat="1"/>
    <row r="38868" s="2" customFormat="1"/>
    <row r="38869" s="2" customFormat="1"/>
    <row r="38870" s="2" customFormat="1"/>
    <row r="38871" s="2" customFormat="1"/>
    <row r="38872" s="2" customFormat="1"/>
    <row r="38873" s="2" customFormat="1"/>
    <row r="38874" s="2" customFormat="1"/>
    <row r="38875" s="2" customFormat="1"/>
    <row r="38876" s="2" customFormat="1"/>
    <row r="38877" s="2" customFormat="1"/>
    <row r="38878" s="2" customFormat="1"/>
    <row r="38879" s="2" customFormat="1"/>
    <row r="38880" s="2" customFormat="1"/>
    <row r="38881" s="2" customFormat="1"/>
    <row r="38882" s="2" customFormat="1"/>
    <row r="38883" s="2" customFormat="1"/>
    <row r="38884" s="2" customFormat="1"/>
    <row r="38885" s="2" customFormat="1"/>
    <row r="38886" s="2" customFormat="1"/>
    <row r="38887" s="2" customFormat="1"/>
    <row r="38888" s="2" customFormat="1"/>
    <row r="38889" s="2" customFormat="1"/>
    <row r="38890" s="2" customFormat="1"/>
    <row r="38891" s="2" customFormat="1"/>
    <row r="38892" s="2" customFormat="1"/>
    <row r="38893" s="2" customFormat="1"/>
    <row r="38894" s="2" customFormat="1"/>
    <row r="38895" s="2" customFormat="1"/>
    <row r="38896" s="2" customFormat="1"/>
    <row r="38897" s="2" customFormat="1"/>
    <row r="38898" s="2" customFormat="1"/>
    <row r="38899" s="2" customFormat="1"/>
    <row r="38900" s="2" customFormat="1"/>
    <row r="38901" s="2" customFormat="1"/>
    <row r="38902" s="2" customFormat="1"/>
    <row r="38903" s="2" customFormat="1"/>
    <row r="38904" s="2" customFormat="1"/>
    <row r="38905" s="2" customFormat="1"/>
    <row r="38906" s="2" customFormat="1"/>
    <row r="38907" s="2" customFormat="1"/>
    <row r="38908" s="2" customFormat="1"/>
    <row r="38909" s="2" customFormat="1"/>
    <row r="38910" s="2" customFormat="1"/>
    <row r="38911" s="2" customFormat="1"/>
    <row r="38912" s="2" customFormat="1"/>
    <row r="38913" s="2" customFormat="1"/>
    <row r="38914" s="2" customFormat="1"/>
    <row r="38915" s="2" customFormat="1"/>
    <row r="38916" s="2" customFormat="1"/>
    <row r="38917" s="2" customFormat="1"/>
    <row r="38918" s="2" customFormat="1"/>
    <row r="38919" s="2" customFormat="1"/>
    <row r="38920" s="2" customFormat="1"/>
    <row r="38921" s="2" customFormat="1"/>
    <row r="38922" s="2" customFormat="1"/>
    <row r="38923" s="2" customFormat="1"/>
    <row r="38924" s="2" customFormat="1"/>
    <row r="38925" s="2" customFormat="1"/>
    <row r="38926" s="2" customFormat="1"/>
    <row r="38927" s="2" customFormat="1"/>
    <row r="38928" s="2" customFormat="1"/>
    <row r="38929" s="2" customFormat="1"/>
    <row r="38930" s="2" customFormat="1"/>
    <row r="38931" s="2" customFormat="1"/>
    <row r="38932" s="2" customFormat="1"/>
    <row r="38933" s="2" customFormat="1"/>
    <row r="38934" s="2" customFormat="1"/>
    <row r="38935" s="2" customFormat="1"/>
    <row r="38936" s="2" customFormat="1"/>
    <row r="38937" s="2" customFormat="1"/>
    <row r="38938" s="2" customFormat="1"/>
    <row r="38939" s="2" customFormat="1"/>
    <row r="38940" s="2" customFormat="1"/>
    <row r="38941" s="2" customFormat="1"/>
    <row r="38942" s="2" customFormat="1"/>
    <row r="38943" s="2" customFormat="1"/>
    <row r="38944" s="2" customFormat="1"/>
    <row r="38945" s="2" customFormat="1"/>
    <row r="38946" s="2" customFormat="1"/>
    <row r="38947" s="2" customFormat="1"/>
    <row r="38948" s="2" customFormat="1"/>
    <row r="38949" s="2" customFormat="1"/>
    <row r="38950" s="2" customFormat="1"/>
    <row r="38951" s="2" customFormat="1"/>
    <row r="38952" s="2" customFormat="1"/>
    <row r="38953" s="2" customFormat="1"/>
    <row r="38954" s="2" customFormat="1"/>
    <row r="38955" s="2" customFormat="1"/>
    <row r="38956" s="2" customFormat="1"/>
    <row r="38957" s="2" customFormat="1"/>
    <row r="38958" s="2" customFormat="1"/>
    <row r="38959" s="2" customFormat="1"/>
    <row r="38960" s="2" customFormat="1"/>
    <row r="38961" s="2" customFormat="1"/>
    <row r="38962" s="2" customFormat="1"/>
    <row r="38963" s="2" customFormat="1"/>
    <row r="38964" s="2" customFormat="1"/>
    <row r="38965" s="2" customFormat="1"/>
    <row r="38966" s="2" customFormat="1"/>
    <row r="38967" s="2" customFormat="1"/>
    <row r="38968" s="2" customFormat="1"/>
    <row r="38969" s="2" customFormat="1"/>
    <row r="38970" s="2" customFormat="1"/>
    <row r="38971" s="2" customFormat="1"/>
    <row r="38972" s="2" customFormat="1"/>
    <row r="38973" s="2" customFormat="1"/>
    <row r="38974" s="2" customFormat="1"/>
    <row r="38975" s="2" customFormat="1"/>
    <row r="38976" s="2" customFormat="1"/>
    <row r="38977" s="2" customFormat="1"/>
    <row r="38978" s="2" customFormat="1"/>
    <row r="38979" s="2" customFormat="1"/>
    <row r="38980" s="2" customFormat="1"/>
    <row r="38981" s="2" customFormat="1"/>
    <row r="38982" s="2" customFormat="1"/>
    <row r="38983" s="2" customFormat="1"/>
    <row r="38984" s="2" customFormat="1"/>
    <row r="38985" s="2" customFormat="1"/>
    <row r="38986" s="2" customFormat="1"/>
    <row r="38987" s="2" customFormat="1"/>
    <row r="38988" s="2" customFormat="1"/>
    <row r="38989" s="2" customFormat="1"/>
    <row r="38990" s="2" customFormat="1"/>
    <row r="38991" s="2" customFormat="1"/>
    <row r="38992" s="2" customFormat="1"/>
    <row r="38993" s="2" customFormat="1"/>
    <row r="38994" s="2" customFormat="1"/>
    <row r="38995" s="2" customFormat="1"/>
    <row r="38996" s="2" customFormat="1"/>
    <row r="38997" s="2" customFormat="1"/>
    <row r="38998" s="2" customFormat="1"/>
    <row r="38999" s="2" customFormat="1"/>
    <row r="39000" s="2" customFormat="1"/>
    <row r="39001" s="2" customFormat="1"/>
    <row r="39002" s="2" customFormat="1"/>
    <row r="39003" s="2" customFormat="1"/>
    <row r="39004" s="2" customFormat="1"/>
    <row r="39005" s="2" customFormat="1"/>
    <row r="39006" s="2" customFormat="1"/>
    <row r="39007" s="2" customFormat="1"/>
    <row r="39008" s="2" customFormat="1"/>
    <row r="39009" s="2" customFormat="1"/>
    <row r="39010" s="2" customFormat="1"/>
    <row r="39011" s="2" customFormat="1"/>
    <row r="39012" s="2" customFormat="1"/>
    <row r="39013" s="2" customFormat="1"/>
    <row r="39014" s="2" customFormat="1"/>
    <row r="39015" s="2" customFormat="1"/>
    <row r="39016" s="2" customFormat="1"/>
    <row r="39017" s="2" customFormat="1"/>
    <row r="39018" s="2" customFormat="1"/>
    <row r="39019" s="2" customFormat="1"/>
    <row r="39020" s="2" customFormat="1"/>
    <row r="39021" s="2" customFormat="1"/>
    <row r="39022" s="2" customFormat="1"/>
    <row r="39023" s="2" customFormat="1"/>
    <row r="39024" s="2" customFormat="1"/>
    <row r="39025" s="2" customFormat="1"/>
    <row r="39026" s="2" customFormat="1"/>
    <row r="39027" s="2" customFormat="1"/>
    <row r="39028" s="2" customFormat="1"/>
    <row r="39029" s="2" customFormat="1"/>
    <row r="39030" s="2" customFormat="1"/>
    <row r="39031" s="2" customFormat="1"/>
    <row r="39032" s="2" customFormat="1"/>
    <row r="39033" s="2" customFormat="1"/>
    <row r="39034" s="2" customFormat="1"/>
    <row r="39035" s="2" customFormat="1"/>
    <row r="39036" s="2" customFormat="1"/>
    <row r="39037" s="2" customFormat="1"/>
    <row r="39038" s="2" customFormat="1"/>
    <row r="39039" s="2" customFormat="1"/>
    <row r="39040" s="2" customFormat="1"/>
    <row r="39041" s="2" customFormat="1"/>
    <row r="39042" s="2" customFormat="1"/>
    <row r="39043" s="2" customFormat="1"/>
    <row r="39044" s="2" customFormat="1"/>
    <row r="39045" s="2" customFormat="1"/>
    <row r="39046" s="2" customFormat="1"/>
    <row r="39047" s="2" customFormat="1"/>
    <row r="39048" s="2" customFormat="1"/>
    <row r="39049" s="2" customFormat="1"/>
    <row r="39050" s="2" customFormat="1"/>
    <row r="39051" s="2" customFormat="1"/>
    <row r="39052" s="2" customFormat="1"/>
    <row r="39053" s="2" customFormat="1"/>
    <row r="39054" s="2" customFormat="1"/>
    <row r="39055" s="2" customFormat="1"/>
    <row r="39056" s="2" customFormat="1"/>
    <row r="39057" s="2" customFormat="1"/>
    <row r="39058" s="2" customFormat="1"/>
    <row r="39059" s="2" customFormat="1"/>
    <row r="39060" s="2" customFormat="1"/>
    <row r="39061" s="2" customFormat="1"/>
    <row r="39062" s="2" customFormat="1"/>
    <row r="39063" s="2" customFormat="1"/>
    <row r="39064" s="2" customFormat="1"/>
    <row r="39065" s="2" customFormat="1"/>
    <row r="39066" s="2" customFormat="1"/>
    <row r="39067" s="2" customFormat="1"/>
    <row r="39068" s="2" customFormat="1"/>
    <row r="39069" s="2" customFormat="1"/>
    <row r="39070" s="2" customFormat="1"/>
    <row r="39071" s="2" customFormat="1"/>
    <row r="39072" s="2" customFormat="1"/>
    <row r="39073" s="2" customFormat="1"/>
    <row r="39074" s="2" customFormat="1"/>
    <row r="39075" s="2" customFormat="1"/>
    <row r="39076" s="2" customFormat="1"/>
    <row r="39077" s="2" customFormat="1"/>
    <row r="39078" s="2" customFormat="1"/>
    <row r="39079" s="2" customFormat="1"/>
    <row r="39080" s="2" customFormat="1"/>
    <row r="39081" s="2" customFormat="1"/>
    <row r="39082" s="2" customFormat="1"/>
    <row r="39083" s="2" customFormat="1"/>
    <row r="39084" s="2" customFormat="1"/>
    <row r="39085" s="2" customFormat="1"/>
    <row r="39086" s="2" customFormat="1"/>
    <row r="39087" s="2" customFormat="1"/>
    <row r="39088" s="2" customFormat="1"/>
    <row r="39089" s="2" customFormat="1"/>
    <row r="39090" s="2" customFormat="1"/>
    <row r="39091" s="2" customFormat="1"/>
    <row r="39092" s="2" customFormat="1"/>
    <row r="39093" s="2" customFormat="1"/>
    <row r="39094" s="2" customFormat="1"/>
    <row r="39095" s="2" customFormat="1"/>
    <row r="39096" s="2" customFormat="1"/>
    <row r="39097" s="2" customFormat="1"/>
    <row r="39098" s="2" customFormat="1"/>
    <row r="39099" s="2" customFormat="1"/>
    <row r="39100" s="2" customFormat="1"/>
    <row r="39101" s="2" customFormat="1"/>
    <row r="39102" s="2" customFormat="1"/>
    <row r="39103" s="2" customFormat="1"/>
    <row r="39104" s="2" customFormat="1"/>
    <row r="39105" s="2" customFormat="1"/>
    <row r="39106" s="2" customFormat="1"/>
    <row r="39107" s="2" customFormat="1"/>
    <row r="39108" s="2" customFormat="1"/>
    <row r="39109" s="2" customFormat="1"/>
    <row r="39110" s="2" customFormat="1"/>
    <row r="39111" s="2" customFormat="1"/>
    <row r="39112" s="2" customFormat="1"/>
    <row r="39113" s="2" customFormat="1"/>
    <row r="39114" s="2" customFormat="1"/>
    <row r="39115" s="2" customFormat="1"/>
    <row r="39116" s="2" customFormat="1"/>
    <row r="39117" s="2" customFormat="1"/>
    <row r="39118" s="2" customFormat="1"/>
    <row r="39119" s="2" customFormat="1"/>
    <row r="39120" s="2" customFormat="1"/>
    <row r="39121" s="2" customFormat="1"/>
    <row r="39122" s="2" customFormat="1"/>
    <row r="39123" s="2" customFormat="1"/>
    <row r="39124" s="2" customFormat="1"/>
    <row r="39125" s="2" customFormat="1"/>
    <row r="39126" s="2" customFormat="1"/>
    <row r="39127" s="2" customFormat="1"/>
    <row r="39128" s="2" customFormat="1"/>
    <row r="39129" s="2" customFormat="1"/>
    <row r="39130" s="2" customFormat="1"/>
    <row r="39131" s="2" customFormat="1"/>
    <row r="39132" s="2" customFormat="1"/>
    <row r="39133" s="2" customFormat="1"/>
    <row r="39134" s="2" customFormat="1"/>
    <row r="39135" s="2" customFormat="1"/>
    <row r="39136" s="2" customFormat="1"/>
    <row r="39137" s="2" customFormat="1"/>
    <row r="39138" s="2" customFormat="1"/>
    <row r="39139" s="2" customFormat="1"/>
    <row r="39140" s="2" customFormat="1"/>
    <row r="39141" s="2" customFormat="1"/>
    <row r="39142" s="2" customFormat="1"/>
    <row r="39143" s="2" customFormat="1"/>
    <row r="39144" s="2" customFormat="1"/>
    <row r="39145" s="2" customFormat="1"/>
    <row r="39146" s="2" customFormat="1"/>
    <row r="39147" s="2" customFormat="1"/>
    <row r="39148" s="2" customFormat="1"/>
    <row r="39149" s="2" customFormat="1"/>
    <row r="39150" s="2" customFormat="1"/>
    <row r="39151" s="2" customFormat="1"/>
    <row r="39152" s="2" customFormat="1"/>
    <row r="39153" s="2" customFormat="1"/>
    <row r="39154" s="2" customFormat="1"/>
    <row r="39155" s="2" customFormat="1"/>
    <row r="39156" s="2" customFormat="1"/>
    <row r="39157" s="2" customFormat="1"/>
    <row r="39158" s="2" customFormat="1"/>
    <row r="39159" s="2" customFormat="1"/>
    <row r="39160" s="2" customFormat="1"/>
    <row r="39161" s="2" customFormat="1"/>
    <row r="39162" s="2" customFormat="1"/>
    <row r="39163" s="2" customFormat="1"/>
    <row r="39164" s="2" customFormat="1"/>
    <row r="39165" s="2" customFormat="1"/>
    <row r="39166" s="2" customFormat="1"/>
    <row r="39167" s="2" customFormat="1"/>
    <row r="39168" s="2" customFormat="1"/>
    <row r="39169" s="2" customFormat="1"/>
    <row r="39170" s="2" customFormat="1"/>
    <row r="39171" s="2" customFormat="1"/>
    <row r="39172" s="2" customFormat="1"/>
    <row r="39173" s="2" customFormat="1"/>
    <row r="39174" s="2" customFormat="1"/>
    <row r="39175" s="2" customFormat="1"/>
    <row r="39176" s="2" customFormat="1"/>
    <row r="39177" s="2" customFormat="1"/>
    <row r="39178" s="2" customFormat="1"/>
    <row r="39179" s="2" customFormat="1"/>
    <row r="39180" s="2" customFormat="1"/>
    <row r="39181" s="2" customFormat="1"/>
    <row r="39182" s="2" customFormat="1"/>
    <row r="39183" s="2" customFormat="1"/>
    <row r="39184" s="2" customFormat="1"/>
    <row r="39185" s="2" customFormat="1"/>
    <row r="39186" s="2" customFormat="1"/>
    <row r="39187" s="2" customFormat="1"/>
    <row r="39188" s="2" customFormat="1"/>
    <row r="39189" s="2" customFormat="1"/>
    <row r="39190" s="2" customFormat="1"/>
    <row r="39191" s="2" customFormat="1"/>
    <row r="39192" s="2" customFormat="1"/>
    <row r="39193" s="2" customFormat="1"/>
    <row r="39194" s="2" customFormat="1"/>
    <row r="39195" s="2" customFormat="1"/>
    <row r="39196" s="2" customFormat="1"/>
    <row r="39197" s="2" customFormat="1"/>
    <row r="39198" s="2" customFormat="1"/>
    <row r="39199" s="2" customFormat="1"/>
    <row r="39200" s="2" customFormat="1"/>
    <row r="39201" s="2" customFormat="1"/>
    <row r="39202" s="2" customFormat="1"/>
    <row r="39203" s="2" customFormat="1"/>
    <row r="39204" s="2" customFormat="1"/>
    <row r="39205" s="2" customFormat="1"/>
    <row r="39206" s="2" customFormat="1"/>
    <row r="39207" s="2" customFormat="1"/>
    <row r="39208" s="2" customFormat="1"/>
    <row r="39209" s="2" customFormat="1"/>
    <row r="39210" s="2" customFormat="1"/>
    <row r="39211" s="2" customFormat="1"/>
    <row r="39212" s="2" customFormat="1"/>
    <row r="39213" s="2" customFormat="1"/>
    <row r="39214" s="2" customFormat="1"/>
    <row r="39215" s="2" customFormat="1"/>
    <row r="39216" s="2" customFormat="1"/>
    <row r="39217" s="2" customFormat="1"/>
    <row r="39218" s="2" customFormat="1"/>
    <row r="39219" s="2" customFormat="1"/>
    <row r="39220" s="2" customFormat="1"/>
    <row r="39221" s="2" customFormat="1"/>
    <row r="39222" s="2" customFormat="1"/>
    <row r="39223" s="2" customFormat="1"/>
    <row r="39224" s="2" customFormat="1"/>
    <row r="39225" s="2" customFormat="1"/>
    <row r="39226" s="2" customFormat="1"/>
    <row r="39227" s="2" customFormat="1"/>
    <row r="39228" s="2" customFormat="1"/>
    <row r="39229" s="2" customFormat="1"/>
    <row r="39230" s="2" customFormat="1"/>
    <row r="39231" s="2" customFormat="1"/>
    <row r="39232" s="2" customFormat="1"/>
    <row r="39233" s="2" customFormat="1"/>
    <row r="39234" s="2" customFormat="1"/>
    <row r="39235" s="2" customFormat="1"/>
    <row r="39236" s="2" customFormat="1"/>
    <row r="39237" s="2" customFormat="1"/>
    <row r="39238" s="2" customFormat="1"/>
    <row r="39239" s="2" customFormat="1"/>
    <row r="39240" s="2" customFormat="1"/>
    <row r="39241" s="2" customFormat="1"/>
    <row r="39242" s="2" customFormat="1"/>
    <row r="39243" s="2" customFormat="1"/>
    <row r="39244" s="2" customFormat="1"/>
    <row r="39245" s="2" customFormat="1"/>
    <row r="39246" s="2" customFormat="1"/>
    <row r="39247" s="2" customFormat="1"/>
    <row r="39248" s="2" customFormat="1"/>
    <row r="39249" s="2" customFormat="1"/>
    <row r="39250" s="2" customFormat="1"/>
    <row r="39251" s="2" customFormat="1"/>
    <row r="39252" s="2" customFormat="1"/>
    <row r="39253" s="2" customFormat="1"/>
    <row r="39254" s="2" customFormat="1"/>
    <row r="39255" s="2" customFormat="1"/>
    <row r="39256" s="2" customFormat="1"/>
    <row r="39257" s="2" customFormat="1"/>
    <row r="39258" s="2" customFormat="1"/>
    <row r="39259" s="2" customFormat="1"/>
    <row r="39260" s="2" customFormat="1"/>
    <row r="39261" s="2" customFormat="1"/>
    <row r="39262" s="2" customFormat="1"/>
    <row r="39263" s="2" customFormat="1"/>
    <row r="39264" s="2" customFormat="1"/>
    <row r="39265" s="2" customFormat="1"/>
    <row r="39266" s="2" customFormat="1"/>
    <row r="39267" s="2" customFormat="1"/>
    <row r="39268" s="2" customFormat="1"/>
    <row r="39269" s="2" customFormat="1"/>
    <row r="39270" s="2" customFormat="1"/>
    <row r="39271" s="2" customFormat="1"/>
    <row r="39272" s="2" customFormat="1"/>
    <row r="39273" s="2" customFormat="1"/>
    <row r="39274" s="2" customFormat="1"/>
    <row r="39275" s="2" customFormat="1"/>
    <row r="39276" s="2" customFormat="1"/>
    <row r="39277" s="2" customFormat="1"/>
    <row r="39278" s="2" customFormat="1"/>
    <row r="39279" s="2" customFormat="1"/>
    <row r="39280" s="2" customFormat="1"/>
    <row r="39281" s="2" customFormat="1"/>
    <row r="39282" s="2" customFormat="1"/>
    <row r="39283" s="2" customFormat="1"/>
    <row r="39284" s="2" customFormat="1"/>
    <row r="39285" s="2" customFormat="1"/>
    <row r="39286" s="2" customFormat="1"/>
    <row r="39287" s="2" customFormat="1"/>
    <row r="39288" s="2" customFormat="1"/>
    <row r="39289" s="2" customFormat="1"/>
    <row r="39290" s="2" customFormat="1"/>
    <row r="39291" s="2" customFormat="1"/>
    <row r="39292" s="2" customFormat="1"/>
    <row r="39293" s="2" customFormat="1"/>
    <row r="39294" s="2" customFormat="1"/>
    <row r="39295" s="2" customFormat="1"/>
    <row r="39296" s="2" customFormat="1"/>
    <row r="39297" s="2" customFormat="1"/>
    <row r="39298" s="2" customFormat="1"/>
    <row r="39299" s="2" customFormat="1"/>
    <row r="39300" s="2" customFormat="1"/>
    <row r="39301" s="2" customFormat="1"/>
    <row r="39302" s="2" customFormat="1"/>
    <row r="39303" s="2" customFormat="1"/>
    <row r="39304" s="2" customFormat="1"/>
    <row r="39305" s="2" customFormat="1"/>
    <row r="39306" s="2" customFormat="1"/>
    <row r="39307" s="2" customFormat="1"/>
    <row r="39308" s="2" customFormat="1"/>
    <row r="39309" s="2" customFormat="1"/>
    <row r="39310" s="2" customFormat="1"/>
    <row r="39311" s="2" customFormat="1"/>
    <row r="39312" s="2" customFormat="1"/>
    <row r="39313" s="2" customFormat="1"/>
    <row r="39314" s="2" customFormat="1"/>
    <row r="39315" s="2" customFormat="1"/>
    <row r="39316" s="2" customFormat="1"/>
    <row r="39317" s="2" customFormat="1"/>
    <row r="39318" s="2" customFormat="1"/>
    <row r="39319" s="2" customFormat="1"/>
    <row r="39320" s="2" customFormat="1"/>
    <row r="39321" s="2" customFormat="1"/>
    <row r="39322" s="2" customFormat="1"/>
    <row r="39323" s="2" customFormat="1"/>
    <row r="39324" s="2" customFormat="1"/>
    <row r="39325" s="2" customFormat="1"/>
    <row r="39326" s="2" customFormat="1"/>
    <row r="39327" s="2" customFormat="1"/>
    <row r="39328" s="2" customFormat="1"/>
    <row r="39329" s="2" customFormat="1"/>
    <row r="39330" s="2" customFormat="1"/>
    <row r="39331" s="2" customFormat="1"/>
    <row r="39332" s="2" customFormat="1"/>
    <row r="39333" s="2" customFormat="1"/>
    <row r="39334" s="2" customFormat="1"/>
    <row r="39335" s="2" customFormat="1"/>
    <row r="39336" s="2" customFormat="1"/>
    <row r="39337" s="2" customFormat="1"/>
    <row r="39338" s="2" customFormat="1"/>
    <row r="39339" s="2" customFormat="1"/>
    <row r="39340" s="2" customFormat="1"/>
    <row r="39341" s="2" customFormat="1"/>
    <row r="39342" s="2" customFormat="1"/>
    <row r="39343" s="2" customFormat="1"/>
    <row r="39344" s="2" customFormat="1"/>
    <row r="39345" s="2" customFormat="1"/>
    <row r="39346" s="2" customFormat="1"/>
    <row r="39347" s="2" customFormat="1"/>
    <row r="39348" s="2" customFormat="1"/>
    <row r="39349" s="2" customFormat="1"/>
    <row r="39350" s="2" customFormat="1"/>
    <row r="39351" s="2" customFormat="1"/>
    <row r="39352" s="2" customFormat="1"/>
    <row r="39353" s="2" customFormat="1"/>
    <row r="39354" s="2" customFormat="1"/>
    <row r="39355" s="2" customFormat="1"/>
    <row r="39356" s="2" customFormat="1"/>
    <row r="39357" s="2" customFormat="1"/>
    <row r="39358" s="2" customFormat="1"/>
    <row r="39359" s="2" customFormat="1"/>
    <row r="39360" s="2" customFormat="1"/>
    <row r="39361" s="2" customFormat="1"/>
    <row r="39362" s="2" customFormat="1"/>
    <row r="39363" s="2" customFormat="1"/>
    <row r="39364" s="2" customFormat="1"/>
    <row r="39365" s="2" customFormat="1"/>
    <row r="39366" s="2" customFormat="1"/>
    <row r="39367" s="2" customFormat="1"/>
    <row r="39368" s="2" customFormat="1"/>
    <row r="39369" s="2" customFormat="1"/>
    <row r="39370" s="2" customFormat="1"/>
    <row r="39371" s="2" customFormat="1"/>
    <row r="39372" s="2" customFormat="1"/>
    <row r="39373" s="2" customFormat="1"/>
    <row r="39374" s="2" customFormat="1"/>
    <row r="39375" s="2" customFormat="1"/>
    <row r="39376" s="2" customFormat="1"/>
    <row r="39377" s="2" customFormat="1"/>
    <row r="39378" s="2" customFormat="1"/>
    <row r="39379" s="2" customFormat="1"/>
    <row r="39380" s="2" customFormat="1"/>
    <row r="39381" s="2" customFormat="1"/>
    <row r="39382" s="2" customFormat="1"/>
    <row r="39383" s="2" customFormat="1"/>
    <row r="39384" s="2" customFormat="1"/>
    <row r="39385" s="2" customFormat="1"/>
    <row r="39386" s="2" customFormat="1"/>
    <row r="39387" s="2" customFormat="1"/>
    <row r="39388" s="2" customFormat="1"/>
    <row r="39389" s="2" customFormat="1"/>
    <row r="39390" s="2" customFormat="1"/>
    <row r="39391" s="2" customFormat="1"/>
    <row r="39392" s="2" customFormat="1"/>
    <row r="39393" s="2" customFormat="1"/>
    <row r="39394" s="2" customFormat="1"/>
    <row r="39395" s="2" customFormat="1"/>
    <row r="39396" s="2" customFormat="1"/>
    <row r="39397" s="2" customFormat="1"/>
    <row r="39398" s="2" customFormat="1"/>
    <row r="39399" s="2" customFormat="1"/>
    <row r="39400" s="2" customFormat="1"/>
    <row r="39401" s="2" customFormat="1"/>
    <row r="39402" s="2" customFormat="1"/>
    <row r="39403" s="2" customFormat="1"/>
    <row r="39404" s="2" customFormat="1"/>
    <row r="39405" s="2" customFormat="1"/>
    <row r="39406" s="2" customFormat="1"/>
    <row r="39407" s="2" customFormat="1"/>
    <row r="39408" s="2" customFormat="1"/>
    <row r="39409" s="2" customFormat="1"/>
    <row r="39410" s="2" customFormat="1"/>
    <row r="39411" s="2" customFormat="1"/>
    <row r="39412" s="2" customFormat="1"/>
    <row r="39413" s="2" customFormat="1"/>
    <row r="39414" s="2" customFormat="1"/>
    <row r="39415" s="2" customFormat="1"/>
    <row r="39416" s="2" customFormat="1"/>
    <row r="39417" s="2" customFormat="1"/>
    <row r="39418" s="2" customFormat="1"/>
    <row r="39419" s="2" customFormat="1"/>
    <row r="39420" s="2" customFormat="1"/>
    <row r="39421" s="2" customFormat="1"/>
    <row r="39422" s="2" customFormat="1"/>
    <row r="39423" s="2" customFormat="1"/>
    <row r="39424" s="2" customFormat="1"/>
    <row r="39425" s="2" customFormat="1"/>
    <row r="39426" s="2" customFormat="1"/>
    <row r="39427" s="2" customFormat="1"/>
    <row r="39428" s="2" customFormat="1"/>
    <row r="39429" s="2" customFormat="1"/>
    <row r="39430" s="2" customFormat="1"/>
    <row r="39431" s="2" customFormat="1"/>
    <row r="39432" s="2" customFormat="1"/>
    <row r="39433" s="2" customFormat="1"/>
    <row r="39434" s="2" customFormat="1"/>
    <row r="39435" s="2" customFormat="1"/>
    <row r="39436" s="2" customFormat="1"/>
    <row r="39437" s="2" customFormat="1"/>
    <row r="39438" s="2" customFormat="1"/>
    <row r="39439" s="2" customFormat="1"/>
    <row r="39440" s="2" customFormat="1"/>
    <row r="39441" s="2" customFormat="1"/>
    <row r="39442" s="2" customFormat="1"/>
    <row r="39443" s="2" customFormat="1"/>
    <row r="39444" s="2" customFormat="1"/>
    <row r="39445" s="2" customFormat="1"/>
    <row r="39446" s="2" customFormat="1"/>
    <row r="39447" s="2" customFormat="1"/>
    <row r="39448" s="2" customFormat="1"/>
    <row r="39449" s="2" customFormat="1"/>
    <row r="39450" s="2" customFormat="1"/>
    <row r="39451" s="2" customFormat="1"/>
    <row r="39452" s="2" customFormat="1"/>
    <row r="39453" s="2" customFormat="1"/>
    <row r="39454" s="2" customFormat="1"/>
    <row r="39455" s="2" customFormat="1"/>
    <row r="39456" s="2" customFormat="1"/>
    <row r="39457" s="2" customFormat="1"/>
    <row r="39458" s="2" customFormat="1"/>
    <row r="39459" s="2" customFormat="1"/>
    <row r="39460" s="2" customFormat="1"/>
    <row r="39461" s="2" customFormat="1"/>
    <row r="39462" s="2" customFormat="1"/>
    <row r="39463" s="2" customFormat="1"/>
    <row r="39464" s="2" customFormat="1"/>
    <row r="39465" s="2" customFormat="1"/>
    <row r="39466" s="2" customFormat="1"/>
    <row r="39467" s="2" customFormat="1"/>
    <row r="39468" s="2" customFormat="1"/>
    <row r="39469" s="2" customFormat="1"/>
    <row r="39470" s="2" customFormat="1"/>
    <row r="39471" s="2" customFormat="1"/>
    <row r="39472" s="2" customFormat="1"/>
    <row r="39473" s="2" customFormat="1"/>
    <row r="39474" s="2" customFormat="1"/>
    <row r="39475" s="2" customFormat="1"/>
    <row r="39476" s="2" customFormat="1"/>
    <row r="39477" s="2" customFormat="1"/>
    <row r="39478" s="2" customFormat="1"/>
    <row r="39479" s="2" customFormat="1"/>
    <row r="39480" s="2" customFormat="1"/>
    <row r="39481" s="2" customFormat="1"/>
    <row r="39482" s="2" customFormat="1"/>
    <row r="39483" s="2" customFormat="1"/>
    <row r="39484" s="2" customFormat="1"/>
    <row r="39485" s="2" customFormat="1"/>
    <row r="39486" s="2" customFormat="1"/>
    <row r="39487" s="2" customFormat="1"/>
    <row r="39488" s="2" customFormat="1"/>
    <row r="39489" s="2" customFormat="1"/>
    <row r="39490" s="2" customFormat="1"/>
    <row r="39491" s="2" customFormat="1"/>
    <row r="39492" s="2" customFormat="1"/>
    <row r="39493" s="2" customFormat="1"/>
    <row r="39494" s="2" customFormat="1"/>
    <row r="39495" s="2" customFormat="1"/>
    <row r="39496" s="2" customFormat="1"/>
    <row r="39497" s="2" customFormat="1"/>
    <row r="39498" s="2" customFormat="1"/>
    <row r="39499" s="2" customFormat="1"/>
    <row r="39500" s="2" customFormat="1"/>
    <row r="39501" s="2" customFormat="1"/>
    <row r="39502" s="2" customFormat="1"/>
    <row r="39503" s="2" customFormat="1"/>
    <row r="39504" s="2" customFormat="1"/>
    <row r="39505" s="2" customFormat="1"/>
    <row r="39506" s="2" customFormat="1"/>
    <row r="39507" s="2" customFormat="1"/>
    <row r="39508" s="2" customFormat="1"/>
    <row r="39509" s="2" customFormat="1"/>
    <row r="39510" s="2" customFormat="1"/>
    <row r="39511" s="2" customFormat="1"/>
    <row r="39512" s="2" customFormat="1"/>
    <row r="39513" s="2" customFormat="1"/>
    <row r="39514" s="2" customFormat="1"/>
    <row r="39515" s="2" customFormat="1"/>
    <row r="39516" s="2" customFormat="1"/>
    <row r="39517" s="2" customFormat="1"/>
    <row r="39518" s="2" customFormat="1"/>
    <row r="39519" s="2" customFormat="1"/>
    <row r="39520" s="2" customFormat="1"/>
    <row r="39521" s="2" customFormat="1"/>
    <row r="39522" s="2" customFormat="1"/>
    <row r="39523" s="2" customFormat="1"/>
    <row r="39524" s="2" customFormat="1"/>
    <row r="39525" s="2" customFormat="1"/>
    <row r="39526" s="2" customFormat="1"/>
    <row r="39527" s="2" customFormat="1"/>
    <row r="39528" s="2" customFormat="1"/>
    <row r="39529" s="2" customFormat="1"/>
    <row r="39530" s="2" customFormat="1"/>
    <row r="39531" s="2" customFormat="1"/>
    <row r="39532" s="2" customFormat="1"/>
    <row r="39533" s="2" customFormat="1"/>
    <row r="39534" s="2" customFormat="1"/>
    <row r="39535" s="2" customFormat="1"/>
    <row r="39536" s="2" customFormat="1"/>
    <row r="39537" s="2" customFormat="1"/>
    <row r="39538" s="2" customFormat="1"/>
    <row r="39539" s="2" customFormat="1"/>
    <row r="39540" s="2" customFormat="1"/>
    <row r="39541" s="2" customFormat="1"/>
    <row r="39542" s="2" customFormat="1"/>
    <row r="39543" s="2" customFormat="1"/>
    <row r="39544" s="2" customFormat="1"/>
    <row r="39545" s="2" customFormat="1"/>
    <row r="39546" s="2" customFormat="1"/>
    <row r="39547" s="2" customFormat="1"/>
    <row r="39548" s="2" customFormat="1"/>
    <row r="39549" s="2" customFormat="1"/>
    <row r="39550" s="2" customFormat="1"/>
    <row r="39551" s="2" customFormat="1"/>
    <row r="39552" s="2" customFormat="1"/>
    <row r="39553" s="2" customFormat="1"/>
    <row r="39554" s="2" customFormat="1"/>
    <row r="39555" s="2" customFormat="1"/>
    <row r="39556" s="2" customFormat="1"/>
    <row r="39557" s="2" customFormat="1"/>
    <row r="39558" s="2" customFormat="1"/>
    <row r="39559" s="2" customFormat="1"/>
    <row r="39560" s="2" customFormat="1"/>
    <row r="39561" s="2" customFormat="1"/>
    <row r="39562" s="2" customFormat="1"/>
    <row r="39563" s="2" customFormat="1"/>
    <row r="39564" s="2" customFormat="1"/>
    <row r="39565" s="2" customFormat="1"/>
    <row r="39566" s="2" customFormat="1"/>
    <row r="39567" s="2" customFormat="1"/>
    <row r="39568" s="2" customFormat="1"/>
    <row r="39569" s="2" customFormat="1"/>
    <row r="39570" s="2" customFormat="1"/>
    <row r="39571" s="2" customFormat="1"/>
    <row r="39572" s="2" customFormat="1"/>
    <row r="39573" s="2" customFormat="1"/>
    <row r="39574" s="2" customFormat="1"/>
    <row r="39575" s="2" customFormat="1"/>
    <row r="39576" s="2" customFormat="1"/>
    <row r="39577" s="2" customFormat="1"/>
    <row r="39578" s="2" customFormat="1"/>
    <row r="39579" s="2" customFormat="1"/>
    <row r="39580" s="2" customFormat="1"/>
    <row r="39581" s="2" customFormat="1"/>
    <row r="39582" s="2" customFormat="1"/>
    <row r="39583" s="2" customFormat="1"/>
    <row r="39584" s="2" customFormat="1"/>
    <row r="39585" s="2" customFormat="1"/>
    <row r="39586" s="2" customFormat="1"/>
    <row r="39587" s="2" customFormat="1"/>
    <row r="39588" s="2" customFormat="1"/>
    <row r="39589" s="2" customFormat="1"/>
    <row r="39590" s="2" customFormat="1"/>
    <row r="39591" s="2" customFormat="1"/>
    <row r="39592" s="2" customFormat="1"/>
    <row r="39593" s="2" customFormat="1"/>
    <row r="39594" s="2" customFormat="1"/>
    <row r="39595" s="2" customFormat="1"/>
    <row r="39596" s="2" customFormat="1"/>
    <row r="39597" s="2" customFormat="1"/>
    <row r="39598" s="2" customFormat="1"/>
    <row r="39599" s="2" customFormat="1"/>
    <row r="39600" s="2" customFormat="1"/>
    <row r="39601" s="2" customFormat="1"/>
    <row r="39602" s="2" customFormat="1"/>
    <row r="39603" s="2" customFormat="1"/>
    <row r="39604" s="2" customFormat="1"/>
    <row r="39605" s="2" customFormat="1"/>
    <row r="39606" s="2" customFormat="1"/>
    <row r="39607" s="2" customFormat="1"/>
    <row r="39608" s="2" customFormat="1"/>
    <row r="39609" s="2" customFormat="1"/>
    <row r="39610" s="2" customFormat="1"/>
    <row r="39611" s="2" customFormat="1"/>
    <row r="39612" s="2" customFormat="1"/>
    <row r="39613" s="2" customFormat="1"/>
    <row r="39614" s="2" customFormat="1"/>
    <row r="39615" s="2" customFormat="1"/>
    <row r="39616" s="2" customFormat="1"/>
    <row r="39617" s="2" customFormat="1"/>
    <row r="39618" s="2" customFormat="1"/>
    <row r="39619" s="2" customFormat="1"/>
    <row r="39620" s="2" customFormat="1"/>
    <row r="39621" s="2" customFormat="1"/>
    <row r="39622" s="2" customFormat="1"/>
    <row r="39623" s="2" customFormat="1"/>
    <row r="39624" s="2" customFormat="1"/>
    <row r="39625" s="2" customFormat="1"/>
    <row r="39626" s="2" customFormat="1"/>
    <row r="39627" s="2" customFormat="1"/>
    <row r="39628" s="2" customFormat="1"/>
    <row r="39629" s="2" customFormat="1"/>
    <row r="39630" s="2" customFormat="1"/>
    <row r="39631" s="2" customFormat="1"/>
    <row r="39632" s="2" customFormat="1"/>
    <row r="39633" s="2" customFormat="1"/>
    <row r="39634" s="2" customFormat="1"/>
    <row r="39635" s="2" customFormat="1"/>
    <row r="39636" s="2" customFormat="1"/>
    <row r="39637" s="2" customFormat="1"/>
    <row r="39638" s="2" customFormat="1"/>
    <row r="39639" s="2" customFormat="1"/>
    <row r="39640" s="2" customFormat="1"/>
    <row r="39641" s="2" customFormat="1"/>
    <row r="39642" s="2" customFormat="1"/>
    <row r="39643" s="2" customFormat="1"/>
    <row r="39644" s="2" customFormat="1"/>
    <row r="39645" s="2" customFormat="1"/>
    <row r="39646" s="2" customFormat="1"/>
    <row r="39647" s="2" customFormat="1"/>
    <row r="39648" s="2" customFormat="1"/>
    <row r="39649" s="2" customFormat="1"/>
    <row r="39650" s="2" customFormat="1"/>
    <row r="39651" s="2" customFormat="1"/>
    <row r="39652" s="2" customFormat="1"/>
    <row r="39653" s="2" customFormat="1"/>
    <row r="39654" s="2" customFormat="1"/>
    <row r="39655" s="2" customFormat="1"/>
    <row r="39656" s="2" customFormat="1"/>
    <row r="39657" s="2" customFormat="1"/>
    <row r="39658" s="2" customFormat="1"/>
    <row r="39659" s="2" customFormat="1"/>
    <row r="39660" s="2" customFormat="1"/>
    <row r="39661" s="2" customFormat="1"/>
    <row r="39662" s="2" customFormat="1"/>
    <row r="39663" s="2" customFormat="1"/>
    <row r="39664" s="2" customFormat="1"/>
    <row r="39665" s="2" customFormat="1"/>
    <row r="39666" s="2" customFormat="1"/>
    <row r="39667" s="2" customFormat="1"/>
    <row r="39668" s="2" customFormat="1"/>
    <row r="39669" s="2" customFormat="1"/>
    <row r="39670" s="2" customFormat="1"/>
    <row r="39671" s="2" customFormat="1"/>
    <row r="39672" s="2" customFormat="1"/>
    <row r="39673" s="2" customFormat="1"/>
    <row r="39674" s="2" customFormat="1"/>
    <row r="39675" s="2" customFormat="1"/>
    <row r="39676" s="2" customFormat="1"/>
    <row r="39677" s="2" customFormat="1"/>
    <row r="39678" s="2" customFormat="1"/>
    <row r="39679" s="2" customFormat="1"/>
    <row r="39680" s="2" customFormat="1"/>
    <row r="39681" s="2" customFormat="1"/>
    <row r="39682" s="2" customFormat="1"/>
    <row r="39683" s="2" customFormat="1"/>
    <row r="39684" s="2" customFormat="1"/>
    <row r="39685" s="2" customFormat="1"/>
    <row r="39686" s="2" customFormat="1"/>
    <row r="39687" s="2" customFormat="1"/>
    <row r="39688" s="2" customFormat="1"/>
    <row r="39689" s="2" customFormat="1"/>
    <row r="39690" s="2" customFormat="1"/>
    <row r="39691" s="2" customFormat="1"/>
    <row r="39692" s="2" customFormat="1"/>
    <row r="39693" s="2" customFormat="1"/>
    <row r="39694" s="2" customFormat="1"/>
    <row r="39695" s="2" customFormat="1"/>
    <row r="39696" s="2" customFormat="1"/>
    <row r="39697" s="2" customFormat="1"/>
    <row r="39698" s="2" customFormat="1"/>
    <row r="39699" s="2" customFormat="1"/>
    <row r="39700" s="2" customFormat="1"/>
    <row r="39701" s="2" customFormat="1"/>
    <row r="39702" s="2" customFormat="1"/>
    <row r="39703" s="2" customFormat="1"/>
    <row r="39704" s="2" customFormat="1"/>
    <row r="39705" s="2" customFormat="1"/>
    <row r="39706" s="2" customFormat="1"/>
    <row r="39707" s="2" customFormat="1"/>
    <row r="39708" s="2" customFormat="1"/>
    <row r="39709" s="2" customFormat="1"/>
    <row r="39710" s="2" customFormat="1"/>
    <row r="39711" s="2" customFormat="1"/>
    <row r="39712" s="2" customFormat="1"/>
    <row r="39713" s="2" customFormat="1"/>
    <row r="39714" s="2" customFormat="1"/>
    <row r="39715" s="2" customFormat="1"/>
    <row r="39716" s="2" customFormat="1"/>
    <row r="39717" s="2" customFormat="1"/>
    <row r="39718" s="2" customFormat="1"/>
    <row r="39719" s="2" customFormat="1"/>
    <row r="39720" s="2" customFormat="1"/>
    <row r="39721" s="2" customFormat="1"/>
    <row r="39722" s="2" customFormat="1"/>
    <row r="39723" s="2" customFormat="1"/>
    <row r="39724" s="2" customFormat="1"/>
    <row r="39725" s="2" customFormat="1"/>
    <row r="39726" s="2" customFormat="1"/>
    <row r="39727" s="2" customFormat="1"/>
    <row r="39728" s="2" customFormat="1"/>
    <row r="39729" s="2" customFormat="1"/>
    <row r="39730" s="2" customFormat="1"/>
    <row r="39731" s="2" customFormat="1"/>
    <row r="39732" s="2" customFormat="1"/>
    <row r="39733" s="2" customFormat="1"/>
    <row r="39734" s="2" customFormat="1"/>
    <row r="39735" s="2" customFormat="1"/>
    <row r="39736" s="2" customFormat="1"/>
    <row r="39737" s="2" customFormat="1"/>
    <row r="39738" s="2" customFormat="1"/>
    <row r="39739" s="2" customFormat="1"/>
    <row r="39740" s="2" customFormat="1"/>
    <row r="39741" s="2" customFormat="1"/>
    <row r="39742" s="2" customFormat="1"/>
    <row r="39743" s="2" customFormat="1"/>
    <row r="39744" s="2" customFormat="1"/>
    <row r="39745" s="2" customFormat="1"/>
    <row r="39746" s="2" customFormat="1"/>
    <row r="39747" s="2" customFormat="1"/>
    <row r="39748" s="2" customFormat="1"/>
    <row r="39749" s="2" customFormat="1"/>
    <row r="39750" s="2" customFormat="1"/>
    <row r="39751" s="2" customFormat="1"/>
    <row r="39752" s="2" customFormat="1"/>
    <row r="39753" s="2" customFormat="1"/>
    <row r="39754" s="2" customFormat="1"/>
    <row r="39755" s="2" customFormat="1"/>
    <row r="39756" s="2" customFormat="1"/>
    <row r="39757" s="2" customFormat="1"/>
    <row r="39758" s="2" customFormat="1"/>
    <row r="39759" s="2" customFormat="1"/>
    <row r="39760" s="2" customFormat="1"/>
    <row r="39761" s="2" customFormat="1"/>
    <row r="39762" s="2" customFormat="1"/>
    <row r="39763" s="2" customFormat="1"/>
    <row r="39764" s="2" customFormat="1"/>
    <row r="39765" s="2" customFormat="1"/>
    <row r="39766" s="2" customFormat="1"/>
    <row r="39767" s="2" customFormat="1"/>
    <row r="39768" s="2" customFormat="1"/>
    <row r="39769" s="2" customFormat="1"/>
    <row r="39770" s="2" customFormat="1"/>
    <row r="39771" s="2" customFormat="1"/>
    <row r="39772" s="2" customFormat="1"/>
    <row r="39773" s="2" customFormat="1"/>
    <row r="39774" s="2" customFormat="1"/>
    <row r="39775" s="2" customFormat="1"/>
    <row r="39776" s="2" customFormat="1"/>
    <row r="39777" s="2" customFormat="1"/>
    <row r="39778" s="2" customFormat="1"/>
    <row r="39779" s="2" customFormat="1"/>
    <row r="39780" s="2" customFormat="1"/>
    <row r="39781" s="2" customFormat="1"/>
    <row r="39782" s="2" customFormat="1"/>
    <row r="39783" s="2" customFormat="1"/>
    <row r="39784" s="2" customFormat="1"/>
    <row r="39785" s="2" customFormat="1"/>
    <row r="39786" s="2" customFormat="1"/>
    <row r="39787" s="2" customFormat="1"/>
    <row r="39788" s="2" customFormat="1"/>
    <row r="39789" s="2" customFormat="1"/>
    <row r="39790" s="2" customFormat="1"/>
    <row r="39791" s="2" customFormat="1"/>
    <row r="39792" s="2" customFormat="1"/>
    <row r="39793" s="2" customFormat="1"/>
    <row r="39794" s="2" customFormat="1"/>
    <row r="39795" s="2" customFormat="1"/>
    <row r="39796" s="2" customFormat="1"/>
    <row r="39797" s="2" customFormat="1"/>
    <row r="39798" s="2" customFormat="1"/>
    <row r="39799" s="2" customFormat="1"/>
    <row r="39800" s="2" customFormat="1"/>
    <row r="39801" s="2" customFormat="1"/>
    <row r="39802" s="2" customFormat="1"/>
    <row r="39803" s="2" customFormat="1"/>
    <row r="39804" s="2" customFormat="1"/>
    <row r="39805" s="2" customFormat="1"/>
    <row r="39806" s="2" customFormat="1"/>
    <row r="39807" s="2" customFormat="1"/>
    <row r="39808" s="2" customFormat="1"/>
    <row r="39809" s="2" customFormat="1"/>
    <row r="39810" s="2" customFormat="1"/>
    <row r="39811" s="2" customFormat="1"/>
    <row r="39812" s="2" customFormat="1"/>
    <row r="39813" s="2" customFormat="1"/>
    <row r="39814" s="2" customFormat="1"/>
    <row r="39815" s="2" customFormat="1"/>
    <row r="39816" s="2" customFormat="1"/>
    <row r="39817" s="2" customFormat="1"/>
    <row r="39818" s="2" customFormat="1"/>
    <row r="39819" s="2" customFormat="1"/>
    <row r="39820" s="2" customFormat="1"/>
    <row r="39821" s="2" customFormat="1"/>
    <row r="39822" s="2" customFormat="1"/>
    <row r="39823" s="2" customFormat="1"/>
    <row r="39824" s="2" customFormat="1"/>
    <row r="39825" s="2" customFormat="1"/>
    <row r="39826" s="2" customFormat="1"/>
    <row r="39827" s="2" customFormat="1"/>
    <row r="39828" s="2" customFormat="1"/>
    <row r="39829" s="2" customFormat="1"/>
    <row r="39830" s="2" customFormat="1"/>
    <row r="39831" s="2" customFormat="1"/>
    <row r="39832" s="2" customFormat="1"/>
    <row r="39833" s="2" customFormat="1"/>
    <row r="39834" s="2" customFormat="1"/>
    <row r="39835" s="2" customFormat="1"/>
    <row r="39836" s="2" customFormat="1"/>
    <row r="39837" s="2" customFormat="1"/>
    <row r="39838" s="2" customFormat="1"/>
    <row r="39839" s="2" customFormat="1"/>
    <row r="39840" s="2" customFormat="1"/>
    <row r="39841" s="2" customFormat="1"/>
    <row r="39842" s="2" customFormat="1"/>
    <row r="39843" s="2" customFormat="1"/>
    <row r="39844" s="2" customFormat="1"/>
    <row r="39845" s="2" customFormat="1"/>
    <row r="39846" s="2" customFormat="1"/>
    <row r="39847" s="2" customFormat="1"/>
    <row r="39848" s="2" customFormat="1"/>
    <row r="39849" s="2" customFormat="1"/>
    <row r="39850" s="2" customFormat="1"/>
    <row r="39851" s="2" customFormat="1"/>
    <row r="39852" s="2" customFormat="1"/>
    <row r="39853" s="2" customFormat="1"/>
    <row r="39854" s="2" customFormat="1"/>
    <row r="39855" s="2" customFormat="1"/>
    <row r="39856" s="2" customFormat="1"/>
    <row r="39857" s="2" customFormat="1"/>
    <row r="39858" s="2" customFormat="1"/>
    <row r="39859" s="2" customFormat="1"/>
    <row r="39860" s="2" customFormat="1"/>
    <row r="39861" s="2" customFormat="1"/>
    <row r="39862" s="2" customFormat="1"/>
    <row r="39863" s="2" customFormat="1"/>
    <row r="39864" s="2" customFormat="1"/>
    <row r="39865" s="2" customFormat="1"/>
    <row r="39866" s="2" customFormat="1"/>
    <row r="39867" s="2" customFormat="1"/>
    <row r="39868" s="2" customFormat="1"/>
    <row r="39869" s="2" customFormat="1"/>
    <row r="39870" s="2" customFormat="1"/>
    <row r="39871" s="2" customFormat="1"/>
    <row r="39872" s="2" customFormat="1"/>
    <row r="39873" s="2" customFormat="1"/>
    <row r="39874" s="2" customFormat="1"/>
    <row r="39875" s="2" customFormat="1"/>
    <row r="39876" s="2" customFormat="1"/>
    <row r="39877" s="2" customFormat="1"/>
    <row r="39878" s="2" customFormat="1"/>
    <row r="39879" s="2" customFormat="1"/>
    <row r="39880" s="2" customFormat="1"/>
    <row r="39881" s="2" customFormat="1"/>
    <row r="39882" s="2" customFormat="1"/>
    <row r="39883" s="2" customFormat="1"/>
    <row r="39884" s="2" customFormat="1"/>
    <row r="39885" s="2" customFormat="1"/>
    <row r="39886" s="2" customFormat="1"/>
    <row r="39887" s="2" customFormat="1"/>
    <row r="39888" s="2" customFormat="1"/>
    <row r="39889" s="2" customFormat="1"/>
    <row r="39890" s="2" customFormat="1"/>
    <row r="39891" s="2" customFormat="1"/>
    <row r="39892" s="2" customFormat="1"/>
    <row r="39893" s="2" customFormat="1"/>
    <row r="39894" s="2" customFormat="1"/>
    <row r="39895" s="2" customFormat="1"/>
    <row r="39896" s="2" customFormat="1"/>
    <row r="39897" s="2" customFormat="1"/>
    <row r="39898" s="2" customFormat="1"/>
    <row r="39899" s="2" customFormat="1"/>
    <row r="39900" s="2" customFormat="1"/>
    <row r="39901" s="2" customFormat="1"/>
    <row r="39902" s="2" customFormat="1"/>
    <row r="39903" s="2" customFormat="1"/>
    <row r="39904" s="2" customFormat="1"/>
    <row r="39905" s="2" customFormat="1"/>
    <row r="39906" s="2" customFormat="1"/>
    <row r="39907" s="2" customFormat="1"/>
    <row r="39908" s="2" customFormat="1"/>
    <row r="39909" s="2" customFormat="1"/>
    <row r="39910" s="2" customFormat="1"/>
    <row r="39911" s="2" customFormat="1"/>
    <row r="39912" s="2" customFormat="1"/>
    <row r="39913" s="2" customFormat="1"/>
    <row r="39914" s="2" customFormat="1"/>
    <row r="39915" s="2" customFormat="1"/>
    <row r="39916" s="2" customFormat="1"/>
    <row r="39917" s="2" customFormat="1"/>
    <row r="39918" s="2" customFormat="1"/>
    <row r="39919" s="2" customFormat="1"/>
    <row r="39920" s="2" customFormat="1"/>
    <row r="39921" s="2" customFormat="1"/>
    <row r="39922" s="2" customFormat="1"/>
    <row r="39923" s="2" customFormat="1"/>
    <row r="39924" s="2" customFormat="1"/>
    <row r="39925" s="2" customFormat="1"/>
    <row r="39926" s="2" customFormat="1"/>
    <row r="39927" s="2" customFormat="1"/>
    <row r="39928" s="2" customFormat="1"/>
    <row r="39929" s="2" customFormat="1"/>
    <row r="39930" s="2" customFormat="1"/>
    <row r="39931" s="2" customFormat="1"/>
    <row r="39932" s="2" customFormat="1"/>
    <row r="39933" s="2" customFormat="1"/>
    <row r="39934" s="2" customFormat="1"/>
    <row r="39935" s="2" customFormat="1"/>
    <row r="39936" s="2" customFormat="1"/>
    <row r="39937" s="2" customFormat="1"/>
    <row r="39938" s="2" customFormat="1"/>
    <row r="39939" s="2" customFormat="1"/>
    <row r="39940" s="2" customFormat="1"/>
    <row r="39941" s="2" customFormat="1"/>
    <row r="39942" s="2" customFormat="1"/>
    <row r="39943" s="2" customFormat="1"/>
    <row r="39944" s="2" customFormat="1"/>
    <row r="39945" s="2" customFormat="1"/>
    <row r="39946" s="2" customFormat="1"/>
    <row r="39947" s="2" customFormat="1"/>
    <row r="39948" s="2" customFormat="1"/>
    <row r="39949" s="2" customFormat="1"/>
    <row r="39950" s="2" customFormat="1"/>
    <row r="39951" s="2" customFormat="1"/>
    <row r="39952" s="2" customFormat="1"/>
    <row r="39953" s="2" customFormat="1"/>
    <row r="39954" s="2" customFormat="1"/>
    <row r="39955" s="2" customFormat="1"/>
    <row r="39956" s="2" customFormat="1"/>
    <row r="39957" s="2" customFormat="1"/>
    <row r="39958" s="2" customFormat="1"/>
    <row r="39959" s="2" customFormat="1"/>
    <row r="39960" s="2" customFormat="1"/>
    <row r="39961" s="2" customFormat="1"/>
    <row r="39962" s="2" customFormat="1"/>
    <row r="39963" s="2" customFormat="1"/>
    <row r="39964" s="2" customFormat="1"/>
    <row r="39965" s="2" customFormat="1"/>
    <row r="39966" s="2" customFormat="1"/>
    <row r="39967" s="2" customFormat="1"/>
    <row r="39968" s="2" customFormat="1"/>
    <row r="39969" s="2" customFormat="1"/>
    <row r="39970" s="2" customFormat="1"/>
    <row r="39971" s="2" customFormat="1"/>
    <row r="39972" s="2" customFormat="1"/>
    <row r="39973" s="2" customFormat="1"/>
    <row r="39974" s="2" customFormat="1"/>
    <row r="39975" s="2" customFormat="1"/>
    <row r="39976" s="2" customFormat="1"/>
    <row r="39977" s="2" customFormat="1"/>
    <row r="39978" s="2" customFormat="1"/>
    <row r="39979" s="2" customFormat="1"/>
    <row r="39980" s="2" customFormat="1"/>
    <row r="39981" s="2" customFormat="1"/>
    <row r="39982" s="2" customFormat="1"/>
    <row r="39983" s="2" customFormat="1"/>
    <row r="39984" s="2" customFormat="1"/>
    <row r="39985" s="2" customFormat="1"/>
    <row r="39986" s="2" customFormat="1"/>
    <row r="39987" s="2" customFormat="1"/>
    <row r="39988" s="2" customFormat="1"/>
    <row r="39989" s="2" customFormat="1"/>
    <row r="39990" s="2" customFormat="1"/>
    <row r="39991" s="2" customFormat="1"/>
    <row r="39992" s="2" customFormat="1"/>
    <row r="39993" s="2" customFormat="1"/>
    <row r="39994" s="2" customFormat="1"/>
    <row r="39995" s="2" customFormat="1"/>
    <row r="39996" s="2" customFormat="1"/>
    <row r="39997" s="2" customFormat="1"/>
    <row r="39998" s="2" customFormat="1"/>
    <row r="39999" s="2" customFormat="1"/>
    <row r="40000" s="2" customFormat="1"/>
    <row r="40001" s="2" customFormat="1"/>
    <row r="40002" s="2" customFormat="1"/>
    <row r="40003" s="2" customFormat="1"/>
    <row r="40004" s="2" customFormat="1"/>
    <row r="40005" s="2" customFormat="1"/>
    <row r="40006" s="2" customFormat="1"/>
    <row r="40007" s="2" customFormat="1"/>
    <row r="40008" s="2" customFormat="1"/>
    <row r="40009" s="2" customFormat="1"/>
    <row r="40010" s="2" customFormat="1"/>
    <row r="40011" s="2" customFormat="1"/>
    <row r="40012" s="2" customFormat="1"/>
    <row r="40013" s="2" customFormat="1"/>
    <row r="40014" s="2" customFormat="1"/>
    <row r="40015" s="2" customFormat="1"/>
    <row r="40016" s="2" customFormat="1"/>
    <row r="40017" s="2" customFormat="1"/>
    <row r="40018" s="2" customFormat="1"/>
    <row r="40019" s="2" customFormat="1"/>
    <row r="40020" s="2" customFormat="1"/>
    <row r="40021" s="2" customFormat="1"/>
    <row r="40022" s="2" customFormat="1"/>
    <row r="40023" s="2" customFormat="1"/>
    <row r="40024" s="2" customFormat="1"/>
    <row r="40025" s="2" customFormat="1"/>
    <row r="40026" s="2" customFormat="1"/>
    <row r="40027" s="2" customFormat="1"/>
    <row r="40028" s="2" customFormat="1"/>
    <row r="40029" s="2" customFormat="1"/>
    <row r="40030" s="2" customFormat="1"/>
    <row r="40031" s="2" customFormat="1"/>
    <row r="40032" s="2" customFormat="1"/>
    <row r="40033" s="2" customFormat="1"/>
    <row r="40034" s="2" customFormat="1"/>
    <row r="40035" s="2" customFormat="1"/>
    <row r="40036" s="2" customFormat="1"/>
    <row r="40037" s="2" customFormat="1"/>
    <row r="40038" s="2" customFormat="1"/>
    <row r="40039" s="2" customFormat="1"/>
    <row r="40040" s="2" customFormat="1"/>
    <row r="40041" s="2" customFormat="1"/>
    <row r="40042" s="2" customFormat="1"/>
    <row r="40043" s="2" customFormat="1"/>
    <row r="40044" s="2" customFormat="1"/>
    <row r="40045" s="2" customFormat="1"/>
    <row r="40046" s="2" customFormat="1"/>
    <row r="40047" s="2" customFormat="1"/>
    <row r="40048" s="2" customFormat="1"/>
    <row r="40049" s="2" customFormat="1"/>
    <row r="40050" s="2" customFormat="1"/>
    <row r="40051" s="2" customFormat="1"/>
    <row r="40052" s="2" customFormat="1"/>
    <row r="40053" s="2" customFormat="1"/>
    <row r="40054" s="2" customFormat="1"/>
    <row r="40055" s="2" customFormat="1"/>
    <row r="40056" s="2" customFormat="1"/>
    <row r="40057" s="2" customFormat="1"/>
    <row r="40058" s="2" customFormat="1"/>
    <row r="40059" s="2" customFormat="1"/>
    <row r="40060" s="2" customFormat="1"/>
    <row r="40061" s="2" customFormat="1"/>
    <row r="40062" s="2" customFormat="1"/>
    <row r="40063" s="2" customFormat="1"/>
    <row r="40064" s="2" customFormat="1"/>
    <row r="40065" s="2" customFormat="1"/>
    <row r="40066" s="2" customFormat="1"/>
    <row r="40067" s="2" customFormat="1"/>
    <row r="40068" s="2" customFormat="1"/>
    <row r="40069" s="2" customFormat="1"/>
    <row r="40070" s="2" customFormat="1"/>
    <row r="40071" s="2" customFormat="1"/>
    <row r="40072" s="2" customFormat="1"/>
    <row r="40073" s="2" customFormat="1"/>
    <row r="40074" s="2" customFormat="1"/>
    <row r="40075" s="2" customFormat="1"/>
    <row r="40076" s="2" customFormat="1"/>
    <row r="40077" s="2" customFormat="1"/>
    <row r="40078" s="2" customFormat="1"/>
    <row r="40079" s="2" customFormat="1"/>
    <row r="40080" s="2" customFormat="1"/>
    <row r="40081" s="2" customFormat="1"/>
    <row r="40082" s="2" customFormat="1"/>
    <row r="40083" s="2" customFormat="1"/>
    <row r="40084" s="2" customFormat="1"/>
    <row r="40085" s="2" customFormat="1"/>
    <row r="40086" s="2" customFormat="1"/>
    <row r="40087" s="2" customFormat="1"/>
    <row r="40088" s="2" customFormat="1"/>
    <row r="40089" s="2" customFormat="1"/>
    <row r="40090" s="2" customFormat="1"/>
    <row r="40091" s="2" customFormat="1"/>
    <row r="40092" s="2" customFormat="1"/>
    <row r="40093" s="2" customFormat="1"/>
    <row r="40094" s="2" customFormat="1"/>
    <row r="40095" s="2" customFormat="1"/>
    <row r="40096" s="2" customFormat="1"/>
    <row r="40097" s="2" customFormat="1"/>
    <row r="40098" s="2" customFormat="1"/>
    <row r="40099" s="2" customFormat="1"/>
    <row r="40100" s="2" customFormat="1"/>
    <row r="40101" s="2" customFormat="1"/>
    <row r="40102" s="2" customFormat="1"/>
    <row r="40103" s="2" customFormat="1"/>
    <row r="40104" s="2" customFormat="1"/>
    <row r="40105" s="2" customFormat="1"/>
    <row r="40106" s="2" customFormat="1"/>
    <row r="40107" s="2" customFormat="1"/>
    <row r="40108" s="2" customFormat="1"/>
    <row r="40109" s="2" customFormat="1"/>
    <row r="40110" s="2" customFormat="1"/>
    <row r="40111" s="2" customFormat="1"/>
    <row r="40112" s="2" customFormat="1"/>
    <row r="40113" s="2" customFormat="1"/>
    <row r="40114" s="2" customFormat="1"/>
    <row r="40115" s="2" customFormat="1"/>
    <row r="40116" s="2" customFormat="1"/>
    <row r="40117" s="2" customFormat="1"/>
    <row r="40118" s="2" customFormat="1"/>
    <row r="40119" s="2" customFormat="1"/>
    <row r="40120" s="2" customFormat="1"/>
    <row r="40121" s="2" customFormat="1"/>
    <row r="40122" s="2" customFormat="1"/>
    <row r="40123" s="2" customFormat="1"/>
    <row r="40124" s="2" customFormat="1"/>
    <row r="40125" s="2" customFormat="1"/>
    <row r="40126" s="2" customFormat="1"/>
    <row r="40127" s="2" customFormat="1"/>
    <row r="40128" s="2" customFormat="1"/>
    <row r="40129" s="2" customFormat="1"/>
    <row r="40130" s="2" customFormat="1"/>
    <row r="40131" s="2" customFormat="1"/>
    <row r="40132" s="2" customFormat="1"/>
    <row r="40133" s="2" customFormat="1"/>
    <row r="40134" s="2" customFormat="1"/>
    <row r="40135" s="2" customFormat="1"/>
    <row r="40136" s="2" customFormat="1"/>
    <row r="40137" s="2" customFormat="1"/>
    <row r="40138" s="2" customFormat="1"/>
    <row r="40139" s="2" customFormat="1"/>
    <row r="40140" s="2" customFormat="1"/>
    <row r="40141" s="2" customFormat="1"/>
    <row r="40142" s="2" customFormat="1"/>
    <row r="40143" s="2" customFormat="1"/>
    <row r="40144" s="2" customFormat="1"/>
    <row r="40145" s="2" customFormat="1"/>
    <row r="40146" s="2" customFormat="1"/>
    <row r="40147" s="2" customFormat="1"/>
    <row r="40148" s="2" customFormat="1"/>
    <row r="40149" s="2" customFormat="1"/>
    <row r="40150" s="2" customFormat="1"/>
    <row r="40151" s="2" customFormat="1"/>
    <row r="40152" s="2" customFormat="1"/>
    <row r="40153" s="2" customFormat="1"/>
    <row r="40154" s="2" customFormat="1"/>
    <row r="40155" s="2" customFormat="1"/>
    <row r="40156" s="2" customFormat="1"/>
    <row r="40157" s="2" customFormat="1"/>
    <row r="40158" s="2" customFormat="1"/>
    <row r="40159" s="2" customFormat="1"/>
    <row r="40160" s="2" customFormat="1"/>
    <row r="40161" s="2" customFormat="1"/>
    <row r="40162" s="2" customFormat="1"/>
    <row r="40163" s="2" customFormat="1"/>
    <row r="40164" s="2" customFormat="1"/>
    <row r="40165" s="2" customFormat="1"/>
    <row r="40166" s="2" customFormat="1"/>
    <row r="40167" s="2" customFormat="1"/>
    <row r="40168" s="2" customFormat="1"/>
    <row r="40169" s="2" customFormat="1"/>
    <row r="40170" s="2" customFormat="1"/>
    <row r="40171" s="2" customFormat="1"/>
    <row r="40172" s="2" customFormat="1"/>
    <row r="40173" s="2" customFormat="1"/>
    <row r="40174" s="2" customFormat="1"/>
    <row r="40175" s="2" customFormat="1"/>
    <row r="40176" s="2" customFormat="1"/>
    <row r="40177" s="2" customFormat="1"/>
    <row r="40178" s="2" customFormat="1"/>
    <row r="40179" s="2" customFormat="1"/>
    <row r="40180" s="2" customFormat="1"/>
    <row r="40181" s="2" customFormat="1"/>
    <row r="40182" s="2" customFormat="1"/>
    <row r="40183" s="2" customFormat="1"/>
    <row r="40184" s="2" customFormat="1"/>
    <row r="40185" s="2" customFormat="1"/>
    <row r="40186" s="2" customFormat="1"/>
    <row r="40187" s="2" customFormat="1"/>
    <row r="40188" s="2" customFormat="1"/>
    <row r="40189" s="2" customFormat="1"/>
    <row r="40190" s="2" customFormat="1"/>
    <row r="40191" s="2" customFormat="1"/>
    <row r="40192" s="2" customFormat="1"/>
    <row r="40193" s="2" customFormat="1"/>
    <row r="40194" s="2" customFormat="1"/>
    <row r="40195" s="2" customFormat="1"/>
    <row r="40196" s="2" customFormat="1"/>
    <row r="40197" s="2" customFormat="1"/>
    <row r="40198" s="2" customFormat="1"/>
    <row r="40199" s="2" customFormat="1"/>
    <row r="40200" s="2" customFormat="1"/>
    <row r="40201" s="2" customFormat="1"/>
    <row r="40202" s="2" customFormat="1"/>
    <row r="40203" s="2" customFormat="1"/>
    <row r="40204" s="2" customFormat="1"/>
    <row r="40205" s="2" customFormat="1"/>
    <row r="40206" s="2" customFormat="1"/>
    <row r="40207" s="2" customFormat="1"/>
    <row r="40208" s="2" customFormat="1"/>
    <row r="40209" s="2" customFormat="1"/>
    <row r="40210" s="2" customFormat="1"/>
    <row r="40211" s="2" customFormat="1"/>
    <row r="40212" s="2" customFormat="1"/>
    <row r="40213" s="2" customFormat="1"/>
    <row r="40214" s="2" customFormat="1"/>
    <row r="40215" s="2" customFormat="1"/>
    <row r="40216" s="2" customFormat="1"/>
    <row r="40217" s="2" customFormat="1"/>
    <row r="40218" s="2" customFormat="1"/>
    <row r="40219" s="2" customFormat="1"/>
    <row r="40220" s="2" customFormat="1"/>
    <row r="40221" s="2" customFormat="1"/>
    <row r="40222" s="2" customFormat="1"/>
    <row r="40223" s="2" customFormat="1"/>
    <row r="40224" s="2" customFormat="1"/>
    <row r="40225" s="2" customFormat="1"/>
    <row r="40226" s="2" customFormat="1"/>
    <row r="40227" s="2" customFormat="1"/>
    <row r="40228" s="2" customFormat="1"/>
    <row r="40229" s="2" customFormat="1"/>
    <row r="40230" s="2" customFormat="1"/>
    <row r="40231" s="2" customFormat="1"/>
    <row r="40232" s="2" customFormat="1"/>
    <row r="40233" s="2" customFormat="1"/>
    <row r="40234" s="2" customFormat="1"/>
    <row r="40235" s="2" customFormat="1"/>
    <row r="40236" s="2" customFormat="1"/>
    <row r="40237" s="2" customFormat="1"/>
    <row r="40238" s="2" customFormat="1"/>
    <row r="40239" s="2" customFormat="1"/>
    <row r="40240" s="2" customFormat="1"/>
    <row r="40241" s="2" customFormat="1"/>
    <row r="40242" s="2" customFormat="1"/>
    <row r="40243" s="2" customFormat="1"/>
    <row r="40244" s="2" customFormat="1"/>
    <row r="40245" s="2" customFormat="1"/>
    <row r="40246" s="2" customFormat="1"/>
    <row r="40247" s="2" customFormat="1"/>
    <row r="40248" s="2" customFormat="1"/>
    <row r="40249" s="2" customFormat="1"/>
    <row r="40250" s="2" customFormat="1"/>
    <row r="40251" s="2" customFormat="1"/>
    <row r="40252" s="2" customFormat="1"/>
    <row r="40253" s="2" customFormat="1"/>
    <row r="40254" s="2" customFormat="1"/>
    <row r="40255" s="2" customFormat="1"/>
    <row r="40256" s="2" customFormat="1"/>
    <row r="40257" s="2" customFormat="1"/>
    <row r="40258" s="2" customFormat="1"/>
    <row r="40259" s="2" customFormat="1"/>
    <row r="40260" s="2" customFormat="1"/>
    <row r="40261" s="2" customFormat="1"/>
    <row r="40262" s="2" customFormat="1"/>
    <row r="40263" s="2" customFormat="1"/>
    <row r="40264" s="2" customFormat="1"/>
    <row r="40265" s="2" customFormat="1"/>
    <row r="40266" s="2" customFormat="1"/>
    <row r="40267" s="2" customFormat="1"/>
    <row r="40268" s="2" customFormat="1"/>
    <row r="40269" s="2" customFormat="1"/>
    <row r="40270" s="2" customFormat="1"/>
    <row r="40271" s="2" customFormat="1"/>
    <row r="40272" s="2" customFormat="1"/>
    <row r="40273" s="2" customFormat="1"/>
    <row r="40274" s="2" customFormat="1"/>
    <row r="40275" s="2" customFormat="1"/>
    <row r="40276" s="2" customFormat="1"/>
    <row r="40277" s="2" customFormat="1"/>
    <row r="40278" s="2" customFormat="1"/>
    <row r="40279" s="2" customFormat="1"/>
    <row r="40280" s="2" customFormat="1"/>
    <row r="40281" s="2" customFormat="1"/>
    <row r="40282" s="2" customFormat="1"/>
    <row r="40283" s="2" customFormat="1"/>
    <row r="40284" s="2" customFormat="1"/>
    <row r="40285" s="2" customFormat="1"/>
    <row r="40286" s="2" customFormat="1"/>
    <row r="40287" s="2" customFormat="1"/>
    <row r="40288" s="2" customFormat="1"/>
    <row r="40289" s="2" customFormat="1"/>
    <row r="40290" s="2" customFormat="1"/>
    <row r="40291" s="2" customFormat="1"/>
    <row r="40292" s="2" customFormat="1"/>
    <row r="40293" s="2" customFormat="1"/>
    <row r="40294" s="2" customFormat="1"/>
    <row r="40295" s="2" customFormat="1"/>
    <row r="40296" s="2" customFormat="1"/>
    <row r="40297" s="2" customFormat="1"/>
    <row r="40298" s="2" customFormat="1"/>
    <row r="40299" s="2" customFormat="1"/>
    <row r="40300" s="2" customFormat="1"/>
    <row r="40301" s="2" customFormat="1"/>
    <row r="40302" s="2" customFormat="1"/>
    <row r="40303" s="2" customFormat="1"/>
    <row r="40304" s="2" customFormat="1"/>
    <row r="40305" s="2" customFormat="1"/>
    <row r="40306" s="2" customFormat="1"/>
    <row r="40307" s="2" customFormat="1"/>
    <row r="40308" s="2" customFormat="1"/>
    <row r="40309" s="2" customFormat="1"/>
    <row r="40310" s="2" customFormat="1"/>
    <row r="40311" s="2" customFormat="1"/>
    <row r="40312" s="2" customFormat="1"/>
    <row r="40313" s="2" customFormat="1"/>
    <row r="40314" s="2" customFormat="1"/>
    <row r="40315" s="2" customFormat="1"/>
    <row r="40316" s="2" customFormat="1"/>
    <row r="40317" s="2" customFormat="1"/>
    <row r="40318" s="2" customFormat="1"/>
    <row r="40319" s="2" customFormat="1"/>
    <row r="40320" s="2" customFormat="1"/>
    <row r="40321" s="2" customFormat="1"/>
    <row r="40322" s="2" customFormat="1"/>
    <row r="40323" s="2" customFormat="1"/>
    <row r="40324" s="2" customFormat="1"/>
    <row r="40325" s="2" customFormat="1"/>
    <row r="40326" s="2" customFormat="1"/>
    <row r="40327" s="2" customFormat="1"/>
    <row r="40328" s="2" customFormat="1"/>
    <row r="40329" s="2" customFormat="1"/>
    <row r="40330" s="2" customFormat="1"/>
    <row r="40331" s="2" customFormat="1"/>
    <row r="40332" s="2" customFormat="1"/>
    <row r="40333" s="2" customFormat="1"/>
    <row r="40334" s="2" customFormat="1"/>
    <row r="40335" s="2" customFormat="1"/>
    <row r="40336" s="2" customFormat="1"/>
    <row r="40337" s="2" customFormat="1"/>
    <row r="40338" s="2" customFormat="1"/>
    <row r="40339" s="2" customFormat="1"/>
    <row r="40340" s="2" customFormat="1"/>
    <row r="40341" s="2" customFormat="1"/>
    <row r="40342" s="2" customFormat="1"/>
    <row r="40343" s="2" customFormat="1"/>
    <row r="40344" s="2" customFormat="1"/>
    <row r="40345" s="2" customFormat="1"/>
    <row r="40346" s="2" customFormat="1"/>
    <row r="40347" s="2" customFormat="1"/>
    <row r="40348" s="2" customFormat="1"/>
    <row r="40349" s="2" customFormat="1"/>
    <row r="40350" s="2" customFormat="1"/>
    <row r="40351" s="2" customFormat="1"/>
    <row r="40352" s="2" customFormat="1"/>
    <row r="40353" s="2" customFormat="1"/>
    <row r="40354" s="2" customFormat="1"/>
    <row r="40355" s="2" customFormat="1"/>
    <row r="40356" s="2" customFormat="1"/>
    <row r="40357" s="2" customFormat="1"/>
    <row r="40358" s="2" customFormat="1"/>
    <row r="40359" s="2" customFormat="1"/>
    <row r="40360" s="2" customFormat="1"/>
    <row r="40361" s="2" customFormat="1"/>
    <row r="40362" s="2" customFormat="1"/>
    <row r="40363" s="2" customFormat="1"/>
    <row r="40364" s="2" customFormat="1"/>
    <row r="40365" s="2" customFormat="1"/>
    <row r="40366" s="2" customFormat="1"/>
    <row r="40367" s="2" customFormat="1"/>
    <row r="40368" s="2" customFormat="1"/>
    <row r="40369" s="2" customFormat="1"/>
    <row r="40370" s="2" customFormat="1"/>
    <row r="40371" s="2" customFormat="1"/>
    <row r="40372" s="2" customFormat="1"/>
    <row r="40373" s="2" customFormat="1"/>
    <row r="40374" s="2" customFormat="1"/>
    <row r="40375" s="2" customFormat="1"/>
    <row r="40376" s="2" customFormat="1"/>
    <row r="40377" s="2" customFormat="1"/>
    <row r="40378" s="2" customFormat="1"/>
    <row r="40379" s="2" customFormat="1"/>
    <row r="40380" s="2" customFormat="1"/>
    <row r="40381" s="2" customFormat="1"/>
    <row r="40382" s="2" customFormat="1"/>
    <row r="40383" s="2" customFormat="1"/>
    <row r="40384" s="2" customFormat="1"/>
    <row r="40385" s="2" customFormat="1"/>
    <row r="40386" s="2" customFormat="1"/>
    <row r="40387" s="2" customFormat="1"/>
    <row r="40388" s="2" customFormat="1"/>
    <row r="40389" s="2" customFormat="1"/>
    <row r="40390" s="2" customFormat="1"/>
    <row r="40391" s="2" customFormat="1"/>
    <row r="40392" s="2" customFormat="1"/>
    <row r="40393" s="2" customFormat="1"/>
    <row r="40394" s="2" customFormat="1"/>
    <row r="40395" s="2" customFormat="1"/>
    <row r="40396" s="2" customFormat="1"/>
    <row r="40397" s="2" customFormat="1"/>
    <row r="40398" s="2" customFormat="1"/>
    <row r="40399" s="2" customFormat="1"/>
    <row r="40400" s="2" customFormat="1"/>
    <row r="40401" s="2" customFormat="1"/>
    <row r="40402" s="2" customFormat="1"/>
    <row r="40403" s="2" customFormat="1"/>
    <row r="40404" s="2" customFormat="1"/>
    <row r="40405" s="2" customFormat="1"/>
    <row r="40406" s="2" customFormat="1"/>
    <row r="40407" s="2" customFormat="1"/>
    <row r="40408" s="2" customFormat="1"/>
    <row r="40409" s="2" customFormat="1"/>
    <row r="40410" s="2" customFormat="1"/>
    <row r="40411" s="2" customFormat="1"/>
    <row r="40412" s="2" customFormat="1"/>
    <row r="40413" s="2" customFormat="1"/>
    <row r="40414" s="2" customFormat="1"/>
    <row r="40415" s="2" customFormat="1"/>
    <row r="40416" s="2" customFormat="1"/>
    <row r="40417" s="2" customFormat="1"/>
    <row r="40418" s="2" customFormat="1"/>
    <row r="40419" s="2" customFormat="1"/>
    <row r="40420" s="2" customFormat="1"/>
    <row r="40421" s="2" customFormat="1"/>
    <row r="40422" s="2" customFormat="1"/>
    <row r="40423" s="2" customFormat="1"/>
    <row r="40424" s="2" customFormat="1"/>
    <row r="40425" s="2" customFormat="1"/>
    <row r="40426" s="2" customFormat="1"/>
    <row r="40427" s="2" customFormat="1"/>
    <row r="40428" s="2" customFormat="1"/>
    <row r="40429" s="2" customFormat="1"/>
    <row r="40430" s="2" customFormat="1"/>
    <row r="40431" s="2" customFormat="1"/>
    <row r="40432" s="2" customFormat="1"/>
    <row r="40433" s="2" customFormat="1"/>
    <row r="40434" s="2" customFormat="1"/>
    <row r="40435" s="2" customFormat="1"/>
    <row r="40436" s="2" customFormat="1"/>
    <row r="40437" s="2" customFormat="1"/>
    <row r="40438" s="2" customFormat="1"/>
    <row r="40439" s="2" customFormat="1"/>
    <row r="40440" s="2" customFormat="1"/>
    <row r="40441" s="2" customFormat="1"/>
    <row r="40442" s="2" customFormat="1"/>
    <row r="40443" s="2" customFormat="1"/>
    <row r="40444" s="2" customFormat="1"/>
    <row r="40445" s="2" customFormat="1"/>
    <row r="40446" s="2" customFormat="1"/>
    <row r="40447" s="2" customFormat="1"/>
    <row r="40448" s="2" customFormat="1"/>
    <row r="40449" s="2" customFormat="1"/>
    <row r="40450" s="2" customFormat="1"/>
    <row r="40451" s="2" customFormat="1"/>
    <row r="40452" s="2" customFormat="1"/>
    <row r="40453" s="2" customFormat="1"/>
    <row r="40454" s="2" customFormat="1"/>
    <row r="40455" s="2" customFormat="1"/>
    <row r="40456" s="2" customFormat="1"/>
    <row r="40457" s="2" customFormat="1"/>
    <row r="40458" s="2" customFormat="1"/>
    <row r="40459" s="2" customFormat="1"/>
    <row r="40460" s="2" customFormat="1"/>
    <row r="40461" s="2" customFormat="1"/>
    <row r="40462" s="2" customFormat="1"/>
    <row r="40463" s="2" customFormat="1"/>
    <row r="40464" s="2" customFormat="1"/>
    <row r="40465" s="2" customFormat="1"/>
    <row r="40466" s="2" customFormat="1"/>
    <row r="40467" s="2" customFormat="1"/>
    <row r="40468" s="2" customFormat="1"/>
    <row r="40469" s="2" customFormat="1"/>
    <row r="40470" s="2" customFormat="1"/>
    <row r="40471" s="2" customFormat="1"/>
    <row r="40472" s="2" customFormat="1"/>
    <row r="40473" s="2" customFormat="1"/>
    <row r="40474" s="2" customFormat="1"/>
    <row r="40475" s="2" customFormat="1"/>
    <row r="40476" s="2" customFormat="1"/>
    <row r="40477" s="2" customFormat="1"/>
    <row r="40478" s="2" customFormat="1"/>
    <row r="40479" s="2" customFormat="1"/>
    <row r="40480" s="2" customFormat="1"/>
    <row r="40481" s="2" customFormat="1"/>
    <row r="40482" s="2" customFormat="1"/>
    <row r="40483" s="2" customFormat="1"/>
    <row r="40484" s="2" customFormat="1"/>
    <row r="40485" s="2" customFormat="1"/>
    <row r="40486" s="2" customFormat="1"/>
    <row r="40487" s="2" customFormat="1"/>
    <row r="40488" s="2" customFormat="1"/>
    <row r="40489" s="2" customFormat="1"/>
    <row r="40490" s="2" customFormat="1"/>
    <row r="40491" s="2" customFormat="1"/>
    <row r="40492" s="2" customFormat="1"/>
    <row r="40493" s="2" customFormat="1"/>
    <row r="40494" s="2" customFormat="1"/>
    <row r="40495" s="2" customFormat="1"/>
    <row r="40496" s="2" customFormat="1"/>
    <row r="40497" s="2" customFormat="1"/>
    <row r="40498" s="2" customFormat="1"/>
    <row r="40499" s="2" customFormat="1"/>
    <row r="40500" s="2" customFormat="1"/>
    <row r="40501" s="2" customFormat="1"/>
    <row r="40502" s="2" customFormat="1"/>
    <row r="40503" s="2" customFormat="1"/>
    <row r="40504" s="2" customFormat="1"/>
    <row r="40505" s="2" customFormat="1"/>
    <row r="40506" s="2" customFormat="1"/>
    <row r="40507" s="2" customFormat="1"/>
    <row r="40508" s="2" customFormat="1"/>
    <row r="40509" s="2" customFormat="1"/>
    <row r="40510" s="2" customFormat="1"/>
    <row r="40511" s="2" customFormat="1"/>
    <row r="40512" s="2" customFormat="1"/>
    <row r="40513" s="2" customFormat="1"/>
    <row r="40514" s="2" customFormat="1"/>
    <row r="40515" s="2" customFormat="1"/>
    <row r="40516" s="2" customFormat="1"/>
    <row r="40517" s="2" customFormat="1"/>
    <row r="40518" s="2" customFormat="1"/>
    <row r="40519" s="2" customFormat="1"/>
    <row r="40520" s="2" customFormat="1"/>
    <row r="40521" s="2" customFormat="1"/>
    <row r="40522" s="2" customFormat="1"/>
    <row r="40523" s="2" customFormat="1"/>
    <row r="40524" s="2" customFormat="1"/>
    <row r="40525" s="2" customFormat="1"/>
    <row r="40526" s="2" customFormat="1"/>
    <row r="40527" s="2" customFormat="1"/>
    <row r="40528" s="2" customFormat="1"/>
    <row r="40529" s="2" customFormat="1"/>
    <row r="40530" s="2" customFormat="1"/>
    <row r="40531" s="2" customFormat="1"/>
    <row r="40532" s="2" customFormat="1"/>
    <row r="40533" s="2" customFormat="1"/>
    <row r="40534" s="2" customFormat="1"/>
    <row r="40535" s="2" customFormat="1"/>
    <row r="40536" s="2" customFormat="1"/>
    <row r="40537" s="2" customFormat="1"/>
    <row r="40538" s="2" customFormat="1"/>
    <row r="40539" s="2" customFormat="1"/>
    <row r="40540" s="2" customFormat="1"/>
    <row r="40541" s="2" customFormat="1"/>
    <row r="40542" s="2" customFormat="1"/>
    <row r="40543" s="2" customFormat="1"/>
    <row r="40544" s="2" customFormat="1"/>
    <row r="40545" s="2" customFormat="1"/>
    <row r="40546" s="2" customFormat="1"/>
    <row r="40547" s="2" customFormat="1"/>
    <row r="40548" s="2" customFormat="1"/>
    <row r="40549" s="2" customFormat="1"/>
    <row r="40550" s="2" customFormat="1"/>
    <row r="40551" s="2" customFormat="1"/>
    <row r="40552" s="2" customFormat="1"/>
    <row r="40553" s="2" customFormat="1"/>
    <row r="40554" s="2" customFormat="1"/>
    <row r="40555" s="2" customFormat="1"/>
    <row r="40556" s="2" customFormat="1"/>
    <row r="40557" s="2" customFormat="1"/>
    <row r="40558" s="2" customFormat="1"/>
    <row r="40559" s="2" customFormat="1"/>
    <row r="40560" s="2" customFormat="1"/>
    <row r="40561" s="2" customFormat="1"/>
    <row r="40562" s="2" customFormat="1"/>
    <row r="40563" s="2" customFormat="1"/>
    <row r="40564" s="2" customFormat="1"/>
    <row r="40565" s="2" customFormat="1"/>
    <row r="40566" s="2" customFormat="1"/>
    <row r="40567" s="2" customFormat="1"/>
    <row r="40568" s="2" customFormat="1"/>
    <row r="40569" s="2" customFormat="1"/>
    <row r="40570" s="2" customFormat="1"/>
    <row r="40571" s="2" customFormat="1"/>
    <row r="40572" s="2" customFormat="1"/>
    <row r="40573" s="2" customFormat="1"/>
    <row r="40574" s="2" customFormat="1"/>
    <row r="40575" s="2" customFormat="1"/>
    <row r="40576" s="2" customFormat="1"/>
    <row r="40577" s="2" customFormat="1"/>
    <row r="40578" s="2" customFormat="1"/>
    <row r="40579" s="2" customFormat="1"/>
    <row r="40580" s="2" customFormat="1"/>
    <row r="40581" s="2" customFormat="1"/>
    <row r="40582" s="2" customFormat="1"/>
    <row r="40583" s="2" customFormat="1"/>
    <row r="40584" s="2" customFormat="1"/>
    <row r="40585" s="2" customFormat="1"/>
    <row r="40586" s="2" customFormat="1"/>
    <row r="40587" s="2" customFormat="1"/>
    <row r="40588" s="2" customFormat="1"/>
    <row r="40589" s="2" customFormat="1"/>
    <row r="40590" s="2" customFormat="1"/>
    <row r="40591" s="2" customFormat="1"/>
    <row r="40592" s="2" customFormat="1"/>
    <row r="40593" s="2" customFormat="1"/>
    <row r="40594" s="2" customFormat="1"/>
    <row r="40595" s="2" customFormat="1"/>
    <row r="40596" s="2" customFormat="1"/>
    <row r="40597" s="2" customFormat="1"/>
    <row r="40598" s="2" customFormat="1"/>
    <row r="40599" s="2" customFormat="1"/>
    <row r="40600" s="2" customFormat="1"/>
    <row r="40601" s="2" customFormat="1"/>
    <row r="40602" s="2" customFormat="1"/>
    <row r="40603" s="2" customFormat="1"/>
    <row r="40604" s="2" customFormat="1"/>
    <row r="40605" s="2" customFormat="1"/>
    <row r="40606" s="2" customFormat="1"/>
    <row r="40607" s="2" customFormat="1"/>
    <row r="40608" s="2" customFormat="1"/>
    <row r="40609" s="2" customFormat="1"/>
    <row r="40610" s="2" customFormat="1"/>
    <row r="40611" s="2" customFormat="1"/>
    <row r="40612" s="2" customFormat="1"/>
    <row r="40613" s="2" customFormat="1"/>
    <row r="40614" s="2" customFormat="1"/>
    <row r="40615" s="2" customFormat="1"/>
    <row r="40616" s="2" customFormat="1"/>
    <row r="40617" s="2" customFormat="1"/>
    <row r="40618" s="2" customFormat="1"/>
    <row r="40619" s="2" customFormat="1"/>
    <row r="40620" s="2" customFormat="1"/>
    <row r="40621" s="2" customFormat="1"/>
    <row r="40622" s="2" customFormat="1"/>
    <row r="40623" s="2" customFormat="1"/>
    <row r="40624" s="2" customFormat="1"/>
    <row r="40625" s="2" customFormat="1"/>
    <row r="40626" s="2" customFormat="1"/>
    <row r="40627" s="2" customFormat="1"/>
    <row r="40628" s="2" customFormat="1"/>
    <row r="40629" s="2" customFormat="1"/>
    <row r="40630" s="2" customFormat="1"/>
    <row r="40631" s="2" customFormat="1"/>
    <row r="40632" s="2" customFormat="1"/>
    <row r="40633" s="2" customFormat="1"/>
    <row r="40634" s="2" customFormat="1"/>
    <row r="40635" s="2" customFormat="1"/>
    <row r="40636" s="2" customFormat="1"/>
    <row r="40637" s="2" customFormat="1"/>
    <row r="40638" s="2" customFormat="1"/>
    <row r="40639" s="2" customFormat="1"/>
    <row r="40640" s="2" customFormat="1"/>
    <row r="40641" s="2" customFormat="1"/>
    <row r="40642" s="2" customFormat="1"/>
    <row r="40643" s="2" customFormat="1"/>
    <row r="40644" s="2" customFormat="1"/>
    <row r="40645" s="2" customFormat="1"/>
    <row r="40646" s="2" customFormat="1"/>
    <row r="40647" s="2" customFormat="1"/>
    <row r="40648" s="2" customFormat="1"/>
    <row r="40649" s="2" customFormat="1"/>
    <row r="40650" s="2" customFormat="1"/>
    <row r="40651" s="2" customFormat="1"/>
    <row r="40652" s="2" customFormat="1"/>
    <row r="40653" s="2" customFormat="1"/>
    <row r="40654" s="2" customFormat="1"/>
    <row r="40655" s="2" customFormat="1"/>
    <row r="40656" s="2" customFormat="1"/>
    <row r="40657" s="2" customFormat="1"/>
    <row r="40658" s="2" customFormat="1"/>
    <row r="40659" s="2" customFormat="1"/>
    <row r="40660" s="2" customFormat="1"/>
    <row r="40661" s="2" customFormat="1"/>
    <row r="40662" s="2" customFormat="1"/>
    <row r="40663" s="2" customFormat="1"/>
    <row r="40664" s="2" customFormat="1"/>
    <row r="40665" s="2" customFormat="1"/>
    <row r="40666" s="2" customFormat="1"/>
    <row r="40667" s="2" customFormat="1"/>
    <row r="40668" s="2" customFormat="1"/>
    <row r="40669" s="2" customFormat="1"/>
    <row r="40670" s="2" customFormat="1"/>
    <row r="40671" s="2" customFormat="1"/>
    <row r="40672" s="2" customFormat="1"/>
    <row r="40673" s="2" customFormat="1"/>
    <row r="40674" s="2" customFormat="1"/>
    <row r="40675" s="2" customFormat="1"/>
    <row r="40676" s="2" customFormat="1"/>
    <row r="40677" s="2" customFormat="1"/>
    <row r="40678" s="2" customFormat="1"/>
    <row r="40679" s="2" customFormat="1"/>
    <row r="40680" s="2" customFormat="1"/>
    <row r="40681" s="2" customFormat="1"/>
    <row r="40682" s="2" customFormat="1"/>
    <row r="40683" s="2" customFormat="1"/>
    <row r="40684" s="2" customFormat="1"/>
    <row r="40685" s="2" customFormat="1"/>
    <row r="40686" s="2" customFormat="1"/>
    <row r="40687" s="2" customFormat="1"/>
    <row r="40688" s="2" customFormat="1"/>
    <row r="40689" s="2" customFormat="1"/>
    <row r="40690" s="2" customFormat="1"/>
    <row r="40691" s="2" customFormat="1"/>
    <row r="40692" s="2" customFormat="1"/>
    <row r="40693" s="2" customFormat="1"/>
    <row r="40694" s="2" customFormat="1"/>
    <row r="40695" s="2" customFormat="1"/>
    <row r="40696" s="2" customFormat="1"/>
    <row r="40697" s="2" customFormat="1"/>
    <row r="40698" s="2" customFormat="1"/>
    <row r="40699" s="2" customFormat="1"/>
    <row r="40700" s="2" customFormat="1"/>
    <row r="40701" s="2" customFormat="1"/>
    <row r="40702" s="2" customFormat="1"/>
    <row r="40703" s="2" customFormat="1"/>
    <row r="40704" s="2" customFormat="1"/>
    <row r="40705" s="2" customFormat="1"/>
    <row r="40706" s="2" customFormat="1"/>
    <row r="40707" s="2" customFormat="1"/>
    <row r="40708" s="2" customFormat="1"/>
    <row r="40709" s="2" customFormat="1"/>
    <row r="40710" s="2" customFormat="1"/>
    <row r="40711" s="2" customFormat="1"/>
    <row r="40712" s="2" customFormat="1"/>
    <row r="40713" s="2" customFormat="1"/>
    <row r="40714" s="2" customFormat="1"/>
    <row r="40715" s="2" customFormat="1"/>
    <row r="40716" s="2" customFormat="1"/>
    <row r="40717" s="2" customFormat="1"/>
    <row r="40718" s="2" customFormat="1"/>
    <row r="40719" s="2" customFormat="1"/>
    <row r="40720" s="2" customFormat="1"/>
    <row r="40721" s="2" customFormat="1"/>
    <row r="40722" s="2" customFormat="1"/>
    <row r="40723" s="2" customFormat="1"/>
    <row r="40724" s="2" customFormat="1"/>
    <row r="40725" s="2" customFormat="1"/>
    <row r="40726" s="2" customFormat="1"/>
    <row r="40727" s="2" customFormat="1"/>
    <row r="40728" s="2" customFormat="1"/>
    <row r="40729" s="2" customFormat="1"/>
    <row r="40730" s="2" customFormat="1"/>
    <row r="40731" s="2" customFormat="1"/>
    <row r="40732" s="2" customFormat="1"/>
    <row r="40733" s="2" customFormat="1"/>
    <row r="40734" s="2" customFormat="1"/>
    <row r="40735" s="2" customFormat="1"/>
    <row r="40736" s="2" customFormat="1"/>
    <row r="40737" s="2" customFormat="1"/>
    <row r="40738" s="2" customFormat="1"/>
    <row r="40739" s="2" customFormat="1"/>
    <row r="40740" s="2" customFormat="1"/>
    <row r="40741" s="2" customFormat="1"/>
    <row r="40742" s="2" customFormat="1"/>
    <row r="40743" s="2" customFormat="1"/>
    <row r="40744" s="2" customFormat="1"/>
    <row r="40745" s="2" customFormat="1"/>
    <row r="40746" s="2" customFormat="1"/>
    <row r="40747" s="2" customFormat="1"/>
    <row r="40748" s="2" customFormat="1"/>
    <row r="40749" s="2" customFormat="1"/>
    <row r="40750" s="2" customFormat="1"/>
    <row r="40751" s="2" customFormat="1"/>
    <row r="40752" s="2" customFormat="1"/>
    <row r="40753" s="2" customFormat="1"/>
    <row r="40754" s="2" customFormat="1"/>
    <row r="40755" s="2" customFormat="1"/>
    <row r="40756" s="2" customFormat="1"/>
    <row r="40757" s="2" customFormat="1"/>
    <row r="40758" s="2" customFormat="1"/>
    <row r="40759" s="2" customFormat="1"/>
    <row r="40760" s="2" customFormat="1"/>
    <row r="40761" s="2" customFormat="1"/>
    <row r="40762" s="2" customFormat="1"/>
    <row r="40763" s="2" customFormat="1"/>
    <row r="40764" s="2" customFormat="1"/>
    <row r="40765" s="2" customFormat="1"/>
    <row r="40766" s="2" customFormat="1"/>
    <row r="40767" s="2" customFormat="1"/>
    <row r="40768" s="2" customFormat="1"/>
    <row r="40769" s="2" customFormat="1"/>
    <row r="40770" s="2" customFormat="1"/>
    <row r="40771" s="2" customFormat="1"/>
    <row r="40772" s="2" customFormat="1"/>
    <row r="40773" s="2" customFormat="1"/>
    <row r="40774" s="2" customFormat="1"/>
    <row r="40775" s="2" customFormat="1"/>
    <row r="40776" s="2" customFormat="1"/>
    <row r="40777" s="2" customFormat="1"/>
    <row r="40778" s="2" customFormat="1"/>
    <row r="40779" s="2" customFormat="1"/>
    <row r="40780" s="2" customFormat="1"/>
    <row r="40781" s="2" customFormat="1"/>
    <row r="40782" s="2" customFormat="1"/>
    <row r="40783" s="2" customFormat="1"/>
    <row r="40784" s="2" customFormat="1"/>
    <row r="40785" s="2" customFormat="1"/>
    <row r="40786" s="2" customFormat="1"/>
    <row r="40787" s="2" customFormat="1"/>
    <row r="40788" s="2" customFormat="1"/>
    <row r="40789" s="2" customFormat="1"/>
    <row r="40790" s="2" customFormat="1"/>
    <row r="40791" s="2" customFormat="1"/>
    <row r="40792" s="2" customFormat="1"/>
    <row r="40793" s="2" customFormat="1"/>
    <row r="40794" s="2" customFormat="1"/>
    <row r="40795" s="2" customFormat="1"/>
    <row r="40796" s="2" customFormat="1"/>
    <row r="40797" s="2" customFormat="1"/>
    <row r="40798" s="2" customFormat="1"/>
    <row r="40799" s="2" customFormat="1"/>
    <row r="40800" s="2" customFormat="1"/>
    <row r="40801" s="2" customFormat="1"/>
    <row r="40802" s="2" customFormat="1"/>
    <row r="40803" s="2" customFormat="1"/>
    <row r="40804" s="2" customFormat="1"/>
    <row r="40805" s="2" customFormat="1"/>
    <row r="40806" s="2" customFormat="1"/>
    <row r="40807" s="2" customFormat="1"/>
    <row r="40808" s="2" customFormat="1"/>
    <row r="40809" s="2" customFormat="1"/>
    <row r="40810" s="2" customFormat="1"/>
    <row r="40811" s="2" customFormat="1"/>
    <row r="40812" s="2" customFormat="1"/>
    <row r="40813" s="2" customFormat="1"/>
    <row r="40814" s="2" customFormat="1"/>
    <row r="40815" s="2" customFormat="1"/>
    <row r="40816" s="2" customFormat="1"/>
    <row r="40817" s="2" customFormat="1"/>
    <row r="40818" s="2" customFormat="1"/>
    <row r="40819" s="2" customFormat="1"/>
    <row r="40820" s="2" customFormat="1"/>
    <row r="40821" s="2" customFormat="1"/>
    <row r="40822" s="2" customFormat="1"/>
    <row r="40823" s="2" customFormat="1"/>
    <row r="40824" s="2" customFormat="1"/>
    <row r="40825" s="2" customFormat="1"/>
    <row r="40826" s="2" customFormat="1"/>
    <row r="40827" s="2" customFormat="1"/>
    <row r="40828" s="2" customFormat="1"/>
    <row r="40829" s="2" customFormat="1"/>
    <row r="40830" s="2" customFormat="1"/>
    <row r="40831" s="2" customFormat="1"/>
    <row r="40832" s="2" customFormat="1"/>
    <row r="40833" s="2" customFormat="1"/>
    <row r="40834" s="2" customFormat="1"/>
    <row r="40835" s="2" customFormat="1"/>
    <row r="40836" s="2" customFormat="1"/>
    <row r="40837" s="2" customFormat="1"/>
    <row r="40838" s="2" customFormat="1"/>
    <row r="40839" s="2" customFormat="1"/>
    <row r="40840" s="2" customFormat="1"/>
    <row r="40841" s="2" customFormat="1"/>
    <row r="40842" s="2" customFormat="1"/>
    <row r="40843" s="2" customFormat="1"/>
    <row r="40844" s="2" customFormat="1"/>
    <row r="40845" s="2" customFormat="1"/>
    <row r="40846" s="2" customFormat="1"/>
    <row r="40847" s="2" customFormat="1"/>
    <row r="40848" s="2" customFormat="1"/>
    <row r="40849" s="2" customFormat="1"/>
    <row r="40850" s="2" customFormat="1"/>
    <row r="40851" s="2" customFormat="1"/>
    <row r="40852" s="2" customFormat="1"/>
    <row r="40853" s="2" customFormat="1"/>
    <row r="40854" s="2" customFormat="1"/>
    <row r="40855" s="2" customFormat="1"/>
    <row r="40856" s="2" customFormat="1"/>
    <row r="40857" s="2" customFormat="1"/>
    <row r="40858" s="2" customFormat="1"/>
    <row r="40859" s="2" customFormat="1"/>
    <row r="40860" s="2" customFormat="1"/>
    <row r="40861" s="2" customFormat="1"/>
    <row r="40862" s="2" customFormat="1"/>
    <row r="40863" s="2" customFormat="1"/>
    <row r="40864" s="2" customFormat="1"/>
    <row r="40865" s="2" customFormat="1"/>
    <row r="40866" s="2" customFormat="1"/>
    <row r="40867" s="2" customFormat="1"/>
    <row r="40868" s="2" customFormat="1"/>
    <row r="40869" s="2" customFormat="1"/>
    <row r="40870" s="2" customFormat="1"/>
    <row r="40871" s="2" customFormat="1"/>
    <row r="40872" s="2" customFormat="1"/>
    <row r="40873" s="2" customFormat="1"/>
    <row r="40874" s="2" customFormat="1"/>
    <row r="40875" s="2" customFormat="1"/>
    <row r="40876" s="2" customFormat="1"/>
    <row r="40877" s="2" customFormat="1"/>
    <row r="40878" s="2" customFormat="1"/>
    <row r="40879" s="2" customFormat="1"/>
    <row r="40880" s="2" customFormat="1"/>
    <row r="40881" s="2" customFormat="1"/>
    <row r="40882" s="2" customFormat="1"/>
    <row r="40883" s="2" customFormat="1"/>
    <row r="40884" s="2" customFormat="1"/>
    <row r="40885" s="2" customFormat="1"/>
    <row r="40886" s="2" customFormat="1"/>
    <row r="40887" s="2" customFormat="1"/>
    <row r="40888" s="2" customFormat="1"/>
    <row r="40889" s="2" customFormat="1"/>
    <row r="40890" s="2" customFormat="1"/>
    <row r="40891" s="2" customFormat="1"/>
    <row r="40892" s="2" customFormat="1"/>
    <row r="40893" s="2" customFormat="1"/>
    <row r="40894" s="2" customFormat="1"/>
    <row r="40895" s="2" customFormat="1"/>
    <row r="40896" s="2" customFormat="1"/>
    <row r="40897" s="2" customFormat="1"/>
    <row r="40898" s="2" customFormat="1"/>
    <row r="40899" s="2" customFormat="1"/>
    <row r="40900" s="2" customFormat="1"/>
    <row r="40901" s="2" customFormat="1"/>
    <row r="40902" s="2" customFormat="1"/>
    <row r="40903" s="2" customFormat="1"/>
    <row r="40904" s="2" customFormat="1"/>
    <row r="40905" s="2" customFormat="1"/>
    <row r="40906" s="2" customFormat="1"/>
    <row r="40907" s="2" customFormat="1"/>
    <row r="40908" s="2" customFormat="1"/>
    <row r="40909" s="2" customFormat="1"/>
    <row r="40910" s="2" customFormat="1"/>
    <row r="40911" s="2" customFormat="1"/>
    <row r="40912" s="2" customFormat="1"/>
    <row r="40913" s="2" customFormat="1"/>
    <row r="40914" s="2" customFormat="1"/>
    <row r="40915" s="2" customFormat="1"/>
    <row r="40916" s="2" customFormat="1"/>
    <row r="40917" s="2" customFormat="1"/>
    <row r="40918" s="2" customFormat="1"/>
    <row r="40919" s="2" customFormat="1"/>
    <row r="40920" s="2" customFormat="1"/>
    <row r="40921" s="2" customFormat="1"/>
    <row r="40922" s="2" customFormat="1"/>
    <row r="40923" s="2" customFormat="1"/>
    <row r="40924" s="2" customFormat="1"/>
    <row r="40925" s="2" customFormat="1"/>
    <row r="40926" s="2" customFormat="1"/>
    <row r="40927" s="2" customFormat="1"/>
    <row r="40928" s="2" customFormat="1"/>
    <row r="40929" s="2" customFormat="1"/>
    <row r="40930" s="2" customFormat="1"/>
    <row r="40931" s="2" customFormat="1"/>
    <row r="40932" s="2" customFormat="1"/>
    <row r="40933" s="2" customFormat="1"/>
    <row r="40934" s="2" customFormat="1"/>
    <row r="40935" s="2" customFormat="1"/>
    <row r="40936" s="2" customFormat="1"/>
    <row r="40937" s="2" customFormat="1"/>
    <row r="40938" s="2" customFormat="1"/>
    <row r="40939" s="2" customFormat="1"/>
    <row r="40940" s="2" customFormat="1"/>
    <row r="40941" s="2" customFormat="1"/>
    <row r="40942" s="2" customFormat="1"/>
    <row r="40943" s="2" customFormat="1"/>
    <row r="40944" s="2" customFormat="1"/>
    <row r="40945" s="2" customFormat="1"/>
    <row r="40946" s="2" customFormat="1"/>
    <row r="40947" s="2" customFormat="1"/>
    <row r="40948" s="2" customFormat="1"/>
    <row r="40949" s="2" customFormat="1"/>
    <row r="40950" s="2" customFormat="1"/>
    <row r="40951" s="2" customFormat="1"/>
    <row r="40952" s="2" customFormat="1"/>
    <row r="40953" s="2" customFormat="1"/>
    <row r="40954" s="2" customFormat="1"/>
    <row r="40955" s="2" customFormat="1"/>
    <row r="40956" s="2" customFormat="1"/>
    <row r="40957" s="2" customFormat="1"/>
    <row r="40958" s="2" customFormat="1"/>
    <row r="40959" s="2" customFormat="1"/>
    <row r="40960" s="2" customFormat="1"/>
    <row r="40961" s="2" customFormat="1"/>
    <row r="40962" s="2" customFormat="1"/>
    <row r="40963" s="2" customFormat="1"/>
    <row r="40964" s="2" customFormat="1"/>
    <row r="40965" s="2" customFormat="1"/>
    <row r="40966" s="2" customFormat="1"/>
    <row r="40967" s="2" customFormat="1"/>
    <row r="40968" s="2" customFormat="1"/>
    <row r="40969" s="2" customFormat="1"/>
    <row r="40970" s="2" customFormat="1"/>
    <row r="40971" s="2" customFormat="1"/>
    <row r="40972" s="2" customFormat="1"/>
    <row r="40973" s="2" customFormat="1"/>
    <row r="40974" s="2" customFormat="1"/>
    <row r="40975" s="2" customFormat="1"/>
    <row r="40976" s="2" customFormat="1"/>
    <row r="40977" s="2" customFormat="1"/>
    <row r="40978" s="2" customFormat="1"/>
    <row r="40979" s="2" customFormat="1"/>
    <row r="40980" s="2" customFormat="1"/>
    <row r="40981" s="2" customFormat="1"/>
    <row r="40982" s="2" customFormat="1"/>
    <row r="40983" s="2" customFormat="1"/>
    <row r="40984" s="2" customFormat="1"/>
    <row r="40985" s="2" customFormat="1"/>
    <row r="40986" s="2" customFormat="1"/>
    <row r="40987" s="2" customFormat="1"/>
    <row r="40988" s="2" customFormat="1"/>
    <row r="40989" s="2" customFormat="1"/>
    <row r="40990" s="2" customFormat="1"/>
    <row r="40991" s="2" customFormat="1"/>
    <row r="40992" s="2" customFormat="1"/>
    <row r="40993" s="2" customFormat="1"/>
    <row r="40994" s="2" customFormat="1"/>
    <row r="40995" s="2" customFormat="1"/>
    <row r="40996" s="2" customFormat="1"/>
    <row r="40997" s="2" customFormat="1"/>
    <row r="40998" s="2" customFormat="1"/>
    <row r="40999" s="2" customFormat="1"/>
    <row r="41000" s="2" customFormat="1"/>
    <row r="41001" s="2" customFormat="1"/>
    <row r="41002" s="2" customFormat="1"/>
    <row r="41003" s="2" customFormat="1"/>
    <row r="41004" s="2" customFormat="1"/>
    <row r="41005" s="2" customFormat="1"/>
    <row r="41006" s="2" customFormat="1"/>
    <row r="41007" s="2" customFormat="1"/>
    <row r="41008" s="2" customFormat="1"/>
    <row r="41009" s="2" customFormat="1"/>
    <row r="41010" s="2" customFormat="1"/>
    <row r="41011" s="2" customFormat="1"/>
    <row r="41012" s="2" customFormat="1"/>
    <row r="41013" s="2" customFormat="1"/>
    <row r="41014" s="2" customFormat="1"/>
    <row r="41015" s="2" customFormat="1"/>
    <row r="41016" s="2" customFormat="1"/>
    <row r="41017" s="2" customFormat="1"/>
    <row r="41018" s="2" customFormat="1"/>
    <row r="41019" s="2" customFormat="1"/>
    <row r="41020" s="2" customFormat="1"/>
    <row r="41021" s="2" customFormat="1"/>
    <row r="41022" s="2" customFormat="1"/>
    <row r="41023" s="2" customFormat="1"/>
    <row r="41024" s="2" customFormat="1"/>
    <row r="41025" s="2" customFormat="1"/>
    <row r="41026" s="2" customFormat="1"/>
    <row r="41027" s="2" customFormat="1"/>
    <row r="41028" s="2" customFormat="1"/>
    <row r="41029" s="2" customFormat="1"/>
    <row r="41030" s="2" customFormat="1"/>
    <row r="41031" s="2" customFormat="1"/>
    <row r="41032" s="2" customFormat="1"/>
    <row r="41033" s="2" customFormat="1"/>
    <row r="41034" s="2" customFormat="1"/>
    <row r="41035" s="2" customFormat="1"/>
    <row r="41036" s="2" customFormat="1"/>
    <row r="41037" s="2" customFormat="1"/>
    <row r="41038" s="2" customFormat="1"/>
    <row r="41039" s="2" customFormat="1"/>
    <row r="41040" s="2" customFormat="1"/>
    <row r="41041" s="2" customFormat="1"/>
    <row r="41042" s="2" customFormat="1"/>
    <row r="41043" s="2" customFormat="1"/>
    <row r="41044" s="2" customFormat="1"/>
    <row r="41045" s="2" customFormat="1"/>
    <row r="41046" s="2" customFormat="1"/>
    <row r="41047" s="2" customFormat="1"/>
    <row r="41048" s="2" customFormat="1"/>
    <row r="41049" s="2" customFormat="1"/>
    <row r="41050" s="2" customFormat="1"/>
    <row r="41051" s="2" customFormat="1"/>
    <row r="41052" s="2" customFormat="1"/>
    <row r="41053" s="2" customFormat="1"/>
    <row r="41054" s="2" customFormat="1"/>
    <row r="41055" s="2" customFormat="1"/>
    <row r="41056" s="2" customFormat="1"/>
    <row r="41057" s="2" customFormat="1"/>
    <row r="41058" s="2" customFormat="1"/>
    <row r="41059" s="2" customFormat="1"/>
    <row r="41060" s="2" customFormat="1"/>
    <row r="41061" s="2" customFormat="1"/>
    <row r="41062" s="2" customFormat="1"/>
    <row r="41063" s="2" customFormat="1"/>
    <row r="41064" s="2" customFormat="1"/>
    <row r="41065" s="2" customFormat="1"/>
    <row r="41066" s="2" customFormat="1"/>
    <row r="41067" s="2" customFormat="1"/>
    <row r="41068" s="2" customFormat="1"/>
    <row r="41069" s="2" customFormat="1"/>
    <row r="41070" s="2" customFormat="1"/>
    <row r="41071" s="2" customFormat="1"/>
    <row r="41072" s="2" customFormat="1"/>
    <row r="41073" s="2" customFormat="1"/>
    <row r="41074" s="2" customFormat="1"/>
    <row r="41075" s="2" customFormat="1"/>
    <row r="41076" s="2" customFormat="1"/>
    <row r="41077" s="2" customFormat="1"/>
    <row r="41078" s="2" customFormat="1"/>
    <row r="41079" s="2" customFormat="1"/>
    <row r="41080" s="2" customFormat="1"/>
    <row r="41081" s="2" customFormat="1"/>
    <row r="41082" s="2" customFormat="1"/>
    <row r="41083" s="2" customFormat="1"/>
    <row r="41084" s="2" customFormat="1"/>
    <row r="41085" s="2" customFormat="1"/>
    <row r="41086" s="2" customFormat="1"/>
    <row r="41087" s="2" customFormat="1"/>
    <row r="41088" s="2" customFormat="1"/>
    <row r="41089" s="2" customFormat="1"/>
    <row r="41090" s="2" customFormat="1"/>
    <row r="41091" s="2" customFormat="1"/>
    <row r="41092" s="2" customFormat="1"/>
    <row r="41093" s="2" customFormat="1"/>
    <row r="41094" s="2" customFormat="1"/>
    <row r="41095" s="2" customFormat="1"/>
    <row r="41096" s="2" customFormat="1"/>
    <row r="41097" s="2" customFormat="1"/>
    <row r="41098" s="2" customFormat="1"/>
    <row r="41099" s="2" customFormat="1"/>
    <row r="41100" s="2" customFormat="1"/>
    <row r="41101" s="2" customFormat="1"/>
    <row r="41102" s="2" customFormat="1"/>
    <row r="41103" s="2" customFormat="1"/>
    <row r="41104" s="2" customFormat="1"/>
    <row r="41105" s="2" customFormat="1"/>
    <row r="41106" s="2" customFormat="1"/>
    <row r="41107" s="2" customFormat="1"/>
    <row r="41108" s="2" customFormat="1"/>
    <row r="41109" s="2" customFormat="1"/>
    <row r="41110" s="2" customFormat="1"/>
    <row r="41111" s="2" customFormat="1"/>
    <row r="41112" s="2" customFormat="1"/>
    <row r="41113" s="2" customFormat="1"/>
    <row r="41114" s="2" customFormat="1"/>
    <row r="41115" s="2" customFormat="1"/>
    <row r="41116" s="2" customFormat="1"/>
    <row r="41117" s="2" customFormat="1"/>
    <row r="41118" s="2" customFormat="1"/>
    <row r="41119" s="2" customFormat="1"/>
    <row r="41120" s="2" customFormat="1"/>
    <row r="41121" s="2" customFormat="1"/>
    <row r="41122" s="2" customFormat="1"/>
    <row r="41123" s="2" customFormat="1"/>
    <row r="41124" s="2" customFormat="1"/>
    <row r="41125" s="2" customFormat="1"/>
    <row r="41126" s="2" customFormat="1"/>
    <row r="41127" s="2" customFormat="1"/>
    <row r="41128" s="2" customFormat="1"/>
    <row r="41129" s="2" customFormat="1"/>
    <row r="41130" s="2" customFormat="1"/>
    <row r="41131" s="2" customFormat="1"/>
    <row r="41132" s="2" customFormat="1"/>
    <row r="41133" s="2" customFormat="1"/>
    <row r="41134" s="2" customFormat="1"/>
    <row r="41135" s="2" customFormat="1"/>
    <row r="41136" s="2" customFormat="1"/>
    <row r="41137" s="2" customFormat="1"/>
    <row r="41138" s="2" customFormat="1"/>
    <row r="41139" s="2" customFormat="1"/>
    <row r="41140" s="2" customFormat="1"/>
    <row r="41141" s="2" customFormat="1"/>
    <row r="41142" s="2" customFormat="1"/>
    <row r="41143" s="2" customFormat="1"/>
    <row r="41144" s="2" customFormat="1"/>
    <row r="41145" s="2" customFormat="1"/>
    <row r="41146" s="2" customFormat="1"/>
    <row r="41147" s="2" customFormat="1"/>
    <row r="41148" s="2" customFormat="1"/>
    <row r="41149" s="2" customFormat="1"/>
    <row r="41150" s="2" customFormat="1"/>
    <row r="41151" s="2" customFormat="1"/>
    <row r="41152" s="2" customFormat="1"/>
    <row r="41153" s="2" customFormat="1"/>
    <row r="41154" s="2" customFormat="1"/>
    <row r="41155" s="2" customFormat="1"/>
    <row r="41156" s="2" customFormat="1"/>
    <row r="41157" s="2" customFormat="1"/>
    <row r="41158" s="2" customFormat="1"/>
    <row r="41159" s="2" customFormat="1"/>
    <row r="41160" s="2" customFormat="1"/>
    <row r="41161" s="2" customFormat="1"/>
    <row r="41162" s="2" customFormat="1"/>
    <row r="41163" s="2" customFormat="1"/>
    <row r="41164" s="2" customFormat="1"/>
    <row r="41165" s="2" customFormat="1"/>
    <row r="41166" s="2" customFormat="1"/>
    <row r="41167" s="2" customFormat="1"/>
    <row r="41168" s="2" customFormat="1"/>
    <row r="41169" s="2" customFormat="1"/>
    <row r="41170" s="2" customFormat="1"/>
    <row r="41171" s="2" customFormat="1"/>
    <row r="41172" s="2" customFormat="1"/>
    <row r="41173" s="2" customFormat="1"/>
    <row r="41174" s="2" customFormat="1"/>
    <row r="41175" s="2" customFormat="1"/>
    <row r="41176" s="2" customFormat="1"/>
    <row r="41177" s="2" customFormat="1"/>
    <row r="41178" s="2" customFormat="1"/>
    <row r="41179" s="2" customFormat="1"/>
    <row r="41180" s="2" customFormat="1"/>
    <row r="41181" s="2" customFormat="1"/>
    <row r="41182" s="2" customFormat="1"/>
    <row r="41183" s="2" customFormat="1"/>
    <row r="41184" s="2" customFormat="1"/>
    <row r="41185" s="2" customFormat="1"/>
    <row r="41186" s="2" customFormat="1"/>
    <row r="41187" s="2" customFormat="1"/>
    <row r="41188" s="2" customFormat="1"/>
    <row r="41189" s="2" customFormat="1"/>
    <row r="41190" s="2" customFormat="1"/>
    <row r="41191" s="2" customFormat="1"/>
    <row r="41192" s="2" customFormat="1"/>
    <row r="41193" s="2" customFormat="1"/>
    <row r="41194" s="2" customFormat="1"/>
    <row r="41195" s="2" customFormat="1"/>
    <row r="41196" s="2" customFormat="1"/>
    <row r="41197" s="2" customFormat="1"/>
    <row r="41198" s="2" customFormat="1"/>
    <row r="41199" s="2" customFormat="1"/>
    <row r="41200" s="2" customFormat="1"/>
    <row r="41201" s="2" customFormat="1"/>
    <row r="41202" s="2" customFormat="1"/>
    <row r="41203" s="2" customFormat="1"/>
    <row r="41204" s="2" customFormat="1"/>
    <row r="41205" s="2" customFormat="1"/>
    <row r="41206" s="2" customFormat="1"/>
    <row r="41207" s="2" customFormat="1"/>
    <row r="41208" s="2" customFormat="1"/>
    <row r="41209" s="2" customFormat="1"/>
    <row r="41210" s="2" customFormat="1"/>
    <row r="41211" s="2" customFormat="1"/>
    <row r="41212" s="2" customFormat="1"/>
    <row r="41213" s="2" customFormat="1"/>
    <row r="41214" s="2" customFormat="1"/>
    <row r="41215" s="2" customFormat="1"/>
    <row r="41216" s="2" customFormat="1"/>
    <row r="41217" s="2" customFormat="1"/>
    <row r="41218" s="2" customFormat="1"/>
    <row r="41219" s="2" customFormat="1"/>
    <row r="41220" s="2" customFormat="1"/>
    <row r="41221" s="2" customFormat="1"/>
    <row r="41222" s="2" customFormat="1"/>
    <row r="41223" s="2" customFormat="1"/>
    <row r="41224" s="2" customFormat="1"/>
    <row r="41225" s="2" customFormat="1"/>
    <row r="41226" s="2" customFormat="1"/>
    <row r="41227" s="2" customFormat="1"/>
    <row r="41228" s="2" customFormat="1"/>
    <row r="41229" s="2" customFormat="1"/>
    <row r="41230" s="2" customFormat="1"/>
    <row r="41231" s="2" customFormat="1"/>
    <row r="41232" s="2" customFormat="1"/>
    <row r="41233" s="2" customFormat="1"/>
    <row r="41234" s="2" customFormat="1"/>
    <row r="41235" s="2" customFormat="1"/>
    <row r="41236" s="2" customFormat="1"/>
    <row r="41237" s="2" customFormat="1"/>
    <row r="41238" s="2" customFormat="1"/>
    <row r="41239" s="2" customFormat="1"/>
    <row r="41240" s="2" customFormat="1"/>
    <row r="41241" s="2" customFormat="1"/>
    <row r="41242" s="2" customFormat="1"/>
    <row r="41243" s="2" customFormat="1"/>
    <row r="41244" s="2" customFormat="1"/>
    <row r="41245" s="2" customFormat="1"/>
    <row r="41246" s="2" customFormat="1"/>
    <row r="41247" s="2" customFormat="1"/>
    <row r="41248" s="2" customFormat="1"/>
    <row r="41249" s="2" customFormat="1"/>
    <row r="41250" s="2" customFormat="1"/>
    <row r="41251" s="2" customFormat="1"/>
    <row r="41252" s="2" customFormat="1"/>
    <row r="41253" s="2" customFormat="1"/>
    <row r="41254" s="2" customFormat="1"/>
    <row r="41255" s="2" customFormat="1"/>
    <row r="41256" s="2" customFormat="1"/>
    <row r="41257" s="2" customFormat="1"/>
    <row r="41258" s="2" customFormat="1"/>
    <row r="41259" s="2" customFormat="1"/>
    <row r="41260" s="2" customFormat="1"/>
    <row r="41261" s="2" customFormat="1"/>
    <row r="41262" s="2" customFormat="1"/>
    <row r="41263" s="2" customFormat="1"/>
    <row r="41264" s="2" customFormat="1"/>
    <row r="41265" s="2" customFormat="1"/>
    <row r="41266" s="2" customFormat="1"/>
    <row r="41267" s="2" customFormat="1"/>
    <row r="41268" s="2" customFormat="1"/>
    <row r="41269" s="2" customFormat="1"/>
    <row r="41270" s="2" customFormat="1"/>
    <row r="41271" s="2" customFormat="1"/>
    <row r="41272" s="2" customFormat="1"/>
    <row r="41273" s="2" customFormat="1"/>
    <row r="41274" s="2" customFormat="1"/>
    <row r="41275" s="2" customFormat="1"/>
    <row r="41276" s="2" customFormat="1"/>
    <row r="41277" s="2" customFormat="1"/>
    <row r="41278" s="2" customFormat="1"/>
    <row r="41279" s="2" customFormat="1"/>
    <row r="41280" s="2" customFormat="1"/>
    <row r="41281" s="2" customFormat="1"/>
    <row r="41282" s="2" customFormat="1"/>
    <row r="41283" s="2" customFormat="1"/>
    <row r="41284" s="2" customFormat="1"/>
    <row r="41285" s="2" customFormat="1"/>
    <row r="41286" s="2" customFormat="1"/>
    <row r="41287" s="2" customFormat="1"/>
    <row r="41288" s="2" customFormat="1"/>
    <row r="41289" s="2" customFormat="1"/>
    <row r="41290" s="2" customFormat="1"/>
    <row r="41291" s="2" customFormat="1"/>
    <row r="41292" s="2" customFormat="1"/>
    <row r="41293" s="2" customFormat="1"/>
    <row r="41294" s="2" customFormat="1"/>
    <row r="41295" s="2" customFormat="1"/>
    <row r="41296" s="2" customFormat="1"/>
    <row r="41297" s="2" customFormat="1"/>
    <row r="41298" s="2" customFormat="1"/>
    <row r="41299" s="2" customFormat="1"/>
    <row r="41300" s="2" customFormat="1"/>
    <row r="41301" s="2" customFormat="1"/>
    <row r="41302" s="2" customFormat="1"/>
    <row r="41303" s="2" customFormat="1"/>
    <row r="41304" s="2" customFormat="1"/>
    <row r="41305" s="2" customFormat="1"/>
    <row r="41306" s="2" customFormat="1"/>
    <row r="41307" s="2" customFormat="1"/>
    <row r="41308" s="2" customFormat="1"/>
    <row r="41309" s="2" customFormat="1"/>
    <row r="41310" s="2" customFormat="1"/>
    <row r="41311" s="2" customFormat="1"/>
    <row r="41312" s="2" customFormat="1"/>
    <row r="41313" s="2" customFormat="1"/>
    <row r="41314" s="2" customFormat="1"/>
    <row r="41315" s="2" customFormat="1"/>
    <row r="41316" s="2" customFormat="1"/>
    <row r="41317" s="2" customFormat="1"/>
    <row r="41318" s="2" customFormat="1"/>
    <row r="41319" s="2" customFormat="1"/>
    <row r="41320" s="2" customFormat="1"/>
    <row r="41321" s="2" customFormat="1"/>
    <row r="41322" s="2" customFormat="1"/>
    <row r="41323" s="2" customFormat="1"/>
    <row r="41324" s="2" customFormat="1"/>
    <row r="41325" s="2" customFormat="1"/>
    <row r="41326" s="2" customFormat="1"/>
    <row r="41327" s="2" customFormat="1"/>
    <row r="41328" s="2" customFormat="1"/>
    <row r="41329" s="2" customFormat="1"/>
    <row r="41330" s="2" customFormat="1"/>
    <row r="41331" s="2" customFormat="1"/>
    <row r="41332" s="2" customFormat="1"/>
    <row r="41333" s="2" customFormat="1"/>
    <row r="41334" s="2" customFormat="1"/>
    <row r="41335" s="2" customFormat="1"/>
    <row r="41336" s="2" customFormat="1"/>
    <row r="41337" s="2" customFormat="1"/>
    <row r="41338" s="2" customFormat="1"/>
    <row r="41339" s="2" customFormat="1"/>
    <row r="41340" s="2" customFormat="1"/>
    <row r="41341" s="2" customFormat="1"/>
    <row r="41342" s="2" customFormat="1"/>
    <row r="41343" s="2" customFormat="1"/>
    <row r="41344" s="2" customFormat="1"/>
    <row r="41345" s="2" customFormat="1"/>
    <row r="41346" s="2" customFormat="1"/>
    <row r="41347" s="2" customFormat="1"/>
    <row r="41348" s="2" customFormat="1"/>
    <row r="41349" s="2" customFormat="1"/>
    <row r="41350" s="2" customFormat="1"/>
    <row r="41351" s="2" customFormat="1"/>
    <row r="41352" s="2" customFormat="1"/>
    <row r="41353" s="2" customFormat="1"/>
    <row r="41354" s="2" customFormat="1"/>
    <row r="41355" s="2" customFormat="1"/>
    <row r="41356" s="2" customFormat="1"/>
    <row r="41357" s="2" customFormat="1"/>
    <row r="41358" s="2" customFormat="1"/>
    <row r="41359" s="2" customFormat="1"/>
    <row r="41360" s="2" customFormat="1"/>
    <row r="41361" s="2" customFormat="1"/>
    <row r="41362" s="2" customFormat="1"/>
    <row r="41363" s="2" customFormat="1"/>
    <row r="41364" s="2" customFormat="1"/>
    <row r="41365" s="2" customFormat="1"/>
    <row r="41366" s="2" customFormat="1"/>
    <row r="41367" s="2" customFormat="1"/>
    <row r="41368" s="2" customFormat="1"/>
    <row r="41369" s="2" customFormat="1"/>
    <row r="41370" s="2" customFormat="1"/>
    <row r="41371" s="2" customFormat="1"/>
    <row r="41372" s="2" customFormat="1"/>
    <row r="41373" s="2" customFormat="1"/>
    <row r="41374" s="2" customFormat="1"/>
    <row r="41375" s="2" customFormat="1"/>
    <row r="41376" s="2" customFormat="1"/>
    <row r="41377" s="2" customFormat="1"/>
    <row r="41378" s="2" customFormat="1"/>
    <row r="41379" s="2" customFormat="1"/>
    <row r="41380" s="2" customFormat="1"/>
    <row r="41381" s="2" customFormat="1"/>
    <row r="41382" s="2" customFormat="1"/>
    <row r="41383" s="2" customFormat="1"/>
    <row r="41384" s="2" customFormat="1"/>
    <row r="41385" s="2" customFormat="1"/>
    <row r="41386" s="2" customFormat="1"/>
    <row r="41387" s="2" customFormat="1"/>
    <row r="41388" s="2" customFormat="1"/>
    <row r="41389" s="2" customFormat="1"/>
    <row r="41390" s="2" customFormat="1"/>
    <row r="41391" s="2" customFormat="1"/>
    <row r="41392" s="2" customFormat="1"/>
    <row r="41393" s="2" customFormat="1"/>
    <row r="41394" s="2" customFormat="1"/>
    <row r="41395" s="2" customFormat="1"/>
    <row r="41396" s="2" customFormat="1"/>
    <row r="41397" s="2" customFormat="1"/>
    <row r="41398" s="2" customFormat="1"/>
    <row r="41399" s="2" customFormat="1"/>
    <row r="41400" s="2" customFormat="1"/>
    <row r="41401" s="2" customFormat="1"/>
    <row r="41402" s="2" customFormat="1"/>
    <row r="41403" s="2" customFormat="1"/>
    <row r="41404" s="2" customFormat="1"/>
    <row r="41405" s="2" customFormat="1"/>
    <row r="41406" s="2" customFormat="1"/>
    <row r="41407" s="2" customFormat="1"/>
    <row r="41408" s="2" customFormat="1"/>
    <row r="41409" s="2" customFormat="1"/>
    <row r="41410" s="2" customFormat="1"/>
    <row r="41411" s="2" customFormat="1"/>
    <row r="41412" s="2" customFormat="1"/>
    <row r="41413" s="2" customFormat="1"/>
    <row r="41414" s="2" customFormat="1"/>
    <row r="41415" s="2" customFormat="1"/>
    <row r="41416" s="2" customFormat="1"/>
    <row r="41417" s="2" customFormat="1"/>
    <row r="41418" s="2" customFormat="1"/>
    <row r="41419" s="2" customFormat="1"/>
    <row r="41420" s="2" customFormat="1"/>
    <row r="41421" s="2" customFormat="1"/>
    <row r="41422" s="2" customFormat="1"/>
    <row r="41423" s="2" customFormat="1"/>
    <row r="41424" s="2" customFormat="1"/>
    <row r="41425" s="2" customFormat="1"/>
    <row r="41426" s="2" customFormat="1"/>
    <row r="41427" s="2" customFormat="1"/>
    <row r="41428" s="2" customFormat="1"/>
    <row r="41429" s="2" customFormat="1"/>
    <row r="41430" s="2" customFormat="1"/>
    <row r="41431" s="2" customFormat="1"/>
    <row r="41432" s="2" customFormat="1"/>
    <row r="41433" s="2" customFormat="1"/>
    <row r="41434" s="2" customFormat="1"/>
    <row r="41435" s="2" customFormat="1"/>
    <row r="41436" s="2" customFormat="1"/>
    <row r="41437" s="2" customFormat="1"/>
    <row r="41438" s="2" customFormat="1"/>
    <row r="41439" s="2" customFormat="1"/>
    <row r="41440" s="2" customFormat="1"/>
    <row r="41441" s="2" customFormat="1"/>
    <row r="41442" s="2" customFormat="1"/>
    <row r="41443" s="2" customFormat="1"/>
    <row r="41444" s="2" customFormat="1"/>
    <row r="41445" s="2" customFormat="1"/>
    <row r="41446" s="2" customFormat="1"/>
    <row r="41447" s="2" customFormat="1"/>
    <row r="41448" s="2" customFormat="1"/>
    <row r="41449" s="2" customFormat="1"/>
    <row r="41450" s="2" customFormat="1"/>
    <row r="41451" s="2" customFormat="1"/>
    <row r="41452" s="2" customFormat="1"/>
    <row r="41453" s="2" customFormat="1"/>
    <row r="41454" s="2" customFormat="1"/>
    <row r="41455" s="2" customFormat="1"/>
    <row r="41456" s="2" customFormat="1"/>
    <row r="41457" s="2" customFormat="1"/>
    <row r="41458" s="2" customFormat="1"/>
    <row r="41459" s="2" customFormat="1"/>
    <row r="41460" s="2" customFormat="1"/>
    <row r="41461" s="2" customFormat="1"/>
    <row r="41462" s="2" customFormat="1"/>
    <row r="41463" s="2" customFormat="1"/>
    <row r="41464" s="2" customFormat="1"/>
    <row r="41465" s="2" customFormat="1"/>
    <row r="41466" s="2" customFormat="1"/>
    <row r="41467" s="2" customFormat="1"/>
    <row r="41468" s="2" customFormat="1"/>
    <row r="41469" s="2" customFormat="1"/>
    <row r="41470" s="2" customFormat="1"/>
    <row r="41471" s="2" customFormat="1"/>
    <row r="41472" s="2" customFormat="1"/>
    <row r="41473" s="2" customFormat="1"/>
    <row r="41474" s="2" customFormat="1"/>
    <row r="41475" s="2" customFormat="1"/>
    <row r="41476" s="2" customFormat="1"/>
    <row r="41477" s="2" customFormat="1"/>
    <row r="41478" s="2" customFormat="1"/>
    <row r="41479" s="2" customFormat="1"/>
    <row r="41480" s="2" customFormat="1"/>
    <row r="41481" s="2" customFormat="1"/>
    <row r="41482" s="2" customFormat="1"/>
    <row r="41483" s="2" customFormat="1"/>
    <row r="41484" s="2" customFormat="1"/>
    <row r="41485" s="2" customFormat="1"/>
    <row r="41486" s="2" customFormat="1"/>
    <row r="41487" s="2" customFormat="1"/>
    <row r="41488" s="2" customFormat="1"/>
    <row r="41489" s="2" customFormat="1"/>
    <row r="41490" s="2" customFormat="1"/>
    <row r="41491" s="2" customFormat="1"/>
    <row r="41492" s="2" customFormat="1"/>
    <row r="41493" s="2" customFormat="1"/>
    <row r="41494" s="2" customFormat="1"/>
    <row r="41495" s="2" customFormat="1"/>
    <row r="41496" s="2" customFormat="1"/>
    <row r="41497" s="2" customFormat="1"/>
    <row r="41498" s="2" customFormat="1"/>
    <row r="41499" s="2" customFormat="1"/>
    <row r="41500" s="2" customFormat="1"/>
    <row r="41501" s="2" customFormat="1"/>
    <row r="41502" s="2" customFormat="1"/>
    <row r="41503" s="2" customFormat="1"/>
    <row r="41504" s="2" customFormat="1"/>
    <row r="41505" s="2" customFormat="1"/>
    <row r="41506" s="2" customFormat="1"/>
    <row r="41507" s="2" customFormat="1"/>
    <row r="41508" s="2" customFormat="1"/>
    <row r="41509" s="2" customFormat="1"/>
    <row r="41510" s="2" customFormat="1"/>
    <row r="41511" s="2" customFormat="1"/>
    <row r="41512" s="2" customFormat="1"/>
    <row r="41513" s="2" customFormat="1"/>
    <row r="41514" s="2" customFormat="1"/>
    <row r="41515" s="2" customFormat="1"/>
    <row r="41516" s="2" customFormat="1"/>
    <row r="41517" s="2" customFormat="1"/>
    <row r="41518" s="2" customFormat="1"/>
    <row r="41519" s="2" customFormat="1"/>
    <row r="41520" s="2" customFormat="1"/>
    <row r="41521" s="2" customFormat="1"/>
    <row r="41522" s="2" customFormat="1"/>
    <row r="41523" s="2" customFormat="1"/>
    <row r="41524" s="2" customFormat="1"/>
    <row r="41525" s="2" customFormat="1"/>
    <row r="41526" s="2" customFormat="1"/>
    <row r="41527" s="2" customFormat="1"/>
    <row r="41528" s="2" customFormat="1"/>
    <row r="41529" s="2" customFormat="1"/>
    <row r="41530" s="2" customFormat="1"/>
    <row r="41531" s="2" customFormat="1"/>
    <row r="41532" s="2" customFormat="1"/>
    <row r="41533" s="2" customFormat="1"/>
    <row r="41534" s="2" customFormat="1"/>
    <row r="41535" s="2" customFormat="1"/>
    <row r="41536" s="2" customFormat="1"/>
    <row r="41537" s="2" customFormat="1"/>
    <row r="41538" s="2" customFormat="1"/>
    <row r="41539" s="2" customFormat="1"/>
    <row r="41540" s="2" customFormat="1"/>
    <row r="41541" s="2" customFormat="1"/>
    <row r="41542" s="2" customFormat="1"/>
    <row r="41543" s="2" customFormat="1"/>
    <row r="41544" s="2" customFormat="1"/>
    <row r="41545" s="2" customFormat="1"/>
    <row r="41546" s="2" customFormat="1"/>
    <row r="41547" s="2" customFormat="1"/>
    <row r="41548" s="2" customFormat="1"/>
    <row r="41549" s="2" customFormat="1"/>
    <row r="41550" s="2" customFormat="1"/>
    <row r="41551" s="2" customFormat="1"/>
    <row r="41552" s="2" customFormat="1"/>
    <row r="41553" s="2" customFormat="1"/>
    <row r="41554" s="2" customFormat="1"/>
    <row r="41555" s="2" customFormat="1"/>
    <row r="41556" s="2" customFormat="1"/>
    <row r="41557" s="2" customFormat="1"/>
    <row r="41558" s="2" customFormat="1"/>
    <row r="41559" s="2" customFormat="1"/>
    <row r="41560" s="2" customFormat="1"/>
    <row r="41561" s="2" customFormat="1"/>
    <row r="41562" s="2" customFormat="1"/>
    <row r="41563" s="2" customFormat="1"/>
    <row r="41564" s="2" customFormat="1"/>
    <row r="41565" s="2" customFormat="1"/>
    <row r="41566" s="2" customFormat="1"/>
    <row r="41567" s="2" customFormat="1"/>
    <row r="41568" s="2" customFormat="1"/>
    <row r="41569" s="2" customFormat="1"/>
    <row r="41570" s="2" customFormat="1"/>
    <row r="41571" s="2" customFormat="1"/>
    <row r="41572" s="2" customFormat="1"/>
    <row r="41573" s="2" customFormat="1"/>
    <row r="41574" s="2" customFormat="1"/>
    <row r="41575" s="2" customFormat="1"/>
    <row r="41576" s="2" customFormat="1"/>
    <row r="41577" s="2" customFormat="1"/>
    <row r="41578" s="2" customFormat="1"/>
    <row r="41579" s="2" customFormat="1"/>
    <row r="41580" s="2" customFormat="1"/>
    <row r="41581" s="2" customFormat="1"/>
    <row r="41582" s="2" customFormat="1"/>
    <row r="41583" s="2" customFormat="1"/>
    <row r="41584" s="2" customFormat="1"/>
    <row r="41585" s="2" customFormat="1"/>
    <row r="41586" s="2" customFormat="1"/>
    <row r="41587" s="2" customFormat="1"/>
    <row r="41588" s="2" customFormat="1"/>
    <row r="41589" s="2" customFormat="1"/>
    <row r="41590" s="2" customFormat="1"/>
    <row r="41591" s="2" customFormat="1"/>
    <row r="41592" s="2" customFormat="1"/>
    <row r="41593" s="2" customFormat="1"/>
    <row r="41594" s="2" customFormat="1"/>
    <row r="41595" s="2" customFormat="1"/>
    <row r="41596" s="2" customFormat="1"/>
    <row r="41597" s="2" customFormat="1"/>
    <row r="41598" s="2" customFormat="1"/>
    <row r="41599" s="2" customFormat="1"/>
    <row r="41600" s="2" customFormat="1"/>
    <row r="41601" s="2" customFormat="1"/>
    <row r="41602" s="2" customFormat="1"/>
    <row r="41603" s="2" customFormat="1"/>
    <row r="41604" s="2" customFormat="1"/>
    <row r="41605" s="2" customFormat="1"/>
    <row r="41606" s="2" customFormat="1"/>
    <row r="41607" s="2" customFormat="1"/>
    <row r="41608" s="2" customFormat="1"/>
    <row r="41609" s="2" customFormat="1"/>
    <row r="41610" s="2" customFormat="1"/>
    <row r="41611" s="2" customFormat="1"/>
    <row r="41612" s="2" customFormat="1"/>
    <row r="41613" s="2" customFormat="1"/>
    <row r="41614" s="2" customFormat="1"/>
    <row r="41615" s="2" customFormat="1"/>
    <row r="41616" s="2" customFormat="1"/>
    <row r="41617" s="2" customFormat="1"/>
    <row r="41618" s="2" customFormat="1"/>
    <row r="41619" s="2" customFormat="1"/>
    <row r="41620" s="2" customFormat="1"/>
    <row r="41621" s="2" customFormat="1"/>
    <row r="41622" s="2" customFormat="1"/>
    <row r="41623" s="2" customFormat="1"/>
    <row r="41624" s="2" customFormat="1"/>
    <row r="41625" s="2" customFormat="1"/>
    <row r="41626" s="2" customFormat="1"/>
    <row r="41627" s="2" customFormat="1"/>
    <row r="41628" s="2" customFormat="1"/>
    <row r="41629" s="2" customFormat="1"/>
    <row r="41630" s="2" customFormat="1"/>
    <row r="41631" s="2" customFormat="1"/>
    <row r="41632" s="2" customFormat="1"/>
    <row r="41633" s="2" customFormat="1"/>
    <row r="41634" s="2" customFormat="1"/>
    <row r="41635" s="2" customFormat="1"/>
    <row r="41636" s="2" customFormat="1"/>
    <row r="41637" s="2" customFormat="1"/>
    <row r="41638" s="2" customFormat="1"/>
    <row r="41639" s="2" customFormat="1"/>
    <row r="41640" s="2" customFormat="1"/>
    <row r="41641" s="2" customFormat="1"/>
    <row r="41642" s="2" customFormat="1"/>
    <row r="41643" s="2" customFormat="1"/>
    <row r="41644" s="2" customFormat="1"/>
    <row r="41645" s="2" customFormat="1"/>
    <row r="41646" s="2" customFormat="1"/>
    <row r="41647" s="2" customFormat="1"/>
    <row r="41648" s="2" customFormat="1"/>
    <row r="41649" s="2" customFormat="1"/>
    <row r="41650" s="2" customFormat="1"/>
    <row r="41651" s="2" customFormat="1"/>
    <row r="41652" s="2" customFormat="1"/>
    <row r="41653" s="2" customFormat="1"/>
    <row r="41654" s="2" customFormat="1"/>
    <row r="41655" s="2" customFormat="1"/>
    <row r="41656" s="2" customFormat="1"/>
    <row r="41657" s="2" customFormat="1"/>
    <row r="41658" s="2" customFormat="1"/>
    <row r="41659" s="2" customFormat="1"/>
    <row r="41660" s="2" customFormat="1"/>
    <row r="41661" s="2" customFormat="1"/>
    <row r="41662" s="2" customFormat="1"/>
    <row r="41663" s="2" customFormat="1"/>
    <row r="41664" s="2" customFormat="1"/>
    <row r="41665" s="2" customFormat="1"/>
    <row r="41666" s="2" customFormat="1"/>
    <row r="41667" s="2" customFormat="1"/>
    <row r="41668" s="2" customFormat="1"/>
    <row r="41669" s="2" customFormat="1"/>
    <row r="41670" s="2" customFormat="1"/>
    <row r="41671" s="2" customFormat="1"/>
    <row r="41672" s="2" customFormat="1"/>
    <row r="41673" s="2" customFormat="1"/>
    <row r="41674" s="2" customFormat="1"/>
    <row r="41675" s="2" customFormat="1"/>
    <row r="41676" s="2" customFormat="1"/>
    <row r="41677" s="2" customFormat="1"/>
    <row r="41678" s="2" customFormat="1"/>
    <row r="41679" s="2" customFormat="1"/>
    <row r="41680" s="2" customFormat="1"/>
    <row r="41681" s="2" customFormat="1"/>
    <row r="41682" s="2" customFormat="1"/>
    <row r="41683" s="2" customFormat="1"/>
    <row r="41684" s="2" customFormat="1"/>
    <row r="41685" s="2" customFormat="1"/>
    <row r="41686" s="2" customFormat="1"/>
    <row r="41687" s="2" customFormat="1"/>
    <row r="41688" s="2" customFormat="1"/>
    <row r="41689" s="2" customFormat="1"/>
    <row r="41690" s="2" customFormat="1"/>
    <row r="41691" s="2" customFormat="1"/>
    <row r="41692" s="2" customFormat="1"/>
    <row r="41693" s="2" customFormat="1"/>
    <row r="41694" s="2" customFormat="1"/>
    <row r="41695" s="2" customFormat="1"/>
    <row r="41696" s="2" customFormat="1"/>
    <row r="41697" s="2" customFormat="1"/>
    <row r="41698" s="2" customFormat="1"/>
    <row r="41699" s="2" customFormat="1"/>
    <row r="41700" s="2" customFormat="1"/>
    <row r="41701" s="2" customFormat="1"/>
    <row r="41702" s="2" customFormat="1"/>
    <row r="41703" s="2" customFormat="1"/>
    <row r="41704" s="2" customFormat="1"/>
    <row r="41705" s="2" customFormat="1"/>
    <row r="41706" s="2" customFormat="1"/>
    <row r="41707" s="2" customFormat="1"/>
    <row r="41708" s="2" customFormat="1"/>
    <row r="41709" s="2" customFormat="1"/>
    <row r="41710" s="2" customFormat="1"/>
    <row r="41711" s="2" customFormat="1"/>
    <row r="41712" s="2" customFormat="1"/>
    <row r="41713" s="2" customFormat="1"/>
    <row r="41714" s="2" customFormat="1"/>
    <row r="41715" s="2" customFormat="1"/>
    <row r="41716" s="2" customFormat="1"/>
    <row r="41717" s="2" customFormat="1"/>
    <row r="41718" s="2" customFormat="1"/>
    <row r="41719" s="2" customFormat="1"/>
    <row r="41720" s="2" customFormat="1"/>
    <row r="41721" s="2" customFormat="1"/>
    <row r="41722" s="2" customFormat="1"/>
    <row r="41723" s="2" customFormat="1"/>
    <row r="41724" s="2" customFormat="1"/>
    <row r="41725" s="2" customFormat="1"/>
    <row r="41726" s="2" customFormat="1"/>
    <row r="41727" s="2" customFormat="1"/>
    <row r="41728" s="2" customFormat="1"/>
    <row r="41729" s="2" customFormat="1"/>
    <row r="41730" s="2" customFormat="1"/>
    <row r="41731" s="2" customFormat="1"/>
    <row r="41732" s="2" customFormat="1"/>
    <row r="41733" s="2" customFormat="1"/>
    <row r="41734" s="2" customFormat="1"/>
    <row r="41735" s="2" customFormat="1"/>
    <row r="41736" s="2" customFormat="1"/>
    <row r="41737" s="2" customFormat="1"/>
    <row r="41738" s="2" customFormat="1"/>
    <row r="41739" s="2" customFormat="1"/>
    <row r="41740" s="2" customFormat="1"/>
    <row r="41741" s="2" customFormat="1"/>
    <row r="41742" s="2" customFormat="1"/>
    <row r="41743" s="2" customFormat="1"/>
    <row r="41744" s="2" customFormat="1"/>
    <row r="41745" s="2" customFormat="1"/>
    <row r="41746" s="2" customFormat="1"/>
    <row r="41747" s="2" customFormat="1"/>
    <row r="41748" s="2" customFormat="1"/>
    <row r="41749" s="2" customFormat="1"/>
    <row r="41750" s="2" customFormat="1"/>
    <row r="41751" s="2" customFormat="1"/>
    <row r="41752" s="2" customFormat="1"/>
    <row r="41753" s="2" customFormat="1"/>
    <row r="41754" s="2" customFormat="1"/>
    <row r="41755" s="2" customFormat="1"/>
    <row r="41756" s="2" customFormat="1"/>
    <row r="41757" s="2" customFormat="1"/>
    <row r="41758" s="2" customFormat="1"/>
    <row r="41759" s="2" customFormat="1"/>
    <row r="41760" s="2" customFormat="1"/>
    <row r="41761" s="2" customFormat="1"/>
    <row r="41762" s="2" customFormat="1"/>
    <row r="41763" s="2" customFormat="1"/>
    <row r="41764" s="2" customFormat="1"/>
    <row r="41765" s="2" customFormat="1"/>
    <row r="41766" s="2" customFormat="1"/>
    <row r="41767" s="2" customFormat="1"/>
    <row r="41768" s="2" customFormat="1"/>
    <row r="41769" s="2" customFormat="1"/>
    <row r="41770" s="2" customFormat="1"/>
    <row r="41771" s="2" customFormat="1"/>
    <row r="41772" s="2" customFormat="1"/>
    <row r="41773" s="2" customFormat="1"/>
    <row r="41774" s="2" customFormat="1"/>
    <row r="41775" s="2" customFormat="1"/>
    <row r="41776" s="2" customFormat="1"/>
    <row r="41777" s="2" customFormat="1"/>
    <row r="41778" s="2" customFormat="1"/>
    <row r="41779" s="2" customFormat="1"/>
    <row r="41780" s="2" customFormat="1"/>
    <row r="41781" s="2" customFormat="1"/>
    <row r="41782" s="2" customFormat="1"/>
    <row r="41783" s="2" customFormat="1"/>
    <row r="41784" s="2" customFormat="1"/>
    <row r="41785" s="2" customFormat="1"/>
    <row r="41786" s="2" customFormat="1"/>
    <row r="41787" s="2" customFormat="1"/>
    <row r="41788" s="2" customFormat="1"/>
    <row r="41789" s="2" customFormat="1"/>
    <row r="41790" s="2" customFormat="1"/>
    <row r="41791" s="2" customFormat="1"/>
    <row r="41792" s="2" customFormat="1"/>
    <row r="41793" s="2" customFormat="1"/>
    <row r="41794" s="2" customFormat="1"/>
    <row r="41795" s="2" customFormat="1"/>
    <row r="41796" s="2" customFormat="1"/>
    <row r="41797" s="2" customFormat="1"/>
    <row r="41798" s="2" customFormat="1"/>
    <row r="41799" s="2" customFormat="1"/>
    <row r="41800" s="2" customFormat="1"/>
    <row r="41801" s="2" customFormat="1"/>
    <row r="41802" s="2" customFormat="1"/>
    <row r="41803" s="2" customFormat="1"/>
    <row r="41804" s="2" customFormat="1"/>
    <row r="41805" s="2" customFormat="1"/>
    <row r="41806" s="2" customFormat="1"/>
    <row r="41807" s="2" customFormat="1"/>
    <row r="41808" s="2" customFormat="1"/>
    <row r="41809" s="2" customFormat="1"/>
    <row r="41810" s="2" customFormat="1"/>
    <row r="41811" s="2" customFormat="1"/>
    <row r="41812" s="2" customFormat="1"/>
    <row r="41813" s="2" customFormat="1"/>
    <row r="41814" s="2" customFormat="1"/>
    <row r="41815" s="2" customFormat="1"/>
    <row r="41816" s="2" customFormat="1"/>
    <row r="41817" s="2" customFormat="1"/>
    <row r="41818" s="2" customFormat="1"/>
    <row r="41819" s="2" customFormat="1"/>
    <row r="41820" s="2" customFormat="1"/>
    <row r="41821" s="2" customFormat="1"/>
    <row r="41822" s="2" customFormat="1"/>
    <row r="41823" s="2" customFormat="1"/>
    <row r="41824" s="2" customFormat="1"/>
    <row r="41825" s="2" customFormat="1"/>
    <row r="41826" s="2" customFormat="1"/>
    <row r="41827" s="2" customFormat="1"/>
    <row r="41828" s="2" customFormat="1"/>
    <row r="41829" s="2" customFormat="1"/>
    <row r="41830" s="2" customFormat="1"/>
    <row r="41831" s="2" customFormat="1"/>
    <row r="41832" s="2" customFormat="1"/>
    <row r="41833" s="2" customFormat="1"/>
    <row r="41834" s="2" customFormat="1"/>
    <row r="41835" s="2" customFormat="1"/>
    <row r="41836" s="2" customFormat="1"/>
    <row r="41837" s="2" customFormat="1"/>
    <row r="41838" s="2" customFormat="1"/>
    <row r="41839" s="2" customFormat="1"/>
    <row r="41840" s="2" customFormat="1"/>
    <row r="41841" s="2" customFormat="1"/>
    <row r="41842" s="2" customFormat="1"/>
    <row r="41843" s="2" customFormat="1"/>
    <row r="41844" s="2" customFormat="1"/>
    <row r="41845" s="2" customFormat="1"/>
    <row r="41846" s="2" customFormat="1"/>
    <row r="41847" s="2" customFormat="1"/>
    <row r="41848" s="2" customFormat="1"/>
    <row r="41849" s="2" customFormat="1"/>
    <row r="41850" s="2" customFormat="1"/>
    <row r="41851" s="2" customFormat="1"/>
    <row r="41852" s="2" customFormat="1"/>
    <row r="41853" s="2" customFormat="1"/>
    <row r="41854" s="2" customFormat="1"/>
    <row r="41855" s="2" customFormat="1"/>
    <row r="41856" s="2" customFormat="1"/>
    <row r="41857" s="2" customFormat="1"/>
    <row r="41858" s="2" customFormat="1"/>
    <row r="41859" s="2" customFormat="1"/>
    <row r="41860" s="2" customFormat="1"/>
    <row r="41861" s="2" customFormat="1"/>
    <row r="41862" s="2" customFormat="1"/>
    <row r="41863" s="2" customFormat="1"/>
    <row r="41864" s="2" customFormat="1"/>
    <row r="41865" s="2" customFormat="1"/>
    <row r="41866" s="2" customFormat="1"/>
    <row r="41867" s="2" customFormat="1"/>
    <row r="41868" s="2" customFormat="1"/>
    <row r="41869" s="2" customFormat="1"/>
    <row r="41870" s="2" customFormat="1"/>
    <row r="41871" s="2" customFormat="1"/>
    <row r="41872" s="2" customFormat="1"/>
    <row r="41873" s="2" customFormat="1"/>
    <row r="41874" s="2" customFormat="1"/>
    <row r="41875" s="2" customFormat="1"/>
    <row r="41876" s="2" customFormat="1"/>
    <row r="41877" s="2" customFormat="1"/>
    <row r="41878" s="2" customFormat="1"/>
    <row r="41879" s="2" customFormat="1"/>
    <row r="41880" s="2" customFormat="1"/>
    <row r="41881" s="2" customFormat="1"/>
    <row r="41882" s="2" customFormat="1"/>
    <row r="41883" s="2" customFormat="1"/>
    <row r="41884" s="2" customFormat="1"/>
    <row r="41885" s="2" customFormat="1"/>
    <row r="41886" s="2" customFormat="1"/>
    <row r="41887" s="2" customFormat="1"/>
    <row r="41888" s="2" customFormat="1"/>
    <row r="41889" s="2" customFormat="1"/>
    <row r="41890" s="2" customFormat="1"/>
    <row r="41891" s="2" customFormat="1"/>
    <row r="41892" s="2" customFormat="1"/>
    <row r="41893" s="2" customFormat="1"/>
    <row r="41894" s="2" customFormat="1"/>
    <row r="41895" s="2" customFormat="1"/>
    <row r="41896" s="2" customFormat="1"/>
    <row r="41897" s="2" customFormat="1"/>
    <row r="41898" s="2" customFormat="1"/>
    <row r="41899" s="2" customFormat="1"/>
    <row r="41900" s="2" customFormat="1"/>
    <row r="41901" s="2" customFormat="1"/>
    <row r="41902" s="2" customFormat="1"/>
    <row r="41903" s="2" customFormat="1"/>
    <row r="41904" s="2" customFormat="1"/>
    <row r="41905" s="2" customFormat="1"/>
    <row r="41906" s="2" customFormat="1"/>
    <row r="41907" s="2" customFormat="1"/>
    <row r="41908" s="2" customFormat="1"/>
    <row r="41909" s="2" customFormat="1"/>
    <row r="41910" s="2" customFormat="1"/>
    <row r="41911" s="2" customFormat="1"/>
    <row r="41912" s="2" customFormat="1"/>
    <row r="41913" s="2" customFormat="1"/>
    <row r="41914" s="2" customFormat="1"/>
    <row r="41915" s="2" customFormat="1"/>
    <row r="41916" s="2" customFormat="1"/>
    <row r="41917" s="2" customFormat="1"/>
    <row r="41918" s="2" customFormat="1"/>
    <row r="41919" s="2" customFormat="1"/>
    <row r="41920" s="2" customFormat="1"/>
    <row r="41921" s="2" customFormat="1"/>
    <row r="41922" s="2" customFormat="1"/>
    <row r="41923" s="2" customFormat="1"/>
    <row r="41924" s="2" customFormat="1"/>
    <row r="41925" s="2" customFormat="1"/>
    <row r="41926" s="2" customFormat="1"/>
    <row r="41927" s="2" customFormat="1"/>
    <row r="41928" s="2" customFormat="1"/>
    <row r="41929" s="2" customFormat="1"/>
    <row r="41930" s="2" customFormat="1"/>
    <row r="41931" s="2" customFormat="1"/>
    <row r="41932" s="2" customFormat="1"/>
    <row r="41933" s="2" customFormat="1"/>
    <row r="41934" s="2" customFormat="1"/>
    <row r="41935" s="2" customFormat="1"/>
    <row r="41936" s="2" customFormat="1"/>
    <row r="41937" s="2" customFormat="1"/>
    <row r="41938" s="2" customFormat="1"/>
    <row r="41939" s="2" customFormat="1"/>
    <row r="41940" s="2" customFormat="1"/>
    <row r="41941" s="2" customFormat="1"/>
    <row r="41942" s="2" customFormat="1"/>
    <row r="41943" s="2" customFormat="1"/>
    <row r="41944" s="2" customFormat="1"/>
    <row r="41945" s="2" customFormat="1"/>
    <row r="41946" s="2" customFormat="1"/>
    <row r="41947" s="2" customFormat="1"/>
    <row r="41948" s="2" customFormat="1"/>
    <row r="41949" s="2" customFormat="1"/>
    <row r="41950" s="2" customFormat="1"/>
    <row r="41951" s="2" customFormat="1"/>
    <row r="41952" s="2" customFormat="1"/>
    <row r="41953" s="2" customFormat="1"/>
    <row r="41954" s="2" customFormat="1"/>
    <row r="41955" s="2" customFormat="1"/>
    <row r="41956" s="2" customFormat="1"/>
    <row r="41957" s="2" customFormat="1"/>
    <row r="41958" s="2" customFormat="1"/>
    <row r="41959" s="2" customFormat="1"/>
    <row r="41960" s="2" customFormat="1"/>
    <row r="41961" s="2" customFormat="1"/>
    <row r="41962" s="2" customFormat="1"/>
    <row r="41963" s="2" customFormat="1"/>
    <row r="41964" s="2" customFormat="1"/>
    <row r="41965" s="2" customFormat="1"/>
    <row r="41966" s="2" customFormat="1"/>
    <row r="41967" s="2" customFormat="1"/>
    <row r="41968" s="2" customFormat="1"/>
    <row r="41969" s="2" customFormat="1"/>
    <row r="41970" s="2" customFormat="1"/>
    <row r="41971" s="2" customFormat="1"/>
    <row r="41972" s="2" customFormat="1"/>
    <row r="41973" s="2" customFormat="1"/>
    <row r="41974" s="2" customFormat="1"/>
    <row r="41975" s="2" customFormat="1"/>
    <row r="41976" s="2" customFormat="1"/>
    <row r="41977" s="2" customFormat="1"/>
    <row r="41978" s="2" customFormat="1"/>
    <row r="41979" s="2" customFormat="1"/>
    <row r="41980" s="2" customFormat="1"/>
    <row r="41981" s="2" customFormat="1"/>
    <row r="41982" s="2" customFormat="1"/>
    <row r="41983" s="2" customFormat="1"/>
    <row r="41984" s="2" customFormat="1"/>
    <row r="41985" s="2" customFormat="1"/>
    <row r="41986" s="2" customFormat="1"/>
    <row r="41987" s="2" customFormat="1"/>
    <row r="41988" s="2" customFormat="1"/>
    <row r="41989" s="2" customFormat="1"/>
    <row r="41990" s="2" customFormat="1"/>
    <row r="41991" s="2" customFormat="1"/>
    <row r="41992" s="2" customFormat="1"/>
    <row r="41993" s="2" customFormat="1"/>
    <row r="41994" s="2" customFormat="1"/>
    <row r="41995" s="2" customFormat="1"/>
    <row r="41996" s="2" customFormat="1"/>
    <row r="41997" s="2" customFormat="1"/>
    <row r="41998" s="2" customFormat="1"/>
    <row r="41999" s="2" customFormat="1"/>
    <row r="42000" s="2" customFormat="1"/>
    <row r="42001" s="2" customFormat="1"/>
    <row r="42002" s="2" customFormat="1"/>
    <row r="42003" s="2" customFormat="1"/>
    <row r="42004" s="2" customFormat="1"/>
    <row r="42005" s="2" customFormat="1"/>
    <row r="42006" s="2" customFormat="1"/>
    <row r="42007" s="2" customFormat="1"/>
    <row r="42008" s="2" customFormat="1"/>
    <row r="42009" s="2" customFormat="1"/>
    <row r="42010" s="2" customFormat="1"/>
    <row r="42011" s="2" customFormat="1"/>
    <row r="42012" s="2" customFormat="1"/>
    <row r="42013" s="2" customFormat="1"/>
    <row r="42014" s="2" customFormat="1"/>
    <row r="42015" s="2" customFormat="1"/>
    <row r="42016" s="2" customFormat="1"/>
    <row r="42017" s="2" customFormat="1"/>
    <row r="42018" s="2" customFormat="1"/>
    <row r="42019" s="2" customFormat="1"/>
    <row r="42020" s="2" customFormat="1"/>
    <row r="42021" s="2" customFormat="1"/>
    <row r="42022" s="2" customFormat="1"/>
    <row r="42023" s="2" customFormat="1"/>
    <row r="42024" s="2" customFormat="1"/>
    <row r="42025" s="2" customFormat="1"/>
    <row r="42026" s="2" customFormat="1"/>
    <row r="42027" s="2" customFormat="1"/>
    <row r="42028" s="2" customFormat="1"/>
    <row r="42029" s="2" customFormat="1"/>
    <row r="42030" s="2" customFormat="1"/>
    <row r="42031" s="2" customFormat="1"/>
    <row r="42032" s="2" customFormat="1"/>
    <row r="42033" s="2" customFormat="1"/>
    <row r="42034" s="2" customFormat="1"/>
    <row r="42035" s="2" customFormat="1"/>
    <row r="42036" s="2" customFormat="1"/>
    <row r="42037" s="2" customFormat="1"/>
    <row r="42038" s="2" customFormat="1"/>
    <row r="42039" s="2" customFormat="1"/>
    <row r="42040" s="2" customFormat="1"/>
    <row r="42041" s="2" customFormat="1"/>
    <row r="42042" s="2" customFormat="1"/>
    <row r="42043" s="2" customFormat="1"/>
    <row r="42044" s="2" customFormat="1"/>
    <row r="42045" s="2" customFormat="1"/>
    <row r="42046" s="2" customFormat="1"/>
    <row r="42047" s="2" customFormat="1"/>
    <row r="42048" s="2" customFormat="1"/>
    <row r="42049" s="2" customFormat="1"/>
    <row r="42050" s="2" customFormat="1"/>
    <row r="42051" s="2" customFormat="1"/>
    <row r="42052" s="2" customFormat="1"/>
    <row r="42053" s="2" customFormat="1"/>
    <row r="42054" s="2" customFormat="1"/>
    <row r="42055" s="2" customFormat="1"/>
    <row r="42056" s="2" customFormat="1"/>
    <row r="42057" s="2" customFormat="1"/>
    <row r="42058" s="2" customFormat="1"/>
    <row r="42059" s="2" customFormat="1"/>
    <row r="42060" s="2" customFormat="1"/>
    <row r="42061" s="2" customFormat="1"/>
    <row r="42062" s="2" customFormat="1"/>
    <row r="42063" s="2" customFormat="1"/>
    <row r="42064" s="2" customFormat="1"/>
    <row r="42065" s="2" customFormat="1"/>
    <row r="42066" s="2" customFormat="1"/>
    <row r="42067" s="2" customFormat="1"/>
    <row r="42068" s="2" customFormat="1"/>
    <row r="42069" s="2" customFormat="1"/>
    <row r="42070" s="2" customFormat="1"/>
    <row r="42071" s="2" customFormat="1"/>
    <row r="42072" s="2" customFormat="1"/>
    <row r="42073" s="2" customFormat="1"/>
    <row r="42074" s="2" customFormat="1"/>
    <row r="42075" s="2" customFormat="1"/>
    <row r="42076" s="2" customFormat="1"/>
    <row r="42077" s="2" customFormat="1"/>
    <row r="42078" s="2" customFormat="1"/>
    <row r="42079" s="2" customFormat="1"/>
    <row r="42080" s="2" customFormat="1"/>
    <row r="42081" s="2" customFormat="1"/>
    <row r="42082" s="2" customFormat="1"/>
    <row r="42083" s="2" customFormat="1"/>
    <row r="42084" s="2" customFormat="1"/>
    <row r="42085" s="2" customFormat="1"/>
    <row r="42086" s="2" customFormat="1"/>
    <row r="42087" s="2" customFormat="1"/>
    <row r="42088" s="2" customFormat="1"/>
    <row r="42089" s="2" customFormat="1"/>
    <row r="42090" s="2" customFormat="1"/>
    <row r="42091" s="2" customFormat="1"/>
    <row r="42092" s="2" customFormat="1"/>
    <row r="42093" s="2" customFormat="1"/>
    <row r="42094" s="2" customFormat="1"/>
    <row r="42095" s="2" customFormat="1"/>
    <row r="42096" s="2" customFormat="1"/>
    <row r="42097" s="2" customFormat="1"/>
    <row r="42098" s="2" customFormat="1"/>
    <row r="42099" s="2" customFormat="1"/>
    <row r="42100" s="2" customFormat="1"/>
    <row r="42101" s="2" customFormat="1"/>
    <row r="42102" s="2" customFormat="1"/>
    <row r="42103" s="2" customFormat="1"/>
    <row r="42104" s="2" customFormat="1"/>
    <row r="42105" s="2" customFormat="1"/>
    <row r="42106" s="2" customFormat="1"/>
    <row r="42107" s="2" customFormat="1"/>
    <row r="42108" s="2" customFormat="1"/>
    <row r="42109" s="2" customFormat="1"/>
    <row r="42110" s="2" customFormat="1"/>
    <row r="42111" s="2" customFormat="1"/>
    <row r="42112" s="2" customFormat="1"/>
    <row r="42113" s="2" customFormat="1"/>
    <row r="42114" s="2" customFormat="1"/>
    <row r="42115" s="2" customFormat="1"/>
    <row r="42116" s="2" customFormat="1"/>
    <row r="42117" s="2" customFormat="1"/>
    <row r="42118" s="2" customFormat="1"/>
    <row r="42119" s="2" customFormat="1"/>
    <row r="42120" s="2" customFormat="1"/>
    <row r="42121" s="2" customFormat="1"/>
    <row r="42122" s="2" customFormat="1"/>
    <row r="42123" s="2" customFormat="1"/>
    <row r="42124" s="2" customFormat="1"/>
    <row r="42125" s="2" customFormat="1"/>
    <row r="42126" s="2" customFormat="1"/>
    <row r="42127" s="2" customFormat="1"/>
    <row r="42128" s="2" customFormat="1"/>
    <row r="42129" s="2" customFormat="1"/>
    <row r="42130" s="2" customFormat="1"/>
    <row r="42131" s="2" customFormat="1"/>
    <row r="42132" s="2" customFormat="1"/>
    <row r="42133" s="2" customFormat="1"/>
    <row r="42134" s="2" customFormat="1"/>
    <row r="42135" s="2" customFormat="1"/>
    <row r="42136" s="2" customFormat="1"/>
    <row r="42137" s="2" customFormat="1"/>
    <row r="42138" s="2" customFormat="1"/>
    <row r="42139" s="2" customFormat="1"/>
    <row r="42140" s="2" customFormat="1"/>
    <row r="42141" s="2" customFormat="1"/>
    <row r="42142" s="2" customFormat="1"/>
    <row r="42143" s="2" customFormat="1"/>
    <row r="42144" s="2" customFormat="1"/>
    <row r="42145" s="2" customFormat="1"/>
    <row r="42146" s="2" customFormat="1"/>
    <row r="42147" s="2" customFormat="1"/>
    <row r="42148" s="2" customFormat="1"/>
    <row r="42149" s="2" customFormat="1"/>
    <row r="42150" s="2" customFormat="1"/>
    <row r="42151" s="2" customFormat="1"/>
    <row r="42152" s="2" customFormat="1"/>
    <row r="42153" s="2" customFormat="1"/>
    <row r="42154" s="2" customFormat="1"/>
    <row r="42155" s="2" customFormat="1"/>
    <row r="42156" s="2" customFormat="1"/>
    <row r="42157" s="2" customFormat="1"/>
    <row r="42158" s="2" customFormat="1"/>
    <row r="42159" s="2" customFormat="1"/>
    <row r="42160" s="2" customFormat="1"/>
    <row r="42161" s="2" customFormat="1"/>
    <row r="42162" s="2" customFormat="1"/>
    <row r="42163" s="2" customFormat="1"/>
    <row r="42164" s="2" customFormat="1"/>
    <row r="42165" s="2" customFormat="1"/>
    <row r="42166" s="2" customFormat="1"/>
    <row r="42167" s="2" customFormat="1"/>
    <row r="42168" s="2" customFormat="1"/>
    <row r="42169" s="2" customFormat="1"/>
    <row r="42170" s="2" customFormat="1"/>
    <row r="42171" s="2" customFormat="1"/>
    <row r="42172" s="2" customFormat="1"/>
    <row r="42173" s="2" customFormat="1"/>
    <row r="42174" s="2" customFormat="1"/>
    <row r="42175" s="2" customFormat="1"/>
    <row r="42176" s="2" customFormat="1"/>
    <row r="42177" s="2" customFormat="1"/>
    <row r="42178" s="2" customFormat="1"/>
    <row r="42179" s="2" customFormat="1"/>
    <row r="42180" s="2" customFormat="1"/>
    <row r="42181" s="2" customFormat="1"/>
    <row r="42182" s="2" customFormat="1"/>
    <row r="42183" s="2" customFormat="1"/>
    <row r="42184" s="2" customFormat="1"/>
    <row r="42185" s="2" customFormat="1"/>
    <row r="42186" s="2" customFormat="1"/>
    <row r="42187" s="2" customFormat="1"/>
    <row r="42188" s="2" customFormat="1"/>
    <row r="42189" s="2" customFormat="1"/>
    <row r="42190" s="2" customFormat="1"/>
    <row r="42191" s="2" customFormat="1"/>
    <row r="42192" s="2" customFormat="1"/>
    <row r="42193" s="2" customFormat="1"/>
    <row r="42194" s="2" customFormat="1"/>
    <row r="42195" s="2" customFormat="1"/>
    <row r="42196" s="2" customFormat="1"/>
    <row r="42197" s="2" customFormat="1"/>
    <row r="42198" s="2" customFormat="1"/>
    <row r="42199" s="2" customFormat="1"/>
    <row r="42200" s="2" customFormat="1"/>
    <row r="42201" s="2" customFormat="1"/>
    <row r="42202" s="2" customFormat="1"/>
    <row r="42203" s="2" customFormat="1"/>
    <row r="42204" s="2" customFormat="1"/>
    <row r="42205" s="2" customFormat="1"/>
    <row r="42206" s="2" customFormat="1"/>
    <row r="42207" s="2" customFormat="1"/>
    <row r="42208" s="2" customFormat="1"/>
    <row r="42209" s="2" customFormat="1"/>
    <row r="42210" s="2" customFormat="1"/>
    <row r="42211" s="2" customFormat="1"/>
    <row r="42212" s="2" customFormat="1"/>
    <row r="42213" s="2" customFormat="1"/>
    <row r="42214" s="2" customFormat="1"/>
    <row r="42215" s="2" customFormat="1"/>
    <row r="42216" s="2" customFormat="1"/>
    <row r="42217" s="2" customFormat="1"/>
    <row r="42218" s="2" customFormat="1"/>
    <row r="42219" s="2" customFormat="1"/>
    <row r="42220" s="2" customFormat="1"/>
    <row r="42221" s="2" customFormat="1"/>
    <row r="42222" s="2" customFormat="1"/>
    <row r="42223" s="2" customFormat="1"/>
    <row r="42224" s="2" customFormat="1"/>
    <row r="42225" s="2" customFormat="1"/>
    <row r="42226" s="2" customFormat="1"/>
    <row r="42227" s="2" customFormat="1"/>
    <row r="42228" s="2" customFormat="1"/>
    <row r="42229" s="2" customFormat="1"/>
    <row r="42230" s="2" customFormat="1"/>
    <row r="42231" s="2" customFormat="1"/>
    <row r="42232" s="2" customFormat="1"/>
    <row r="42233" s="2" customFormat="1"/>
    <row r="42234" s="2" customFormat="1"/>
    <row r="42235" s="2" customFormat="1"/>
    <row r="42236" s="2" customFormat="1"/>
    <row r="42237" s="2" customFormat="1"/>
    <row r="42238" s="2" customFormat="1"/>
    <row r="42239" s="2" customFormat="1"/>
    <row r="42240" s="2" customFormat="1"/>
    <row r="42241" s="2" customFormat="1"/>
    <row r="42242" s="2" customFormat="1"/>
    <row r="42243" s="2" customFormat="1"/>
    <row r="42244" s="2" customFormat="1"/>
    <row r="42245" s="2" customFormat="1"/>
    <row r="42246" s="2" customFormat="1"/>
    <row r="42247" s="2" customFormat="1"/>
    <row r="42248" s="2" customFormat="1"/>
    <row r="42249" s="2" customFormat="1"/>
    <row r="42250" s="2" customFormat="1"/>
    <row r="42251" s="2" customFormat="1"/>
    <row r="42252" s="2" customFormat="1"/>
    <row r="42253" s="2" customFormat="1"/>
    <row r="42254" s="2" customFormat="1"/>
    <row r="42255" s="2" customFormat="1"/>
    <row r="42256" s="2" customFormat="1"/>
    <row r="42257" s="2" customFormat="1"/>
    <row r="42258" s="2" customFormat="1"/>
    <row r="42259" s="2" customFormat="1"/>
    <row r="42260" s="2" customFormat="1"/>
    <row r="42261" s="2" customFormat="1"/>
    <row r="42262" s="2" customFormat="1"/>
    <row r="42263" s="2" customFormat="1"/>
    <row r="42264" s="2" customFormat="1"/>
    <row r="42265" s="2" customFormat="1"/>
    <row r="42266" s="2" customFormat="1"/>
    <row r="42267" s="2" customFormat="1"/>
    <row r="42268" s="2" customFormat="1"/>
    <row r="42269" s="2" customFormat="1"/>
    <row r="42270" s="2" customFormat="1"/>
    <row r="42271" s="2" customFormat="1"/>
    <row r="42272" s="2" customFormat="1"/>
    <row r="42273" s="2" customFormat="1"/>
    <row r="42274" s="2" customFormat="1"/>
    <row r="42275" s="2" customFormat="1"/>
    <row r="42276" s="2" customFormat="1"/>
    <row r="42277" s="2" customFormat="1"/>
    <row r="42278" s="2" customFormat="1"/>
    <row r="42279" s="2" customFormat="1"/>
    <row r="42280" s="2" customFormat="1"/>
    <row r="42281" s="2" customFormat="1"/>
    <row r="42282" s="2" customFormat="1"/>
    <row r="42283" s="2" customFormat="1"/>
    <row r="42284" s="2" customFormat="1"/>
    <row r="42285" s="2" customFormat="1"/>
    <row r="42286" s="2" customFormat="1"/>
    <row r="42287" s="2" customFormat="1"/>
    <row r="42288" s="2" customFormat="1"/>
    <row r="42289" s="2" customFormat="1"/>
    <row r="42290" s="2" customFormat="1"/>
    <row r="42291" s="2" customFormat="1"/>
    <row r="42292" s="2" customFormat="1"/>
    <row r="42293" s="2" customFormat="1"/>
    <row r="42294" s="2" customFormat="1"/>
    <row r="42295" s="2" customFormat="1"/>
    <row r="42296" s="2" customFormat="1"/>
    <row r="42297" s="2" customFormat="1"/>
    <row r="42298" s="2" customFormat="1"/>
    <row r="42299" s="2" customFormat="1"/>
    <row r="42300" s="2" customFormat="1"/>
    <row r="42301" s="2" customFormat="1"/>
    <row r="42302" s="2" customFormat="1"/>
    <row r="42303" s="2" customFormat="1"/>
    <row r="42304" s="2" customFormat="1"/>
    <row r="42305" s="2" customFormat="1"/>
    <row r="42306" s="2" customFormat="1"/>
    <row r="42307" s="2" customFormat="1"/>
    <row r="42308" s="2" customFormat="1"/>
    <row r="42309" s="2" customFormat="1"/>
    <row r="42310" s="2" customFormat="1"/>
    <row r="42311" s="2" customFormat="1"/>
    <row r="42312" s="2" customFormat="1"/>
    <row r="42313" s="2" customFormat="1"/>
    <row r="42314" s="2" customFormat="1"/>
    <row r="42315" s="2" customFormat="1"/>
    <row r="42316" s="2" customFormat="1"/>
    <row r="42317" s="2" customFormat="1"/>
    <row r="42318" s="2" customFormat="1"/>
    <row r="42319" s="2" customFormat="1"/>
    <row r="42320" s="2" customFormat="1"/>
    <row r="42321" s="2" customFormat="1"/>
    <row r="42322" s="2" customFormat="1"/>
    <row r="42323" s="2" customFormat="1"/>
    <row r="42324" s="2" customFormat="1"/>
    <row r="42325" s="2" customFormat="1"/>
    <row r="42326" s="2" customFormat="1"/>
    <row r="42327" s="2" customFormat="1"/>
    <row r="42328" s="2" customFormat="1"/>
    <row r="42329" s="2" customFormat="1"/>
    <row r="42330" s="2" customFormat="1"/>
    <row r="42331" s="2" customFormat="1"/>
    <row r="42332" s="2" customFormat="1"/>
    <row r="42333" s="2" customFormat="1"/>
    <row r="42334" s="2" customFormat="1"/>
    <row r="42335" s="2" customFormat="1"/>
    <row r="42336" s="2" customFormat="1"/>
    <row r="42337" s="2" customFormat="1"/>
    <row r="42338" s="2" customFormat="1"/>
    <row r="42339" s="2" customFormat="1"/>
    <row r="42340" s="2" customFormat="1"/>
    <row r="42341" s="2" customFormat="1"/>
    <row r="42342" s="2" customFormat="1"/>
    <row r="42343" s="2" customFormat="1"/>
    <row r="42344" s="2" customFormat="1"/>
    <row r="42345" s="2" customFormat="1"/>
    <row r="42346" s="2" customFormat="1"/>
    <row r="42347" s="2" customFormat="1"/>
    <row r="42348" s="2" customFormat="1"/>
    <row r="42349" s="2" customFormat="1"/>
    <row r="42350" s="2" customFormat="1"/>
    <row r="42351" s="2" customFormat="1"/>
    <row r="42352" s="2" customFormat="1"/>
    <row r="42353" s="2" customFormat="1"/>
    <row r="42354" s="2" customFormat="1"/>
    <row r="42355" s="2" customFormat="1"/>
    <row r="42356" s="2" customFormat="1"/>
    <row r="42357" s="2" customFormat="1"/>
    <row r="42358" s="2" customFormat="1"/>
    <row r="42359" s="2" customFormat="1"/>
    <row r="42360" s="2" customFormat="1"/>
    <row r="42361" s="2" customFormat="1"/>
    <row r="42362" s="2" customFormat="1"/>
    <row r="42363" s="2" customFormat="1"/>
    <row r="42364" s="2" customFormat="1"/>
    <row r="42365" s="2" customFormat="1"/>
    <row r="42366" s="2" customFormat="1"/>
    <row r="42367" s="2" customFormat="1"/>
    <row r="42368" s="2" customFormat="1"/>
    <row r="42369" s="2" customFormat="1"/>
    <row r="42370" s="2" customFormat="1"/>
    <row r="42371" s="2" customFormat="1"/>
    <row r="42372" s="2" customFormat="1"/>
    <row r="42373" s="2" customFormat="1"/>
    <row r="42374" s="2" customFormat="1"/>
    <row r="42375" s="2" customFormat="1"/>
    <row r="42376" s="2" customFormat="1"/>
    <row r="42377" s="2" customFormat="1"/>
    <row r="42378" s="2" customFormat="1"/>
    <row r="42379" s="2" customFormat="1"/>
    <row r="42380" s="2" customFormat="1"/>
    <row r="42381" s="2" customFormat="1"/>
    <row r="42382" s="2" customFormat="1"/>
    <row r="42383" s="2" customFormat="1"/>
    <row r="42384" s="2" customFormat="1"/>
    <row r="42385" s="2" customFormat="1"/>
    <row r="42386" s="2" customFormat="1"/>
    <row r="42387" s="2" customFormat="1"/>
    <row r="42388" s="2" customFormat="1"/>
    <row r="42389" s="2" customFormat="1"/>
    <row r="42390" s="2" customFormat="1"/>
    <row r="42391" s="2" customFormat="1"/>
    <row r="42392" s="2" customFormat="1"/>
    <row r="42393" s="2" customFormat="1"/>
    <row r="42394" s="2" customFormat="1"/>
    <row r="42395" s="2" customFormat="1"/>
    <row r="42396" s="2" customFormat="1"/>
    <row r="42397" s="2" customFormat="1"/>
    <row r="42398" s="2" customFormat="1"/>
    <row r="42399" s="2" customFormat="1"/>
    <row r="42400" s="2" customFormat="1"/>
    <row r="42401" s="2" customFormat="1"/>
    <row r="42402" s="2" customFormat="1"/>
    <row r="42403" s="2" customFormat="1"/>
    <row r="42404" s="2" customFormat="1"/>
    <row r="42405" s="2" customFormat="1"/>
    <row r="42406" s="2" customFormat="1"/>
    <row r="42407" s="2" customFormat="1"/>
    <row r="42408" s="2" customFormat="1"/>
    <row r="42409" s="2" customFormat="1"/>
    <row r="42410" s="2" customFormat="1"/>
    <row r="42411" s="2" customFormat="1"/>
    <row r="42412" s="2" customFormat="1"/>
    <row r="42413" s="2" customFormat="1"/>
    <row r="42414" s="2" customFormat="1"/>
    <row r="42415" s="2" customFormat="1"/>
    <row r="42416" s="2" customFormat="1"/>
    <row r="42417" s="2" customFormat="1"/>
    <row r="42418" s="2" customFormat="1"/>
    <row r="42419" s="2" customFormat="1"/>
    <row r="42420" s="2" customFormat="1"/>
    <row r="42421" s="2" customFormat="1"/>
    <row r="42422" s="2" customFormat="1"/>
    <row r="42423" s="2" customFormat="1"/>
    <row r="42424" s="2" customFormat="1"/>
    <row r="42425" s="2" customFormat="1"/>
    <row r="42426" s="2" customFormat="1"/>
    <row r="42427" s="2" customFormat="1"/>
    <row r="42428" s="2" customFormat="1"/>
    <row r="42429" s="2" customFormat="1"/>
    <row r="42430" s="2" customFormat="1"/>
    <row r="42431" s="2" customFormat="1"/>
    <row r="42432" s="2" customFormat="1"/>
    <row r="42433" s="2" customFormat="1"/>
    <row r="42434" s="2" customFormat="1"/>
    <row r="42435" s="2" customFormat="1"/>
    <row r="42436" s="2" customFormat="1"/>
    <row r="42437" s="2" customFormat="1"/>
    <row r="42438" s="2" customFormat="1"/>
    <row r="42439" s="2" customFormat="1"/>
    <row r="42440" s="2" customFormat="1"/>
    <row r="42441" s="2" customFormat="1"/>
    <row r="42442" s="2" customFormat="1"/>
    <row r="42443" s="2" customFormat="1"/>
    <row r="42444" s="2" customFormat="1"/>
    <row r="42445" s="2" customFormat="1"/>
    <row r="42446" s="2" customFormat="1"/>
    <row r="42447" s="2" customFormat="1"/>
    <row r="42448" s="2" customFormat="1"/>
    <row r="42449" s="2" customFormat="1"/>
    <row r="42450" s="2" customFormat="1"/>
    <row r="42451" s="2" customFormat="1"/>
    <row r="42452" s="2" customFormat="1"/>
    <row r="42453" s="2" customFormat="1"/>
    <row r="42454" s="2" customFormat="1"/>
    <row r="42455" s="2" customFormat="1"/>
    <row r="42456" s="2" customFormat="1"/>
    <row r="42457" s="2" customFormat="1"/>
    <row r="42458" s="2" customFormat="1"/>
    <row r="42459" s="2" customFormat="1"/>
    <row r="42460" s="2" customFormat="1"/>
    <row r="42461" s="2" customFormat="1"/>
    <row r="42462" s="2" customFormat="1"/>
    <row r="42463" s="2" customFormat="1"/>
    <row r="42464" s="2" customFormat="1"/>
    <row r="42465" s="2" customFormat="1"/>
    <row r="42466" s="2" customFormat="1"/>
    <row r="42467" s="2" customFormat="1"/>
    <row r="42468" s="2" customFormat="1"/>
    <row r="42469" s="2" customFormat="1"/>
    <row r="42470" s="2" customFormat="1"/>
    <row r="42471" s="2" customFormat="1"/>
    <row r="42472" s="2" customFormat="1"/>
    <row r="42473" s="2" customFormat="1"/>
    <row r="42474" s="2" customFormat="1"/>
    <row r="42475" s="2" customFormat="1"/>
    <row r="42476" s="2" customFormat="1"/>
    <row r="42477" s="2" customFormat="1"/>
    <row r="42478" s="2" customFormat="1"/>
    <row r="42479" s="2" customFormat="1"/>
    <row r="42480" s="2" customFormat="1"/>
    <row r="42481" s="2" customFormat="1"/>
    <row r="42482" s="2" customFormat="1"/>
    <row r="42483" s="2" customFormat="1"/>
    <row r="42484" s="2" customFormat="1"/>
    <row r="42485" s="2" customFormat="1"/>
    <row r="42486" s="2" customFormat="1"/>
    <row r="42487" s="2" customFormat="1"/>
    <row r="42488" s="2" customFormat="1"/>
    <row r="42489" s="2" customFormat="1"/>
    <row r="42490" s="2" customFormat="1"/>
    <row r="42491" s="2" customFormat="1"/>
    <row r="42492" s="2" customFormat="1"/>
    <row r="42493" s="2" customFormat="1"/>
    <row r="42494" s="2" customFormat="1"/>
    <row r="42495" s="2" customFormat="1"/>
    <row r="42496" s="2" customFormat="1"/>
    <row r="42497" s="2" customFormat="1"/>
    <row r="42498" s="2" customFormat="1"/>
    <row r="42499" s="2" customFormat="1"/>
    <row r="42500" s="2" customFormat="1"/>
    <row r="42501" s="2" customFormat="1"/>
    <row r="42502" s="2" customFormat="1"/>
    <row r="42503" s="2" customFormat="1"/>
    <row r="42504" s="2" customFormat="1"/>
    <row r="42505" s="2" customFormat="1"/>
    <row r="42506" s="2" customFormat="1"/>
    <row r="42507" s="2" customFormat="1"/>
    <row r="42508" s="2" customFormat="1"/>
    <row r="42509" s="2" customFormat="1"/>
    <row r="42510" s="2" customFormat="1"/>
    <row r="42511" s="2" customFormat="1"/>
    <row r="42512" s="2" customFormat="1"/>
    <row r="42513" s="2" customFormat="1"/>
    <row r="42514" s="2" customFormat="1"/>
    <row r="42515" s="2" customFormat="1"/>
    <row r="42516" s="2" customFormat="1"/>
    <row r="42517" s="2" customFormat="1"/>
    <row r="42518" s="2" customFormat="1"/>
    <row r="42519" s="2" customFormat="1"/>
    <row r="42520" s="2" customFormat="1"/>
    <row r="42521" s="2" customFormat="1"/>
    <row r="42522" s="2" customFormat="1"/>
    <row r="42523" s="2" customFormat="1"/>
    <row r="42524" s="2" customFormat="1"/>
    <row r="42525" s="2" customFormat="1"/>
    <row r="42526" s="2" customFormat="1"/>
    <row r="42527" s="2" customFormat="1"/>
    <row r="42528" s="2" customFormat="1"/>
    <row r="42529" s="2" customFormat="1"/>
    <row r="42530" s="2" customFormat="1"/>
    <row r="42531" s="2" customFormat="1"/>
    <row r="42532" s="2" customFormat="1"/>
    <row r="42533" s="2" customFormat="1"/>
    <row r="42534" s="2" customFormat="1"/>
    <row r="42535" s="2" customFormat="1"/>
    <row r="42536" s="2" customFormat="1"/>
    <row r="42537" s="2" customFormat="1"/>
    <row r="42538" s="2" customFormat="1"/>
    <row r="42539" s="2" customFormat="1"/>
    <row r="42540" s="2" customFormat="1"/>
    <row r="42541" s="2" customFormat="1"/>
    <row r="42542" s="2" customFormat="1"/>
    <row r="42543" s="2" customFormat="1"/>
    <row r="42544" s="2" customFormat="1"/>
    <row r="42545" s="2" customFormat="1"/>
    <row r="42546" s="2" customFormat="1"/>
    <row r="42547" s="2" customFormat="1"/>
    <row r="42548" s="2" customFormat="1"/>
    <row r="42549" s="2" customFormat="1"/>
    <row r="42550" s="2" customFormat="1"/>
    <row r="42551" s="2" customFormat="1"/>
    <row r="42552" s="2" customFormat="1"/>
    <row r="42553" s="2" customFormat="1"/>
    <row r="42554" s="2" customFormat="1"/>
    <row r="42555" s="2" customFormat="1"/>
    <row r="42556" s="2" customFormat="1"/>
    <row r="42557" s="2" customFormat="1"/>
    <row r="42558" s="2" customFormat="1"/>
    <row r="42559" s="2" customFormat="1"/>
    <row r="42560" s="2" customFormat="1"/>
    <row r="42561" s="2" customFormat="1"/>
    <row r="42562" s="2" customFormat="1"/>
    <row r="42563" s="2" customFormat="1"/>
    <row r="42564" s="2" customFormat="1"/>
    <row r="42565" s="2" customFormat="1"/>
    <row r="42566" s="2" customFormat="1"/>
    <row r="42567" s="2" customFormat="1"/>
    <row r="42568" s="2" customFormat="1"/>
    <row r="42569" s="2" customFormat="1"/>
    <row r="42570" s="2" customFormat="1"/>
    <row r="42571" s="2" customFormat="1"/>
    <row r="42572" s="2" customFormat="1"/>
    <row r="42573" s="2" customFormat="1"/>
    <row r="42574" s="2" customFormat="1"/>
    <row r="42575" s="2" customFormat="1"/>
    <row r="42576" s="2" customFormat="1"/>
    <row r="42577" s="2" customFormat="1"/>
    <row r="42578" s="2" customFormat="1"/>
    <row r="42579" s="2" customFormat="1"/>
    <row r="42580" s="2" customFormat="1"/>
    <row r="42581" s="2" customFormat="1"/>
    <row r="42582" s="2" customFormat="1"/>
    <row r="42583" s="2" customFormat="1"/>
    <row r="42584" s="2" customFormat="1"/>
    <row r="42585" s="2" customFormat="1"/>
    <row r="42586" s="2" customFormat="1"/>
    <row r="42587" s="2" customFormat="1"/>
    <row r="42588" s="2" customFormat="1"/>
    <row r="42589" s="2" customFormat="1"/>
    <row r="42590" s="2" customFormat="1"/>
    <row r="42591" s="2" customFormat="1"/>
    <row r="42592" s="2" customFormat="1"/>
    <row r="42593" s="2" customFormat="1"/>
    <row r="42594" s="2" customFormat="1"/>
    <row r="42595" s="2" customFormat="1"/>
    <row r="42596" s="2" customFormat="1"/>
    <row r="42597" s="2" customFormat="1"/>
    <row r="42598" s="2" customFormat="1"/>
    <row r="42599" s="2" customFormat="1"/>
    <row r="42600" s="2" customFormat="1"/>
    <row r="42601" s="2" customFormat="1"/>
    <row r="42602" s="2" customFormat="1"/>
    <row r="42603" s="2" customFormat="1"/>
    <row r="42604" s="2" customFormat="1"/>
    <row r="42605" s="2" customFormat="1"/>
    <row r="42606" s="2" customFormat="1"/>
    <row r="42607" s="2" customFormat="1"/>
    <row r="42608" s="2" customFormat="1"/>
    <row r="42609" s="2" customFormat="1"/>
    <row r="42610" s="2" customFormat="1"/>
    <row r="42611" s="2" customFormat="1"/>
    <row r="42612" s="2" customFormat="1"/>
    <row r="42613" s="2" customFormat="1"/>
    <row r="42614" s="2" customFormat="1"/>
    <row r="42615" s="2" customFormat="1"/>
    <row r="42616" s="2" customFormat="1"/>
    <row r="42617" s="2" customFormat="1"/>
    <row r="42618" s="2" customFormat="1"/>
    <row r="42619" s="2" customFormat="1"/>
    <row r="42620" s="2" customFormat="1"/>
    <row r="42621" s="2" customFormat="1"/>
    <row r="42622" s="2" customFormat="1"/>
    <row r="42623" s="2" customFormat="1"/>
    <row r="42624" s="2" customFormat="1"/>
    <row r="42625" s="2" customFormat="1"/>
    <row r="42626" s="2" customFormat="1"/>
    <row r="42627" s="2" customFormat="1"/>
    <row r="42628" s="2" customFormat="1"/>
    <row r="42629" s="2" customFormat="1"/>
    <row r="42630" s="2" customFormat="1"/>
    <row r="42631" s="2" customFormat="1"/>
    <row r="42632" s="2" customFormat="1"/>
    <row r="42633" s="2" customFormat="1"/>
    <row r="42634" s="2" customFormat="1"/>
    <row r="42635" s="2" customFormat="1"/>
    <row r="42636" s="2" customFormat="1"/>
    <row r="42637" s="2" customFormat="1"/>
    <row r="42638" s="2" customFormat="1"/>
    <row r="42639" s="2" customFormat="1"/>
    <row r="42640" s="2" customFormat="1"/>
    <row r="42641" s="2" customFormat="1"/>
    <row r="42642" s="2" customFormat="1"/>
    <row r="42643" s="2" customFormat="1"/>
    <row r="42644" s="2" customFormat="1"/>
    <row r="42645" s="2" customFormat="1"/>
    <row r="42646" s="2" customFormat="1"/>
    <row r="42647" s="2" customFormat="1"/>
    <row r="42648" s="2" customFormat="1"/>
    <row r="42649" s="2" customFormat="1"/>
    <row r="42650" s="2" customFormat="1"/>
    <row r="42651" s="2" customFormat="1"/>
    <row r="42652" s="2" customFormat="1"/>
    <row r="42653" s="2" customFormat="1"/>
    <row r="42654" s="2" customFormat="1"/>
    <row r="42655" s="2" customFormat="1"/>
    <row r="42656" s="2" customFormat="1"/>
    <row r="42657" s="2" customFormat="1"/>
    <row r="42658" s="2" customFormat="1"/>
    <row r="42659" s="2" customFormat="1"/>
    <row r="42660" s="2" customFormat="1"/>
    <row r="42661" s="2" customFormat="1"/>
    <row r="42662" s="2" customFormat="1"/>
    <row r="42663" s="2" customFormat="1"/>
    <row r="42664" s="2" customFormat="1"/>
    <row r="42665" s="2" customFormat="1"/>
    <row r="42666" s="2" customFormat="1"/>
    <row r="42667" s="2" customFormat="1"/>
    <row r="42668" s="2" customFormat="1"/>
    <row r="42669" s="2" customFormat="1"/>
    <row r="42670" s="2" customFormat="1"/>
    <row r="42671" s="2" customFormat="1"/>
    <row r="42672" s="2" customFormat="1"/>
    <row r="42673" s="2" customFormat="1"/>
    <row r="42674" s="2" customFormat="1"/>
    <row r="42675" s="2" customFormat="1"/>
    <row r="42676" s="2" customFormat="1"/>
    <row r="42677" s="2" customFormat="1"/>
    <row r="42678" s="2" customFormat="1"/>
    <row r="42679" s="2" customFormat="1"/>
    <row r="42680" s="2" customFormat="1"/>
    <row r="42681" s="2" customFormat="1"/>
    <row r="42682" s="2" customFormat="1"/>
    <row r="42683" s="2" customFormat="1"/>
    <row r="42684" s="2" customFormat="1"/>
    <row r="42685" s="2" customFormat="1"/>
    <row r="42686" s="2" customFormat="1"/>
    <row r="42687" s="2" customFormat="1"/>
    <row r="42688" s="2" customFormat="1"/>
    <row r="42689" s="2" customFormat="1"/>
    <row r="42690" s="2" customFormat="1"/>
    <row r="42691" s="2" customFormat="1"/>
    <row r="42692" s="2" customFormat="1"/>
    <row r="42693" s="2" customFormat="1"/>
    <row r="42694" s="2" customFormat="1"/>
    <row r="42695" s="2" customFormat="1"/>
    <row r="42696" s="2" customFormat="1"/>
    <row r="42697" s="2" customFormat="1"/>
    <row r="42698" s="2" customFormat="1"/>
    <row r="42699" s="2" customFormat="1"/>
    <row r="42700" s="2" customFormat="1"/>
    <row r="42701" s="2" customFormat="1"/>
    <row r="42702" s="2" customFormat="1"/>
    <row r="42703" s="2" customFormat="1"/>
    <row r="42704" s="2" customFormat="1"/>
    <row r="42705" s="2" customFormat="1"/>
    <row r="42706" s="2" customFormat="1"/>
    <row r="42707" s="2" customFormat="1"/>
    <row r="42708" s="2" customFormat="1"/>
    <row r="42709" s="2" customFormat="1"/>
    <row r="42710" s="2" customFormat="1"/>
    <row r="42711" s="2" customFormat="1"/>
    <row r="42712" s="2" customFormat="1"/>
    <row r="42713" s="2" customFormat="1"/>
    <row r="42714" s="2" customFormat="1"/>
    <row r="42715" s="2" customFormat="1"/>
    <row r="42716" s="2" customFormat="1"/>
    <row r="42717" s="2" customFormat="1"/>
    <row r="42718" s="2" customFormat="1"/>
    <row r="42719" s="2" customFormat="1"/>
    <row r="42720" s="2" customFormat="1"/>
    <row r="42721" s="2" customFormat="1"/>
    <row r="42722" s="2" customFormat="1"/>
    <row r="42723" s="2" customFormat="1"/>
    <row r="42724" s="2" customFormat="1"/>
    <row r="42725" s="2" customFormat="1"/>
    <row r="42726" s="2" customFormat="1"/>
    <row r="42727" s="2" customFormat="1"/>
    <row r="42728" s="2" customFormat="1"/>
    <row r="42729" s="2" customFormat="1"/>
    <row r="42730" s="2" customFormat="1"/>
    <row r="42731" s="2" customFormat="1"/>
    <row r="42732" s="2" customFormat="1"/>
    <row r="42733" s="2" customFormat="1"/>
    <row r="42734" s="2" customFormat="1"/>
    <row r="42735" s="2" customFormat="1"/>
    <row r="42736" s="2" customFormat="1"/>
    <row r="42737" s="2" customFormat="1"/>
    <row r="42738" s="2" customFormat="1"/>
    <row r="42739" s="2" customFormat="1"/>
    <row r="42740" s="2" customFormat="1"/>
    <row r="42741" s="2" customFormat="1"/>
    <row r="42742" s="2" customFormat="1"/>
    <row r="42743" s="2" customFormat="1"/>
    <row r="42744" s="2" customFormat="1"/>
    <row r="42745" s="2" customFormat="1"/>
    <row r="42746" s="2" customFormat="1"/>
    <row r="42747" s="2" customFormat="1"/>
    <row r="42748" s="2" customFormat="1"/>
    <row r="42749" s="2" customFormat="1"/>
    <row r="42750" s="2" customFormat="1"/>
    <row r="42751" s="2" customFormat="1"/>
    <row r="42752" s="2" customFormat="1"/>
    <row r="42753" s="2" customFormat="1"/>
    <row r="42754" s="2" customFormat="1"/>
    <row r="42755" s="2" customFormat="1"/>
    <row r="42756" s="2" customFormat="1"/>
    <row r="42757" s="2" customFormat="1"/>
    <row r="42758" s="2" customFormat="1"/>
    <row r="42759" s="2" customFormat="1"/>
    <row r="42760" s="2" customFormat="1"/>
    <row r="42761" s="2" customFormat="1"/>
    <row r="42762" s="2" customFormat="1"/>
    <row r="42763" s="2" customFormat="1"/>
    <row r="42764" s="2" customFormat="1"/>
    <row r="42765" s="2" customFormat="1"/>
    <row r="42766" s="2" customFormat="1"/>
    <row r="42767" s="2" customFormat="1"/>
    <row r="42768" s="2" customFormat="1"/>
    <row r="42769" s="2" customFormat="1"/>
    <row r="42770" s="2" customFormat="1"/>
    <row r="42771" s="2" customFormat="1"/>
    <row r="42772" s="2" customFormat="1"/>
    <row r="42773" s="2" customFormat="1"/>
    <row r="42774" s="2" customFormat="1"/>
    <row r="42775" s="2" customFormat="1"/>
    <row r="42776" s="2" customFormat="1"/>
    <row r="42777" s="2" customFormat="1"/>
    <row r="42778" s="2" customFormat="1"/>
    <row r="42779" s="2" customFormat="1"/>
    <row r="42780" s="2" customFormat="1"/>
    <row r="42781" s="2" customFormat="1"/>
    <row r="42782" s="2" customFormat="1"/>
    <row r="42783" s="2" customFormat="1"/>
    <row r="42784" s="2" customFormat="1"/>
    <row r="42785" s="2" customFormat="1"/>
    <row r="42786" s="2" customFormat="1"/>
    <row r="42787" s="2" customFormat="1"/>
    <row r="42788" s="2" customFormat="1"/>
    <row r="42789" s="2" customFormat="1"/>
    <row r="42790" s="2" customFormat="1"/>
    <row r="42791" s="2" customFormat="1"/>
    <row r="42792" s="2" customFormat="1"/>
    <row r="42793" s="2" customFormat="1"/>
    <row r="42794" s="2" customFormat="1"/>
    <row r="42795" s="2" customFormat="1"/>
    <row r="42796" s="2" customFormat="1"/>
    <row r="42797" s="2" customFormat="1"/>
    <row r="42798" s="2" customFormat="1"/>
    <row r="42799" s="2" customFormat="1"/>
    <row r="42800" s="2" customFormat="1"/>
    <row r="42801" s="2" customFormat="1"/>
    <row r="42802" s="2" customFormat="1"/>
    <row r="42803" s="2" customFormat="1"/>
    <row r="42804" s="2" customFormat="1"/>
    <row r="42805" s="2" customFormat="1"/>
    <row r="42806" s="2" customFormat="1"/>
    <row r="42807" s="2" customFormat="1"/>
    <row r="42808" s="2" customFormat="1"/>
    <row r="42809" s="2" customFormat="1"/>
    <row r="42810" s="2" customFormat="1"/>
    <row r="42811" s="2" customFormat="1"/>
    <row r="42812" s="2" customFormat="1"/>
    <row r="42813" s="2" customFormat="1"/>
    <row r="42814" s="2" customFormat="1"/>
    <row r="42815" s="2" customFormat="1"/>
    <row r="42816" s="2" customFormat="1"/>
    <row r="42817" s="2" customFormat="1"/>
    <row r="42818" s="2" customFormat="1"/>
    <row r="42819" s="2" customFormat="1"/>
    <row r="42820" s="2" customFormat="1"/>
    <row r="42821" s="2" customFormat="1"/>
    <row r="42822" s="2" customFormat="1"/>
    <row r="42823" s="2" customFormat="1"/>
    <row r="42824" s="2" customFormat="1"/>
    <row r="42825" s="2" customFormat="1"/>
    <row r="42826" s="2" customFormat="1"/>
    <row r="42827" s="2" customFormat="1"/>
    <row r="42828" s="2" customFormat="1"/>
    <row r="42829" s="2" customFormat="1"/>
    <row r="42830" s="2" customFormat="1"/>
    <row r="42831" s="2" customFormat="1"/>
    <row r="42832" s="2" customFormat="1"/>
    <row r="42833" s="2" customFormat="1"/>
    <row r="42834" s="2" customFormat="1"/>
    <row r="42835" s="2" customFormat="1"/>
    <row r="42836" s="2" customFormat="1"/>
    <row r="42837" s="2" customFormat="1"/>
    <row r="42838" s="2" customFormat="1"/>
    <row r="42839" s="2" customFormat="1"/>
    <row r="42840" s="2" customFormat="1"/>
    <row r="42841" s="2" customFormat="1"/>
    <row r="42842" s="2" customFormat="1"/>
    <row r="42843" s="2" customFormat="1"/>
    <row r="42844" s="2" customFormat="1"/>
    <row r="42845" s="2" customFormat="1"/>
    <row r="42846" s="2" customFormat="1"/>
    <row r="42847" s="2" customFormat="1"/>
    <row r="42848" s="2" customFormat="1"/>
    <row r="42849" s="2" customFormat="1"/>
    <row r="42850" s="2" customFormat="1"/>
    <row r="42851" s="2" customFormat="1"/>
    <row r="42852" s="2" customFormat="1"/>
    <row r="42853" s="2" customFormat="1"/>
    <row r="42854" s="2" customFormat="1"/>
    <row r="42855" s="2" customFormat="1"/>
    <row r="42856" s="2" customFormat="1"/>
    <row r="42857" s="2" customFormat="1"/>
    <row r="42858" s="2" customFormat="1"/>
    <row r="42859" s="2" customFormat="1"/>
    <row r="42860" s="2" customFormat="1"/>
    <row r="42861" s="2" customFormat="1"/>
    <row r="42862" s="2" customFormat="1"/>
    <row r="42863" s="2" customFormat="1"/>
    <row r="42864" s="2" customFormat="1"/>
    <row r="42865" s="2" customFormat="1"/>
    <row r="42866" s="2" customFormat="1"/>
    <row r="42867" s="2" customFormat="1"/>
    <row r="42868" s="2" customFormat="1"/>
    <row r="42869" s="2" customFormat="1"/>
    <row r="42870" s="2" customFormat="1"/>
    <row r="42871" s="2" customFormat="1"/>
    <row r="42872" s="2" customFormat="1"/>
    <row r="42873" s="2" customFormat="1"/>
    <row r="42874" s="2" customFormat="1"/>
    <row r="42875" s="2" customFormat="1"/>
    <row r="42876" s="2" customFormat="1"/>
    <row r="42877" s="2" customFormat="1"/>
    <row r="42878" s="2" customFormat="1"/>
    <row r="42879" s="2" customFormat="1"/>
    <row r="42880" s="2" customFormat="1"/>
    <row r="42881" s="2" customFormat="1"/>
    <row r="42882" s="2" customFormat="1"/>
    <row r="42883" s="2" customFormat="1"/>
    <row r="42884" s="2" customFormat="1"/>
    <row r="42885" s="2" customFormat="1"/>
    <row r="42886" s="2" customFormat="1"/>
    <row r="42887" s="2" customFormat="1"/>
    <row r="42888" s="2" customFormat="1"/>
    <row r="42889" s="2" customFormat="1"/>
    <row r="42890" s="2" customFormat="1"/>
    <row r="42891" s="2" customFormat="1"/>
    <row r="42892" s="2" customFormat="1"/>
    <row r="42893" s="2" customFormat="1"/>
    <row r="42894" s="2" customFormat="1"/>
    <row r="42895" s="2" customFormat="1"/>
    <row r="42896" s="2" customFormat="1"/>
    <row r="42897" s="2" customFormat="1"/>
    <row r="42898" s="2" customFormat="1"/>
    <row r="42899" s="2" customFormat="1"/>
    <row r="42900" s="2" customFormat="1"/>
    <row r="42901" s="2" customFormat="1"/>
    <row r="42902" s="2" customFormat="1"/>
    <row r="42903" s="2" customFormat="1"/>
    <row r="42904" s="2" customFormat="1"/>
    <row r="42905" s="2" customFormat="1"/>
    <row r="42906" s="2" customFormat="1"/>
    <row r="42907" s="2" customFormat="1"/>
    <row r="42908" s="2" customFormat="1"/>
    <row r="42909" s="2" customFormat="1"/>
    <row r="42910" s="2" customFormat="1"/>
    <row r="42911" s="2" customFormat="1"/>
    <row r="42912" s="2" customFormat="1"/>
    <row r="42913" s="2" customFormat="1"/>
    <row r="42914" s="2" customFormat="1"/>
    <row r="42915" s="2" customFormat="1"/>
    <row r="42916" s="2" customFormat="1"/>
    <row r="42917" s="2" customFormat="1"/>
    <row r="42918" s="2" customFormat="1"/>
    <row r="42919" s="2" customFormat="1"/>
    <row r="42920" s="2" customFormat="1"/>
    <row r="42921" s="2" customFormat="1"/>
    <row r="42922" s="2" customFormat="1"/>
    <row r="42923" s="2" customFormat="1"/>
    <row r="42924" s="2" customFormat="1"/>
    <row r="42925" s="2" customFormat="1"/>
    <row r="42926" s="2" customFormat="1"/>
    <row r="42927" s="2" customFormat="1"/>
    <row r="42928" s="2" customFormat="1"/>
    <row r="42929" s="2" customFormat="1"/>
    <row r="42930" s="2" customFormat="1"/>
    <row r="42931" s="2" customFormat="1"/>
    <row r="42932" s="2" customFormat="1"/>
    <row r="42933" s="2" customFormat="1"/>
    <row r="42934" s="2" customFormat="1"/>
    <row r="42935" s="2" customFormat="1"/>
    <row r="42936" s="2" customFormat="1"/>
    <row r="42937" s="2" customFormat="1"/>
    <row r="42938" s="2" customFormat="1"/>
    <row r="42939" s="2" customFormat="1"/>
    <row r="42940" s="2" customFormat="1"/>
    <row r="42941" s="2" customFormat="1"/>
    <row r="42942" s="2" customFormat="1"/>
    <row r="42943" s="2" customFormat="1"/>
    <row r="42944" s="2" customFormat="1"/>
    <row r="42945" s="2" customFormat="1"/>
    <row r="42946" s="2" customFormat="1"/>
    <row r="42947" s="2" customFormat="1"/>
    <row r="42948" s="2" customFormat="1"/>
    <row r="42949" s="2" customFormat="1"/>
    <row r="42950" s="2" customFormat="1"/>
    <row r="42951" s="2" customFormat="1"/>
    <row r="42952" s="2" customFormat="1"/>
    <row r="42953" s="2" customFormat="1"/>
    <row r="42954" s="2" customFormat="1"/>
    <row r="42955" s="2" customFormat="1"/>
    <row r="42956" s="2" customFormat="1"/>
    <row r="42957" s="2" customFormat="1"/>
    <row r="42958" s="2" customFormat="1"/>
    <row r="42959" s="2" customFormat="1"/>
    <row r="42960" s="2" customFormat="1"/>
    <row r="42961" s="2" customFormat="1"/>
    <row r="42962" s="2" customFormat="1"/>
    <row r="42963" s="2" customFormat="1"/>
    <row r="42964" s="2" customFormat="1"/>
    <row r="42965" s="2" customFormat="1"/>
    <row r="42966" s="2" customFormat="1"/>
    <row r="42967" s="2" customFormat="1"/>
    <row r="42968" s="2" customFormat="1"/>
    <row r="42969" s="2" customFormat="1"/>
    <row r="42970" s="2" customFormat="1"/>
    <row r="42971" s="2" customFormat="1"/>
    <row r="42972" s="2" customFormat="1"/>
    <row r="42973" s="2" customFormat="1"/>
    <row r="42974" s="2" customFormat="1"/>
    <row r="42975" s="2" customFormat="1"/>
    <row r="42976" s="2" customFormat="1"/>
    <row r="42977" s="2" customFormat="1"/>
    <row r="42978" s="2" customFormat="1"/>
    <row r="42979" s="2" customFormat="1"/>
    <row r="42980" s="2" customFormat="1"/>
    <row r="42981" s="2" customFormat="1"/>
    <row r="42982" s="2" customFormat="1"/>
    <row r="42983" s="2" customFormat="1"/>
    <row r="42984" s="2" customFormat="1"/>
    <row r="42985" s="2" customFormat="1"/>
    <row r="42986" s="2" customFormat="1"/>
    <row r="42987" s="2" customFormat="1"/>
    <row r="42988" s="2" customFormat="1"/>
    <row r="42989" s="2" customFormat="1"/>
    <row r="42990" s="2" customFormat="1"/>
    <row r="42991" s="2" customFormat="1"/>
    <row r="42992" s="2" customFormat="1"/>
    <row r="42993" s="2" customFormat="1"/>
    <row r="42994" s="2" customFormat="1"/>
    <row r="42995" s="2" customFormat="1"/>
    <row r="42996" s="2" customFormat="1"/>
    <row r="42997" s="2" customFormat="1"/>
    <row r="42998" s="2" customFormat="1"/>
    <row r="42999" s="2" customFormat="1"/>
    <row r="43000" s="2" customFormat="1"/>
    <row r="43001" s="2" customFormat="1"/>
    <row r="43002" s="2" customFormat="1"/>
    <row r="43003" s="2" customFormat="1"/>
    <row r="43004" s="2" customFormat="1"/>
    <row r="43005" s="2" customFormat="1"/>
    <row r="43006" s="2" customFormat="1"/>
    <row r="43007" s="2" customFormat="1"/>
    <row r="43008" s="2" customFormat="1"/>
    <row r="43009" s="2" customFormat="1"/>
    <row r="43010" s="2" customFormat="1"/>
    <row r="43011" s="2" customFormat="1"/>
    <row r="43012" s="2" customFormat="1"/>
    <row r="43013" s="2" customFormat="1"/>
    <row r="43014" s="2" customFormat="1"/>
    <row r="43015" s="2" customFormat="1"/>
    <row r="43016" s="2" customFormat="1"/>
    <row r="43017" s="2" customFormat="1"/>
    <row r="43018" s="2" customFormat="1"/>
    <row r="43019" s="2" customFormat="1"/>
    <row r="43020" s="2" customFormat="1"/>
    <row r="43021" s="2" customFormat="1"/>
    <row r="43022" s="2" customFormat="1"/>
    <row r="43023" s="2" customFormat="1"/>
    <row r="43024" s="2" customFormat="1"/>
    <row r="43025" s="2" customFormat="1"/>
    <row r="43026" s="2" customFormat="1"/>
    <row r="43027" s="2" customFormat="1"/>
    <row r="43028" s="2" customFormat="1"/>
    <row r="43029" s="2" customFormat="1"/>
    <row r="43030" s="2" customFormat="1"/>
    <row r="43031" s="2" customFormat="1"/>
    <row r="43032" s="2" customFormat="1"/>
    <row r="43033" s="2" customFormat="1"/>
    <row r="43034" s="2" customFormat="1"/>
    <row r="43035" s="2" customFormat="1"/>
    <row r="43036" s="2" customFormat="1"/>
    <row r="43037" s="2" customFormat="1"/>
    <row r="43038" s="2" customFormat="1"/>
    <row r="43039" s="2" customFormat="1"/>
    <row r="43040" s="2" customFormat="1"/>
    <row r="43041" s="2" customFormat="1"/>
    <row r="43042" s="2" customFormat="1"/>
    <row r="43043" s="2" customFormat="1"/>
    <row r="43044" s="2" customFormat="1"/>
    <row r="43045" s="2" customFormat="1"/>
    <row r="43046" s="2" customFormat="1"/>
    <row r="43047" s="2" customFormat="1"/>
    <row r="43048" s="2" customFormat="1"/>
    <row r="43049" s="2" customFormat="1"/>
    <row r="43050" s="2" customFormat="1"/>
    <row r="43051" s="2" customFormat="1"/>
    <row r="43052" s="2" customFormat="1"/>
    <row r="43053" s="2" customFormat="1"/>
    <row r="43054" s="2" customFormat="1"/>
    <row r="43055" s="2" customFormat="1"/>
    <row r="43056" s="2" customFormat="1"/>
    <row r="43057" s="2" customFormat="1"/>
    <row r="43058" s="2" customFormat="1"/>
    <row r="43059" s="2" customFormat="1"/>
    <row r="43060" s="2" customFormat="1"/>
    <row r="43061" s="2" customFormat="1"/>
    <row r="43062" s="2" customFormat="1"/>
    <row r="43063" s="2" customFormat="1"/>
    <row r="43064" s="2" customFormat="1"/>
    <row r="43065" s="2" customFormat="1"/>
    <row r="43066" s="2" customFormat="1"/>
    <row r="43067" s="2" customFormat="1"/>
    <row r="43068" s="2" customFormat="1"/>
    <row r="43069" s="2" customFormat="1"/>
    <row r="43070" s="2" customFormat="1"/>
    <row r="43071" s="2" customFormat="1"/>
    <row r="43072" s="2" customFormat="1"/>
    <row r="43073" s="2" customFormat="1"/>
    <row r="43074" s="2" customFormat="1"/>
    <row r="43075" s="2" customFormat="1"/>
    <row r="43076" s="2" customFormat="1"/>
    <row r="43077" s="2" customFormat="1"/>
    <row r="43078" s="2" customFormat="1"/>
    <row r="43079" s="2" customFormat="1"/>
    <row r="43080" s="2" customFormat="1"/>
    <row r="43081" s="2" customFormat="1"/>
    <row r="43082" s="2" customFormat="1"/>
    <row r="43083" s="2" customFormat="1"/>
    <row r="43084" s="2" customFormat="1"/>
    <row r="43085" s="2" customFormat="1"/>
    <row r="43086" s="2" customFormat="1"/>
    <row r="43087" s="2" customFormat="1"/>
    <row r="43088" s="2" customFormat="1"/>
    <row r="43089" s="2" customFormat="1"/>
    <row r="43090" s="2" customFormat="1"/>
    <row r="43091" s="2" customFormat="1"/>
    <row r="43092" s="2" customFormat="1"/>
    <row r="43093" s="2" customFormat="1"/>
    <row r="43094" s="2" customFormat="1"/>
    <row r="43095" s="2" customFormat="1"/>
    <row r="43096" s="2" customFormat="1"/>
    <row r="43097" s="2" customFormat="1"/>
    <row r="43098" s="2" customFormat="1"/>
    <row r="43099" s="2" customFormat="1"/>
    <row r="43100" s="2" customFormat="1"/>
    <row r="43101" s="2" customFormat="1"/>
    <row r="43102" s="2" customFormat="1"/>
    <row r="43103" s="2" customFormat="1"/>
    <row r="43104" s="2" customFormat="1"/>
    <row r="43105" s="2" customFormat="1"/>
    <row r="43106" s="2" customFormat="1"/>
    <row r="43107" s="2" customFormat="1"/>
    <row r="43108" s="2" customFormat="1"/>
    <row r="43109" s="2" customFormat="1"/>
    <row r="43110" s="2" customFormat="1"/>
    <row r="43111" s="2" customFormat="1"/>
    <row r="43112" s="2" customFormat="1"/>
    <row r="43113" s="2" customFormat="1"/>
    <row r="43114" s="2" customFormat="1"/>
    <row r="43115" s="2" customFormat="1"/>
    <row r="43116" s="2" customFormat="1"/>
    <row r="43117" s="2" customFormat="1"/>
    <row r="43118" s="2" customFormat="1"/>
    <row r="43119" s="2" customFormat="1"/>
    <row r="43120" s="2" customFormat="1"/>
    <row r="43121" s="2" customFormat="1"/>
    <row r="43122" s="2" customFormat="1"/>
    <row r="43123" s="2" customFormat="1"/>
    <row r="43124" s="2" customFormat="1"/>
    <row r="43125" s="2" customFormat="1"/>
    <row r="43126" s="2" customFormat="1"/>
    <row r="43127" s="2" customFormat="1"/>
    <row r="43128" s="2" customFormat="1"/>
    <row r="43129" s="2" customFormat="1"/>
    <row r="43130" s="2" customFormat="1"/>
    <row r="43131" s="2" customFormat="1"/>
    <row r="43132" s="2" customFormat="1"/>
    <row r="43133" s="2" customFormat="1"/>
    <row r="43134" s="2" customFormat="1"/>
    <row r="43135" s="2" customFormat="1"/>
    <row r="43136" s="2" customFormat="1"/>
    <row r="43137" s="2" customFormat="1"/>
    <row r="43138" s="2" customFormat="1"/>
    <row r="43139" s="2" customFormat="1"/>
    <row r="43140" s="2" customFormat="1"/>
    <row r="43141" s="2" customFormat="1"/>
    <row r="43142" s="2" customFormat="1"/>
    <row r="43143" s="2" customFormat="1"/>
    <row r="43144" s="2" customFormat="1"/>
    <row r="43145" s="2" customFormat="1"/>
    <row r="43146" s="2" customFormat="1"/>
    <row r="43147" s="2" customFormat="1"/>
    <row r="43148" s="2" customFormat="1"/>
    <row r="43149" s="2" customFormat="1"/>
    <row r="43150" s="2" customFormat="1"/>
    <row r="43151" s="2" customFormat="1"/>
    <row r="43152" s="2" customFormat="1"/>
    <row r="43153" s="2" customFormat="1"/>
    <row r="43154" s="2" customFormat="1"/>
    <row r="43155" s="2" customFormat="1"/>
    <row r="43156" s="2" customFormat="1"/>
    <row r="43157" s="2" customFormat="1"/>
    <row r="43158" s="2" customFormat="1"/>
    <row r="43159" s="2" customFormat="1"/>
    <row r="43160" s="2" customFormat="1"/>
    <row r="43161" s="2" customFormat="1"/>
    <row r="43162" s="2" customFormat="1"/>
    <row r="43163" s="2" customFormat="1"/>
    <row r="43164" s="2" customFormat="1"/>
    <row r="43165" s="2" customFormat="1"/>
    <row r="43166" s="2" customFormat="1"/>
    <row r="43167" s="2" customFormat="1"/>
    <row r="43168" s="2" customFormat="1"/>
    <row r="43169" s="2" customFormat="1"/>
    <row r="43170" s="2" customFormat="1"/>
    <row r="43171" s="2" customFormat="1"/>
    <row r="43172" s="2" customFormat="1"/>
    <row r="43173" s="2" customFormat="1"/>
    <row r="43174" s="2" customFormat="1"/>
    <row r="43175" s="2" customFormat="1"/>
    <row r="43176" s="2" customFormat="1"/>
    <row r="43177" s="2" customFormat="1"/>
    <row r="43178" s="2" customFormat="1"/>
    <row r="43179" s="2" customFormat="1"/>
    <row r="43180" s="2" customFormat="1"/>
    <row r="43181" s="2" customFormat="1"/>
    <row r="43182" s="2" customFormat="1"/>
    <row r="43183" s="2" customFormat="1"/>
    <row r="43184" s="2" customFormat="1"/>
    <row r="43185" s="2" customFormat="1"/>
    <row r="43186" s="2" customFormat="1"/>
    <row r="43187" s="2" customFormat="1"/>
    <row r="43188" s="2" customFormat="1"/>
    <row r="43189" s="2" customFormat="1"/>
    <row r="43190" s="2" customFormat="1"/>
    <row r="43191" s="2" customFormat="1"/>
    <row r="43192" s="2" customFormat="1"/>
    <row r="43193" s="2" customFormat="1"/>
    <row r="43194" s="2" customFormat="1"/>
    <row r="43195" s="2" customFormat="1"/>
    <row r="43196" s="2" customFormat="1"/>
    <row r="43197" s="2" customFormat="1"/>
    <row r="43198" s="2" customFormat="1"/>
    <row r="43199" s="2" customFormat="1"/>
    <row r="43200" s="2" customFormat="1"/>
    <row r="43201" s="2" customFormat="1"/>
    <row r="43202" s="2" customFormat="1"/>
    <row r="43203" s="2" customFormat="1"/>
    <row r="43204" s="2" customFormat="1"/>
    <row r="43205" s="2" customFormat="1"/>
    <row r="43206" s="2" customFormat="1"/>
    <row r="43207" s="2" customFormat="1"/>
    <row r="43208" s="2" customFormat="1"/>
    <row r="43209" s="2" customFormat="1"/>
    <row r="43210" s="2" customFormat="1"/>
    <row r="43211" s="2" customFormat="1"/>
    <row r="43212" s="2" customFormat="1"/>
    <row r="43213" s="2" customFormat="1"/>
    <row r="43214" s="2" customFormat="1"/>
    <row r="43215" s="2" customFormat="1"/>
    <row r="43216" s="2" customFormat="1"/>
    <row r="43217" s="2" customFormat="1"/>
    <row r="43218" s="2" customFormat="1"/>
    <row r="43219" s="2" customFormat="1"/>
    <row r="43220" s="2" customFormat="1"/>
    <row r="43221" s="2" customFormat="1"/>
    <row r="43222" s="2" customFormat="1"/>
    <row r="43223" s="2" customFormat="1"/>
    <row r="43224" s="2" customFormat="1"/>
    <row r="43225" s="2" customFormat="1"/>
    <row r="43226" s="2" customFormat="1"/>
    <row r="43227" s="2" customFormat="1"/>
    <row r="43228" s="2" customFormat="1"/>
    <row r="43229" s="2" customFormat="1"/>
    <row r="43230" s="2" customFormat="1"/>
    <row r="43231" s="2" customFormat="1"/>
    <row r="43232" s="2" customFormat="1"/>
    <row r="43233" s="2" customFormat="1"/>
    <row r="43234" s="2" customFormat="1"/>
    <row r="43235" s="2" customFormat="1"/>
    <row r="43236" s="2" customFormat="1"/>
    <row r="43237" s="2" customFormat="1"/>
    <row r="43238" s="2" customFormat="1"/>
    <row r="43239" s="2" customFormat="1"/>
    <row r="43240" s="2" customFormat="1"/>
    <row r="43241" s="2" customFormat="1"/>
    <row r="43242" s="2" customFormat="1"/>
    <row r="43243" s="2" customFormat="1"/>
    <row r="43244" s="2" customFormat="1"/>
    <row r="43245" s="2" customFormat="1"/>
    <row r="43246" s="2" customFormat="1"/>
    <row r="43247" s="2" customFormat="1"/>
    <row r="43248" s="2" customFormat="1"/>
    <row r="43249" s="2" customFormat="1"/>
    <row r="43250" s="2" customFormat="1"/>
    <row r="43251" s="2" customFormat="1"/>
    <row r="43252" s="2" customFormat="1"/>
    <row r="43253" s="2" customFormat="1"/>
    <row r="43254" s="2" customFormat="1"/>
    <row r="43255" s="2" customFormat="1"/>
    <row r="43256" s="2" customFormat="1"/>
    <row r="43257" s="2" customFormat="1"/>
    <row r="43258" s="2" customFormat="1"/>
    <row r="43259" s="2" customFormat="1"/>
    <row r="43260" s="2" customFormat="1"/>
    <row r="43261" s="2" customFormat="1"/>
    <row r="43262" s="2" customFormat="1"/>
    <row r="43263" s="2" customFormat="1"/>
    <row r="43264" s="2" customFormat="1"/>
    <row r="43265" s="2" customFormat="1"/>
    <row r="43266" s="2" customFormat="1"/>
    <row r="43267" s="2" customFormat="1"/>
    <row r="43268" s="2" customFormat="1"/>
    <row r="43269" s="2" customFormat="1"/>
    <row r="43270" s="2" customFormat="1"/>
    <row r="43271" s="2" customFormat="1"/>
    <row r="43272" s="2" customFormat="1"/>
    <row r="43273" s="2" customFormat="1"/>
    <row r="43274" s="2" customFormat="1"/>
    <row r="43275" s="2" customFormat="1"/>
    <row r="43276" s="2" customFormat="1"/>
    <row r="43277" s="2" customFormat="1"/>
    <row r="43278" s="2" customFormat="1"/>
    <row r="43279" s="2" customFormat="1"/>
    <row r="43280" s="2" customFormat="1"/>
    <row r="43281" s="2" customFormat="1"/>
    <row r="43282" s="2" customFormat="1"/>
    <row r="43283" s="2" customFormat="1"/>
    <row r="43284" s="2" customFormat="1"/>
    <row r="43285" s="2" customFormat="1"/>
    <row r="43286" s="2" customFormat="1"/>
    <row r="43287" s="2" customFormat="1"/>
    <row r="43288" s="2" customFormat="1"/>
    <row r="43289" s="2" customFormat="1"/>
    <row r="43290" s="2" customFormat="1"/>
    <row r="43291" s="2" customFormat="1"/>
    <row r="43292" s="2" customFormat="1"/>
    <row r="43293" s="2" customFormat="1"/>
    <row r="43294" s="2" customFormat="1"/>
    <row r="43295" s="2" customFormat="1"/>
    <row r="43296" s="2" customFormat="1"/>
    <row r="43297" s="2" customFormat="1"/>
    <row r="43298" s="2" customFormat="1"/>
    <row r="43299" s="2" customFormat="1"/>
    <row r="43300" s="2" customFormat="1"/>
    <row r="43301" s="2" customFormat="1"/>
    <row r="43302" s="2" customFormat="1"/>
    <row r="43303" s="2" customFormat="1"/>
    <row r="43304" s="2" customFormat="1"/>
    <row r="43305" s="2" customFormat="1"/>
    <row r="43306" s="2" customFormat="1"/>
    <row r="43307" s="2" customFormat="1"/>
    <row r="43308" s="2" customFormat="1"/>
    <row r="43309" s="2" customFormat="1"/>
    <row r="43310" s="2" customFormat="1"/>
    <row r="43311" s="2" customFormat="1"/>
    <row r="43312" s="2" customFormat="1"/>
    <row r="43313" s="2" customFormat="1"/>
    <row r="43314" s="2" customFormat="1"/>
    <row r="43315" s="2" customFormat="1"/>
    <row r="43316" s="2" customFormat="1"/>
    <row r="43317" s="2" customFormat="1"/>
    <row r="43318" s="2" customFormat="1"/>
    <row r="43319" s="2" customFormat="1"/>
    <row r="43320" s="2" customFormat="1"/>
    <row r="43321" s="2" customFormat="1"/>
    <row r="43322" s="2" customFormat="1"/>
    <row r="43323" s="2" customFormat="1"/>
    <row r="43324" s="2" customFormat="1"/>
    <row r="43325" s="2" customFormat="1"/>
    <row r="43326" s="2" customFormat="1"/>
    <row r="43327" s="2" customFormat="1"/>
    <row r="43328" s="2" customFormat="1"/>
    <row r="43329" s="2" customFormat="1"/>
    <row r="43330" s="2" customFormat="1"/>
    <row r="43331" s="2" customFormat="1"/>
    <row r="43332" s="2" customFormat="1"/>
    <row r="43333" s="2" customFormat="1"/>
    <row r="43334" s="2" customFormat="1"/>
    <row r="43335" s="2" customFormat="1"/>
    <row r="43336" s="2" customFormat="1"/>
    <row r="43337" s="2" customFormat="1"/>
    <row r="43338" s="2" customFormat="1"/>
    <row r="43339" s="2" customFormat="1"/>
    <row r="43340" s="2" customFormat="1"/>
    <row r="43341" s="2" customFormat="1"/>
    <row r="43342" s="2" customFormat="1"/>
    <row r="43343" s="2" customFormat="1"/>
    <row r="43344" s="2" customFormat="1"/>
    <row r="43345" s="2" customFormat="1"/>
    <row r="43346" s="2" customFormat="1"/>
    <row r="43347" s="2" customFormat="1"/>
    <row r="43348" s="2" customFormat="1"/>
    <row r="43349" s="2" customFormat="1"/>
    <row r="43350" s="2" customFormat="1"/>
    <row r="43351" s="2" customFormat="1"/>
    <row r="43352" s="2" customFormat="1"/>
    <row r="43353" s="2" customFormat="1"/>
    <row r="43354" s="2" customFormat="1"/>
    <row r="43355" s="2" customFormat="1"/>
    <row r="43356" s="2" customFormat="1"/>
    <row r="43357" s="2" customFormat="1"/>
    <row r="43358" s="2" customFormat="1"/>
    <row r="43359" s="2" customFormat="1"/>
    <row r="43360" s="2" customFormat="1"/>
    <row r="43361" s="2" customFormat="1"/>
    <row r="43362" s="2" customFormat="1"/>
    <row r="43363" s="2" customFormat="1"/>
    <row r="43364" s="2" customFormat="1"/>
    <row r="43365" s="2" customFormat="1"/>
    <row r="43366" s="2" customFormat="1"/>
    <row r="43367" s="2" customFormat="1"/>
    <row r="43368" s="2" customFormat="1"/>
    <row r="43369" s="2" customFormat="1"/>
    <row r="43370" s="2" customFormat="1"/>
    <row r="43371" s="2" customFormat="1"/>
    <row r="43372" s="2" customFormat="1"/>
    <row r="43373" s="2" customFormat="1"/>
    <row r="43374" s="2" customFormat="1"/>
    <row r="43375" s="2" customFormat="1"/>
    <row r="43376" s="2" customFormat="1"/>
    <row r="43377" s="2" customFormat="1"/>
    <row r="43378" s="2" customFormat="1"/>
    <row r="43379" s="2" customFormat="1"/>
    <row r="43380" s="2" customFormat="1"/>
    <row r="43381" s="2" customFormat="1"/>
    <row r="43382" s="2" customFormat="1"/>
    <row r="43383" s="2" customFormat="1"/>
    <row r="43384" s="2" customFormat="1"/>
    <row r="43385" s="2" customFormat="1"/>
    <row r="43386" s="2" customFormat="1"/>
    <row r="43387" s="2" customFormat="1"/>
    <row r="43388" s="2" customFormat="1"/>
    <row r="43389" s="2" customFormat="1"/>
    <row r="43390" s="2" customFormat="1"/>
    <row r="43391" s="2" customFormat="1"/>
    <row r="43392" s="2" customFormat="1"/>
    <row r="43393" s="2" customFormat="1"/>
    <row r="43394" s="2" customFormat="1"/>
    <row r="43395" s="2" customFormat="1"/>
    <row r="43396" s="2" customFormat="1"/>
    <row r="43397" s="2" customFormat="1"/>
    <row r="43398" s="2" customFormat="1"/>
    <row r="43399" s="2" customFormat="1"/>
    <row r="43400" s="2" customFormat="1"/>
    <row r="43401" s="2" customFormat="1"/>
    <row r="43402" s="2" customFormat="1"/>
    <row r="43403" s="2" customFormat="1"/>
    <row r="43404" s="2" customFormat="1"/>
    <row r="43405" s="2" customFormat="1"/>
    <row r="43406" s="2" customFormat="1"/>
    <row r="43407" s="2" customFormat="1"/>
    <row r="43408" s="2" customFormat="1"/>
    <row r="43409" s="2" customFormat="1"/>
    <row r="43410" s="2" customFormat="1"/>
    <row r="43411" s="2" customFormat="1"/>
    <row r="43412" s="2" customFormat="1"/>
    <row r="43413" s="2" customFormat="1"/>
    <row r="43414" s="2" customFormat="1"/>
    <row r="43415" s="2" customFormat="1"/>
    <row r="43416" s="2" customFormat="1"/>
    <row r="43417" s="2" customFormat="1"/>
    <row r="43418" s="2" customFormat="1"/>
    <row r="43419" s="2" customFormat="1"/>
    <row r="43420" s="2" customFormat="1"/>
    <row r="43421" s="2" customFormat="1"/>
    <row r="43422" s="2" customFormat="1"/>
    <row r="43423" s="2" customFormat="1"/>
    <row r="43424" s="2" customFormat="1"/>
    <row r="43425" s="2" customFormat="1"/>
    <row r="43426" s="2" customFormat="1"/>
    <row r="43427" s="2" customFormat="1"/>
    <row r="43428" s="2" customFormat="1"/>
    <row r="43429" s="2" customFormat="1"/>
    <row r="43430" s="2" customFormat="1"/>
    <row r="43431" s="2" customFormat="1"/>
    <row r="43432" s="2" customFormat="1"/>
    <row r="43433" s="2" customFormat="1"/>
    <row r="43434" s="2" customFormat="1"/>
    <row r="43435" s="2" customFormat="1"/>
    <row r="43436" s="2" customFormat="1"/>
    <row r="43437" s="2" customFormat="1"/>
    <row r="43438" s="2" customFormat="1"/>
    <row r="43439" s="2" customFormat="1"/>
    <row r="43440" s="2" customFormat="1"/>
    <row r="43441" s="2" customFormat="1"/>
    <row r="43442" s="2" customFormat="1"/>
    <row r="43443" s="2" customFormat="1"/>
    <row r="43444" s="2" customFormat="1"/>
    <row r="43445" s="2" customFormat="1"/>
    <row r="43446" s="2" customFormat="1"/>
    <row r="43447" s="2" customFormat="1"/>
    <row r="43448" s="2" customFormat="1"/>
    <row r="43449" s="2" customFormat="1"/>
    <row r="43450" s="2" customFormat="1"/>
    <row r="43451" s="2" customFormat="1"/>
    <row r="43452" s="2" customFormat="1"/>
    <row r="43453" s="2" customFormat="1"/>
    <row r="43454" s="2" customFormat="1"/>
    <row r="43455" s="2" customFormat="1"/>
    <row r="43456" s="2" customFormat="1"/>
    <row r="43457" s="2" customFormat="1"/>
    <row r="43458" s="2" customFormat="1"/>
    <row r="43459" s="2" customFormat="1"/>
    <row r="43460" s="2" customFormat="1"/>
    <row r="43461" s="2" customFormat="1"/>
    <row r="43462" s="2" customFormat="1"/>
    <row r="43463" s="2" customFormat="1"/>
    <row r="43464" s="2" customFormat="1"/>
    <row r="43465" s="2" customFormat="1"/>
    <row r="43466" s="2" customFormat="1"/>
    <row r="43467" s="2" customFormat="1"/>
    <row r="43468" s="2" customFormat="1"/>
    <row r="43469" s="2" customFormat="1"/>
    <row r="43470" s="2" customFormat="1"/>
    <row r="43471" s="2" customFormat="1"/>
    <row r="43472" s="2" customFormat="1"/>
    <row r="43473" s="2" customFormat="1"/>
    <row r="43474" s="2" customFormat="1"/>
    <row r="43475" s="2" customFormat="1"/>
    <row r="43476" s="2" customFormat="1"/>
    <row r="43477" s="2" customFormat="1"/>
    <row r="43478" s="2" customFormat="1"/>
    <row r="43479" s="2" customFormat="1"/>
    <row r="43480" s="2" customFormat="1"/>
    <row r="43481" s="2" customFormat="1"/>
    <row r="43482" s="2" customFormat="1"/>
    <row r="43483" s="2" customFormat="1"/>
    <row r="43484" s="2" customFormat="1"/>
    <row r="43485" s="2" customFormat="1"/>
    <row r="43486" s="2" customFormat="1"/>
    <row r="43487" s="2" customFormat="1"/>
    <row r="43488" s="2" customFormat="1"/>
    <row r="43489" s="2" customFormat="1"/>
    <row r="43490" s="2" customFormat="1"/>
    <row r="43491" s="2" customFormat="1"/>
    <row r="43492" s="2" customFormat="1"/>
    <row r="43493" s="2" customFormat="1"/>
    <row r="43494" s="2" customFormat="1"/>
    <row r="43495" s="2" customFormat="1"/>
    <row r="43496" s="2" customFormat="1"/>
    <row r="43497" s="2" customFormat="1"/>
    <row r="43498" s="2" customFormat="1"/>
    <row r="43499" s="2" customFormat="1"/>
    <row r="43500" s="2" customFormat="1"/>
    <row r="43501" s="2" customFormat="1"/>
    <row r="43502" s="2" customFormat="1"/>
    <row r="43503" s="2" customFormat="1"/>
    <row r="43504" s="2" customFormat="1"/>
    <row r="43505" s="2" customFormat="1"/>
    <row r="43506" s="2" customFormat="1"/>
    <row r="43507" s="2" customFormat="1"/>
    <row r="43508" s="2" customFormat="1"/>
    <row r="43509" s="2" customFormat="1"/>
    <row r="43510" s="2" customFormat="1"/>
    <row r="43511" s="2" customFormat="1"/>
    <row r="43512" s="2" customFormat="1"/>
    <row r="43513" s="2" customFormat="1"/>
    <row r="43514" s="2" customFormat="1"/>
    <row r="43515" s="2" customFormat="1"/>
    <row r="43516" s="2" customFormat="1"/>
    <row r="43517" s="2" customFormat="1"/>
    <row r="43518" s="2" customFormat="1"/>
    <row r="43519" s="2" customFormat="1"/>
    <row r="43520" s="2" customFormat="1"/>
    <row r="43521" s="2" customFormat="1"/>
    <row r="43522" s="2" customFormat="1"/>
    <row r="43523" s="2" customFormat="1"/>
    <row r="43524" s="2" customFormat="1"/>
    <row r="43525" s="2" customFormat="1"/>
    <row r="43526" s="2" customFormat="1"/>
    <row r="43527" s="2" customFormat="1"/>
    <row r="43528" s="2" customFormat="1"/>
    <row r="43529" s="2" customFormat="1"/>
    <row r="43530" s="2" customFormat="1"/>
    <row r="43531" s="2" customFormat="1"/>
    <row r="43532" s="2" customFormat="1"/>
    <row r="43533" s="2" customFormat="1"/>
    <row r="43534" s="2" customFormat="1"/>
    <row r="43535" s="2" customFormat="1"/>
    <row r="43536" s="2" customFormat="1"/>
    <row r="43537" s="2" customFormat="1"/>
    <row r="43538" s="2" customFormat="1"/>
    <row r="43539" s="2" customFormat="1"/>
    <row r="43540" s="2" customFormat="1"/>
    <row r="43541" s="2" customFormat="1"/>
    <row r="43542" s="2" customFormat="1"/>
    <row r="43543" s="2" customFormat="1"/>
    <row r="43544" s="2" customFormat="1"/>
    <row r="43545" s="2" customFormat="1"/>
    <row r="43546" s="2" customFormat="1"/>
    <row r="43547" s="2" customFormat="1"/>
    <row r="43548" s="2" customFormat="1"/>
    <row r="43549" s="2" customFormat="1"/>
    <row r="43550" s="2" customFormat="1"/>
    <row r="43551" s="2" customFormat="1"/>
    <row r="43552" s="2" customFormat="1"/>
    <row r="43553" s="2" customFormat="1"/>
    <row r="43554" s="2" customFormat="1"/>
    <row r="43555" s="2" customFormat="1"/>
    <row r="43556" s="2" customFormat="1"/>
    <row r="43557" s="2" customFormat="1"/>
    <row r="43558" s="2" customFormat="1"/>
    <row r="43559" s="2" customFormat="1"/>
    <row r="43560" s="2" customFormat="1"/>
    <row r="43561" s="2" customFormat="1"/>
    <row r="43562" s="2" customFormat="1"/>
    <row r="43563" s="2" customFormat="1"/>
    <row r="43564" s="2" customFormat="1"/>
    <row r="43565" s="2" customFormat="1"/>
    <row r="43566" s="2" customFormat="1"/>
    <row r="43567" s="2" customFormat="1"/>
    <row r="43568" s="2" customFormat="1"/>
    <row r="43569" s="2" customFormat="1"/>
    <row r="43570" s="2" customFormat="1"/>
    <row r="43571" s="2" customFormat="1"/>
    <row r="43572" s="2" customFormat="1"/>
    <row r="43573" s="2" customFormat="1"/>
    <row r="43574" s="2" customFormat="1"/>
    <row r="43575" s="2" customFormat="1"/>
    <row r="43576" s="2" customFormat="1"/>
    <row r="43577" s="2" customFormat="1"/>
    <row r="43578" s="2" customFormat="1"/>
    <row r="43579" s="2" customFormat="1"/>
    <row r="43580" s="2" customFormat="1"/>
    <row r="43581" s="2" customFormat="1"/>
    <row r="43582" s="2" customFormat="1"/>
    <row r="43583" s="2" customFormat="1"/>
    <row r="43584" s="2" customFormat="1"/>
    <row r="43585" s="2" customFormat="1"/>
    <row r="43586" s="2" customFormat="1"/>
    <row r="43587" s="2" customFormat="1"/>
    <row r="43588" s="2" customFormat="1"/>
    <row r="43589" s="2" customFormat="1"/>
    <row r="43590" s="2" customFormat="1"/>
    <row r="43591" s="2" customFormat="1"/>
    <row r="43592" s="2" customFormat="1"/>
    <row r="43593" s="2" customFormat="1"/>
    <row r="43594" s="2" customFormat="1"/>
    <row r="43595" s="2" customFormat="1"/>
    <row r="43596" s="2" customFormat="1"/>
    <row r="43597" s="2" customFormat="1"/>
    <row r="43598" s="2" customFormat="1"/>
    <row r="43599" s="2" customFormat="1"/>
    <row r="43600" s="2" customFormat="1"/>
    <row r="43601" s="2" customFormat="1"/>
    <row r="43602" s="2" customFormat="1"/>
    <row r="43603" s="2" customFormat="1"/>
    <row r="43604" s="2" customFormat="1"/>
    <row r="43605" s="2" customFormat="1"/>
    <row r="43606" s="2" customFormat="1"/>
    <row r="43607" s="2" customFormat="1"/>
    <row r="43608" s="2" customFormat="1"/>
    <row r="43609" s="2" customFormat="1"/>
    <row r="43610" s="2" customFormat="1"/>
    <row r="43611" s="2" customFormat="1"/>
    <row r="43612" s="2" customFormat="1"/>
    <row r="43613" s="2" customFormat="1"/>
    <row r="43614" s="2" customFormat="1"/>
    <row r="43615" s="2" customFormat="1"/>
    <row r="43616" s="2" customFormat="1"/>
    <row r="43617" s="2" customFormat="1"/>
    <row r="43618" s="2" customFormat="1"/>
    <row r="43619" s="2" customFormat="1"/>
    <row r="43620" s="2" customFormat="1"/>
    <row r="43621" s="2" customFormat="1"/>
    <row r="43622" s="2" customFormat="1"/>
    <row r="43623" s="2" customFormat="1"/>
    <row r="43624" s="2" customFormat="1"/>
    <row r="43625" s="2" customFormat="1"/>
    <row r="43626" s="2" customFormat="1"/>
    <row r="43627" s="2" customFormat="1"/>
    <row r="43628" s="2" customFormat="1"/>
    <row r="43629" s="2" customFormat="1"/>
    <row r="43630" s="2" customFormat="1"/>
    <row r="43631" s="2" customFormat="1"/>
    <row r="43632" s="2" customFormat="1"/>
    <row r="43633" s="2" customFormat="1"/>
    <row r="43634" s="2" customFormat="1"/>
    <row r="43635" s="2" customFormat="1"/>
    <row r="43636" s="2" customFormat="1"/>
    <row r="43637" s="2" customFormat="1"/>
    <row r="43638" s="2" customFormat="1"/>
    <row r="43639" s="2" customFormat="1"/>
    <row r="43640" s="2" customFormat="1"/>
    <row r="43641" s="2" customFormat="1"/>
    <row r="43642" s="2" customFormat="1"/>
    <row r="43643" s="2" customFormat="1"/>
    <row r="43644" s="2" customFormat="1"/>
    <row r="43645" s="2" customFormat="1"/>
    <row r="43646" s="2" customFormat="1"/>
    <row r="43647" s="2" customFormat="1"/>
    <row r="43648" s="2" customFormat="1"/>
    <row r="43649" s="2" customFormat="1"/>
    <row r="43650" s="2" customFormat="1"/>
    <row r="43651" s="2" customFormat="1"/>
    <row r="43652" s="2" customFormat="1"/>
    <row r="43653" s="2" customFormat="1"/>
    <row r="43654" s="2" customFormat="1"/>
    <row r="43655" s="2" customFormat="1"/>
    <row r="43656" s="2" customFormat="1"/>
    <row r="43657" s="2" customFormat="1"/>
    <row r="43658" s="2" customFormat="1"/>
    <row r="43659" s="2" customFormat="1"/>
    <row r="43660" s="2" customFormat="1"/>
    <row r="43661" s="2" customFormat="1"/>
    <row r="43662" s="2" customFormat="1"/>
    <row r="43663" s="2" customFormat="1"/>
    <row r="43664" s="2" customFormat="1"/>
    <row r="43665" s="2" customFormat="1"/>
    <row r="43666" s="2" customFormat="1"/>
    <row r="43667" s="2" customFormat="1"/>
    <row r="43668" s="2" customFormat="1"/>
    <row r="43669" s="2" customFormat="1"/>
    <row r="43670" s="2" customFormat="1"/>
    <row r="43671" s="2" customFormat="1"/>
    <row r="43672" s="2" customFormat="1"/>
    <row r="43673" s="2" customFormat="1"/>
    <row r="43674" s="2" customFormat="1"/>
    <row r="43675" s="2" customFormat="1"/>
    <row r="43676" s="2" customFormat="1"/>
    <row r="43677" s="2" customFormat="1"/>
    <row r="43678" s="2" customFormat="1"/>
    <row r="43679" s="2" customFormat="1"/>
    <row r="43680" s="2" customFormat="1"/>
    <row r="43681" s="2" customFormat="1"/>
    <row r="43682" s="2" customFormat="1"/>
    <row r="43683" s="2" customFormat="1"/>
    <row r="43684" s="2" customFormat="1"/>
    <row r="43685" s="2" customFormat="1"/>
    <row r="43686" s="2" customFormat="1"/>
    <row r="43687" s="2" customFormat="1"/>
    <row r="43688" s="2" customFormat="1"/>
    <row r="43689" s="2" customFormat="1"/>
    <row r="43690" s="2" customFormat="1"/>
    <row r="43691" s="2" customFormat="1"/>
    <row r="43692" s="2" customFormat="1"/>
    <row r="43693" s="2" customFormat="1"/>
    <row r="43694" s="2" customFormat="1"/>
    <row r="43695" s="2" customFormat="1"/>
    <row r="43696" s="2" customFormat="1"/>
    <row r="43697" s="2" customFormat="1"/>
    <row r="43698" s="2" customFormat="1"/>
    <row r="43699" s="2" customFormat="1"/>
    <row r="43700" s="2" customFormat="1"/>
    <row r="43701" s="2" customFormat="1"/>
    <row r="43702" s="2" customFormat="1"/>
    <row r="43703" s="2" customFormat="1"/>
    <row r="43704" s="2" customFormat="1"/>
    <row r="43705" s="2" customFormat="1"/>
    <row r="43706" s="2" customFormat="1"/>
    <row r="43707" s="2" customFormat="1"/>
    <row r="43708" s="2" customFormat="1"/>
    <row r="43709" s="2" customFormat="1"/>
    <row r="43710" s="2" customFormat="1"/>
    <row r="43711" s="2" customFormat="1"/>
    <row r="43712" s="2" customFormat="1"/>
    <row r="43713" s="2" customFormat="1"/>
    <row r="43714" s="2" customFormat="1"/>
    <row r="43715" s="2" customFormat="1"/>
    <row r="43716" s="2" customFormat="1"/>
    <row r="43717" s="2" customFormat="1"/>
    <row r="43718" s="2" customFormat="1"/>
    <row r="43719" s="2" customFormat="1"/>
    <row r="43720" s="2" customFormat="1"/>
    <row r="43721" s="2" customFormat="1"/>
    <row r="43722" s="2" customFormat="1"/>
    <row r="43723" s="2" customFormat="1"/>
    <row r="43724" s="2" customFormat="1"/>
    <row r="43725" s="2" customFormat="1"/>
    <row r="43726" s="2" customFormat="1"/>
    <row r="43727" s="2" customFormat="1"/>
    <row r="43728" s="2" customFormat="1"/>
    <row r="43729" s="2" customFormat="1"/>
    <row r="43730" s="2" customFormat="1"/>
    <row r="43731" s="2" customFormat="1"/>
    <row r="43732" s="2" customFormat="1"/>
    <row r="43733" s="2" customFormat="1"/>
    <row r="43734" s="2" customFormat="1"/>
    <row r="43735" s="2" customFormat="1"/>
    <row r="43736" s="2" customFormat="1"/>
    <row r="43737" s="2" customFormat="1"/>
    <row r="43738" s="2" customFormat="1"/>
    <row r="43739" s="2" customFormat="1"/>
    <row r="43740" s="2" customFormat="1"/>
    <row r="43741" s="2" customFormat="1"/>
    <row r="43742" s="2" customFormat="1"/>
    <row r="43743" s="2" customFormat="1"/>
    <row r="43744" s="2" customFormat="1"/>
    <row r="43745" s="2" customFormat="1"/>
    <row r="43746" s="2" customFormat="1"/>
    <row r="43747" s="2" customFormat="1"/>
    <row r="43748" s="2" customFormat="1"/>
    <row r="43749" s="2" customFormat="1"/>
    <row r="43750" s="2" customFormat="1"/>
    <row r="43751" s="2" customFormat="1"/>
    <row r="43752" s="2" customFormat="1"/>
    <row r="43753" s="2" customFormat="1"/>
    <row r="43754" s="2" customFormat="1"/>
    <row r="43755" s="2" customFormat="1"/>
    <row r="43756" s="2" customFormat="1"/>
    <row r="43757" s="2" customFormat="1"/>
    <row r="43758" s="2" customFormat="1"/>
    <row r="43759" s="2" customFormat="1"/>
    <row r="43760" s="2" customFormat="1"/>
    <row r="43761" s="2" customFormat="1"/>
    <row r="43762" s="2" customFormat="1"/>
    <row r="43763" s="2" customFormat="1"/>
    <row r="43764" s="2" customFormat="1"/>
    <row r="43765" s="2" customFormat="1"/>
    <row r="43766" s="2" customFormat="1"/>
    <row r="43767" s="2" customFormat="1"/>
    <row r="43768" s="2" customFormat="1"/>
    <row r="43769" s="2" customFormat="1"/>
    <row r="43770" s="2" customFormat="1"/>
    <row r="43771" s="2" customFormat="1"/>
    <row r="43772" s="2" customFormat="1"/>
    <row r="43773" s="2" customFormat="1"/>
    <row r="43774" s="2" customFormat="1"/>
    <row r="43775" s="2" customFormat="1"/>
    <row r="43776" s="2" customFormat="1"/>
    <row r="43777" s="2" customFormat="1"/>
    <row r="43778" s="2" customFormat="1"/>
    <row r="43779" s="2" customFormat="1"/>
    <row r="43780" s="2" customFormat="1"/>
    <row r="43781" s="2" customFormat="1"/>
    <row r="43782" s="2" customFormat="1"/>
    <row r="43783" s="2" customFormat="1"/>
    <row r="43784" s="2" customFormat="1"/>
    <row r="43785" s="2" customFormat="1"/>
    <row r="43786" s="2" customFormat="1"/>
    <row r="43787" s="2" customFormat="1"/>
    <row r="43788" s="2" customFormat="1"/>
    <row r="43789" s="2" customFormat="1"/>
    <row r="43790" s="2" customFormat="1"/>
    <row r="43791" s="2" customFormat="1"/>
    <row r="43792" s="2" customFormat="1"/>
    <row r="43793" s="2" customFormat="1"/>
    <row r="43794" s="2" customFormat="1"/>
    <row r="43795" s="2" customFormat="1"/>
    <row r="43796" s="2" customFormat="1"/>
    <row r="43797" s="2" customFormat="1"/>
    <row r="43798" s="2" customFormat="1"/>
    <row r="43799" s="2" customFormat="1"/>
    <row r="43800" s="2" customFormat="1"/>
    <row r="43801" s="2" customFormat="1"/>
    <row r="43802" s="2" customFormat="1"/>
    <row r="43803" s="2" customFormat="1"/>
    <row r="43804" s="2" customFormat="1"/>
    <row r="43805" s="2" customFormat="1"/>
    <row r="43806" s="2" customFormat="1"/>
    <row r="43807" s="2" customFormat="1"/>
    <row r="43808" s="2" customFormat="1"/>
    <row r="43809" s="2" customFormat="1"/>
    <row r="43810" s="2" customFormat="1"/>
    <row r="43811" s="2" customFormat="1"/>
    <row r="43812" s="2" customFormat="1"/>
    <row r="43813" s="2" customFormat="1"/>
    <row r="43814" s="2" customFormat="1"/>
    <row r="43815" s="2" customFormat="1"/>
    <row r="43816" s="2" customFormat="1"/>
    <row r="43817" s="2" customFormat="1"/>
    <row r="43818" s="2" customFormat="1"/>
    <row r="43819" s="2" customFormat="1"/>
    <row r="43820" s="2" customFormat="1"/>
    <row r="43821" s="2" customFormat="1"/>
    <row r="43822" s="2" customFormat="1"/>
    <row r="43823" s="2" customFormat="1"/>
    <row r="43824" s="2" customFormat="1"/>
    <row r="43825" s="2" customFormat="1"/>
    <row r="43826" s="2" customFormat="1"/>
    <row r="43827" s="2" customFormat="1"/>
    <row r="43828" s="2" customFormat="1"/>
    <row r="43829" s="2" customFormat="1"/>
    <row r="43830" s="2" customFormat="1"/>
    <row r="43831" s="2" customFormat="1"/>
    <row r="43832" s="2" customFormat="1"/>
    <row r="43833" s="2" customFormat="1"/>
    <row r="43834" s="2" customFormat="1"/>
    <row r="43835" s="2" customFormat="1"/>
    <row r="43836" s="2" customFormat="1"/>
    <row r="43837" s="2" customFormat="1"/>
    <row r="43838" s="2" customFormat="1"/>
    <row r="43839" s="2" customFormat="1"/>
    <row r="43840" s="2" customFormat="1"/>
    <row r="43841" s="2" customFormat="1"/>
    <row r="43842" s="2" customFormat="1"/>
    <row r="43843" s="2" customFormat="1"/>
    <row r="43844" s="2" customFormat="1"/>
    <row r="43845" s="2" customFormat="1"/>
    <row r="43846" s="2" customFormat="1"/>
    <row r="43847" s="2" customFormat="1"/>
    <row r="43848" s="2" customFormat="1"/>
    <row r="43849" s="2" customFormat="1"/>
    <row r="43850" s="2" customFormat="1"/>
    <row r="43851" s="2" customFormat="1"/>
    <row r="43852" s="2" customFormat="1"/>
    <row r="43853" s="2" customFormat="1"/>
    <row r="43854" s="2" customFormat="1"/>
    <row r="43855" s="2" customFormat="1"/>
    <row r="43856" s="2" customFormat="1"/>
    <row r="43857" s="2" customFormat="1"/>
    <row r="43858" s="2" customFormat="1"/>
    <row r="43859" s="2" customFormat="1"/>
    <row r="43860" s="2" customFormat="1"/>
    <row r="43861" s="2" customFormat="1"/>
    <row r="43862" s="2" customFormat="1"/>
    <row r="43863" s="2" customFormat="1"/>
    <row r="43864" s="2" customFormat="1"/>
    <row r="43865" s="2" customFormat="1"/>
    <row r="43866" s="2" customFormat="1"/>
    <row r="43867" s="2" customFormat="1"/>
    <row r="43868" s="2" customFormat="1"/>
    <row r="43869" s="2" customFormat="1"/>
    <row r="43870" s="2" customFormat="1"/>
    <row r="43871" s="2" customFormat="1"/>
    <row r="43872" s="2" customFormat="1"/>
    <row r="43873" s="2" customFormat="1"/>
    <row r="43874" s="2" customFormat="1"/>
    <row r="43875" s="2" customFormat="1"/>
    <row r="43876" s="2" customFormat="1"/>
    <row r="43877" s="2" customFormat="1"/>
    <row r="43878" s="2" customFormat="1"/>
    <row r="43879" s="2" customFormat="1"/>
    <row r="43880" s="2" customFormat="1"/>
    <row r="43881" s="2" customFormat="1"/>
    <row r="43882" s="2" customFormat="1"/>
    <row r="43883" s="2" customFormat="1"/>
    <row r="43884" s="2" customFormat="1"/>
    <row r="43885" s="2" customFormat="1"/>
    <row r="43886" s="2" customFormat="1"/>
    <row r="43887" s="2" customFormat="1"/>
    <row r="43888" s="2" customFormat="1"/>
    <row r="43889" s="2" customFormat="1"/>
    <row r="43890" s="2" customFormat="1"/>
    <row r="43891" s="2" customFormat="1"/>
    <row r="43892" s="2" customFormat="1"/>
    <row r="43893" s="2" customFormat="1"/>
    <row r="43894" s="2" customFormat="1"/>
    <row r="43895" s="2" customFormat="1"/>
    <row r="43896" s="2" customFormat="1"/>
    <row r="43897" s="2" customFormat="1"/>
    <row r="43898" s="2" customFormat="1"/>
    <row r="43899" s="2" customFormat="1"/>
    <row r="43900" s="2" customFormat="1"/>
    <row r="43901" s="2" customFormat="1"/>
    <row r="43902" s="2" customFormat="1"/>
    <row r="43903" s="2" customFormat="1"/>
    <row r="43904" s="2" customFormat="1"/>
    <row r="43905" s="2" customFormat="1"/>
    <row r="43906" s="2" customFormat="1"/>
    <row r="43907" s="2" customFormat="1"/>
    <row r="43908" s="2" customFormat="1"/>
    <row r="43909" s="2" customFormat="1"/>
    <row r="43910" s="2" customFormat="1"/>
    <row r="43911" s="2" customFormat="1"/>
    <row r="43912" s="2" customFormat="1"/>
    <row r="43913" s="2" customFormat="1"/>
    <row r="43914" s="2" customFormat="1"/>
    <row r="43915" s="2" customFormat="1"/>
    <row r="43916" s="2" customFormat="1"/>
    <row r="43917" s="2" customFormat="1"/>
    <row r="43918" s="2" customFormat="1"/>
    <row r="43919" s="2" customFormat="1"/>
    <row r="43920" s="2" customFormat="1"/>
    <row r="43921" s="2" customFormat="1"/>
    <row r="43922" s="2" customFormat="1"/>
    <row r="43923" s="2" customFormat="1"/>
    <row r="43924" s="2" customFormat="1"/>
    <row r="43925" s="2" customFormat="1"/>
    <row r="43926" s="2" customFormat="1"/>
    <row r="43927" s="2" customFormat="1"/>
    <row r="43928" s="2" customFormat="1"/>
    <row r="43929" s="2" customFormat="1"/>
    <row r="43930" s="2" customFormat="1"/>
    <row r="43931" s="2" customFormat="1"/>
    <row r="43932" s="2" customFormat="1"/>
    <row r="43933" s="2" customFormat="1"/>
    <row r="43934" s="2" customFormat="1"/>
    <row r="43935" s="2" customFormat="1"/>
    <row r="43936" s="2" customFormat="1"/>
    <row r="43937" s="2" customFormat="1"/>
    <row r="43938" s="2" customFormat="1"/>
    <row r="43939" s="2" customFormat="1"/>
    <row r="43940" s="2" customFormat="1"/>
    <row r="43941" s="2" customFormat="1"/>
    <row r="43942" s="2" customFormat="1"/>
    <row r="43943" s="2" customFormat="1"/>
    <row r="43944" s="2" customFormat="1"/>
    <row r="43945" s="2" customFormat="1"/>
    <row r="43946" s="2" customFormat="1"/>
    <row r="43947" s="2" customFormat="1"/>
    <row r="43948" s="2" customFormat="1"/>
    <row r="43949" s="2" customFormat="1"/>
    <row r="43950" s="2" customFormat="1"/>
    <row r="43951" s="2" customFormat="1"/>
    <row r="43952" s="2" customFormat="1"/>
    <row r="43953" s="2" customFormat="1"/>
    <row r="43954" s="2" customFormat="1"/>
    <row r="43955" s="2" customFormat="1"/>
    <row r="43956" s="2" customFormat="1"/>
    <row r="43957" s="2" customFormat="1"/>
    <row r="43958" s="2" customFormat="1"/>
    <row r="43959" s="2" customFormat="1"/>
    <row r="43960" s="2" customFormat="1"/>
    <row r="43961" s="2" customFormat="1"/>
    <row r="43962" s="2" customFormat="1"/>
    <row r="43963" s="2" customFormat="1"/>
    <row r="43964" s="2" customFormat="1"/>
    <row r="43965" s="2" customFormat="1"/>
    <row r="43966" s="2" customFormat="1"/>
    <row r="43967" s="2" customFormat="1"/>
    <row r="43968" s="2" customFormat="1"/>
    <row r="43969" s="2" customFormat="1"/>
    <row r="43970" s="2" customFormat="1"/>
    <row r="43971" s="2" customFormat="1"/>
    <row r="43972" s="2" customFormat="1"/>
    <row r="43973" s="2" customFormat="1"/>
    <row r="43974" s="2" customFormat="1"/>
    <row r="43975" s="2" customFormat="1"/>
    <row r="43976" s="2" customFormat="1"/>
    <row r="43977" s="2" customFormat="1"/>
    <row r="43978" s="2" customFormat="1"/>
    <row r="43979" s="2" customFormat="1"/>
    <row r="43980" s="2" customFormat="1"/>
    <row r="43981" s="2" customFormat="1"/>
    <row r="43982" s="2" customFormat="1"/>
    <row r="43983" s="2" customFormat="1"/>
    <row r="43984" s="2" customFormat="1"/>
    <row r="43985" s="2" customFormat="1"/>
    <row r="43986" s="2" customFormat="1"/>
    <row r="43987" s="2" customFormat="1"/>
    <row r="43988" s="2" customFormat="1"/>
    <row r="43989" s="2" customFormat="1"/>
    <row r="43990" s="2" customFormat="1"/>
    <row r="43991" s="2" customFormat="1"/>
    <row r="43992" s="2" customFormat="1"/>
    <row r="43993" s="2" customFormat="1"/>
    <row r="43994" s="2" customFormat="1"/>
    <row r="43995" s="2" customFormat="1"/>
    <row r="43996" s="2" customFormat="1"/>
    <row r="43997" s="2" customFormat="1"/>
    <row r="43998" s="2" customFormat="1"/>
    <row r="43999" s="2" customFormat="1"/>
    <row r="44000" s="2" customFormat="1"/>
    <row r="44001" s="2" customFormat="1"/>
    <row r="44002" s="2" customFormat="1"/>
    <row r="44003" s="2" customFormat="1"/>
    <row r="44004" s="2" customFormat="1"/>
    <row r="44005" s="2" customFormat="1"/>
    <row r="44006" s="2" customFormat="1"/>
    <row r="44007" s="2" customFormat="1"/>
    <row r="44008" s="2" customFormat="1"/>
    <row r="44009" s="2" customFormat="1"/>
    <row r="44010" s="2" customFormat="1"/>
    <row r="44011" s="2" customFormat="1"/>
    <row r="44012" s="2" customFormat="1"/>
    <row r="44013" s="2" customFormat="1"/>
    <row r="44014" s="2" customFormat="1"/>
    <row r="44015" s="2" customFormat="1"/>
    <row r="44016" s="2" customFormat="1"/>
    <row r="44017" s="2" customFormat="1"/>
    <row r="44018" s="2" customFormat="1"/>
    <row r="44019" s="2" customFormat="1"/>
    <row r="44020" s="2" customFormat="1"/>
    <row r="44021" s="2" customFormat="1"/>
    <row r="44022" s="2" customFormat="1"/>
    <row r="44023" s="2" customFormat="1"/>
    <row r="44024" s="2" customFormat="1"/>
    <row r="44025" s="2" customFormat="1"/>
    <row r="44026" s="2" customFormat="1"/>
    <row r="44027" s="2" customFormat="1"/>
    <row r="44028" s="2" customFormat="1"/>
    <row r="44029" s="2" customFormat="1"/>
    <row r="44030" s="2" customFormat="1"/>
    <row r="44031" s="2" customFormat="1"/>
    <row r="44032" s="2" customFormat="1"/>
    <row r="44033" s="2" customFormat="1"/>
    <row r="44034" s="2" customFormat="1"/>
    <row r="44035" s="2" customFormat="1"/>
    <row r="44036" s="2" customFormat="1"/>
    <row r="44037" s="2" customFormat="1"/>
    <row r="44038" s="2" customFormat="1"/>
    <row r="44039" s="2" customFormat="1"/>
    <row r="44040" s="2" customFormat="1"/>
    <row r="44041" s="2" customFormat="1"/>
    <row r="44042" s="2" customFormat="1"/>
    <row r="44043" s="2" customFormat="1"/>
    <row r="44044" s="2" customFormat="1"/>
    <row r="44045" s="2" customFormat="1"/>
    <row r="44046" s="2" customFormat="1"/>
    <row r="44047" s="2" customFormat="1"/>
    <row r="44048" s="2" customFormat="1"/>
    <row r="44049" s="2" customFormat="1"/>
    <row r="44050" s="2" customFormat="1"/>
    <row r="44051" s="2" customFormat="1"/>
    <row r="44052" s="2" customFormat="1"/>
    <row r="44053" s="2" customFormat="1"/>
    <row r="44054" s="2" customFormat="1"/>
    <row r="44055" s="2" customFormat="1"/>
    <row r="44056" s="2" customFormat="1"/>
    <row r="44057" s="2" customFormat="1"/>
    <row r="44058" s="2" customFormat="1"/>
    <row r="44059" s="2" customFormat="1"/>
    <row r="44060" s="2" customFormat="1"/>
    <row r="44061" s="2" customFormat="1"/>
    <row r="44062" s="2" customFormat="1"/>
    <row r="44063" s="2" customFormat="1"/>
    <row r="44064" s="2" customFormat="1"/>
    <row r="44065" s="2" customFormat="1"/>
    <row r="44066" s="2" customFormat="1"/>
    <row r="44067" s="2" customFormat="1"/>
    <row r="44068" s="2" customFormat="1"/>
    <row r="44069" s="2" customFormat="1"/>
    <row r="44070" s="2" customFormat="1"/>
    <row r="44071" s="2" customFormat="1"/>
    <row r="44072" s="2" customFormat="1"/>
    <row r="44073" s="2" customFormat="1"/>
    <row r="44074" s="2" customFormat="1"/>
    <row r="44075" s="2" customFormat="1"/>
    <row r="44076" s="2" customFormat="1"/>
    <row r="44077" s="2" customFormat="1"/>
    <row r="44078" s="2" customFormat="1"/>
    <row r="44079" s="2" customFormat="1"/>
    <row r="44080" s="2" customFormat="1"/>
    <row r="44081" s="2" customFormat="1"/>
    <row r="44082" s="2" customFormat="1"/>
    <row r="44083" s="2" customFormat="1"/>
    <row r="44084" s="2" customFormat="1"/>
    <row r="44085" s="2" customFormat="1"/>
    <row r="44086" s="2" customFormat="1"/>
    <row r="44087" s="2" customFormat="1"/>
    <row r="44088" s="2" customFormat="1"/>
    <row r="44089" s="2" customFormat="1"/>
    <row r="44090" s="2" customFormat="1"/>
    <row r="44091" s="2" customFormat="1"/>
    <row r="44092" s="2" customFormat="1"/>
    <row r="44093" s="2" customFormat="1"/>
    <row r="44094" s="2" customFormat="1"/>
    <row r="44095" s="2" customFormat="1"/>
    <row r="44096" s="2" customFormat="1"/>
    <row r="44097" s="2" customFormat="1"/>
    <row r="44098" s="2" customFormat="1"/>
    <row r="44099" s="2" customFormat="1"/>
    <row r="44100" s="2" customFormat="1"/>
    <row r="44101" s="2" customFormat="1"/>
    <row r="44102" s="2" customFormat="1"/>
    <row r="44103" s="2" customFormat="1"/>
    <row r="44104" s="2" customFormat="1"/>
    <row r="44105" s="2" customFormat="1"/>
    <row r="44106" s="2" customFormat="1"/>
    <row r="44107" s="2" customFormat="1"/>
    <row r="44108" s="2" customFormat="1"/>
    <row r="44109" s="2" customFormat="1"/>
    <row r="44110" s="2" customFormat="1"/>
    <row r="44111" s="2" customFormat="1"/>
    <row r="44112" s="2" customFormat="1"/>
    <row r="44113" s="2" customFormat="1"/>
    <row r="44114" s="2" customFormat="1"/>
    <row r="44115" s="2" customFormat="1"/>
    <row r="44116" s="2" customFormat="1"/>
    <row r="44117" s="2" customFormat="1"/>
    <row r="44118" s="2" customFormat="1"/>
    <row r="44119" s="2" customFormat="1"/>
    <row r="44120" s="2" customFormat="1"/>
    <row r="44121" s="2" customFormat="1"/>
    <row r="44122" s="2" customFormat="1"/>
    <row r="44123" s="2" customFormat="1"/>
    <row r="44124" s="2" customFormat="1"/>
    <row r="44125" s="2" customFormat="1"/>
    <row r="44126" s="2" customFormat="1"/>
    <row r="44127" s="2" customFormat="1"/>
    <row r="44128" s="2" customFormat="1"/>
    <row r="44129" s="2" customFormat="1"/>
    <row r="44130" s="2" customFormat="1"/>
    <row r="44131" s="2" customFormat="1"/>
    <row r="44132" s="2" customFormat="1"/>
    <row r="44133" s="2" customFormat="1"/>
    <row r="44134" s="2" customFormat="1"/>
    <row r="44135" s="2" customFormat="1"/>
    <row r="44136" s="2" customFormat="1"/>
    <row r="44137" s="2" customFormat="1"/>
    <row r="44138" s="2" customFormat="1"/>
    <row r="44139" s="2" customFormat="1"/>
    <row r="44140" s="2" customFormat="1"/>
    <row r="44141" s="2" customFormat="1"/>
    <row r="44142" s="2" customFormat="1"/>
    <row r="44143" s="2" customFormat="1"/>
    <row r="44144" s="2" customFormat="1"/>
    <row r="44145" s="2" customFormat="1"/>
    <row r="44146" s="2" customFormat="1"/>
    <row r="44147" s="2" customFormat="1"/>
    <row r="44148" s="2" customFormat="1"/>
    <row r="44149" s="2" customFormat="1"/>
    <row r="44150" s="2" customFormat="1"/>
    <row r="44151" s="2" customFormat="1"/>
    <row r="44152" s="2" customFormat="1"/>
    <row r="44153" s="2" customFormat="1"/>
    <row r="44154" s="2" customFormat="1"/>
    <row r="44155" s="2" customFormat="1"/>
    <row r="44156" s="2" customFormat="1"/>
    <row r="44157" s="2" customFormat="1"/>
    <row r="44158" s="2" customFormat="1"/>
    <row r="44159" s="2" customFormat="1"/>
    <row r="44160" s="2" customFormat="1"/>
    <row r="44161" s="2" customFormat="1"/>
    <row r="44162" s="2" customFormat="1"/>
    <row r="44163" s="2" customFormat="1"/>
    <row r="44164" s="2" customFormat="1"/>
    <row r="44165" s="2" customFormat="1"/>
    <row r="44166" s="2" customFormat="1"/>
    <row r="44167" s="2" customFormat="1"/>
    <row r="44168" s="2" customFormat="1"/>
    <row r="44169" s="2" customFormat="1"/>
    <row r="44170" s="2" customFormat="1"/>
    <row r="44171" s="2" customFormat="1"/>
    <row r="44172" s="2" customFormat="1"/>
    <row r="44173" s="2" customFormat="1"/>
    <row r="44174" s="2" customFormat="1"/>
    <row r="44175" s="2" customFormat="1"/>
    <row r="44176" s="2" customFormat="1"/>
    <row r="44177" s="2" customFormat="1"/>
    <row r="44178" s="2" customFormat="1"/>
    <row r="44179" s="2" customFormat="1"/>
    <row r="44180" s="2" customFormat="1"/>
    <row r="44181" s="2" customFormat="1"/>
    <row r="44182" s="2" customFormat="1"/>
    <row r="44183" s="2" customFormat="1"/>
    <row r="44184" s="2" customFormat="1"/>
    <row r="44185" s="2" customFormat="1"/>
    <row r="44186" s="2" customFormat="1"/>
    <row r="44187" s="2" customFormat="1"/>
    <row r="44188" s="2" customFormat="1"/>
    <row r="44189" s="2" customFormat="1"/>
    <row r="44190" s="2" customFormat="1"/>
    <row r="44191" s="2" customFormat="1"/>
    <row r="44192" s="2" customFormat="1"/>
    <row r="44193" s="2" customFormat="1"/>
    <row r="44194" s="2" customFormat="1"/>
    <row r="44195" s="2" customFormat="1"/>
    <row r="44196" s="2" customFormat="1"/>
    <row r="44197" s="2" customFormat="1"/>
    <row r="44198" s="2" customFormat="1"/>
    <row r="44199" s="2" customFormat="1"/>
    <row r="44200" s="2" customFormat="1"/>
    <row r="44201" s="2" customFormat="1"/>
    <row r="44202" s="2" customFormat="1"/>
    <row r="44203" s="2" customFormat="1"/>
    <row r="44204" s="2" customFormat="1"/>
    <row r="44205" s="2" customFormat="1"/>
    <row r="44206" s="2" customFormat="1"/>
    <row r="44207" s="2" customFormat="1"/>
    <row r="44208" s="2" customFormat="1"/>
    <row r="44209" s="2" customFormat="1"/>
    <row r="44210" s="2" customFormat="1"/>
    <row r="44211" s="2" customFormat="1"/>
    <row r="44212" s="2" customFormat="1"/>
    <row r="44213" s="2" customFormat="1"/>
    <row r="44214" s="2" customFormat="1"/>
    <row r="44215" s="2" customFormat="1"/>
    <row r="44216" s="2" customFormat="1"/>
    <row r="44217" s="2" customFormat="1"/>
    <row r="44218" s="2" customFormat="1"/>
    <row r="44219" s="2" customFormat="1"/>
    <row r="44220" s="2" customFormat="1"/>
    <row r="44221" s="2" customFormat="1"/>
    <row r="44222" s="2" customFormat="1"/>
    <row r="44223" s="2" customFormat="1"/>
    <row r="44224" s="2" customFormat="1"/>
    <row r="44225" s="2" customFormat="1"/>
    <row r="44226" s="2" customFormat="1"/>
    <row r="44227" s="2" customFormat="1"/>
    <row r="44228" s="2" customFormat="1"/>
    <row r="44229" s="2" customFormat="1"/>
    <row r="44230" s="2" customFormat="1"/>
    <row r="44231" s="2" customFormat="1"/>
    <row r="44232" s="2" customFormat="1"/>
    <row r="44233" s="2" customFormat="1"/>
    <row r="44234" s="2" customFormat="1"/>
    <row r="44235" s="2" customFormat="1"/>
    <row r="44236" s="2" customFormat="1"/>
    <row r="44237" s="2" customFormat="1"/>
    <row r="44238" s="2" customFormat="1"/>
    <row r="44239" s="2" customFormat="1"/>
    <row r="44240" s="2" customFormat="1"/>
    <row r="44241" s="2" customFormat="1"/>
    <row r="44242" s="2" customFormat="1"/>
    <row r="44243" s="2" customFormat="1"/>
    <row r="44244" s="2" customFormat="1"/>
    <row r="44245" s="2" customFormat="1"/>
    <row r="44246" s="2" customFormat="1"/>
    <row r="44247" s="2" customFormat="1"/>
    <row r="44248" s="2" customFormat="1"/>
    <row r="44249" s="2" customFormat="1"/>
    <row r="44250" s="2" customFormat="1"/>
    <row r="44251" s="2" customFormat="1"/>
    <row r="44252" s="2" customFormat="1"/>
    <row r="44253" s="2" customFormat="1"/>
    <row r="44254" s="2" customFormat="1"/>
    <row r="44255" s="2" customFormat="1"/>
    <row r="44256" s="2" customFormat="1"/>
    <row r="44257" s="2" customFormat="1"/>
    <row r="44258" s="2" customFormat="1"/>
    <row r="44259" s="2" customFormat="1"/>
    <row r="44260" s="2" customFormat="1"/>
    <row r="44261" s="2" customFormat="1"/>
    <row r="44262" s="2" customFormat="1"/>
    <row r="44263" s="2" customFormat="1"/>
    <row r="44264" s="2" customFormat="1"/>
    <row r="44265" s="2" customFormat="1"/>
    <row r="44266" s="2" customFormat="1"/>
    <row r="44267" s="2" customFormat="1"/>
    <row r="44268" s="2" customFormat="1"/>
    <row r="44269" s="2" customFormat="1"/>
    <row r="44270" s="2" customFormat="1"/>
    <row r="44271" s="2" customFormat="1"/>
    <row r="44272" s="2" customFormat="1"/>
    <row r="44273" s="2" customFormat="1"/>
    <row r="44274" s="2" customFormat="1"/>
    <row r="44275" s="2" customFormat="1"/>
    <row r="44276" s="2" customFormat="1"/>
    <row r="44277" s="2" customFormat="1"/>
    <row r="44278" s="2" customFormat="1"/>
    <row r="44279" s="2" customFormat="1"/>
    <row r="44280" s="2" customFormat="1"/>
    <row r="44281" s="2" customFormat="1"/>
    <row r="44282" s="2" customFormat="1"/>
    <row r="44283" s="2" customFormat="1"/>
    <row r="44284" s="2" customFormat="1"/>
    <row r="44285" s="2" customFormat="1"/>
    <row r="44286" s="2" customFormat="1"/>
    <row r="44287" s="2" customFormat="1"/>
    <row r="44288" s="2" customFormat="1"/>
    <row r="44289" s="2" customFormat="1"/>
    <row r="44290" s="2" customFormat="1"/>
    <row r="44291" s="2" customFormat="1"/>
    <row r="44292" s="2" customFormat="1"/>
    <row r="44293" s="2" customFormat="1"/>
    <row r="44294" s="2" customFormat="1"/>
    <row r="44295" s="2" customFormat="1"/>
    <row r="44296" s="2" customFormat="1"/>
    <row r="44297" s="2" customFormat="1"/>
    <row r="44298" s="2" customFormat="1"/>
    <row r="44299" s="2" customFormat="1"/>
    <row r="44300" s="2" customFormat="1"/>
    <row r="44301" s="2" customFormat="1"/>
    <row r="44302" s="2" customFormat="1"/>
    <row r="44303" s="2" customFormat="1"/>
    <row r="44304" s="2" customFormat="1"/>
    <row r="44305" s="2" customFormat="1"/>
    <row r="44306" s="2" customFormat="1"/>
    <row r="44307" s="2" customFormat="1"/>
    <row r="44308" s="2" customFormat="1"/>
    <row r="44309" s="2" customFormat="1"/>
    <row r="44310" s="2" customFormat="1"/>
    <row r="44311" s="2" customFormat="1"/>
    <row r="44312" s="2" customFormat="1"/>
    <row r="44313" s="2" customFormat="1"/>
    <row r="44314" s="2" customFormat="1"/>
    <row r="44315" s="2" customFormat="1"/>
    <row r="44316" s="2" customFormat="1"/>
    <row r="44317" s="2" customFormat="1"/>
    <row r="44318" s="2" customFormat="1"/>
    <row r="44319" s="2" customFormat="1"/>
    <row r="44320" s="2" customFormat="1"/>
    <row r="44321" s="2" customFormat="1"/>
    <row r="44322" s="2" customFormat="1"/>
    <row r="44323" s="2" customFormat="1"/>
    <row r="44324" s="2" customFormat="1"/>
    <row r="44325" s="2" customFormat="1"/>
    <row r="44326" s="2" customFormat="1"/>
    <row r="44327" s="2" customFormat="1"/>
    <row r="44328" s="2" customFormat="1"/>
    <row r="44329" s="2" customFormat="1"/>
    <row r="44330" s="2" customFormat="1"/>
    <row r="44331" s="2" customFormat="1"/>
    <row r="44332" s="2" customFormat="1"/>
    <row r="44333" s="2" customFormat="1"/>
    <row r="44334" s="2" customFormat="1"/>
    <row r="44335" s="2" customFormat="1"/>
    <row r="44336" s="2" customFormat="1"/>
    <row r="44337" s="2" customFormat="1"/>
    <row r="44338" s="2" customFormat="1"/>
    <row r="44339" s="2" customFormat="1"/>
    <row r="44340" s="2" customFormat="1"/>
    <row r="44341" s="2" customFormat="1"/>
    <row r="44342" s="2" customFormat="1"/>
    <row r="44343" s="2" customFormat="1"/>
    <row r="44344" s="2" customFormat="1"/>
    <row r="44345" s="2" customFormat="1"/>
    <row r="44346" s="2" customFormat="1"/>
    <row r="44347" s="2" customFormat="1"/>
    <row r="44348" s="2" customFormat="1"/>
    <row r="44349" s="2" customFormat="1"/>
    <row r="44350" s="2" customFormat="1"/>
    <row r="44351" s="2" customFormat="1"/>
    <row r="44352" s="2" customFormat="1"/>
    <row r="44353" s="2" customFormat="1"/>
    <row r="44354" s="2" customFormat="1"/>
    <row r="44355" s="2" customFormat="1"/>
    <row r="44356" s="2" customFormat="1"/>
    <row r="44357" s="2" customFormat="1"/>
    <row r="44358" s="2" customFormat="1"/>
    <row r="44359" s="2" customFormat="1"/>
    <row r="44360" s="2" customFormat="1"/>
    <row r="44361" s="2" customFormat="1"/>
    <row r="44362" s="2" customFormat="1"/>
    <row r="44363" s="2" customFormat="1"/>
    <row r="44364" s="2" customFormat="1"/>
    <row r="44365" s="2" customFormat="1"/>
    <row r="44366" s="2" customFormat="1"/>
    <row r="44367" s="2" customFormat="1"/>
    <row r="44368" s="2" customFormat="1"/>
    <row r="44369" s="2" customFormat="1"/>
    <row r="44370" s="2" customFormat="1"/>
    <row r="44371" s="2" customFormat="1"/>
    <row r="44372" s="2" customFormat="1"/>
    <row r="44373" s="2" customFormat="1"/>
    <row r="44374" s="2" customFormat="1"/>
    <row r="44375" s="2" customFormat="1"/>
    <row r="44376" s="2" customFormat="1"/>
    <row r="44377" s="2" customFormat="1"/>
    <row r="44378" s="2" customFormat="1"/>
    <row r="44379" s="2" customFormat="1"/>
    <row r="44380" s="2" customFormat="1"/>
    <row r="44381" s="2" customFormat="1"/>
    <row r="44382" s="2" customFormat="1"/>
    <row r="44383" s="2" customFormat="1"/>
    <row r="44384" s="2" customFormat="1"/>
    <row r="44385" s="2" customFormat="1"/>
    <row r="44386" s="2" customFormat="1"/>
    <row r="44387" s="2" customFormat="1"/>
    <row r="44388" s="2" customFormat="1"/>
    <row r="44389" s="2" customFormat="1"/>
    <row r="44390" s="2" customFormat="1"/>
    <row r="44391" s="2" customFormat="1"/>
    <row r="44392" s="2" customFormat="1"/>
    <row r="44393" s="2" customFormat="1"/>
    <row r="44394" s="2" customFormat="1"/>
    <row r="44395" s="2" customFormat="1"/>
    <row r="44396" s="2" customFormat="1"/>
    <row r="44397" s="2" customFormat="1"/>
    <row r="44398" s="2" customFormat="1"/>
    <row r="44399" s="2" customFormat="1"/>
    <row r="44400" s="2" customFormat="1"/>
    <row r="44401" s="2" customFormat="1"/>
    <row r="44402" s="2" customFormat="1"/>
    <row r="44403" s="2" customFormat="1"/>
    <row r="44404" s="2" customFormat="1"/>
    <row r="44405" s="2" customFormat="1"/>
    <row r="44406" s="2" customFormat="1"/>
    <row r="44407" s="2" customFormat="1"/>
    <row r="44408" s="2" customFormat="1"/>
    <row r="44409" s="2" customFormat="1"/>
    <row r="44410" s="2" customFormat="1"/>
    <row r="44411" s="2" customFormat="1"/>
    <row r="44412" s="2" customFormat="1"/>
    <row r="44413" s="2" customFormat="1"/>
    <row r="44414" s="2" customFormat="1"/>
    <row r="44415" s="2" customFormat="1"/>
    <row r="44416" s="2" customFormat="1"/>
    <row r="44417" s="2" customFormat="1"/>
    <row r="44418" s="2" customFormat="1"/>
    <row r="44419" s="2" customFormat="1"/>
    <row r="44420" s="2" customFormat="1"/>
    <row r="44421" s="2" customFormat="1"/>
    <row r="44422" s="2" customFormat="1"/>
    <row r="44423" s="2" customFormat="1"/>
    <row r="44424" s="2" customFormat="1"/>
    <row r="44425" s="2" customFormat="1"/>
    <row r="44426" s="2" customFormat="1"/>
    <row r="44427" s="2" customFormat="1"/>
    <row r="44428" s="2" customFormat="1"/>
    <row r="44429" s="2" customFormat="1"/>
    <row r="44430" s="2" customFormat="1"/>
    <row r="44431" s="2" customFormat="1"/>
    <row r="44432" s="2" customFormat="1"/>
    <row r="44433" s="2" customFormat="1"/>
    <row r="44434" s="2" customFormat="1"/>
    <row r="44435" s="2" customFormat="1"/>
    <row r="44436" s="2" customFormat="1"/>
    <row r="44437" s="2" customFormat="1"/>
    <row r="44438" s="2" customFormat="1"/>
    <row r="44439" s="2" customFormat="1"/>
    <row r="44440" s="2" customFormat="1"/>
    <row r="44441" s="2" customFormat="1"/>
    <row r="44442" s="2" customFormat="1"/>
    <row r="44443" s="2" customFormat="1"/>
    <row r="44444" s="2" customFormat="1"/>
    <row r="44445" s="2" customFormat="1"/>
    <row r="44446" s="2" customFormat="1"/>
    <row r="44447" s="2" customFormat="1"/>
    <row r="44448" s="2" customFormat="1"/>
    <row r="44449" s="2" customFormat="1"/>
    <row r="44450" s="2" customFormat="1"/>
    <row r="44451" s="2" customFormat="1"/>
    <row r="44452" s="2" customFormat="1"/>
    <row r="44453" s="2" customFormat="1"/>
    <row r="44454" s="2" customFormat="1"/>
    <row r="44455" s="2" customFormat="1"/>
    <row r="44456" s="2" customFormat="1"/>
    <row r="44457" s="2" customFormat="1"/>
    <row r="44458" s="2" customFormat="1"/>
    <row r="44459" s="2" customFormat="1"/>
    <row r="44460" s="2" customFormat="1"/>
    <row r="44461" s="2" customFormat="1"/>
    <row r="44462" s="2" customFormat="1"/>
    <row r="44463" s="2" customFormat="1"/>
    <row r="44464" s="2" customFormat="1"/>
    <row r="44465" s="2" customFormat="1"/>
    <row r="44466" s="2" customFormat="1"/>
    <row r="44467" s="2" customFormat="1"/>
    <row r="44468" s="2" customFormat="1"/>
    <row r="44469" s="2" customFormat="1"/>
    <row r="44470" s="2" customFormat="1"/>
    <row r="44471" s="2" customFormat="1"/>
    <row r="44472" s="2" customFormat="1"/>
    <row r="44473" s="2" customFormat="1"/>
    <row r="44474" s="2" customFormat="1"/>
    <row r="44475" s="2" customFormat="1"/>
    <row r="44476" s="2" customFormat="1"/>
    <row r="44477" s="2" customFormat="1"/>
    <row r="44478" s="2" customFormat="1"/>
    <row r="44479" s="2" customFormat="1"/>
    <row r="44480" s="2" customFormat="1"/>
    <row r="44481" s="2" customFormat="1"/>
    <row r="44482" s="2" customFormat="1"/>
    <row r="44483" s="2" customFormat="1"/>
    <row r="44484" s="2" customFormat="1"/>
    <row r="44485" s="2" customFormat="1"/>
    <row r="44486" s="2" customFormat="1"/>
    <row r="44487" s="2" customFormat="1"/>
    <row r="44488" s="2" customFormat="1"/>
    <row r="44489" s="2" customFormat="1"/>
    <row r="44490" s="2" customFormat="1"/>
    <row r="44491" s="2" customFormat="1"/>
    <row r="44492" s="2" customFormat="1"/>
    <row r="44493" s="2" customFormat="1"/>
    <row r="44494" s="2" customFormat="1"/>
    <row r="44495" s="2" customFormat="1"/>
    <row r="44496" s="2" customFormat="1"/>
    <row r="44497" s="2" customFormat="1"/>
    <row r="44498" s="2" customFormat="1"/>
    <row r="44499" s="2" customFormat="1"/>
    <row r="44500" s="2" customFormat="1"/>
    <row r="44501" s="2" customFormat="1"/>
    <row r="44502" s="2" customFormat="1"/>
    <row r="44503" s="2" customFormat="1"/>
    <row r="44504" s="2" customFormat="1"/>
    <row r="44505" s="2" customFormat="1"/>
    <row r="44506" s="2" customFormat="1"/>
    <row r="44507" s="2" customFormat="1"/>
    <row r="44508" s="2" customFormat="1"/>
    <row r="44509" s="2" customFormat="1"/>
    <row r="44510" s="2" customFormat="1"/>
    <row r="44511" s="2" customFormat="1"/>
    <row r="44512" s="2" customFormat="1"/>
    <row r="44513" s="2" customFormat="1"/>
    <row r="44514" s="2" customFormat="1"/>
    <row r="44515" s="2" customFormat="1"/>
    <row r="44516" s="2" customFormat="1"/>
    <row r="44517" s="2" customFormat="1"/>
    <row r="44518" s="2" customFormat="1"/>
    <row r="44519" s="2" customFormat="1"/>
    <row r="44520" s="2" customFormat="1"/>
    <row r="44521" s="2" customFormat="1"/>
    <row r="44522" s="2" customFormat="1"/>
    <row r="44523" s="2" customFormat="1"/>
    <row r="44524" s="2" customFormat="1"/>
    <row r="44525" s="2" customFormat="1"/>
    <row r="44526" s="2" customFormat="1"/>
    <row r="44527" s="2" customFormat="1"/>
    <row r="44528" s="2" customFormat="1"/>
    <row r="44529" s="2" customFormat="1"/>
    <row r="44530" s="2" customFormat="1"/>
    <row r="44531" s="2" customFormat="1"/>
    <row r="44532" s="2" customFormat="1"/>
    <row r="44533" s="2" customFormat="1"/>
    <row r="44534" s="2" customFormat="1"/>
    <row r="44535" s="2" customFormat="1"/>
    <row r="44536" s="2" customFormat="1"/>
    <row r="44537" s="2" customFormat="1"/>
    <row r="44538" s="2" customFormat="1"/>
    <row r="44539" s="2" customFormat="1"/>
    <row r="44540" s="2" customFormat="1"/>
    <row r="44541" s="2" customFormat="1"/>
    <row r="44542" s="2" customFormat="1"/>
    <row r="44543" s="2" customFormat="1"/>
    <row r="44544" s="2" customFormat="1"/>
    <row r="44545" s="2" customFormat="1"/>
    <row r="44546" s="2" customFormat="1"/>
    <row r="44547" s="2" customFormat="1"/>
    <row r="44548" s="2" customFormat="1"/>
    <row r="44549" s="2" customFormat="1"/>
    <row r="44550" s="2" customFormat="1"/>
    <row r="44551" s="2" customFormat="1"/>
    <row r="44552" s="2" customFormat="1"/>
    <row r="44553" s="2" customFormat="1"/>
    <row r="44554" s="2" customFormat="1"/>
    <row r="44555" s="2" customFormat="1"/>
    <row r="44556" s="2" customFormat="1"/>
    <row r="44557" s="2" customFormat="1"/>
    <row r="44558" s="2" customFormat="1"/>
    <row r="44559" s="2" customFormat="1"/>
    <row r="44560" s="2" customFormat="1"/>
    <row r="44561" s="2" customFormat="1"/>
    <row r="44562" s="2" customFormat="1"/>
    <row r="44563" s="2" customFormat="1"/>
    <row r="44564" s="2" customFormat="1"/>
    <row r="44565" s="2" customFormat="1"/>
    <row r="44566" s="2" customFormat="1"/>
    <row r="44567" s="2" customFormat="1"/>
    <row r="44568" s="2" customFormat="1"/>
    <row r="44569" s="2" customFormat="1"/>
    <row r="44570" s="2" customFormat="1"/>
    <row r="44571" s="2" customFormat="1"/>
    <row r="44572" s="2" customFormat="1"/>
    <row r="44573" s="2" customFormat="1"/>
    <row r="44574" s="2" customFormat="1"/>
    <row r="44575" s="2" customFormat="1"/>
    <row r="44576" s="2" customFormat="1"/>
    <row r="44577" s="2" customFormat="1"/>
    <row r="44578" s="2" customFormat="1"/>
    <row r="44579" s="2" customFormat="1"/>
    <row r="44580" s="2" customFormat="1"/>
    <row r="44581" s="2" customFormat="1"/>
    <row r="44582" s="2" customFormat="1"/>
    <row r="44583" s="2" customFormat="1"/>
    <row r="44584" s="2" customFormat="1"/>
    <row r="44585" s="2" customFormat="1"/>
    <row r="44586" s="2" customFormat="1"/>
    <row r="44587" s="2" customFormat="1"/>
    <row r="44588" s="2" customFormat="1"/>
    <row r="44589" s="2" customFormat="1"/>
    <row r="44590" s="2" customFormat="1"/>
    <row r="44591" s="2" customFormat="1"/>
    <row r="44592" s="2" customFormat="1"/>
    <row r="44593" s="2" customFormat="1"/>
    <row r="44594" s="2" customFormat="1"/>
    <row r="44595" s="2" customFormat="1"/>
    <row r="44596" s="2" customFormat="1"/>
    <row r="44597" s="2" customFormat="1"/>
    <row r="44598" s="2" customFormat="1"/>
    <row r="44599" s="2" customFormat="1"/>
    <row r="44600" s="2" customFormat="1"/>
    <row r="44601" s="2" customFormat="1"/>
    <row r="44602" s="2" customFormat="1"/>
    <row r="44603" s="2" customFormat="1"/>
    <row r="44604" s="2" customFormat="1"/>
    <row r="44605" s="2" customFormat="1"/>
    <row r="44606" s="2" customFormat="1"/>
    <row r="44607" s="2" customFormat="1"/>
    <row r="44608" s="2" customFormat="1"/>
    <row r="44609" s="2" customFormat="1"/>
    <row r="44610" s="2" customFormat="1"/>
    <row r="44611" s="2" customFormat="1"/>
    <row r="44612" s="2" customFormat="1"/>
    <row r="44613" s="2" customFormat="1"/>
    <row r="44614" s="2" customFormat="1"/>
    <row r="44615" s="2" customFormat="1"/>
    <row r="44616" s="2" customFormat="1"/>
    <row r="44617" s="2" customFormat="1"/>
    <row r="44618" s="2" customFormat="1"/>
    <row r="44619" s="2" customFormat="1"/>
    <row r="44620" s="2" customFormat="1"/>
    <row r="44621" s="2" customFormat="1"/>
    <row r="44622" s="2" customFormat="1"/>
    <row r="44623" s="2" customFormat="1"/>
    <row r="44624" s="2" customFormat="1"/>
    <row r="44625" s="2" customFormat="1"/>
    <row r="44626" s="2" customFormat="1"/>
    <row r="44627" s="2" customFormat="1"/>
    <row r="44628" s="2" customFormat="1"/>
    <row r="44629" s="2" customFormat="1"/>
    <row r="44630" s="2" customFormat="1"/>
    <row r="44631" s="2" customFormat="1"/>
    <row r="44632" s="2" customFormat="1"/>
    <row r="44633" s="2" customFormat="1"/>
    <row r="44634" s="2" customFormat="1"/>
    <row r="44635" s="2" customFormat="1"/>
    <row r="44636" s="2" customFormat="1"/>
    <row r="44637" s="2" customFormat="1"/>
    <row r="44638" s="2" customFormat="1"/>
    <row r="44639" s="2" customFormat="1"/>
    <row r="44640" s="2" customFormat="1"/>
    <row r="44641" s="2" customFormat="1"/>
    <row r="44642" s="2" customFormat="1"/>
    <row r="44643" s="2" customFormat="1"/>
    <row r="44644" s="2" customFormat="1"/>
    <row r="44645" s="2" customFormat="1"/>
    <row r="44646" s="2" customFormat="1"/>
    <row r="44647" s="2" customFormat="1"/>
    <row r="44648" s="2" customFormat="1"/>
    <row r="44649" s="2" customFormat="1"/>
    <row r="44650" s="2" customFormat="1"/>
    <row r="44651" s="2" customFormat="1"/>
    <row r="44652" s="2" customFormat="1"/>
    <row r="44653" s="2" customFormat="1"/>
    <row r="44654" s="2" customFormat="1"/>
    <row r="44655" s="2" customFormat="1"/>
    <row r="44656" s="2" customFormat="1"/>
    <row r="44657" s="2" customFormat="1"/>
    <row r="44658" s="2" customFormat="1"/>
    <row r="44659" s="2" customFormat="1"/>
    <row r="44660" s="2" customFormat="1"/>
    <row r="44661" s="2" customFormat="1"/>
    <row r="44662" s="2" customFormat="1"/>
    <row r="44663" s="2" customFormat="1"/>
    <row r="44664" s="2" customFormat="1"/>
    <row r="44665" s="2" customFormat="1"/>
    <row r="44666" s="2" customFormat="1"/>
    <row r="44667" s="2" customFormat="1"/>
    <row r="44668" s="2" customFormat="1"/>
    <row r="44669" s="2" customFormat="1"/>
    <row r="44670" s="2" customFormat="1"/>
    <row r="44671" s="2" customFormat="1"/>
    <row r="44672" s="2" customFormat="1"/>
    <row r="44673" s="2" customFormat="1"/>
    <row r="44674" s="2" customFormat="1"/>
    <row r="44675" s="2" customFormat="1"/>
    <row r="44676" s="2" customFormat="1"/>
    <row r="44677" s="2" customFormat="1"/>
    <row r="44678" s="2" customFormat="1"/>
    <row r="44679" s="2" customFormat="1"/>
    <row r="44680" s="2" customFormat="1"/>
    <row r="44681" s="2" customFormat="1"/>
    <row r="44682" s="2" customFormat="1"/>
    <row r="44683" s="2" customFormat="1"/>
    <row r="44684" s="2" customFormat="1"/>
    <row r="44685" s="2" customFormat="1"/>
    <row r="44686" s="2" customFormat="1"/>
    <row r="44687" s="2" customFormat="1"/>
    <row r="44688" s="2" customFormat="1"/>
    <row r="44689" s="2" customFormat="1"/>
    <row r="44690" s="2" customFormat="1"/>
    <row r="44691" s="2" customFormat="1"/>
    <row r="44692" s="2" customFormat="1"/>
    <row r="44693" s="2" customFormat="1"/>
    <row r="44694" s="2" customFormat="1"/>
    <row r="44695" s="2" customFormat="1"/>
    <row r="44696" s="2" customFormat="1"/>
    <row r="44697" s="2" customFormat="1"/>
    <row r="44698" s="2" customFormat="1"/>
    <row r="44699" s="2" customFormat="1"/>
    <row r="44700" s="2" customFormat="1"/>
    <row r="44701" s="2" customFormat="1"/>
    <row r="44702" s="2" customFormat="1"/>
    <row r="44703" s="2" customFormat="1"/>
    <row r="44704" s="2" customFormat="1"/>
    <row r="44705" s="2" customFormat="1"/>
    <row r="44706" s="2" customFormat="1"/>
    <row r="44707" s="2" customFormat="1"/>
    <row r="44708" s="2" customFormat="1"/>
    <row r="44709" s="2" customFormat="1"/>
    <row r="44710" s="2" customFormat="1"/>
    <row r="44711" s="2" customFormat="1"/>
    <row r="44712" s="2" customFormat="1"/>
    <row r="44713" s="2" customFormat="1"/>
    <row r="44714" s="2" customFormat="1"/>
    <row r="44715" s="2" customFormat="1"/>
    <row r="44716" s="2" customFormat="1"/>
    <row r="44717" s="2" customFormat="1"/>
    <row r="44718" s="2" customFormat="1"/>
    <row r="44719" s="2" customFormat="1"/>
    <row r="44720" s="2" customFormat="1"/>
    <row r="44721" s="2" customFormat="1"/>
    <row r="44722" s="2" customFormat="1"/>
    <row r="44723" s="2" customFormat="1"/>
    <row r="44724" s="2" customFormat="1"/>
    <row r="44725" s="2" customFormat="1"/>
    <row r="44726" s="2" customFormat="1"/>
    <row r="44727" s="2" customFormat="1"/>
    <row r="44728" s="2" customFormat="1"/>
    <row r="44729" s="2" customFormat="1"/>
    <row r="44730" s="2" customFormat="1"/>
    <row r="44731" s="2" customFormat="1"/>
    <row r="44732" s="2" customFormat="1"/>
    <row r="44733" s="2" customFormat="1"/>
    <row r="44734" s="2" customFormat="1"/>
    <row r="44735" s="2" customFormat="1"/>
    <row r="44736" s="2" customFormat="1"/>
    <row r="44737" s="2" customFormat="1"/>
    <row r="44738" s="2" customFormat="1"/>
    <row r="44739" s="2" customFormat="1"/>
    <row r="44740" s="2" customFormat="1"/>
    <row r="44741" s="2" customFormat="1"/>
    <row r="44742" s="2" customFormat="1"/>
    <row r="44743" s="2" customFormat="1"/>
    <row r="44744" s="2" customFormat="1"/>
    <row r="44745" s="2" customFormat="1"/>
    <row r="44746" s="2" customFormat="1"/>
    <row r="44747" s="2" customFormat="1"/>
    <row r="44748" s="2" customFormat="1"/>
    <row r="44749" s="2" customFormat="1"/>
    <row r="44750" s="2" customFormat="1"/>
    <row r="44751" s="2" customFormat="1"/>
    <row r="44752" s="2" customFormat="1"/>
    <row r="44753" s="2" customFormat="1"/>
    <row r="44754" s="2" customFormat="1"/>
    <row r="44755" s="2" customFormat="1"/>
    <row r="44756" s="2" customFormat="1"/>
    <row r="44757" s="2" customFormat="1"/>
    <row r="44758" s="2" customFormat="1"/>
    <row r="44759" s="2" customFormat="1"/>
    <row r="44760" s="2" customFormat="1"/>
    <row r="44761" s="2" customFormat="1"/>
    <row r="44762" s="2" customFormat="1"/>
    <row r="44763" s="2" customFormat="1"/>
    <row r="44764" s="2" customFormat="1"/>
    <row r="44765" s="2" customFormat="1"/>
    <row r="44766" s="2" customFormat="1"/>
    <row r="44767" s="2" customFormat="1"/>
    <row r="44768" s="2" customFormat="1"/>
    <row r="44769" s="2" customFormat="1"/>
    <row r="44770" s="2" customFormat="1"/>
    <row r="44771" s="2" customFormat="1"/>
    <row r="44772" s="2" customFormat="1"/>
    <row r="44773" s="2" customFormat="1"/>
    <row r="44774" s="2" customFormat="1"/>
    <row r="44775" s="2" customFormat="1"/>
    <row r="44776" s="2" customFormat="1"/>
    <row r="44777" s="2" customFormat="1"/>
    <row r="44778" s="2" customFormat="1"/>
    <row r="44779" s="2" customFormat="1"/>
    <row r="44780" s="2" customFormat="1"/>
    <row r="44781" s="2" customFormat="1"/>
    <row r="44782" s="2" customFormat="1"/>
    <row r="44783" s="2" customFormat="1"/>
    <row r="44784" s="2" customFormat="1"/>
    <row r="44785" s="2" customFormat="1"/>
    <row r="44786" s="2" customFormat="1"/>
    <row r="44787" s="2" customFormat="1"/>
    <row r="44788" s="2" customFormat="1"/>
    <row r="44789" s="2" customFormat="1"/>
    <row r="44790" s="2" customFormat="1"/>
    <row r="44791" s="2" customFormat="1"/>
    <row r="44792" s="2" customFormat="1"/>
    <row r="44793" s="2" customFormat="1"/>
    <row r="44794" s="2" customFormat="1"/>
    <row r="44795" s="2" customFormat="1"/>
    <row r="44796" s="2" customFormat="1"/>
    <row r="44797" s="2" customFormat="1"/>
    <row r="44798" s="2" customFormat="1"/>
    <row r="44799" s="2" customFormat="1"/>
    <row r="44800" s="2" customFormat="1"/>
    <row r="44801" s="2" customFormat="1"/>
    <row r="44802" s="2" customFormat="1"/>
    <row r="44803" s="2" customFormat="1"/>
    <row r="44804" s="2" customFormat="1"/>
    <row r="44805" s="2" customFormat="1"/>
    <row r="44806" s="2" customFormat="1"/>
    <row r="44807" s="2" customFormat="1"/>
    <row r="44808" s="2" customFormat="1"/>
    <row r="44809" s="2" customFormat="1"/>
    <row r="44810" s="2" customFormat="1"/>
    <row r="44811" s="2" customFormat="1"/>
    <row r="44812" s="2" customFormat="1"/>
    <row r="44813" s="2" customFormat="1"/>
    <row r="44814" s="2" customFormat="1"/>
    <row r="44815" s="2" customFormat="1"/>
    <row r="44816" s="2" customFormat="1"/>
    <row r="44817" s="2" customFormat="1"/>
    <row r="44818" s="2" customFormat="1"/>
    <row r="44819" s="2" customFormat="1"/>
    <row r="44820" s="2" customFormat="1"/>
    <row r="44821" s="2" customFormat="1"/>
    <row r="44822" s="2" customFormat="1"/>
    <row r="44823" s="2" customFormat="1"/>
    <row r="44824" s="2" customFormat="1"/>
    <row r="44825" s="2" customFormat="1"/>
    <row r="44826" s="2" customFormat="1"/>
    <row r="44827" s="2" customFormat="1"/>
    <row r="44828" s="2" customFormat="1"/>
    <row r="44829" s="2" customFormat="1"/>
    <row r="44830" s="2" customFormat="1"/>
    <row r="44831" s="2" customFormat="1"/>
    <row r="44832" s="2" customFormat="1"/>
    <row r="44833" s="2" customFormat="1"/>
    <row r="44834" s="2" customFormat="1"/>
    <row r="44835" s="2" customFormat="1"/>
    <row r="44836" s="2" customFormat="1"/>
    <row r="44837" s="2" customFormat="1"/>
    <row r="44838" s="2" customFormat="1"/>
    <row r="44839" s="2" customFormat="1"/>
    <row r="44840" s="2" customFormat="1"/>
    <row r="44841" s="2" customFormat="1"/>
    <row r="44842" s="2" customFormat="1"/>
    <row r="44843" s="2" customFormat="1"/>
    <row r="44844" s="2" customFormat="1"/>
    <row r="44845" s="2" customFormat="1"/>
    <row r="44846" s="2" customFormat="1"/>
    <row r="44847" s="2" customFormat="1"/>
    <row r="44848" s="2" customFormat="1"/>
    <row r="44849" s="2" customFormat="1"/>
    <row r="44850" s="2" customFormat="1"/>
    <row r="44851" s="2" customFormat="1"/>
    <row r="44852" s="2" customFormat="1"/>
    <row r="44853" s="2" customFormat="1"/>
    <row r="44854" s="2" customFormat="1"/>
    <row r="44855" s="2" customFormat="1"/>
    <row r="44856" s="2" customFormat="1"/>
    <row r="44857" s="2" customFormat="1"/>
    <row r="44858" s="2" customFormat="1"/>
    <row r="44859" s="2" customFormat="1"/>
    <row r="44860" s="2" customFormat="1"/>
    <row r="44861" s="2" customFormat="1"/>
    <row r="44862" s="2" customFormat="1"/>
    <row r="44863" s="2" customFormat="1"/>
    <row r="44864" s="2" customFormat="1"/>
    <row r="44865" s="2" customFormat="1"/>
    <row r="44866" s="2" customFormat="1"/>
    <row r="44867" s="2" customFormat="1"/>
    <row r="44868" s="2" customFormat="1"/>
    <row r="44869" s="2" customFormat="1"/>
    <row r="44870" s="2" customFormat="1"/>
    <row r="44871" s="2" customFormat="1"/>
    <row r="44872" s="2" customFormat="1"/>
    <row r="44873" s="2" customFormat="1"/>
    <row r="44874" s="2" customFormat="1"/>
    <row r="44875" s="2" customFormat="1"/>
    <row r="44876" s="2" customFormat="1"/>
    <row r="44877" s="2" customFormat="1"/>
    <row r="44878" s="2" customFormat="1"/>
    <row r="44879" s="2" customFormat="1"/>
    <row r="44880" s="2" customFormat="1"/>
    <row r="44881" s="2" customFormat="1"/>
    <row r="44882" s="2" customFormat="1"/>
    <row r="44883" s="2" customFormat="1"/>
    <row r="44884" s="2" customFormat="1"/>
    <row r="44885" s="2" customFormat="1"/>
    <row r="44886" s="2" customFormat="1"/>
    <row r="44887" s="2" customFormat="1"/>
    <row r="44888" s="2" customFormat="1"/>
    <row r="44889" s="2" customFormat="1"/>
    <row r="44890" s="2" customFormat="1"/>
    <row r="44891" s="2" customFormat="1"/>
    <row r="44892" s="2" customFormat="1"/>
    <row r="44893" s="2" customFormat="1"/>
    <row r="44894" s="2" customFormat="1"/>
    <row r="44895" s="2" customFormat="1"/>
    <row r="44896" s="2" customFormat="1"/>
    <row r="44897" s="2" customFormat="1"/>
    <row r="44898" s="2" customFormat="1"/>
    <row r="44899" s="2" customFormat="1"/>
    <row r="44900" s="2" customFormat="1"/>
    <row r="44901" s="2" customFormat="1"/>
    <row r="44902" s="2" customFormat="1"/>
    <row r="44903" s="2" customFormat="1"/>
    <row r="44904" s="2" customFormat="1"/>
    <row r="44905" s="2" customFormat="1"/>
    <row r="44906" s="2" customFormat="1"/>
    <row r="44907" s="2" customFormat="1"/>
    <row r="44908" s="2" customFormat="1"/>
    <row r="44909" s="2" customFormat="1"/>
    <row r="44910" s="2" customFormat="1"/>
    <row r="44911" s="2" customFormat="1"/>
    <row r="44912" s="2" customFormat="1"/>
    <row r="44913" s="2" customFormat="1"/>
    <row r="44914" s="2" customFormat="1"/>
    <row r="44915" s="2" customFormat="1"/>
    <row r="44916" s="2" customFormat="1"/>
    <row r="44917" s="2" customFormat="1"/>
    <row r="44918" s="2" customFormat="1"/>
    <row r="44919" s="2" customFormat="1"/>
    <row r="44920" s="2" customFormat="1"/>
    <row r="44921" s="2" customFormat="1"/>
    <row r="44922" s="2" customFormat="1"/>
    <row r="44923" s="2" customFormat="1"/>
    <row r="44924" s="2" customFormat="1"/>
    <row r="44925" s="2" customFormat="1"/>
    <row r="44926" s="2" customFormat="1"/>
    <row r="44927" s="2" customFormat="1"/>
    <row r="44928" s="2" customFormat="1"/>
    <row r="44929" s="2" customFormat="1"/>
    <row r="44930" s="2" customFormat="1"/>
    <row r="44931" s="2" customFormat="1"/>
    <row r="44932" s="2" customFormat="1"/>
    <row r="44933" s="2" customFormat="1"/>
    <row r="44934" s="2" customFormat="1"/>
    <row r="44935" s="2" customFormat="1"/>
    <row r="44936" s="2" customFormat="1"/>
    <row r="44937" s="2" customFormat="1"/>
    <row r="44938" s="2" customFormat="1"/>
    <row r="44939" s="2" customFormat="1"/>
    <row r="44940" s="2" customFormat="1"/>
    <row r="44941" s="2" customFormat="1"/>
    <row r="44942" s="2" customFormat="1"/>
    <row r="44943" s="2" customFormat="1"/>
    <row r="44944" s="2" customFormat="1"/>
    <row r="44945" s="2" customFormat="1"/>
    <row r="44946" s="2" customFormat="1"/>
    <row r="44947" s="2" customFormat="1"/>
    <row r="44948" s="2" customFormat="1"/>
    <row r="44949" s="2" customFormat="1"/>
    <row r="44950" s="2" customFormat="1"/>
    <row r="44951" s="2" customFormat="1"/>
    <row r="44952" s="2" customFormat="1"/>
    <row r="44953" s="2" customFormat="1"/>
    <row r="44954" s="2" customFormat="1"/>
    <row r="44955" s="2" customFormat="1"/>
    <row r="44956" s="2" customFormat="1"/>
    <row r="44957" s="2" customFormat="1"/>
    <row r="44958" s="2" customFormat="1"/>
    <row r="44959" s="2" customFormat="1"/>
    <row r="44960" s="2" customFormat="1"/>
    <row r="44961" s="2" customFormat="1"/>
    <row r="44962" s="2" customFormat="1"/>
    <row r="44963" s="2" customFormat="1"/>
    <row r="44964" s="2" customFormat="1"/>
    <row r="44965" s="2" customFormat="1"/>
    <row r="44966" s="2" customFormat="1"/>
    <row r="44967" s="2" customFormat="1"/>
    <row r="44968" s="2" customFormat="1"/>
    <row r="44969" s="2" customFormat="1"/>
    <row r="44970" s="2" customFormat="1"/>
    <row r="44971" s="2" customFormat="1"/>
    <row r="44972" s="2" customFormat="1"/>
    <row r="44973" s="2" customFormat="1"/>
    <row r="44974" s="2" customFormat="1"/>
    <row r="44975" s="2" customFormat="1"/>
    <row r="44976" s="2" customFormat="1"/>
    <row r="44977" s="2" customFormat="1"/>
    <row r="44978" s="2" customFormat="1"/>
    <row r="44979" s="2" customFormat="1"/>
    <row r="44980" s="2" customFormat="1"/>
    <row r="44981" s="2" customFormat="1"/>
    <row r="44982" s="2" customFormat="1"/>
    <row r="44983" s="2" customFormat="1"/>
    <row r="44984" s="2" customFormat="1"/>
    <row r="44985" s="2" customFormat="1"/>
    <row r="44986" s="2" customFormat="1"/>
    <row r="44987" s="2" customFormat="1"/>
    <row r="44988" s="2" customFormat="1"/>
    <row r="44989" s="2" customFormat="1"/>
    <row r="44990" s="2" customFormat="1"/>
    <row r="44991" s="2" customFormat="1"/>
    <row r="44992" s="2" customFormat="1"/>
    <row r="44993" s="2" customFormat="1"/>
    <row r="44994" s="2" customFormat="1"/>
    <row r="44995" s="2" customFormat="1"/>
    <row r="44996" s="2" customFormat="1"/>
    <row r="44997" s="2" customFormat="1"/>
    <row r="44998" s="2" customFormat="1"/>
    <row r="44999" s="2" customFormat="1"/>
    <row r="45000" s="2" customFormat="1"/>
    <row r="45001" s="2" customFormat="1"/>
    <row r="45002" s="2" customFormat="1"/>
    <row r="45003" s="2" customFormat="1"/>
    <row r="45004" s="2" customFormat="1"/>
    <row r="45005" s="2" customFormat="1"/>
    <row r="45006" s="2" customFormat="1"/>
    <row r="45007" s="2" customFormat="1"/>
    <row r="45008" s="2" customFormat="1"/>
    <row r="45009" s="2" customFormat="1"/>
    <row r="45010" s="2" customFormat="1"/>
    <row r="45011" s="2" customFormat="1"/>
    <row r="45012" s="2" customFormat="1"/>
    <row r="45013" s="2" customFormat="1"/>
    <row r="45014" s="2" customFormat="1"/>
    <row r="45015" s="2" customFormat="1"/>
    <row r="45016" s="2" customFormat="1"/>
    <row r="45017" s="2" customFormat="1"/>
    <row r="45018" s="2" customFormat="1"/>
    <row r="45019" s="2" customFormat="1"/>
    <row r="45020" s="2" customFormat="1"/>
    <row r="45021" s="2" customFormat="1"/>
    <row r="45022" s="2" customFormat="1"/>
    <row r="45023" s="2" customFormat="1"/>
    <row r="45024" s="2" customFormat="1"/>
    <row r="45025" s="2" customFormat="1"/>
    <row r="45026" s="2" customFormat="1"/>
    <row r="45027" s="2" customFormat="1"/>
    <row r="45028" s="2" customFormat="1"/>
    <row r="45029" s="2" customFormat="1"/>
    <row r="45030" s="2" customFormat="1"/>
    <row r="45031" s="2" customFormat="1"/>
    <row r="45032" s="2" customFormat="1"/>
    <row r="45033" s="2" customFormat="1"/>
    <row r="45034" s="2" customFormat="1"/>
    <row r="45035" s="2" customFormat="1"/>
    <row r="45036" s="2" customFormat="1"/>
    <row r="45037" s="2" customFormat="1"/>
    <row r="45038" s="2" customFormat="1"/>
    <row r="45039" s="2" customFormat="1"/>
    <row r="45040" s="2" customFormat="1"/>
    <row r="45041" s="2" customFormat="1"/>
    <row r="45042" s="2" customFormat="1"/>
    <row r="45043" s="2" customFormat="1"/>
    <row r="45044" s="2" customFormat="1"/>
    <row r="45045" s="2" customFormat="1"/>
    <row r="45046" s="2" customFormat="1"/>
    <row r="45047" s="2" customFormat="1"/>
    <row r="45048" s="2" customFormat="1"/>
    <row r="45049" s="2" customFormat="1"/>
    <row r="45050" s="2" customFormat="1"/>
    <row r="45051" s="2" customFormat="1"/>
    <row r="45052" s="2" customFormat="1"/>
    <row r="45053" s="2" customFormat="1"/>
    <row r="45054" s="2" customFormat="1"/>
    <row r="45055" s="2" customFormat="1"/>
    <row r="45056" s="2" customFormat="1"/>
    <row r="45057" s="2" customFormat="1"/>
    <row r="45058" s="2" customFormat="1"/>
    <row r="45059" s="2" customFormat="1"/>
    <row r="45060" s="2" customFormat="1"/>
    <row r="45061" s="2" customFormat="1"/>
    <row r="45062" s="2" customFormat="1"/>
    <row r="45063" s="2" customFormat="1"/>
    <row r="45064" s="2" customFormat="1"/>
    <row r="45065" s="2" customFormat="1"/>
    <row r="45066" s="2" customFormat="1"/>
    <row r="45067" s="2" customFormat="1"/>
    <row r="45068" s="2" customFormat="1"/>
    <row r="45069" s="2" customFormat="1"/>
    <row r="45070" s="2" customFormat="1"/>
    <row r="45071" s="2" customFormat="1"/>
    <row r="45072" s="2" customFormat="1"/>
    <row r="45073" s="2" customFormat="1"/>
    <row r="45074" s="2" customFormat="1"/>
    <row r="45075" s="2" customFormat="1"/>
    <row r="45076" s="2" customFormat="1"/>
    <row r="45077" s="2" customFormat="1"/>
    <row r="45078" s="2" customFormat="1"/>
    <row r="45079" s="2" customFormat="1"/>
    <row r="45080" s="2" customFormat="1"/>
    <row r="45081" s="2" customFormat="1"/>
    <row r="45082" s="2" customFormat="1"/>
    <row r="45083" s="2" customFormat="1"/>
    <row r="45084" s="2" customFormat="1"/>
    <row r="45085" s="2" customFormat="1"/>
    <row r="45086" s="2" customFormat="1"/>
    <row r="45087" s="2" customFormat="1"/>
    <row r="45088" s="2" customFormat="1"/>
    <row r="45089" s="2" customFormat="1"/>
    <row r="45090" s="2" customFormat="1"/>
    <row r="45091" s="2" customFormat="1"/>
    <row r="45092" s="2" customFormat="1"/>
    <row r="45093" s="2" customFormat="1"/>
    <row r="45094" s="2" customFormat="1"/>
    <row r="45095" s="2" customFormat="1"/>
    <row r="45096" s="2" customFormat="1"/>
    <row r="45097" s="2" customFormat="1"/>
    <row r="45098" s="2" customFormat="1"/>
    <row r="45099" s="2" customFormat="1"/>
    <row r="45100" s="2" customFormat="1"/>
    <row r="45101" s="2" customFormat="1"/>
    <row r="45102" s="2" customFormat="1"/>
    <row r="45103" s="2" customFormat="1"/>
    <row r="45104" s="2" customFormat="1"/>
    <row r="45105" s="2" customFormat="1"/>
    <row r="45106" s="2" customFormat="1"/>
    <row r="45107" s="2" customFormat="1"/>
    <row r="45108" s="2" customFormat="1"/>
    <row r="45109" s="2" customFormat="1"/>
    <row r="45110" s="2" customFormat="1"/>
    <row r="45111" s="2" customFormat="1"/>
    <row r="45112" s="2" customFormat="1"/>
    <row r="45113" s="2" customFormat="1"/>
    <row r="45114" s="2" customFormat="1"/>
    <row r="45115" s="2" customFormat="1"/>
    <row r="45116" s="2" customFormat="1"/>
    <row r="45117" s="2" customFormat="1"/>
    <row r="45118" s="2" customFormat="1"/>
    <row r="45119" s="2" customFormat="1"/>
    <row r="45120" s="2" customFormat="1"/>
    <row r="45121" s="2" customFormat="1"/>
    <row r="45122" s="2" customFormat="1"/>
    <row r="45123" s="2" customFormat="1"/>
    <row r="45124" s="2" customFormat="1"/>
    <row r="45125" s="2" customFormat="1"/>
    <row r="45126" s="2" customFormat="1"/>
    <row r="45127" s="2" customFormat="1"/>
    <row r="45128" s="2" customFormat="1"/>
    <row r="45129" s="2" customFormat="1"/>
    <row r="45130" s="2" customFormat="1"/>
    <row r="45131" s="2" customFormat="1"/>
    <row r="45132" s="2" customFormat="1"/>
    <row r="45133" s="2" customFormat="1"/>
    <row r="45134" s="2" customFormat="1"/>
    <row r="45135" s="2" customFormat="1"/>
    <row r="45136" s="2" customFormat="1"/>
    <row r="45137" s="2" customFormat="1"/>
    <row r="45138" s="2" customFormat="1"/>
    <row r="45139" s="2" customFormat="1"/>
    <row r="45140" s="2" customFormat="1"/>
    <row r="45141" s="2" customFormat="1"/>
    <row r="45142" s="2" customFormat="1"/>
    <row r="45143" s="2" customFormat="1"/>
    <row r="45144" s="2" customFormat="1"/>
    <row r="45145" s="2" customFormat="1"/>
    <row r="45146" s="2" customFormat="1"/>
    <row r="45147" s="2" customFormat="1"/>
    <row r="45148" s="2" customFormat="1"/>
    <row r="45149" s="2" customFormat="1"/>
    <row r="45150" s="2" customFormat="1"/>
    <row r="45151" s="2" customFormat="1"/>
    <row r="45152" s="2" customFormat="1"/>
    <row r="45153" s="2" customFormat="1"/>
    <row r="45154" s="2" customFormat="1"/>
    <row r="45155" s="2" customFormat="1"/>
    <row r="45156" s="2" customFormat="1"/>
    <row r="45157" s="2" customFormat="1"/>
    <row r="45158" s="2" customFormat="1"/>
    <row r="45159" s="2" customFormat="1"/>
    <row r="45160" s="2" customFormat="1"/>
    <row r="45161" s="2" customFormat="1"/>
    <row r="45162" s="2" customFormat="1"/>
    <row r="45163" s="2" customFormat="1"/>
    <row r="45164" s="2" customFormat="1"/>
    <row r="45165" s="2" customFormat="1"/>
    <row r="45166" s="2" customFormat="1"/>
    <row r="45167" s="2" customFormat="1"/>
    <row r="45168" s="2" customFormat="1"/>
    <row r="45169" s="2" customFormat="1"/>
    <row r="45170" s="2" customFormat="1"/>
    <row r="45171" s="2" customFormat="1"/>
    <row r="45172" s="2" customFormat="1"/>
    <row r="45173" s="2" customFormat="1"/>
    <row r="45174" s="2" customFormat="1"/>
    <row r="45175" s="2" customFormat="1"/>
    <row r="45176" s="2" customFormat="1"/>
    <row r="45177" s="2" customFormat="1"/>
    <row r="45178" s="2" customFormat="1"/>
    <row r="45179" s="2" customFormat="1"/>
    <row r="45180" s="2" customFormat="1"/>
    <row r="45181" s="2" customFormat="1"/>
    <row r="45182" s="2" customFormat="1"/>
    <row r="45183" s="2" customFormat="1"/>
    <row r="45184" s="2" customFormat="1"/>
    <row r="45185" s="2" customFormat="1"/>
    <row r="45186" s="2" customFormat="1"/>
    <row r="45187" s="2" customFormat="1"/>
    <row r="45188" s="2" customFormat="1"/>
    <row r="45189" s="2" customFormat="1"/>
    <row r="45190" s="2" customFormat="1"/>
    <row r="45191" s="2" customFormat="1"/>
    <row r="45192" s="2" customFormat="1"/>
    <row r="45193" s="2" customFormat="1"/>
    <row r="45194" s="2" customFormat="1"/>
    <row r="45195" s="2" customFormat="1"/>
    <row r="45196" s="2" customFormat="1"/>
    <row r="45197" s="2" customFormat="1"/>
    <row r="45198" s="2" customFormat="1"/>
    <row r="45199" s="2" customFormat="1"/>
    <row r="45200" s="2" customFormat="1"/>
    <row r="45201" s="2" customFormat="1"/>
    <row r="45202" s="2" customFormat="1"/>
    <row r="45203" s="2" customFormat="1"/>
    <row r="45204" s="2" customFormat="1"/>
    <row r="45205" s="2" customFormat="1"/>
    <row r="45206" s="2" customFormat="1"/>
    <row r="45207" s="2" customFormat="1"/>
    <row r="45208" s="2" customFormat="1"/>
    <row r="45209" s="2" customFormat="1"/>
    <row r="45210" s="2" customFormat="1"/>
    <row r="45211" s="2" customFormat="1"/>
    <row r="45212" s="2" customFormat="1"/>
    <row r="45213" s="2" customFormat="1"/>
    <row r="45214" s="2" customFormat="1"/>
    <row r="45215" s="2" customFormat="1"/>
    <row r="45216" s="2" customFormat="1"/>
    <row r="45217" s="2" customFormat="1"/>
    <row r="45218" s="2" customFormat="1"/>
    <row r="45219" s="2" customFormat="1"/>
    <row r="45220" s="2" customFormat="1"/>
    <row r="45221" s="2" customFormat="1"/>
    <row r="45222" s="2" customFormat="1"/>
    <row r="45223" s="2" customFormat="1"/>
    <row r="45224" s="2" customFormat="1"/>
    <row r="45225" s="2" customFormat="1"/>
    <row r="45226" s="2" customFormat="1"/>
    <row r="45227" s="2" customFormat="1"/>
    <row r="45228" s="2" customFormat="1"/>
    <row r="45229" s="2" customFormat="1"/>
    <row r="45230" s="2" customFormat="1"/>
    <row r="45231" s="2" customFormat="1"/>
    <row r="45232" s="2" customFormat="1"/>
    <row r="45233" s="2" customFormat="1"/>
    <row r="45234" s="2" customFormat="1"/>
    <row r="45235" s="2" customFormat="1"/>
    <row r="45236" s="2" customFormat="1"/>
    <row r="45237" s="2" customFormat="1"/>
    <row r="45238" s="2" customFormat="1"/>
    <row r="45239" s="2" customFormat="1"/>
    <row r="45240" s="2" customFormat="1"/>
    <row r="45241" s="2" customFormat="1"/>
    <row r="45242" s="2" customFormat="1"/>
    <row r="45243" s="2" customFormat="1"/>
    <row r="45244" s="2" customFormat="1"/>
    <row r="45245" s="2" customFormat="1"/>
    <row r="45246" s="2" customFormat="1"/>
    <row r="45247" s="2" customFormat="1"/>
    <row r="45248" s="2" customFormat="1"/>
    <row r="45249" s="2" customFormat="1"/>
    <row r="45250" s="2" customFormat="1"/>
    <row r="45251" s="2" customFormat="1"/>
    <row r="45252" s="2" customFormat="1"/>
    <row r="45253" s="2" customFormat="1"/>
    <row r="45254" s="2" customFormat="1"/>
    <row r="45255" s="2" customFormat="1"/>
    <row r="45256" s="2" customFormat="1"/>
    <row r="45257" s="2" customFormat="1"/>
    <row r="45258" s="2" customFormat="1"/>
    <row r="45259" s="2" customFormat="1"/>
    <row r="45260" s="2" customFormat="1"/>
    <row r="45261" s="2" customFormat="1"/>
    <row r="45262" s="2" customFormat="1"/>
    <row r="45263" s="2" customFormat="1"/>
    <row r="45264" s="2" customFormat="1"/>
    <row r="45265" s="2" customFormat="1"/>
    <row r="45266" s="2" customFormat="1"/>
    <row r="45267" s="2" customFormat="1"/>
    <row r="45268" s="2" customFormat="1"/>
    <row r="45269" s="2" customFormat="1"/>
    <row r="45270" s="2" customFormat="1"/>
    <row r="45271" s="2" customFormat="1"/>
    <row r="45272" s="2" customFormat="1"/>
    <row r="45273" s="2" customFormat="1"/>
    <row r="45274" s="2" customFormat="1"/>
    <row r="45275" s="2" customFormat="1"/>
    <row r="45276" s="2" customFormat="1"/>
    <row r="45277" s="2" customFormat="1"/>
    <row r="45278" s="2" customFormat="1"/>
    <row r="45279" s="2" customFormat="1"/>
    <row r="45280" s="2" customFormat="1"/>
    <row r="45281" s="2" customFormat="1"/>
    <row r="45282" s="2" customFormat="1"/>
    <row r="45283" s="2" customFormat="1"/>
    <row r="45284" s="2" customFormat="1"/>
    <row r="45285" s="2" customFormat="1"/>
    <row r="45286" s="2" customFormat="1"/>
    <row r="45287" s="2" customFormat="1"/>
    <row r="45288" s="2" customFormat="1"/>
    <row r="45289" s="2" customFormat="1"/>
    <row r="45290" s="2" customFormat="1"/>
    <row r="45291" s="2" customFormat="1"/>
    <row r="45292" s="2" customFormat="1"/>
    <row r="45293" s="2" customFormat="1"/>
    <row r="45294" s="2" customFormat="1"/>
    <row r="45295" s="2" customFormat="1"/>
    <row r="45296" s="2" customFormat="1"/>
    <row r="45297" s="2" customFormat="1"/>
    <row r="45298" s="2" customFormat="1"/>
    <row r="45299" s="2" customFormat="1"/>
    <row r="45300" s="2" customFormat="1"/>
    <row r="45301" s="2" customFormat="1"/>
    <row r="45302" s="2" customFormat="1"/>
    <row r="45303" s="2" customFormat="1"/>
    <row r="45304" s="2" customFormat="1"/>
    <row r="45305" s="2" customFormat="1"/>
    <row r="45306" s="2" customFormat="1"/>
    <row r="45307" s="2" customFormat="1"/>
    <row r="45308" s="2" customFormat="1"/>
    <row r="45309" s="2" customFormat="1"/>
    <row r="45310" s="2" customFormat="1"/>
    <row r="45311" s="2" customFormat="1"/>
    <row r="45312" s="2" customFormat="1"/>
    <row r="45313" s="2" customFormat="1"/>
    <row r="45314" s="2" customFormat="1"/>
    <row r="45315" s="2" customFormat="1"/>
    <row r="45316" s="2" customFormat="1"/>
    <row r="45317" s="2" customFormat="1"/>
    <row r="45318" s="2" customFormat="1"/>
    <row r="45319" s="2" customFormat="1"/>
    <row r="45320" s="2" customFormat="1"/>
    <row r="45321" s="2" customFormat="1"/>
    <row r="45322" s="2" customFormat="1"/>
    <row r="45323" s="2" customFormat="1"/>
    <row r="45324" s="2" customFormat="1"/>
    <row r="45325" s="2" customFormat="1"/>
    <row r="45326" s="2" customFormat="1"/>
    <row r="45327" s="2" customFormat="1"/>
    <row r="45328" s="2" customFormat="1"/>
    <row r="45329" s="2" customFormat="1"/>
    <row r="45330" s="2" customFormat="1"/>
    <row r="45331" s="2" customFormat="1"/>
    <row r="45332" s="2" customFormat="1"/>
    <row r="45333" s="2" customFormat="1"/>
    <row r="45334" s="2" customFormat="1"/>
    <row r="45335" s="2" customFormat="1"/>
    <row r="45336" s="2" customFormat="1"/>
    <row r="45337" s="2" customFormat="1"/>
    <row r="45338" s="2" customFormat="1"/>
    <row r="45339" s="2" customFormat="1"/>
    <row r="45340" s="2" customFormat="1"/>
    <row r="45341" s="2" customFormat="1"/>
    <row r="45342" s="2" customFormat="1"/>
    <row r="45343" s="2" customFormat="1"/>
    <row r="45344" s="2" customFormat="1"/>
    <row r="45345" s="2" customFormat="1"/>
    <row r="45346" s="2" customFormat="1"/>
    <row r="45347" s="2" customFormat="1"/>
    <row r="45348" s="2" customFormat="1"/>
    <row r="45349" s="2" customFormat="1"/>
    <row r="45350" s="2" customFormat="1"/>
    <row r="45351" s="2" customFormat="1"/>
    <row r="45352" s="2" customFormat="1"/>
    <row r="45353" s="2" customFormat="1"/>
    <row r="45354" s="2" customFormat="1"/>
    <row r="45355" s="2" customFormat="1"/>
    <row r="45356" s="2" customFormat="1"/>
    <row r="45357" s="2" customFormat="1"/>
    <row r="45358" s="2" customFormat="1"/>
    <row r="45359" s="2" customFormat="1"/>
    <row r="45360" s="2" customFormat="1"/>
    <row r="45361" s="2" customFormat="1"/>
    <row r="45362" s="2" customFormat="1"/>
    <row r="45363" s="2" customFormat="1"/>
    <row r="45364" s="2" customFormat="1"/>
    <row r="45365" s="2" customFormat="1"/>
    <row r="45366" s="2" customFormat="1"/>
    <row r="45367" s="2" customFormat="1"/>
    <row r="45368" s="2" customFormat="1"/>
    <row r="45369" s="2" customFormat="1"/>
    <row r="45370" s="2" customFormat="1"/>
    <row r="45371" s="2" customFormat="1"/>
    <row r="45372" s="2" customFormat="1"/>
    <row r="45373" s="2" customFormat="1"/>
    <row r="45374" s="2" customFormat="1"/>
    <row r="45375" s="2" customFormat="1"/>
    <row r="45376" s="2" customFormat="1"/>
    <row r="45377" s="2" customFormat="1"/>
    <row r="45378" s="2" customFormat="1"/>
    <row r="45379" s="2" customFormat="1"/>
    <row r="45380" s="2" customFormat="1"/>
    <row r="45381" s="2" customFormat="1"/>
    <row r="45382" s="2" customFormat="1"/>
    <row r="45383" s="2" customFormat="1"/>
    <row r="45384" s="2" customFormat="1"/>
    <row r="45385" s="2" customFormat="1"/>
    <row r="45386" s="2" customFormat="1"/>
    <row r="45387" s="2" customFormat="1"/>
    <row r="45388" s="2" customFormat="1"/>
    <row r="45389" s="2" customFormat="1"/>
    <row r="45390" s="2" customFormat="1"/>
    <row r="45391" s="2" customFormat="1"/>
    <row r="45392" s="2" customFormat="1"/>
    <row r="45393" s="2" customFormat="1"/>
    <row r="45394" s="2" customFormat="1"/>
    <row r="45395" s="2" customFormat="1"/>
    <row r="45396" s="2" customFormat="1"/>
    <row r="45397" s="2" customFormat="1"/>
    <row r="45398" s="2" customFormat="1"/>
    <row r="45399" s="2" customFormat="1"/>
    <row r="45400" s="2" customFormat="1"/>
    <row r="45401" s="2" customFormat="1"/>
    <row r="45402" s="2" customFormat="1"/>
    <row r="45403" s="2" customFormat="1"/>
    <row r="45404" s="2" customFormat="1"/>
    <row r="45405" s="2" customFormat="1"/>
    <row r="45406" s="2" customFormat="1"/>
    <row r="45407" s="2" customFormat="1"/>
    <row r="45408" s="2" customFormat="1"/>
    <row r="45409" s="2" customFormat="1"/>
    <row r="45410" s="2" customFormat="1"/>
    <row r="45411" s="2" customFormat="1"/>
    <row r="45412" s="2" customFormat="1"/>
    <row r="45413" s="2" customFormat="1"/>
    <row r="45414" s="2" customFormat="1"/>
    <row r="45415" s="2" customFormat="1"/>
    <row r="45416" s="2" customFormat="1"/>
    <row r="45417" s="2" customFormat="1"/>
    <row r="45418" s="2" customFormat="1"/>
    <row r="45419" s="2" customFormat="1"/>
    <row r="45420" s="2" customFormat="1"/>
    <row r="45421" s="2" customFormat="1"/>
    <row r="45422" s="2" customFormat="1"/>
    <row r="45423" s="2" customFormat="1"/>
    <row r="45424" s="2" customFormat="1"/>
    <row r="45425" s="2" customFormat="1"/>
    <row r="45426" s="2" customFormat="1"/>
    <row r="45427" s="2" customFormat="1"/>
    <row r="45428" s="2" customFormat="1"/>
    <row r="45429" s="2" customFormat="1"/>
    <row r="45430" s="2" customFormat="1"/>
    <row r="45431" s="2" customFormat="1"/>
    <row r="45432" s="2" customFormat="1"/>
    <row r="45433" s="2" customFormat="1"/>
    <row r="45434" s="2" customFormat="1"/>
    <row r="45435" s="2" customFormat="1"/>
    <row r="45436" s="2" customFormat="1"/>
    <row r="45437" s="2" customFormat="1"/>
    <row r="45438" s="2" customFormat="1"/>
    <row r="45439" s="2" customFormat="1"/>
    <row r="45440" s="2" customFormat="1"/>
    <row r="45441" s="2" customFormat="1"/>
    <row r="45442" s="2" customFormat="1"/>
    <row r="45443" s="2" customFormat="1"/>
    <row r="45444" s="2" customFormat="1"/>
    <row r="45445" s="2" customFormat="1"/>
    <row r="45446" s="2" customFormat="1"/>
    <row r="45447" s="2" customFormat="1"/>
    <row r="45448" s="2" customFormat="1"/>
    <row r="45449" s="2" customFormat="1"/>
    <row r="45450" s="2" customFormat="1"/>
    <row r="45451" s="2" customFormat="1"/>
    <row r="45452" s="2" customFormat="1"/>
    <row r="45453" s="2" customFormat="1"/>
    <row r="45454" s="2" customFormat="1"/>
    <row r="45455" s="2" customFormat="1"/>
    <row r="45456" s="2" customFormat="1"/>
    <row r="45457" s="2" customFormat="1"/>
    <row r="45458" s="2" customFormat="1"/>
    <row r="45459" s="2" customFormat="1"/>
    <row r="45460" s="2" customFormat="1"/>
    <row r="45461" s="2" customFormat="1"/>
    <row r="45462" s="2" customFormat="1"/>
    <row r="45463" s="2" customFormat="1"/>
    <row r="45464" s="2" customFormat="1"/>
    <row r="45465" s="2" customFormat="1"/>
    <row r="45466" s="2" customFormat="1"/>
    <row r="45467" s="2" customFormat="1"/>
    <row r="45468" s="2" customFormat="1"/>
    <row r="45469" s="2" customFormat="1"/>
    <row r="45470" s="2" customFormat="1"/>
    <row r="45471" s="2" customFormat="1"/>
    <row r="45472" s="2" customFormat="1"/>
    <row r="45473" s="2" customFormat="1"/>
    <row r="45474" s="2" customFormat="1"/>
    <row r="45475" s="2" customFormat="1"/>
    <row r="45476" s="2" customFormat="1"/>
    <row r="45477" s="2" customFormat="1"/>
    <row r="45478" s="2" customFormat="1"/>
    <row r="45479" s="2" customFormat="1"/>
    <row r="45480" s="2" customFormat="1"/>
    <row r="45481" s="2" customFormat="1"/>
    <row r="45482" s="2" customFormat="1"/>
    <row r="45483" s="2" customFormat="1"/>
    <row r="45484" s="2" customFormat="1"/>
    <row r="45485" s="2" customFormat="1"/>
    <row r="45486" s="2" customFormat="1"/>
    <row r="45487" s="2" customFormat="1"/>
    <row r="45488" s="2" customFormat="1"/>
    <row r="45489" s="2" customFormat="1"/>
    <row r="45490" s="2" customFormat="1"/>
    <row r="45491" s="2" customFormat="1"/>
    <row r="45492" s="2" customFormat="1"/>
    <row r="45493" s="2" customFormat="1"/>
    <row r="45494" s="2" customFormat="1"/>
    <row r="45495" s="2" customFormat="1"/>
    <row r="45496" s="2" customFormat="1"/>
    <row r="45497" s="2" customFormat="1"/>
    <row r="45498" s="2" customFormat="1"/>
    <row r="45499" s="2" customFormat="1"/>
    <row r="45500" s="2" customFormat="1"/>
    <row r="45501" s="2" customFormat="1"/>
    <row r="45502" s="2" customFormat="1"/>
    <row r="45503" s="2" customFormat="1"/>
    <row r="45504" s="2" customFormat="1"/>
    <row r="45505" s="2" customFormat="1"/>
    <row r="45506" s="2" customFormat="1"/>
    <row r="45507" s="2" customFormat="1"/>
    <row r="45508" s="2" customFormat="1"/>
    <row r="45509" s="2" customFormat="1"/>
    <row r="45510" s="2" customFormat="1"/>
    <row r="45511" s="2" customFormat="1"/>
    <row r="45512" s="2" customFormat="1"/>
    <row r="45513" s="2" customFormat="1"/>
    <row r="45514" s="2" customFormat="1"/>
    <row r="45515" s="2" customFormat="1"/>
    <row r="45516" s="2" customFormat="1"/>
    <row r="45517" s="2" customFormat="1"/>
    <row r="45518" s="2" customFormat="1"/>
    <row r="45519" s="2" customFormat="1"/>
    <row r="45520" s="2" customFormat="1"/>
    <row r="45521" s="2" customFormat="1"/>
    <row r="45522" s="2" customFormat="1"/>
    <row r="45523" s="2" customFormat="1"/>
    <row r="45524" s="2" customFormat="1"/>
    <row r="45525" s="2" customFormat="1"/>
    <row r="45526" s="2" customFormat="1"/>
    <row r="45527" s="2" customFormat="1"/>
    <row r="45528" s="2" customFormat="1"/>
    <row r="45529" s="2" customFormat="1"/>
    <row r="45530" s="2" customFormat="1"/>
    <row r="45531" s="2" customFormat="1"/>
    <row r="45532" s="2" customFormat="1"/>
    <row r="45533" s="2" customFormat="1"/>
    <row r="45534" s="2" customFormat="1"/>
    <row r="45535" s="2" customFormat="1"/>
    <row r="45536" s="2" customFormat="1"/>
    <row r="45537" s="2" customFormat="1"/>
    <row r="45538" s="2" customFormat="1"/>
    <row r="45539" s="2" customFormat="1"/>
    <row r="45540" s="2" customFormat="1"/>
    <row r="45541" s="2" customFormat="1"/>
    <row r="45542" s="2" customFormat="1"/>
    <row r="45543" s="2" customFormat="1"/>
    <row r="45544" s="2" customFormat="1"/>
    <row r="45545" s="2" customFormat="1"/>
    <row r="45546" s="2" customFormat="1"/>
    <row r="45547" s="2" customFormat="1"/>
    <row r="45548" s="2" customFormat="1"/>
    <row r="45549" s="2" customFormat="1"/>
    <row r="45550" s="2" customFormat="1"/>
    <row r="45551" s="2" customFormat="1"/>
    <row r="45552" s="2" customFormat="1"/>
    <row r="45553" s="2" customFormat="1"/>
    <row r="45554" s="2" customFormat="1"/>
    <row r="45555" s="2" customFormat="1"/>
    <row r="45556" s="2" customFormat="1"/>
    <row r="45557" s="2" customFormat="1"/>
    <row r="45558" s="2" customFormat="1"/>
    <row r="45559" s="2" customFormat="1"/>
    <row r="45560" s="2" customFormat="1"/>
    <row r="45561" s="2" customFormat="1"/>
    <row r="45562" s="2" customFormat="1"/>
    <row r="45563" s="2" customFormat="1"/>
    <row r="45564" s="2" customFormat="1"/>
    <row r="45565" s="2" customFormat="1"/>
    <row r="45566" s="2" customFormat="1"/>
    <row r="45567" s="2" customFormat="1"/>
    <row r="45568" s="2" customFormat="1"/>
    <row r="45569" s="2" customFormat="1"/>
    <row r="45570" s="2" customFormat="1"/>
    <row r="45571" s="2" customFormat="1"/>
    <row r="45572" s="2" customFormat="1"/>
    <row r="45573" s="2" customFormat="1"/>
    <row r="45574" s="2" customFormat="1"/>
    <row r="45575" s="2" customFormat="1"/>
    <row r="45576" s="2" customFormat="1"/>
    <row r="45577" s="2" customFormat="1"/>
    <row r="45578" s="2" customFormat="1"/>
    <row r="45579" s="2" customFormat="1"/>
    <row r="45580" s="2" customFormat="1"/>
    <row r="45581" s="2" customFormat="1"/>
    <row r="45582" s="2" customFormat="1"/>
    <row r="45583" s="2" customFormat="1"/>
    <row r="45584" s="2" customFormat="1"/>
    <row r="45585" s="2" customFormat="1"/>
    <row r="45586" s="2" customFormat="1"/>
    <row r="45587" s="2" customFormat="1"/>
    <row r="45588" s="2" customFormat="1"/>
    <row r="45589" s="2" customFormat="1"/>
    <row r="45590" s="2" customFormat="1"/>
    <row r="45591" s="2" customFormat="1"/>
    <row r="45592" s="2" customFormat="1"/>
    <row r="45593" s="2" customFormat="1"/>
    <row r="45594" s="2" customFormat="1"/>
    <row r="45595" s="2" customFormat="1"/>
    <row r="45596" s="2" customFormat="1"/>
    <row r="45597" s="2" customFormat="1"/>
    <row r="45598" s="2" customFormat="1"/>
    <row r="45599" s="2" customFormat="1"/>
    <row r="45600" s="2" customFormat="1"/>
    <row r="45601" s="2" customFormat="1"/>
    <row r="45602" s="2" customFormat="1"/>
    <row r="45603" s="2" customFormat="1"/>
    <row r="45604" s="2" customFormat="1"/>
    <row r="45605" s="2" customFormat="1"/>
    <row r="45606" s="2" customFormat="1"/>
    <row r="45607" s="2" customFormat="1"/>
    <row r="45608" s="2" customFormat="1"/>
    <row r="45609" s="2" customFormat="1"/>
    <row r="45610" s="2" customFormat="1"/>
    <row r="45611" s="2" customFormat="1"/>
    <row r="45612" s="2" customFormat="1"/>
    <row r="45613" s="2" customFormat="1"/>
    <row r="45614" s="2" customFormat="1"/>
    <row r="45615" s="2" customFormat="1"/>
    <row r="45616" s="2" customFormat="1"/>
    <row r="45617" s="2" customFormat="1"/>
    <row r="45618" s="2" customFormat="1"/>
    <row r="45619" s="2" customFormat="1"/>
    <row r="45620" s="2" customFormat="1"/>
    <row r="45621" s="2" customFormat="1"/>
    <row r="45622" s="2" customFormat="1"/>
    <row r="45623" s="2" customFormat="1"/>
    <row r="45624" s="2" customFormat="1"/>
    <row r="45625" s="2" customFormat="1"/>
    <row r="45626" s="2" customFormat="1"/>
    <row r="45627" s="2" customFormat="1"/>
    <row r="45628" s="2" customFormat="1"/>
    <row r="45629" s="2" customFormat="1"/>
    <row r="45630" s="2" customFormat="1"/>
    <row r="45631" s="2" customFormat="1"/>
    <row r="45632" s="2" customFormat="1"/>
    <row r="45633" s="2" customFormat="1"/>
    <row r="45634" s="2" customFormat="1"/>
    <row r="45635" s="2" customFormat="1"/>
    <row r="45636" s="2" customFormat="1"/>
    <row r="45637" s="2" customFormat="1"/>
    <row r="45638" s="2" customFormat="1"/>
    <row r="45639" s="2" customFormat="1"/>
    <row r="45640" s="2" customFormat="1"/>
    <row r="45641" s="2" customFormat="1"/>
    <row r="45642" s="2" customFormat="1"/>
    <row r="45643" s="2" customFormat="1"/>
    <row r="45644" s="2" customFormat="1"/>
    <row r="45645" s="2" customFormat="1"/>
    <row r="45646" s="2" customFormat="1"/>
    <row r="45647" s="2" customFormat="1"/>
    <row r="45648" s="2" customFormat="1"/>
    <row r="45649" s="2" customFormat="1"/>
    <row r="45650" s="2" customFormat="1"/>
    <row r="45651" s="2" customFormat="1"/>
    <row r="45652" s="2" customFormat="1"/>
    <row r="45653" s="2" customFormat="1"/>
    <row r="45654" s="2" customFormat="1"/>
    <row r="45655" s="2" customFormat="1"/>
    <row r="45656" s="2" customFormat="1"/>
    <row r="45657" s="2" customFormat="1"/>
    <row r="45658" s="2" customFormat="1"/>
    <row r="45659" s="2" customFormat="1"/>
    <row r="45660" s="2" customFormat="1"/>
    <row r="45661" s="2" customFormat="1"/>
    <row r="45662" s="2" customFormat="1"/>
    <row r="45663" s="2" customFormat="1"/>
    <row r="45664" s="2" customFormat="1"/>
    <row r="45665" s="2" customFormat="1"/>
    <row r="45666" s="2" customFormat="1"/>
    <row r="45667" s="2" customFormat="1"/>
    <row r="45668" s="2" customFormat="1"/>
    <row r="45669" s="2" customFormat="1"/>
    <row r="45670" s="2" customFormat="1"/>
    <row r="45671" s="2" customFormat="1"/>
    <row r="45672" s="2" customFormat="1"/>
    <row r="45673" s="2" customFormat="1"/>
    <row r="45674" s="2" customFormat="1"/>
    <row r="45675" s="2" customFormat="1"/>
    <row r="45676" s="2" customFormat="1"/>
    <row r="45677" s="2" customFormat="1"/>
    <row r="45678" s="2" customFormat="1"/>
    <row r="45679" s="2" customFormat="1"/>
    <row r="45680" s="2" customFormat="1"/>
    <row r="45681" s="2" customFormat="1"/>
    <row r="45682" s="2" customFormat="1"/>
    <row r="45683" s="2" customFormat="1"/>
    <row r="45684" s="2" customFormat="1"/>
    <row r="45685" s="2" customFormat="1"/>
    <row r="45686" s="2" customFormat="1"/>
    <row r="45687" s="2" customFormat="1"/>
    <row r="45688" s="2" customFormat="1"/>
    <row r="45689" s="2" customFormat="1"/>
    <row r="45690" s="2" customFormat="1"/>
    <row r="45691" s="2" customFormat="1"/>
    <row r="45692" s="2" customFormat="1"/>
    <row r="45693" s="2" customFormat="1"/>
    <row r="45694" s="2" customFormat="1"/>
    <row r="45695" s="2" customFormat="1"/>
    <row r="45696" s="2" customFormat="1"/>
    <row r="45697" s="2" customFormat="1"/>
    <row r="45698" s="2" customFormat="1"/>
    <row r="45699" s="2" customFormat="1"/>
    <row r="45700" s="2" customFormat="1"/>
    <row r="45701" s="2" customFormat="1"/>
    <row r="45702" s="2" customFormat="1"/>
    <row r="45703" s="2" customFormat="1"/>
    <row r="45704" s="2" customFormat="1"/>
    <row r="45705" s="2" customFormat="1"/>
    <row r="45706" s="2" customFormat="1"/>
    <row r="45707" s="2" customFormat="1"/>
    <row r="45708" s="2" customFormat="1"/>
    <row r="45709" s="2" customFormat="1"/>
    <row r="45710" s="2" customFormat="1"/>
    <row r="45711" s="2" customFormat="1"/>
    <row r="45712" s="2" customFormat="1"/>
    <row r="45713" s="2" customFormat="1"/>
    <row r="45714" s="2" customFormat="1"/>
    <row r="45715" s="2" customFormat="1"/>
    <row r="45716" s="2" customFormat="1"/>
    <row r="45717" s="2" customFormat="1"/>
    <row r="45718" s="2" customFormat="1"/>
    <row r="45719" s="2" customFormat="1"/>
    <row r="45720" s="2" customFormat="1"/>
    <row r="45721" s="2" customFormat="1"/>
    <row r="45722" s="2" customFormat="1"/>
    <row r="45723" s="2" customFormat="1"/>
    <row r="45724" s="2" customFormat="1"/>
    <row r="45725" s="2" customFormat="1"/>
    <row r="45726" s="2" customFormat="1"/>
    <row r="45727" s="2" customFormat="1"/>
    <row r="45728" s="2" customFormat="1"/>
    <row r="45729" s="2" customFormat="1"/>
    <row r="45730" s="2" customFormat="1"/>
    <row r="45731" s="2" customFormat="1"/>
    <row r="45732" s="2" customFormat="1"/>
    <row r="45733" s="2" customFormat="1"/>
    <row r="45734" s="2" customFormat="1"/>
    <row r="45735" s="2" customFormat="1"/>
    <row r="45736" s="2" customFormat="1"/>
    <row r="45737" s="2" customFormat="1"/>
    <row r="45738" s="2" customFormat="1"/>
    <row r="45739" s="2" customFormat="1"/>
    <row r="45740" s="2" customFormat="1"/>
    <row r="45741" s="2" customFormat="1"/>
    <row r="45742" s="2" customFormat="1"/>
    <row r="45743" s="2" customFormat="1"/>
    <row r="45744" s="2" customFormat="1"/>
    <row r="45745" s="2" customFormat="1"/>
    <row r="45746" s="2" customFormat="1"/>
    <row r="45747" s="2" customFormat="1"/>
    <row r="45748" s="2" customFormat="1"/>
    <row r="45749" s="2" customFormat="1"/>
    <row r="45750" s="2" customFormat="1"/>
    <row r="45751" s="2" customFormat="1"/>
    <row r="45752" s="2" customFormat="1"/>
    <row r="45753" s="2" customFormat="1"/>
    <row r="45754" s="2" customFormat="1"/>
    <row r="45755" s="2" customFormat="1"/>
    <row r="45756" s="2" customFormat="1"/>
    <row r="45757" s="2" customFormat="1"/>
    <row r="45758" s="2" customFormat="1"/>
    <row r="45759" s="2" customFormat="1"/>
    <row r="45760" s="2" customFormat="1"/>
    <row r="45761" s="2" customFormat="1"/>
    <row r="45762" s="2" customFormat="1"/>
    <row r="45763" s="2" customFormat="1"/>
    <row r="45764" s="2" customFormat="1"/>
    <row r="45765" s="2" customFormat="1"/>
    <row r="45766" s="2" customFormat="1"/>
    <row r="45767" s="2" customFormat="1"/>
    <row r="45768" s="2" customFormat="1"/>
    <row r="45769" s="2" customFormat="1"/>
    <row r="45770" s="2" customFormat="1"/>
    <row r="45771" s="2" customFormat="1"/>
    <row r="45772" s="2" customFormat="1"/>
    <row r="45773" s="2" customFormat="1"/>
    <row r="45774" s="2" customFormat="1"/>
    <row r="45775" s="2" customFormat="1"/>
    <row r="45776" s="2" customFormat="1"/>
    <row r="45777" s="2" customFormat="1"/>
    <row r="45778" s="2" customFormat="1"/>
    <row r="45779" s="2" customFormat="1"/>
    <row r="45780" s="2" customFormat="1"/>
    <row r="45781" s="2" customFormat="1"/>
    <row r="45782" s="2" customFormat="1"/>
    <row r="45783" s="2" customFormat="1"/>
    <row r="45784" s="2" customFormat="1"/>
    <row r="45785" s="2" customFormat="1"/>
    <row r="45786" s="2" customFormat="1"/>
    <row r="45787" s="2" customFormat="1"/>
    <row r="45788" s="2" customFormat="1"/>
    <row r="45789" s="2" customFormat="1"/>
    <row r="45790" s="2" customFormat="1"/>
    <row r="45791" s="2" customFormat="1"/>
    <row r="45792" s="2" customFormat="1"/>
    <row r="45793" s="2" customFormat="1"/>
    <row r="45794" s="2" customFormat="1"/>
    <row r="45795" s="2" customFormat="1"/>
    <row r="45796" s="2" customFormat="1"/>
    <row r="45797" s="2" customFormat="1"/>
    <row r="45798" s="2" customFormat="1"/>
    <row r="45799" s="2" customFormat="1"/>
    <row r="45800" s="2" customFormat="1"/>
    <row r="45801" s="2" customFormat="1"/>
    <row r="45802" s="2" customFormat="1"/>
    <row r="45803" s="2" customFormat="1"/>
    <row r="45804" s="2" customFormat="1"/>
    <row r="45805" s="2" customFormat="1"/>
    <row r="45806" s="2" customFormat="1"/>
    <row r="45807" s="2" customFormat="1"/>
    <row r="45808" s="2" customFormat="1"/>
    <row r="45809" s="2" customFormat="1"/>
    <row r="45810" s="2" customFormat="1"/>
    <row r="45811" s="2" customFormat="1"/>
    <row r="45812" s="2" customFormat="1"/>
    <row r="45813" s="2" customFormat="1"/>
    <row r="45814" s="2" customFormat="1"/>
    <row r="45815" s="2" customFormat="1"/>
    <row r="45816" s="2" customFormat="1"/>
    <row r="45817" s="2" customFormat="1"/>
    <row r="45818" s="2" customFormat="1"/>
    <row r="45819" s="2" customFormat="1"/>
    <row r="45820" s="2" customFormat="1"/>
    <row r="45821" s="2" customFormat="1"/>
    <row r="45822" s="2" customFormat="1"/>
    <row r="45823" s="2" customFormat="1"/>
    <row r="45824" s="2" customFormat="1"/>
    <row r="45825" s="2" customFormat="1"/>
    <row r="45826" s="2" customFormat="1"/>
    <row r="45827" s="2" customFormat="1"/>
    <row r="45828" s="2" customFormat="1"/>
    <row r="45829" s="2" customFormat="1"/>
    <row r="45830" s="2" customFormat="1"/>
    <row r="45831" s="2" customFormat="1"/>
    <row r="45832" s="2" customFormat="1"/>
    <row r="45833" s="2" customFormat="1"/>
    <row r="45834" s="2" customFormat="1"/>
    <row r="45835" s="2" customFormat="1"/>
    <row r="45836" s="2" customFormat="1"/>
    <row r="45837" s="2" customFormat="1"/>
    <row r="45838" s="2" customFormat="1"/>
    <row r="45839" s="2" customFormat="1"/>
    <row r="45840" s="2" customFormat="1"/>
    <row r="45841" s="2" customFormat="1"/>
    <row r="45842" s="2" customFormat="1"/>
    <row r="45843" s="2" customFormat="1"/>
    <row r="45844" s="2" customFormat="1"/>
    <row r="45845" s="2" customFormat="1"/>
    <row r="45846" s="2" customFormat="1"/>
    <row r="45847" s="2" customFormat="1"/>
    <row r="45848" s="2" customFormat="1"/>
    <row r="45849" s="2" customFormat="1"/>
    <row r="45850" s="2" customFormat="1"/>
    <row r="45851" s="2" customFormat="1"/>
    <row r="45852" s="2" customFormat="1"/>
    <row r="45853" s="2" customFormat="1"/>
    <row r="45854" s="2" customFormat="1"/>
    <row r="45855" s="2" customFormat="1"/>
    <row r="45856" s="2" customFormat="1"/>
    <row r="45857" s="2" customFormat="1"/>
    <row r="45858" s="2" customFormat="1"/>
    <row r="45859" s="2" customFormat="1"/>
    <row r="45860" s="2" customFormat="1"/>
    <row r="45861" s="2" customFormat="1"/>
    <row r="45862" s="2" customFormat="1"/>
    <row r="45863" s="2" customFormat="1"/>
    <row r="45864" s="2" customFormat="1"/>
    <row r="45865" s="2" customFormat="1"/>
    <row r="45866" s="2" customFormat="1"/>
    <row r="45867" s="2" customFormat="1"/>
    <row r="45868" s="2" customFormat="1"/>
    <row r="45869" s="2" customFormat="1"/>
    <row r="45870" s="2" customFormat="1"/>
    <row r="45871" s="2" customFormat="1"/>
    <row r="45872" s="2" customFormat="1"/>
    <row r="45873" s="2" customFormat="1"/>
    <row r="45874" s="2" customFormat="1"/>
    <row r="45875" s="2" customFormat="1"/>
    <row r="45876" s="2" customFormat="1"/>
    <row r="45877" s="2" customFormat="1"/>
    <row r="45878" s="2" customFormat="1"/>
    <row r="45879" s="2" customFormat="1"/>
    <row r="45880" s="2" customFormat="1"/>
    <row r="45881" s="2" customFormat="1"/>
    <row r="45882" s="2" customFormat="1"/>
    <row r="45883" s="2" customFormat="1"/>
    <row r="45884" s="2" customFormat="1"/>
    <row r="45885" s="2" customFormat="1"/>
    <row r="45886" s="2" customFormat="1"/>
    <row r="45887" s="2" customFormat="1"/>
    <row r="45888" s="2" customFormat="1"/>
    <row r="45889" s="2" customFormat="1"/>
    <row r="45890" s="2" customFormat="1"/>
    <row r="45891" s="2" customFormat="1"/>
    <row r="45892" s="2" customFormat="1"/>
    <row r="45893" s="2" customFormat="1"/>
    <row r="45894" s="2" customFormat="1"/>
    <row r="45895" s="2" customFormat="1"/>
    <row r="45896" s="2" customFormat="1"/>
    <row r="45897" s="2" customFormat="1"/>
    <row r="45898" s="2" customFormat="1"/>
    <row r="45899" s="2" customFormat="1"/>
    <row r="45900" s="2" customFormat="1"/>
    <row r="45901" s="2" customFormat="1"/>
    <row r="45902" s="2" customFormat="1"/>
    <row r="45903" s="2" customFormat="1"/>
    <row r="45904" s="2" customFormat="1"/>
    <row r="45905" s="2" customFormat="1"/>
    <row r="45906" s="2" customFormat="1"/>
    <row r="45907" s="2" customFormat="1"/>
    <row r="45908" s="2" customFormat="1"/>
    <row r="45909" s="2" customFormat="1"/>
    <row r="45910" s="2" customFormat="1"/>
    <row r="45911" s="2" customFormat="1"/>
    <row r="45912" s="2" customFormat="1"/>
    <row r="45913" s="2" customFormat="1"/>
    <row r="45914" s="2" customFormat="1"/>
    <row r="45915" s="2" customFormat="1"/>
    <row r="45916" s="2" customFormat="1"/>
    <row r="45917" s="2" customFormat="1"/>
    <row r="45918" s="2" customFormat="1"/>
    <row r="45919" s="2" customFormat="1"/>
    <row r="45920" s="2" customFormat="1"/>
    <row r="45921" s="2" customFormat="1"/>
    <row r="45922" s="2" customFormat="1"/>
    <row r="45923" s="2" customFormat="1"/>
    <row r="45924" s="2" customFormat="1"/>
    <row r="45925" s="2" customFormat="1"/>
    <row r="45926" s="2" customFormat="1"/>
    <row r="45927" s="2" customFormat="1"/>
    <row r="45928" s="2" customFormat="1"/>
    <row r="45929" s="2" customFormat="1"/>
    <row r="45930" s="2" customFormat="1"/>
    <row r="45931" s="2" customFormat="1"/>
    <row r="45932" s="2" customFormat="1"/>
    <row r="45933" s="2" customFormat="1"/>
    <row r="45934" s="2" customFormat="1"/>
    <row r="45935" s="2" customFormat="1"/>
    <row r="45936" s="2" customFormat="1"/>
    <row r="45937" s="2" customFormat="1"/>
    <row r="45938" s="2" customFormat="1"/>
    <row r="45939" s="2" customFormat="1"/>
    <row r="45940" s="2" customFormat="1"/>
    <row r="45941" s="2" customFormat="1"/>
    <row r="45942" s="2" customFormat="1"/>
    <row r="45943" s="2" customFormat="1"/>
    <row r="45944" s="2" customFormat="1"/>
    <row r="45945" s="2" customFormat="1"/>
    <row r="45946" s="2" customFormat="1"/>
    <row r="45947" s="2" customFormat="1"/>
    <row r="45948" s="2" customFormat="1"/>
    <row r="45949" s="2" customFormat="1"/>
    <row r="45950" s="2" customFormat="1"/>
    <row r="45951" s="2" customFormat="1"/>
    <row r="45952" s="2" customFormat="1"/>
    <row r="45953" s="2" customFormat="1"/>
    <row r="45954" s="2" customFormat="1"/>
    <row r="45955" s="2" customFormat="1"/>
    <row r="45956" s="2" customFormat="1"/>
    <row r="45957" s="2" customFormat="1"/>
    <row r="45958" s="2" customFormat="1"/>
    <row r="45959" s="2" customFormat="1"/>
    <row r="45960" s="2" customFormat="1"/>
    <row r="45961" s="2" customFormat="1"/>
    <row r="45962" s="2" customFormat="1"/>
    <row r="45963" s="2" customFormat="1"/>
    <row r="45964" s="2" customFormat="1"/>
    <row r="45965" s="2" customFormat="1"/>
    <row r="45966" s="2" customFormat="1"/>
    <row r="45967" s="2" customFormat="1"/>
    <row r="45968" s="2" customFormat="1"/>
    <row r="45969" s="2" customFormat="1"/>
    <row r="45970" s="2" customFormat="1"/>
    <row r="45971" s="2" customFormat="1"/>
    <row r="45972" s="2" customFormat="1"/>
    <row r="45973" s="2" customFormat="1"/>
    <row r="45974" s="2" customFormat="1"/>
    <row r="45975" s="2" customFormat="1"/>
    <row r="45976" s="2" customFormat="1"/>
    <row r="45977" s="2" customFormat="1"/>
    <row r="45978" s="2" customFormat="1"/>
    <row r="45979" s="2" customFormat="1"/>
    <row r="45980" s="2" customFormat="1"/>
    <row r="45981" s="2" customFormat="1"/>
    <row r="45982" s="2" customFormat="1"/>
    <row r="45983" s="2" customFormat="1"/>
    <row r="45984" s="2" customFormat="1"/>
    <row r="45985" s="2" customFormat="1"/>
    <row r="45986" s="2" customFormat="1"/>
    <row r="45987" s="2" customFormat="1"/>
    <row r="45988" s="2" customFormat="1"/>
    <row r="45989" s="2" customFormat="1"/>
    <row r="45990" s="2" customFormat="1"/>
    <row r="45991" s="2" customFormat="1"/>
    <row r="45992" s="2" customFormat="1"/>
    <row r="45993" s="2" customFormat="1"/>
    <row r="45994" s="2" customFormat="1"/>
    <row r="45995" s="2" customFormat="1"/>
    <row r="45996" s="2" customFormat="1"/>
    <row r="45997" s="2" customFormat="1"/>
    <row r="45998" s="2" customFormat="1"/>
    <row r="45999" s="2" customFormat="1"/>
    <row r="46000" s="2" customFormat="1"/>
    <row r="46001" s="2" customFormat="1"/>
    <row r="46002" s="2" customFormat="1"/>
    <row r="46003" s="2" customFormat="1"/>
    <row r="46004" s="2" customFormat="1"/>
    <row r="46005" s="2" customFormat="1"/>
    <row r="46006" s="2" customFormat="1"/>
    <row r="46007" s="2" customFormat="1"/>
    <row r="46008" s="2" customFormat="1"/>
    <row r="46009" s="2" customFormat="1"/>
    <row r="46010" s="2" customFormat="1"/>
    <row r="46011" s="2" customFormat="1"/>
    <row r="46012" s="2" customFormat="1"/>
    <row r="46013" s="2" customFormat="1"/>
    <row r="46014" s="2" customFormat="1"/>
    <row r="46015" s="2" customFormat="1"/>
    <row r="46016" s="2" customFormat="1"/>
    <row r="46017" s="2" customFormat="1"/>
    <row r="46018" s="2" customFormat="1"/>
    <row r="46019" s="2" customFormat="1"/>
    <row r="46020" s="2" customFormat="1"/>
    <row r="46021" s="2" customFormat="1"/>
    <row r="46022" s="2" customFormat="1"/>
    <row r="46023" s="2" customFormat="1"/>
    <row r="46024" s="2" customFormat="1"/>
    <row r="46025" s="2" customFormat="1"/>
    <row r="46026" s="2" customFormat="1"/>
    <row r="46027" s="2" customFormat="1"/>
    <row r="46028" s="2" customFormat="1"/>
    <row r="46029" s="2" customFormat="1"/>
    <row r="46030" s="2" customFormat="1"/>
    <row r="46031" s="2" customFormat="1"/>
    <row r="46032" s="2" customFormat="1"/>
    <row r="46033" s="2" customFormat="1"/>
    <row r="46034" s="2" customFormat="1"/>
    <row r="46035" s="2" customFormat="1"/>
    <row r="46036" s="2" customFormat="1"/>
    <row r="46037" s="2" customFormat="1"/>
    <row r="46038" s="2" customFormat="1"/>
    <row r="46039" s="2" customFormat="1"/>
    <row r="46040" s="2" customFormat="1"/>
    <row r="46041" s="2" customFormat="1"/>
    <row r="46042" s="2" customFormat="1"/>
    <row r="46043" s="2" customFormat="1"/>
    <row r="46044" s="2" customFormat="1"/>
    <row r="46045" s="2" customFormat="1"/>
    <row r="46046" s="2" customFormat="1"/>
    <row r="46047" s="2" customFormat="1"/>
    <row r="46048" s="2" customFormat="1"/>
    <row r="46049" s="2" customFormat="1"/>
    <row r="46050" s="2" customFormat="1"/>
    <row r="46051" s="2" customFormat="1"/>
    <row r="46052" s="2" customFormat="1"/>
    <row r="46053" s="2" customFormat="1"/>
    <row r="46054" s="2" customFormat="1"/>
    <row r="46055" s="2" customFormat="1"/>
    <row r="46056" s="2" customFormat="1"/>
    <row r="46057" s="2" customFormat="1"/>
    <row r="46058" s="2" customFormat="1"/>
    <row r="46059" s="2" customFormat="1"/>
    <row r="46060" s="2" customFormat="1"/>
    <row r="46061" s="2" customFormat="1"/>
    <row r="46062" s="2" customFormat="1"/>
    <row r="46063" s="2" customFormat="1"/>
    <row r="46064" s="2" customFormat="1"/>
    <row r="46065" s="2" customFormat="1"/>
    <row r="46066" s="2" customFormat="1"/>
    <row r="46067" s="2" customFormat="1"/>
    <row r="46068" s="2" customFormat="1"/>
    <row r="46069" s="2" customFormat="1"/>
    <row r="46070" s="2" customFormat="1"/>
    <row r="46071" s="2" customFormat="1"/>
    <row r="46072" s="2" customFormat="1"/>
    <row r="46073" s="2" customFormat="1"/>
    <row r="46074" s="2" customFormat="1"/>
    <row r="46075" s="2" customFormat="1"/>
    <row r="46076" s="2" customFormat="1"/>
    <row r="46077" s="2" customFormat="1"/>
    <row r="46078" s="2" customFormat="1"/>
    <row r="46079" s="2" customFormat="1"/>
    <row r="46080" s="2" customFormat="1"/>
    <row r="46081" s="2" customFormat="1"/>
    <row r="46082" s="2" customFormat="1"/>
    <row r="46083" s="2" customFormat="1"/>
    <row r="46084" s="2" customFormat="1"/>
    <row r="46085" s="2" customFormat="1"/>
    <row r="46086" s="2" customFormat="1"/>
    <row r="46087" s="2" customFormat="1"/>
    <row r="46088" s="2" customFormat="1"/>
    <row r="46089" s="2" customFormat="1"/>
    <row r="46090" s="2" customFormat="1"/>
    <row r="46091" s="2" customFormat="1"/>
    <row r="46092" s="2" customFormat="1"/>
    <row r="46093" s="2" customFormat="1"/>
    <row r="46094" s="2" customFormat="1"/>
    <row r="46095" s="2" customFormat="1"/>
    <row r="46096" s="2" customFormat="1"/>
    <row r="46097" s="2" customFormat="1"/>
    <row r="46098" s="2" customFormat="1"/>
    <row r="46099" s="2" customFormat="1"/>
    <row r="46100" s="2" customFormat="1"/>
    <row r="46101" s="2" customFormat="1"/>
    <row r="46102" s="2" customFormat="1"/>
    <row r="46103" s="2" customFormat="1"/>
    <row r="46104" s="2" customFormat="1"/>
    <row r="46105" s="2" customFormat="1"/>
    <row r="46106" s="2" customFormat="1"/>
    <row r="46107" s="2" customFormat="1"/>
    <row r="46108" s="2" customFormat="1"/>
    <row r="46109" s="2" customFormat="1"/>
    <row r="46110" s="2" customFormat="1"/>
    <row r="46111" s="2" customFormat="1"/>
    <row r="46112" s="2" customFormat="1"/>
    <row r="46113" s="2" customFormat="1"/>
    <row r="46114" s="2" customFormat="1"/>
    <row r="46115" s="2" customFormat="1"/>
    <row r="46116" s="2" customFormat="1"/>
    <row r="46117" s="2" customFormat="1"/>
    <row r="46118" s="2" customFormat="1"/>
    <row r="46119" s="2" customFormat="1"/>
    <row r="46120" s="2" customFormat="1"/>
    <row r="46121" s="2" customFormat="1"/>
    <row r="46122" s="2" customFormat="1"/>
    <row r="46123" s="2" customFormat="1"/>
    <row r="46124" s="2" customFormat="1"/>
    <row r="46125" s="2" customFormat="1"/>
    <row r="46126" s="2" customFormat="1"/>
    <row r="46127" s="2" customFormat="1"/>
    <row r="46128" s="2" customFormat="1"/>
    <row r="46129" s="2" customFormat="1"/>
    <row r="46130" s="2" customFormat="1"/>
    <row r="46131" s="2" customFormat="1"/>
    <row r="46132" s="2" customFormat="1"/>
    <row r="46133" s="2" customFormat="1"/>
    <row r="46134" s="2" customFormat="1"/>
    <row r="46135" s="2" customFormat="1"/>
    <row r="46136" s="2" customFormat="1"/>
    <row r="46137" s="2" customFormat="1"/>
    <row r="46138" s="2" customFormat="1"/>
    <row r="46139" s="2" customFormat="1"/>
    <row r="46140" s="2" customFormat="1"/>
    <row r="46141" s="2" customFormat="1"/>
    <row r="46142" s="2" customFormat="1"/>
    <row r="46143" s="2" customFormat="1"/>
    <row r="46144" s="2" customFormat="1"/>
    <row r="46145" s="2" customFormat="1"/>
    <row r="46146" s="2" customFormat="1"/>
    <row r="46147" s="2" customFormat="1"/>
    <row r="46148" s="2" customFormat="1"/>
    <row r="46149" s="2" customFormat="1"/>
    <row r="46150" s="2" customFormat="1"/>
    <row r="46151" s="2" customFormat="1"/>
    <row r="46152" s="2" customFormat="1"/>
    <row r="46153" s="2" customFormat="1"/>
    <row r="46154" s="2" customFormat="1"/>
    <row r="46155" s="2" customFormat="1"/>
    <row r="46156" s="2" customFormat="1"/>
    <row r="46157" s="2" customFormat="1"/>
    <row r="46158" s="2" customFormat="1"/>
    <row r="46159" s="2" customFormat="1"/>
    <row r="46160" s="2" customFormat="1"/>
    <row r="46161" s="2" customFormat="1"/>
    <row r="46162" s="2" customFormat="1"/>
    <row r="46163" s="2" customFormat="1"/>
    <row r="46164" s="2" customFormat="1"/>
    <row r="46165" s="2" customFormat="1"/>
    <row r="46166" s="2" customFormat="1"/>
    <row r="46167" s="2" customFormat="1"/>
    <row r="46168" s="2" customFormat="1"/>
    <row r="46169" s="2" customFormat="1"/>
    <row r="46170" s="2" customFormat="1"/>
    <row r="46171" s="2" customFormat="1"/>
    <row r="46172" s="2" customFormat="1"/>
    <row r="46173" s="2" customFormat="1"/>
    <row r="46174" s="2" customFormat="1"/>
    <row r="46175" s="2" customFormat="1"/>
    <row r="46176" s="2" customFormat="1"/>
    <row r="46177" s="2" customFormat="1"/>
    <row r="46178" s="2" customFormat="1"/>
    <row r="46179" s="2" customFormat="1"/>
    <row r="46180" s="2" customFormat="1"/>
    <row r="46181" s="2" customFormat="1"/>
    <row r="46182" s="2" customFormat="1"/>
    <row r="46183" s="2" customFormat="1"/>
    <row r="46184" s="2" customFormat="1"/>
    <row r="46185" s="2" customFormat="1"/>
    <row r="46186" s="2" customFormat="1"/>
    <row r="46187" s="2" customFormat="1"/>
    <row r="46188" s="2" customFormat="1"/>
    <row r="46189" s="2" customFormat="1"/>
    <row r="46190" s="2" customFormat="1"/>
    <row r="46191" s="2" customFormat="1"/>
    <row r="46192" s="2" customFormat="1"/>
    <row r="46193" s="2" customFormat="1"/>
    <row r="46194" s="2" customFormat="1"/>
    <row r="46195" s="2" customFormat="1"/>
    <row r="46196" s="2" customFormat="1"/>
    <row r="46197" s="2" customFormat="1"/>
    <row r="46198" s="2" customFormat="1"/>
    <row r="46199" s="2" customFormat="1"/>
    <row r="46200" s="2" customFormat="1"/>
    <row r="46201" s="2" customFormat="1"/>
    <row r="46202" s="2" customFormat="1"/>
    <row r="46203" s="2" customFormat="1"/>
    <row r="46204" s="2" customFormat="1"/>
    <row r="46205" s="2" customFormat="1"/>
    <row r="46206" s="2" customFormat="1"/>
    <row r="46207" s="2" customFormat="1"/>
    <row r="46208" s="2" customFormat="1"/>
    <row r="46209" s="2" customFormat="1"/>
    <row r="46210" s="2" customFormat="1"/>
    <row r="46211" s="2" customFormat="1"/>
    <row r="46212" s="2" customFormat="1"/>
    <row r="46213" s="2" customFormat="1"/>
    <row r="46214" s="2" customFormat="1"/>
    <row r="46215" s="2" customFormat="1"/>
    <row r="46216" s="2" customFormat="1"/>
    <row r="46217" s="2" customFormat="1"/>
    <row r="46218" s="2" customFormat="1"/>
    <row r="46219" s="2" customFormat="1"/>
    <row r="46220" s="2" customFormat="1"/>
    <row r="46221" s="2" customFormat="1"/>
    <row r="46222" s="2" customFormat="1"/>
    <row r="46223" s="2" customFormat="1"/>
    <row r="46224" s="2" customFormat="1"/>
    <row r="46225" s="2" customFormat="1"/>
    <row r="46226" s="2" customFormat="1"/>
    <row r="46227" s="2" customFormat="1"/>
    <row r="46228" s="2" customFormat="1"/>
    <row r="46229" s="2" customFormat="1"/>
    <row r="46230" s="2" customFormat="1"/>
    <row r="46231" s="2" customFormat="1"/>
    <row r="46232" s="2" customFormat="1"/>
    <row r="46233" s="2" customFormat="1"/>
    <row r="46234" s="2" customFormat="1"/>
    <row r="46235" s="2" customFormat="1"/>
    <row r="46236" s="2" customFormat="1"/>
    <row r="46237" s="2" customFormat="1"/>
    <row r="46238" s="2" customFormat="1"/>
    <row r="46239" s="2" customFormat="1"/>
    <row r="46240" s="2" customFormat="1"/>
    <row r="46241" s="2" customFormat="1"/>
    <row r="46242" s="2" customFormat="1"/>
    <row r="46243" s="2" customFormat="1"/>
    <row r="46244" s="2" customFormat="1"/>
    <row r="46245" s="2" customFormat="1"/>
    <row r="46246" s="2" customFormat="1"/>
    <row r="46247" s="2" customFormat="1"/>
    <row r="46248" s="2" customFormat="1"/>
    <row r="46249" s="2" customFormat="1"/>
    <row r="46250" s="2" customFormat="1"/>
    <row r="46251" s="2" customFormat="1"/>
    <row r="46252" s="2" customFormat="1"/>
    <row r="46253" s="2" customFormat="1"/>
    <row r="46254" s="2" customFormat="1"/>
    <row r="46255" s="2" customFormat="1"/>
    <row r="46256" s="2" customFormat="1"/>
    <row r="46257" s="2" customFormat="1"/>
    <row r="46258" s="2" customFormat="1"/>
    <row r="46259" s="2" customFormat="1"/>
    <row r="46260" s="2" customFormat="1"/>
    <row r="46261" s="2" customFormat="1"/>
    <row r="46262" s="2" customFormat="1"/>
    <row r="46263" s="2" customFormat="1"/>
    <row r="46264" s="2" customFormat="1"/>
    <row r="46265" s="2" customFormat="1"/>
    <row r="46266" s="2" customFormat="1"/>
    <row r="46267" s="2" customFormat="1"/>
    <row r="46268" s="2" customFormat="1"/>
    <row r="46269" s="2" customFormat="1"/>
    <row r="46270" s="2" customFormat="1"/>
    <row r="46271" s="2" customFormat="1"/>
    <row r="46272" s="2" customFormat="1"/>
    <row r="46273" s="2" customFormat="1"/>
    <row r="46274" s="2" customFormat="1"/>
    <row r="46275" s="2" customFormat="1"/>
    <row r="46276" s="2" customFormat="1"/>
    <row r="46277" s="2" customFormat="1"/>
    <row r="46278" s="2" customFormat="1"/>
    <row r="46279" s="2" customFormat="1"/>
    <row r="46280" s="2" customFormat="1"/>
    <row r="46281" s="2" customFormat="1"/>
    <row r="46282" s="2" customFormat="1"/>
    <row r="46283" s="2" customFormat="1"/>
    <row r="46284" s="2" customFormat="1"/>
    <row r="46285" s="2" customFormat="1"/>
    <row r="46286" s="2" customFormat="1"/>
    <row r="46287" s="2" customFormat="1"/>
    <row r="46288" s="2" customFormat="1"/>
    <row r="46289" s="2" customFormat="1"/>
    <row r="46290" s="2" customFormat="1"/>
    <row r="46291" s="2" customFormat="1"/>
    <row r="46292" s="2" customFormat="1"/>
    <row r="46293" s="2" customFormat="1"/>
    <row r="46294" s="2" customFormat="1"/>
    <row r="46295" s="2" customFormat="1"/>
    <row r="46296" s="2" customFormat="1"/>
    <row r="46297" s="2" customFormat="1"/>
    <row r="46298" s="2" customFormat="1"/>
    <row r="46299" s="2" customFormat="1"/>
    <row r="46300" s="2" customFormat="1"/>
    <row r="46301" s="2" customFormat="1"/>
    <row r="46302" s="2" customFormat="1"/>
    <row r="46303" s="2" customFormat="1"/>
    <row r="46304" s="2" customFormat="1"/>
    <row r="46305" s="2" customFormat="1"/>
    <row r="46306" s="2" customFormat="1"/>
    <row r="46307" s="2" customFormat="1"/>
    <row r="46308" s="2" customFormat="1"/>
    <row r="46309" s="2" customFormat="1"/>
    <row r="46310" s="2" customFormat="1"/>
    <row r="46311" s="2" customFormat="1"/>
    <row r="46312" s="2" customFormat="1"/>
    <row r="46313" s="2" customFormat="1"/>
    <row r="46314" s="2" customFormat="1"/>
    <row r="46315" s="2" customFormat="1"/>
    <row r="46316" s="2" customFormat="1"/>
    <row r="46317" s="2" customFormat="1"/>
    <row r="46318" s="2" customFormat="1"/>
    <row r="46319" s="2" customFormat="1"/>
    <row r="46320" s="2" customFormat="1"/>
    <row r="46321" s="2" customFormat="1"/>
    <row r="46322" s="2" customFormat="1"/>
    <row r="46323" s="2" customFormat="1"/>
    <row r="46324" s="2" customFormat="1"/>
    <row r="46325" s="2" customFormat="1"/>
    <row r="46326" s="2" customFormat="1"/>
    <row r="46327" s="2" customFormat="1"/>
    <row r="46328" s="2" customFormat="1"/>
    <row r="46329" s="2" customFormat="1"/>
    <row r="46330" s="2" customFormat="1"/>
    <row r="46331" s="2" customFormat="1"/>
    <row r="46332" s="2" customFormat="1"/>
    <row r="46333" s="2" customFormat="1"/>
    <row r="46334" s="2" customFormat="1"/>
    <row r="46335" s="2" customFormat="1"/>
    <row r="46336" s="2" customFormat="1"/>
    <row r="46337" s="2" customFormat="1"/>
    <row r="46338" s="2" customFormat="1"/>
    <row r="46339" s="2" customFormat="1"/>
    <row r="46340" s="2" customFormat="1"/>
    <row r="46341" s="2" customFormat="1"/>
    <row r="46342" s="2" customFormat="1"/>
    <row r="46343" s="2" customFormat="1"/>
    <row r="46344" s="2" customFormat="1"/>
    <row r="46345" s="2" customFormat="1"/>
    <row r="46346" s="2" customFormat="1"/>
    <row r="46347" s="2" customFormat="1"/>
    <row r="46348" s="2" customFormat="1"/>
    <row r="46349" s="2" customFormat="1"/>
    <row r="46350" s="2" customFormat="1"/>
    <row r="46351" s="2" customFormat="1"/>
    <row r="46352" s="2" customFormat="1"/>
    <row r="46353" s="2" customFormat="1"/>
    <row r="46354" s="2" customFormat="1"/>
    <row r="46355" s="2" customFormat="1"/>
    <row r="46356" s="2" customFormat="1"/>
    <row r="46357" s="2" customFormat="1"/>
    <row r="46358" s="2" customFormat="1"/>
    <row r="46359" s="2" customFormat="1"/>
    <row r="46360" s="2" customFormat="1"/>
    <row r="46361" s="2" customFormat="1"/>
    <row r="46362" s="2" customFormat="1"/>
    <row r="46363" s="2" customFormat="1"/>
    <row r="46364" s="2" customFormat="1"/>
    <row r="46365" s="2" customFormat="1"/>
    <row r="46366" s="2" customFormat="1"/>
    <row r="46367" s="2" customFormat="1"/>
    <row r="46368" s="2" customFormat="1"/>
    <row r="46369" s="2" customFormat="1"/>
    <row r="46370" s="2" customFormat="1"/>
    <row r="46371" s="2" customFormat="1"/>
    <row r="46372" s="2" customFormat="1"/>
    <row r="46373" s="2" customFormat="1"/>
    <row r="46374" s="2" customFormat="1"/>
    <row r="46375" s="2" customFormat="1"/>
    <row r="46376" s="2" customFormat="1"/>
    <row r="46377" s="2" customFormat="1"/>
    <row r="46378" s="2" customFormat="1"/>
    <row r="46379" s="2" customFormat="1"/>
    <row r="46380" s="2" customFormat="1"/>
    <row r="46381" s="2" customFormat="1"/>
    <row r="46382" s="2" customFormat="1"/>
    <row r="46383" s="2" customFormat="1"/>
    <row r="46384" s="2" customFormat="1"/>
    <row r="46385" s="2" customFormat="1"/>
    <row r="46386" s="2" customFormat="1"/>
    <row r="46387" s="2" customFormat="1"/>
    <row r="46388" s="2" customFormat="1"/>
    <row r="46389" s="2" customFormat="1"/>
    <row r="46390" s="2" customFormat="1"/>
    <row r="46391" s="2" customFormat="1"/>
    <row r="46392" s="2" customFormat="1"/>
    <row r="46393" s="2" customFormat="1"/>
    <row r="46394" s="2" customFormat="1"/>
    <row r="46395" s="2" customFormat="1"/>
    <row r="46396" s="2" customFormat="1"/>
    <row r="46397" s="2" customFormat="1"/>
    <row r="46398" s="2" customFormat="1"/>
    <row r="46399" s="2" customFormat="1"/>
    <row r="46400" s="2" customFormat="1"/>
    <row r="46401" s="2" customFormat="1"/>
    <row r="46402" s="2" customFormat="1"/>
    <row r="46403" s="2" customFormat="1"/>
    <row r="46404" s="2" customFormat="1"/>
    <row r="46405" s="2" customFormat="1"/>
    <row r="46406" s="2" customFormat="1"/>
    <row r="46407" s="2" customFormat="1"/>
    <row r="46408" s="2" customFormat="1"/>
    <row r="46409" s="2" customFormat="1"/>
    <row r="46410" s="2" customFormat="1"/>
    <row r="46411" s="2" customFormat="1"/>
    <row r="46412" s="2" customFormat="1"/>
    <row r="46413" s="2" customFormat="1"/>
    <row r="46414" s="2" customFormat="1"/>
    <row r="46415" s="2" customFormat="1"/>
    <row r="46416" s="2" customFormat="1"/>
    <row r="46417" s="2" customFormat="1"/>
    <row r="46418" s="2" customFormat="1"/>
    <row r="46419" s="2" customFormat="1"/>
    <row r="46420" s="2" customFormat="1"/>
    <row r="46421" s="2" customFormat="1"/>
    <row r="46422" s="2" customFormat="1"/>
    <row r="46423" s="2" customFormat="1"/>
    <row r="46424" s="2" customFormat="1"/>
    <row r="46425" s="2" customFormat="1"/>
    <row r="46426" s="2" customFormat="1"/>
    <row r="46427" s="2" customFormat="1"/>
    <row r="46428" s="2" customFormat="1"/>
    <row r="46429" s="2" customFormat="1"/>
    <row r="46430" s="2" customFormat="1"/>
    <row r="46431" s="2" customFormat="1"/>
    <row r="46432" s="2" customFormat="1"/>
    <row r="46433" s="2" customFormat="1"/>
    <row r="46434" s="2" customFormat="1"/>
    <row r="46435" s="2" customFormat="1"/>
    <row r="46436" s="2" customFormat="1"/>
    <row r="46437" s="2" customFormat="1"/>
    <row r="46438" s="2" customFormat="1"/>
    <row r="46439" s="2" customFormat="1"/>
    <row r="46440" s="2" customFormat="1"/>
    <row r="46441" s="2" customFormat="1"/>
    <row r="46442" s="2" customFormat="1"/>
    <row r="46443" s="2" customFormat="1"/>
    <row r="46444" s="2" customFormat="1"/>
    <row r="46445" s="2" customFormat="1"/>
    <row r="46446" s="2" customFormat="1"/>
    <row r="46447" s="2" customFormat="1"/>
    <row r="46448" s="2" customFormat="1"/>
    <row r="46449" s="2" customFormat="1"/>
    <row r="46450" s="2" customFormat="1"/>
    <row r="46451" s="2" customFormat="1"/>
    <row r="46452" s="2" customFormat="1"/>
    <row r="46453" s="2" customFormat="1"/>
    <row r="46454" s="2" customFormat="1"/>
    <row r="46455" s="2" customFormat="1"/>
    <row r="46456" s="2" customFormat="1"/>
    <row r="46457" s="2" customFormat="1"/>
    <row r="46458" s="2" customFormat="1"/>
    <row r="46459" s="2" customFormat="1"/>
    <row r="46460" s="2" customFormat="1"/>
    <row r="46461" s="2" customFormat="1"/>
    <row r="46462" s="2" customFormat="1"/>
    <row r="46463" s="2" customFormat="1"/>
    <row r="46464" s="2" customFormat="1"/>
    <row r="46465" s="2" customFormat="1"/>
    <row r="46466" s="2" customFormat="1"/>
    <row r="46467" s="2" customFormat="1"/>
    <row r="46468" s="2" customFormat="1"/>
    <row r="46469" s="2" customFormat="1"/>
    <row r="46470" s="2" customFormat="1"/>
    <row r="46471" s="2" customFormat="1"/>
    <row r="46472" s="2" customFormat="1"/>
    <row r="46473" s="2" customFormat="1"/>
    <row r="46474" s="2" customFormat="1"/>
    <row r="46475" s="2" customFormat="1"/>
    <row r="46476" s="2" customFormat="1"/>
    <row r="46477" s="2" customFormat="1"/>
    <row r="46478" s="2" customFormat="1"/>
    <row r="46479" s="2" customFormat="1"/>
    <row r="46480" s="2" customFormat="1"/>
    <row r="46481" s="2" customFormat="1"/>
    <row r="46482" s="2" customFormat="1"/>
    <row r="46483" s="2" customFormat="1"/>
    <row r="46484" s="2" customFormat="1"/>
    <row r="46485" s="2" customFormat="1"/>
    <row r="46486" s="2" customFormat="1"/>
    <row r="46487" s="2" customFormat="1"/>
    <row r="46488" s="2" customFormat="1"/>
    <row r="46489" s="2" customFormat="1"/>
    <row r="46490" s="2" customFormat="1"/>
    <row r="46491" s="2" customFormat="1"/>
    <row r="46492" s="2" customFormat="1"/>
    <row r="46493" s="2" customFormat="1"/>
    <row r="46494" s="2" customFormat="1"/>
    <row r="46495" s="2" customFormat="1"/>
    <row r="46496" s="2" customFormat="1"/>
    <row r="46497" s="2" customFormat="1"/>
    <row r="46498" s="2" customFormat="1"/>
    <row r="46499" s="2" customFormat="1"/>
    <row r="46500" s="2" customFormat="1"/>
    <row r="46501" s="2" customFormat="1"/>
    <row r="46502" s="2" customFormat="1"/>
    <row r="46503" s="2" customFormat="1"/>
    <row r="46504" s="2" customFormat="1"/>
    <row r="46505" s="2" customFormat="1"/>
    <row r="46506" s="2" customFormat="1"/>
    <row r="46507" s="2" customFormat="1"/>
    <row r="46508" s="2" customFormat="1"/>
    <row r="46509" s="2" customFormat="1"/>
    <row r="46510" s="2" customFormat="1"/>
    <row r="46511" s="2" customFormat="1"/>
    <row r="46512" s="2" customFormat="1"/>
    <row r="46513" s="2" customFormat="1"/>
    <row r="46514" s="2" customFormat="1"/>
    <row r="46515" s="2" customFormat="1"/>
    <row r="46516" s="2" customFormat="1"/>
    <row r="46517" s="2" customFormat="1"/>
    <row r="46518" s="2" customFormat="1"/>
    <row r="46519" s="2" customFormat="1"/>
    <row r="46520" s="2" customFormat="1"/>
    <row r="46521" s="2" customFormat="1"/>
    <row r="46522" s="2" customFormat="1"/>
    <row r="46523" s="2" customFormat="1"/>
    <row r="46524" s="2" customFormat="1"/>
    <row r="46525" s="2" customFormat="1"/>
    <row r="46526" s="2" customFormat="1"/>
    <row r="46527" s="2" customFormat="1"/>
    <row r="46528" s="2" customFormat="1"/>
    <row r="46529" s="2" customFormat="1"/>
    <row r="46530" s="2" customFormat="1"/>
    <row r="46531" s="2" customFormat="1"/>
    <row r="46532" s="2" customFormat="1"/>
    <row r="46533" s="2" customFormat="1"/>
    <row r="46534" s="2" customFormat="1"/>
    <row r="46535" s="2" customFormat="1"/>
    <row r="46536" s="2" customFormat="1"/>
    <row r="46537" s="2" customFormat="1"/>
    <row r="46538" s="2" customFormat="1"/>
    <row r="46539" s="2" customFormat="1"/>
    <row r="46540" s="2" customFormat="1"/>
    <row r="46541" s="2" customFormat="1"/>
    <row r="46542" s="2" customFormat="1"/>
    <row r="46543" s="2" customFormat="1"/>
    <row r="46544" s="2" customFormat="1"/>
    <row r="46545" s="2" customFormat="1"/>
    <row r="46546" s="2" customFormat="1"/>
    <row r="46547" s="2" customFormat="1"/>
    <row r="46548" s="2" customFormat="1"/>
    <row r="46549" s="2" customFormat="1"/>
    <row r="46550" s="2" customFormat="1"/>
    <row r="46551" s="2" customFormat="1"/>
    <row r="46552" s="2" customFormat="1"/>
    <row r="46553" s="2" customFormat="1"/>
    <row r="46554" s="2" customFormat="1"/>
    <row r="46555" s="2" customFormat="1"/>
    <row r="46556" s="2" customFormat="1"/>
    <row r="46557" s="2" customFormat="1"/>
    <row r="46558" s="2" customFormat="1"/>
    <row r="46559" s="2" customFormat="1"/>
    <row r="46560" s="2" customFormat="1"/>
    <row r="46561" s="2" customFormat="1"/>
    <row r="46562" s="2" customFormat="1"/>
    <row r="46563" s="2" customFormat="1"/>
    <row r="46564" s="2" customFormat="1"/>
    <row r="46565" s="2" customFormat="1"/>
    <row r="46566" s="2" customFormat="1"/>
    <row r="46567" s="2" customFormat="1"/>
    <row r="46568" s="2" customFormat="1"/>
    <row r="46569" s="2" customFormat="1"/>
    <row r="46570" s="2" customFormat="1"/>
    <row r="46571" s="2" customFormat="1"/>
    <row r="46572" s="2" customFormat="1"/>
    <row r="46573" s="2" customFormat="1"/>
    <row r="46574" s="2" customFormat="1"/>
    <row r="46575" s="2" customFormat="1"/>
    <row r="46576" s="2" customFormat="1"/>
    <row r="46577" s="2" customFormat="1"/>
    <row r="46578" s="2" customFormat="1"/>
    <row r="46579" s="2" customFormat="1"/>
    <row r="46580" s="2" customFormat="1"/>
    <row r="46581" s="2" customFormat="1"/>
    <row r="46582" s="2" customFormat="1"/>
    <row r="46583" s="2" customFormat="1"/>
    <row r="46584" s="2" customFormat="1"/>
    <row r="46585" s="2" customFormat="1"/>
    <row r="46586" s="2" customFormat="1"/>
    <row r="46587" s="2" customFormat="1"/>
    <row r="46588" s="2" customFormat="1"/>
    <row r="46589" s="2" customFormat="1"/>
    <row r="46590" s="2" customFormat="1"/>
    <row r="46591" s="2" customFormat="1"/>
    <row r="46592" s="2" customFormat="1"/>
    <row r="46593" s="2" customFormat="1"/>
    <row r="46594" s="2" customFormat="1"/>
    <row r="46595" s="2" customFormat="1"/>
    <row r="46596" s="2" customFormat="1"/>
    <row r="46597" s="2" customFormat="1"/>
    <row r="46598" s="2" customFormat="1"/>
    <row r="46599" s="2" customFormat="1"/>
    <row r="46600" s="2" customFormat="1"/>
    <row r="46601" s="2" customFormat="1"/>
    <row r="46602" s="2" customFormat="1"/>
    <row r="46603" s="2" customFormat="1"/>
    <row r="46604" s="2" customFormat="1"/>
    <row r="46605" s="2" customFormat="1"/>
    <row r="46606" s="2" customFormat="1"/>
    <row r="46607" s="2" customFormat="1"/>
    <row r="46608" s="2" customFormat="1"/>
    <row r="46609" s="2" customFormat="1"/>
    <row r="46610" s="2" customFormat="1"/>
    <row r="46611" s="2" customFormat="1"/>
    <row r="46612" s="2" customFormat="1"/>
    <row r="46613" s="2" customFormat="1"/>
    <row r="46614" s="2" customFormat="1"/>
    <row r="46615" s="2" customFormat="1"/>
    <row r="46616" s="2" customFormat="1"/>
    <row r="46617" s="2" customFormat="1"/>
    <row r="46618" s="2" customFormat="1"/>
    <row r="46619" s="2" customFormat="1"/>
    <row r="46620" s="2" customFormat="1"/>
    <row r="46621" s="2" customFormat="1"/>
    <row r="46622" s="2" customFormat="1"/>
    <row r="46623" s="2" customFormat="1"/>
    <row r="46624" s="2" customFormat="1"/>
    <row r="46625" s="2" customFormat="1"/>
    <row r="46626" s="2" customFormat="1"/>
    <row r="46627" s="2" customFormat="1"/>
    <row r="46628" s="2" customFormat="1"/>
    <row r="46629" s="2" customFormat="1"/>
    <row r="46630" s="2" customFormat="1"/>
    <row r="46631" s="2" customFormat="1"/>
    <row r="46632" s="2" customFormat="1"/>
    <row r="46633" s="2" customFormat="1"/>
    <row r="46634" s="2" customFormat="1"/>
    <row r="46635" s="2" customFormat="1"/>
    <row r="46636" s="2" customFormat="1"/>
    <row r="46637" s="2" customFormat="1"/>
    <row r="46638" s="2" customFormat="1"/>
    <row r="46639" s="2" customFormat="1"/>
    <row r="46640" s="2" customFormat="1"/>
    <row r="46641" s="2" customFormat="1"/>
    <row r="46642" s="2" customFormat="1"/>
    <row r="46643" s="2" customFormat="1"/>
    <row r="46644" s="2" customFormat="1"/>
    <row r="46645" s="2" customFormat="1"/>
    <row r="46646" s="2" customFormat="1"/>
    <row r="46647" s="2" customFormat="1"/>
    <row r="46648" s="2" customFormat="1"/>
    <row r="46649" s="2" customFormat="1"/>
    <row r="46650" s="2" customFormat="1"/>
    <row r="46651" s="2" customFormat="1"/>
    <row r="46652" s="2" customFormat="1"/>
    <row r="46653" s="2" customFormat="1"/>
    <row r="46654" s="2" customFormat="1"/>
    <row r="46655" s="2" customFormat="1"/>
    <row r="46656" s="2" customFormat="1"/>
    <row r="46657" s="2" customFormat="1"/>
    <row r="46658" s="2" customFormat="1"/>
    <row r="46659" s="2" customFormat="1"/>
    <row r="46660" s="2" customFormat="1"/>
    <row r="46661" s="2" customFormat="1"/>
    <row r="46662" s="2" customFormat="1"/>
    <row r="46663" s="2" customFormat="1"/>
    <row r="46664" s="2" customFormat="1"/>
    <row r="46665" s="2" customFormat="1"/>
    <row r="46666" s="2" customFormat="1"/>
    <row r="46667" s="2" customFormat="1"/>
    <row r="46668" s="2" customFormat="1"/>
    <row r="46669" s="2" customFormat="1"/>
    <row r="46670" s="2" customFormat="1"/>
    <row r="46671" s="2" customFormat="1"/>
    <row r="46672" s="2" customFormat="1"/>
    <row r="46673" s="2" customFormat="1"/>
    <row r="46674" s="2" customFormat="1"/>
    <row r="46675" s="2" customFormat="1"/>
    <row r="46676" s="2" customFormat="1"/>
    <row r="46677" s="2" customFormat="1"/>
    <row r="46678" s="2" customFormat="1"/>
    <row r="46679" s="2" customFormat="1"/>
    <row r="46680" s="2" customFormat="1"/>
    <row r="46681" s="2" customFormat="1"/>
    <row r="46682" s="2" customFormat="1"/>
    <row r="46683" s="2" customFormat="1"/>
    <row r="46684" s="2" customFormat="1"/>
    <row r="46685" s="2" customFormat="1"/>
    <row r="46686" s="2" customFormat="1"/>
    <row r="46687" s="2" customFormat="1"/>
    <row r="46688" s="2" customFormat="1"/>
    <row r="46689" s="2" customFormat="1"/>
    <row r="46690" s="2" customFormat="1"/>
    <row r="46691" s="2" customFormat="1"/>
    <row r="46692" s="2" customFormat="1"/>
    <row r="46693" s="2" customFormat="1"/>
    <row r="46694" s="2" customFormat="1"/>
    <row r="46695" s="2" customFormat="1"/>
    <row r="46696" s="2" customFormat="1"/>
    <row r="46697" s="2" customFormat="1"/>
    <row r="46698" s="2" customFormat="1"/>
    <row r="46699" s="2" customFormat="1"/>
    <row r="46700" s="2" customFormat="1"/>
    <row r="46701" s="2" customFormat="1"/>
    <row r="46702" s="2" customFormat="1"/>
    <row r="46703" s="2" customFormat="1"/>
    <row r="46704" s="2" customFormat="1"/>
    <row r="46705" s="2" customFormat="1"/>
    <row r="46706" s="2" customFormat="1"/>
    <row r="46707" s="2" customFormat="1"/>
    <row r="46708" s="2" customFormat="1"/>
    <row r="46709" s="2" customFormat="1"/>
    <row r="46710" s="2" customFormat="1"/>
    <row r="46711" s="2" customFormat="1"/>
    <row r="46712" s="2" customFormat="1"/>
    <row r="46713" s="2" customFormat="1"/>
    <row r="46714" s="2" customFormat="1"/>
    <row r="46715" s="2" customFormat="1"/>
    <row r="46716" s="2" customFormat="1"/>
    <row r="46717" s="2" customFormat="1"/>
    <row r="46718" s="2" customFormat="1"/>
    <row r="46719" s="2" customFormat="1"/>
    <row r="46720" s="2" customFormat="1"/>
    <row r="46721" s="2" customFormat="1"/>
    <row r="46722" s="2" customFormat="1"/>
    <row r="46723" s="2" customFormat="1"/>
    <row r="46724" s="2" customFormat="1"/>
    <row r="46725" s="2" customFormat="1"/>
    <row r="46726" s="2" customFormat="1"/>
    <row r="46727" s="2" customFormat="1"/>
    <row r="46728" s="2" customFormat="1"/>
    <row r="46729" s="2" customFormat="1"/>
    <row r="46730" s="2" customFormat="1"/>
    <row r="46731" s="2" customFormat="1"/>
    <row r="46732" s="2" customFormat="1"/>
    <row r="46733" s="2" customFormat="1"/>
    <row r="46734" s="2" customFormat="1"/>
    <row r="46735" s="2" customFormat="1"/>
    <row r="46736" s="2" customFormat="1"/>
    <row r="46737" s="2" customFormat="1"/>
    <row r="46738" s="2" customFormat="1"/>
    <row r="46739" s="2" customFormat="1"/>
    <row r="46740" s="2" customFormat="1"/>
    <row r="46741" s="2" customFormat="1"/>
    <row r="46742" s="2" customFormat="1"/>
    <row r="46743" s="2" customFormat="1"/>
    <row r="46744" s="2" customFormat="1"/>
    <row r="46745" s="2" customFormat="1"/>
    <row r="46746" s="2" customFormat="1"/>
    <row r="46747" s="2" customFormat="1"/>
    <row r="46748" s="2" customFormat="1"/>
    <row r="46749" s="2" customFormat="1"/>
    <row r="46750" s="2" customFormat="1"/>
    <row r="46751" s="2" customFormat="1"/>
    <row r="46752" s="2" customFormat="1"/>
    <row r="46753" s="2" customFormat="1"/>
    <row r="46754" s="2" customFormat="1"/>
    <row r="46755" s="2" customFormat="1"/>
    <row r="46756" s="2" customFormat="1"/>
    <row r="46757" s="2" customFormat="1"/>
    <row r="46758" s="2" customFormat="1"/>
    <row r="46759" s="2" customFormat="1"/>
    <row r="46760" s="2" customFormat="1"/>
    <row r="46761" s="2" customFormat="1"/>
    <row r="46762" s="2" customFormat="1"/>
    <row r="46763" s="2" customFormat="1"/>
    <row r="46764" s="2" customFormat="1"/>
    <row r="46765" s="2" customFormat="1"/>
    <row r="46766" s="2" customFormat="1"/>
    <row r="46767" s="2" customFormat="1"/>
    <row r="46768" s="2" customFormat="1"/>
    <row r="46769" s="2" customFormat="1"/>
    <row r="46770" s="2" customFormat="1"/>
    <row r="46771" s="2" customFormat="1"/>
    <row r="46772" s="2" customFormat="1"/>
    <row r="46773" s="2" customFormat="1"/>
    <row r="46774" s="2" customFormat="1"/>
    <row r="46775" s="2" customFormat="1"/>
    <row r="46776" s="2" customFormat="1"/>
    <row r="46777" s="2" customFormat="1"/>
    <row r="46778" s="2" customFormat="1"/>
    <row r="46779" s="2" customFormat="1"/>
    <row r="46780" s="2" customFormat="1"/>
    <row r="46781" s="2" customFormat="1"/>
    <row r="46782" s="2" customFormat="1"/>
    <row r="46783" s="2" customFormat="1"/>
    <row r="46784" s="2" customFormat="1"/>
    <row r="46785" s="2" customFormat="1"/>
    <row r="46786" s="2" customFormat="1"/>
    <row r="46787" s="2" customFormat="1"/>
    <row r="46788" s="2" customFormat="1"/>
    <row r="46789" s="2" customFormat="1"/>
    <row r="46790" s="2" customFormat="1"/>
    <row r="46791" s="2" customFormat="1"/>
    <row r="46792" s="2" customFormat="1"/>
    <row r="46793" s="2" customFormat="1"/>
    <row r="46794" s="2" customFormat="1"/>
    <row r="46795" s="2" customFormat="1"/>
    <row r="46796" s="2" customFormat="1"/>
    <row r="46797" s="2" customFormat="1"/>
    <row r="46798" s="2" customFormat="1"/>
    <row r="46799" s="2" customFormat="1"/>
    <row r="46800" s="2" customFormat="1"/>
    <row r="46801" s="2" customFormat="1"/>
    <row r="46802" s="2" customFormat="1"/>
    <row r="46803" s="2" customFormat="1"/>
    <row r="46804" s="2" customFormat="1"/>
    <row r="46805" s="2" customFormat="1"/>
    <row r="46806" s="2" customFormat="1"/>
    <row r="46807" s="2" customFormat="1"/>
    <row r="46808" s="2" customFormat="1"/>
    <row r="46809" s="2" customFormat="1"/>
    <row r="46810" s="2" customFormat="1"/>
    <row r="46811" s="2" customFormat="1"/>
    <row r="46812" s="2" customFormat="1"/>
    <row r="46813" s="2" customFormat="1"/>
    <row r="46814" s="2" customFormat="1"/>
    <row r="46815" s="2" customFormat="1"/>
    <row r="46816" s="2" customFormat="1"/>
    <row r="46817" s="2" customFormat="1"/>
    <row r="46818" s="2" customFormat="1"/>
    <row r="46819" s="2" customFormat="1"/>
    <row r="46820" s="2" customFormat="1"/>
    <row r="46821" s="2" customFormat="1"/>
    <row r="46822" s="2" customFormat="1"/>
    <row r="46823" s="2" customFormat="1"/>
    <row r="46824" s="2" customFormat="1"/>
    <row r="46825" s="2" customFormat="1"/>
    <row r="46826" s="2" customFormat="1"/>
    <row r="46827" s="2" customFormat="1"/>
    <row r="46828" s="2" customFormat="1"/>
    <row r="46829" s="2" customFormat="1"/>
    <row r="46830" s="2" customFormat="1"/>
    <row r="46831" s="2" customFormat="1"/>
    <row r="46832" s="2" customFormat="1"/>
    <row r="46833" s="2" customFormat="1"/>
    <row r="46834" s="2" customFormat="1"/>
    <row r="46835" s="2" customFormat="1"/>
    <row r="46836" s="2" customFormat="1"/>
    <row r="46837" s="2" customFormat="1"/>
    <row r="46838" s="2" customFormat="1"/>
    <row r="46839" s="2" customFormat="1"/>
    <row r="46840" s="2" customFormat="1"/>
    <row r="46841" s="2" customFormat="1"/>
    <row r="46842" s="2" customFormat="1"/>
    <row r="46843" s="2" customFormat="1"/>
    <row r="46844" s="2" customFormat="1"/>
    <row r="46845" s="2" customFormat="1"/>
    <row r="46846" s="2" customFormat="1"/>
    <row r="46847" s="2" customFormat="1"/>
    <row r="46848" s="2" customFormat="1"/>
    <row r="46849" s="2" customFormat="1"/>
    <row r="46850" s="2" customFormat="1"/>
    <row r="46851" s="2" customFormat="1"/>
    <row r="46852" s="2" customFormat="1"/>
    <row r="46853" s="2" customFormat="1"/>
    <row r="46854" s="2" customFormat="1"/>
    <row r="46855" s="2" customFormat="1"/>
    <row r="46856" s="2" customFormat="1"/>
    <row r="46857" s="2" customFormat="1"/>
    <row r="46858" s="2" customFormat="1"/>
    <row r="46859" s="2" customFormat="1"/>
    <row r="46860" s="2" customFormat="1"/>
    <row r="46861" s="2" customFormat="1"/>
    <row r="46862" s="2" customFormat="1"/>
    <row r="46863" s="2" customFormat="1"/>
    <row r="46864" s="2" customFormat="1"/>
    <row r="46865" s="2" customFormat="1"/>
    <row r="46866" s="2" customFormat="1"/>
    <row r="46867" s="2" customFormat="1"/>
    <row r="46868" s="2" customFormat="1"/>
    <row r="46869" s="2" customFormat="1"/>
    <row r="46870" s="2" customFormat="1"/>
    <row r="46871" s="2" customFormat="1"/>
    <row r="46872" s="2" customFormat="1"/>
    <row r="46873" s="2" customFormat="1"/>
    <row r="46874" s="2" customFormat="1"/>
    <row r="46875" s="2" customFormat="1"/>
    <row r="46876" s="2" customFormat="1"/>
    <row r="46877" s="2" customFormat="1"/>
    <row r="46878" s="2" customFormat="1"/>
    <row r="46879" s="2" customFormat="1"/>
    <row r="46880" s="2" customFormat="1"/>
    <row r="46881" s="2" customFormat="1"/>
    <row r="46882" s="2" customFormat="1"/>
    <row r="46883" s="2" customFormat="1"/>
    <row r="46884" s="2" customFormat="1"/>
    <row r="46885" s="2" customFormat="1"/>
    <row r="46886" s="2" customFormat="1"/>
    <row r="46887" s="2" customFormat="1"/>
    <row r="46888" s="2" customFormat="1"/>
    <row r="46889" s="2" customFormat="1"/>
    <row r="46890" s="2" customFormat="1"/>
    <row r="46891" s="2" customFormat="1"/>
    <row r="46892" s="2" customFormat="1"/>
    <row r="46893" s="2" customFormat="1"/>
    <row r="46894" s="2" customFormat="1"/>
    <row r="46895" s="2" customFormat="1"/>
    <row r="46896" s="2" customFormat="1"/>
    <row r="46897" s="2" customFormat="1"/>
    <row r="46898" s="2" customFormat="1"/>
    <row r="46899" s="2" customFormat="1"/>
    <row r="46900" s="2" customFormat="1"/>
    <row r="46901" s="2" customFormat="1"/>
    <row r="46902" s="2" customFormat="1"/>
    <row r="46903" s="2" customFormat="1"/>
    <row r="46904" s="2" customFormat="1"/>
    <row r="46905" s="2" customFormat="1"/>
    <row r="46906" s="2" customFormat="1"/>
    <row r="46907" s="2" customFormat="1"/>
    <row r="46908" s="2" customFormat="1"/>
    <row r="46909" s="2" customFormat="1"/>
    <row r="46910" s="2" customFormat="1"/>
    <row r="46911" s="2" customFormat="1"/>
    <row r="46912" s="2" customFormat="1"/>
    <row r="46913" s="2" customFormat="1"/>
    <row r="46914" s="2" customFormat="1"/>
    <row r="46915" s="2" customFormat="1"/>
    <row r="46916" s="2" customFormat="1"/>
    <row r="46917" s="2" customFormat="1"/>
    <row r="46918" s="2" customFormat="1"/>
    <row r="46919" s="2" customFormat="1"/>
    <row r="46920" s="2" customFormat="1"/>
    <row r="46921" s="2" customFormat="1"/>
    <row r="46922" s="2" customFormat="1"/>
    <row r="46923" s="2" customFormat="1"/>
    <row r="46924" s="2" customFormat="1"/>
    <row r="46925" s="2" customFormat="1"/>
    <row r="46926" s="2" customFormat="1"/>
    <row r="46927" s="2" customFormat="1"/>
    <row r="46928" s="2" customFormat="1"/>
    <row r="46929" s="2" customFormat="1"/>
    <row r="46930" s="2" customFormat="1"/>
    <row r="46931" s="2" customFormat="1"/>
    <row r="46932" s="2" customFormat="1"/>
    <row r="46933" s="2" customFormat="1"/>
    <row r="46934" s="2" customFormat="1"/>
    <row r="46935" s="2" customFormat="1"/>
    <row r="46936" s="2" customFormat="1"/>
    <row r="46937" s="2" customFormat="1"/>
    <row r="46938" s="2" customFormat="1"/>
    <row r="46939" s="2" customFormat="1"/>
    <row r="46940" s="2" customFormat="1"/>
    <row r="46941" s="2" customFormat="1"/>
    <row r="46942" s="2" customFormat="1"/>
    <row r="46943" s="2" customFormat="1"/>
    <row r="46944" s="2" customFormat="1"/>
    <row r="46945" s="2" customFormat="1"/>
    <row r="46946" s="2" customFormat="1"/>
    <row r="46947" s="2" customFormat="1"/>
    <row r="46948" s="2" customFormat="1"/>
    <row r="46949" s="2" customFormat="1"/>
    <row r="46950" s="2" customFormat="1"/>
    <row r="46951" s="2" customFormat="1"/>
    <row r="46952" s="2" customFormat="1"/>
    <row r="46953" s="2" customFormat="1"/>
    <row r="46954" s="2" customFormat="1"/>
    <row r="46955" s="2" customFormat="1"/>
    <row r="46956" s="2" customFormat="1"/>
    <row r="46957" s="2" customFormat="1"/>
    <row r="46958" s="2" customFormat="1"/>
    <row r="46959" s="2" customFormat="1"/>
    <row r="46960" s="2" customFormat="1"/>
    <row r="46961" s="2" customFormat="1"/>
    <row r="46962" s="2" customFormat="1"/>
    <row r="46963" s="2" customFormat="1"/>
    <row r="46964" s="2" customFormat="1"/>
    <row r="46965" s="2" customFormat="1"/>
    <row r="46966" s="2" customFormat="1"/>
    <row r="46967" s="2" customFormat="1"/>
    <row r="46968" s="2" customFormat="1"/>
    <row r="46969" s="2" customFormat="1"/>
    <row r="46970" s="2" customFormat="1"/>
    <row r="46971" s="2" customFormat="1"/>
    <row r="46972" s="2" customFormat="1"/>
    <row r="46973" s="2" customFormat="1"/>
    <row r="46974" s="2" customFormat="1"/>
    <row r="46975" s="2" customFormat="1"/>
    <row r="46976" s="2" customFormat="1"/>
    <row r="46977" s="2" customFormat="1"/>
    <row r="46978" s="2" customFormat="1"/>
    <row r="46979" s="2" customFormat="1"/>
    <row r="46980" s="2" customFormat="1"/>
    <row r="46981" s="2" customFormat="1"/>
    <row r="46982" s="2" customFormat="1"/>
    <row r="46983" s="2" customFormat="1"/>
    <row r="46984" s="2" customFormat="1"/>
    <row r="46985" s="2" customFormat="1"/>
    <row r="46986" s="2" customFormat="1"/>
    <row r="46987" s="2" customFormat="1"/>
    <row r="46988" s="2" customFormat="1"/>
    <row r="46989" s="2" customFormat="1"/>
    <row r="46990" s="2" customFormat="1"/>
    <row r="46991" s="2" customFormat="1"/>
    <row r="46992" s="2" customFormat="1"/>
    <row r="46993" s="2" customFormat="1"/>
    <row r="46994" s="2" customFormat="1"/>
    <row r="46995" s="2" customFormat="1"/>
    <row r="46996" s="2" customFormat="1"/>
    <row r="46997" s="2" customFormat="1"/>
    <row r="46998" s="2" customFormat="1"/>
    <row r="46999" s="2" customFormat="1"/>
    <row r="47000" s="2" customFormat="1"/>
    <row r="47001" s="2" customFormat="1"/>
    <row r="47002" s="2" customFormat="1"/>
    <row r="47003" s="2" customFormat="1"/>
    <row r="47004" s="2" customFormat="1"/>
    <row r="47005" s="2" customFormat="1"/>
    <row r="47006" s="2" customFormat="1"/>
    <row r="47007" s="2" customFormat="1"/>
    <row r="47008" s="2" customFormat="1"/>
    <row r="47009" s="2" customFormat="1"/>
    <row r="47010" s="2" customFormat="1"/>
    <row r="47011" s="2" customFormat="1"/>
    <row r="47012" s="2" customFormat="1"/>
    <row r="47013" s="2" customFormat="1"/>
    <row r="47014" s="2" customFormat="1"/>
    <row r="47015" s="2" customFormat="1"/>
    <row r="47016" s="2" customFormat="1"/>
    <row r="47017" s="2" customFormat="1"/>
    <row r="47018" s="2" customFormat="1"/>
    <row r="47019" s="2" customFormat="1"/>
    <row r="47020" s="2" customFormat="1"/>
    <row r="47021" s="2" customFormat="1"/>
    <row r="47022" s="2" customFormat="1"/>
    <row r="47023" s="2" customFormat="1"/>
    <row r="47024" s="2" customFormat="1"/>
    <row r="47025" s="2" customFormat="1"/>
    <row r="47026" s="2" customFormat="1"/>
    <row r="47027" s="2" customFormat="1"/>
    <row r="47028" s="2" customFormat="1"/>
    <row r="47029" s="2" customFormat="1"/>
    <row r="47030" s="2" customFormat="1"/>
    <row r="47031" s="2" customFormat="1"/>
    <row r="47032" s="2" customFormat="1"/>
    <row r="47033" s="2" customFormat="1"/>
    <row r="47034" s="2" customFormat="1"/>
    <row r="47035" s="2" customFormat="1"/>
    <row r="47036" s="2" customFormat="1"/>
    <row r="47037" s="2" customFormat="1"/>
    <row r="47038" s="2" customFormat="1"/>
    <row r="47039" s="2" customFormat="1"/>
    <row r="47040" s="2" customFormat="1"/>
    <row r="47041" s="2" customFormat="1"/>
    <row r="47042" s="2" customFormat="1"/>
    <row r="47043" s="2" customFormat="1"/>
    <row r="47044" s="2" customFormat="1"/>
    <row r="47045" s="2" customFormat="1"/>
    <row r="47046" s="2" customFormat="1"/>
    <row r="47047" s="2" customFormat="1"/>
    <row r="47048" s="2" customFormat="1"/>
    <row r="47049" s="2" customFormat="1"/>
    <row r="47050" s="2" customFormat="1"/>
    <row r="47051" s="2" customFormat="1"/>
    <row r="47052" s="2" customFormat="1"/>
    <row r="47053" s="2" customFormat="1"/>
    <row r="47054" s="2" customFormat="1"/>
    <row r="47055" s="2" customFormat="1"/>
    <row r="47056" s="2" customFormat="1"/>
    <row r="47057" s="2" customFormat="1"/>
    <row r="47058" s="2" customFormat="1"/>
    <row r="47059" s="2" customFormat="1"/>
    <row r="47060" s="2" customFormat="1"/>
    <row r="47061" s="2" customFormat="1"/>
    <row r="47062" s="2" customFormat="1"/>
    <row r="47063" s="2" customFormat="1"/>
    <row r="47064" s="2" customFormat="1"/>
    <row r="47065" s="2" customFormat="1"/>
    <row r="47066" s="2" customFormat="1"/>
    <row r="47067" s="2" customFormat="1"/>
    <row r="47068" s="2" customFormat="1"/>
    <row r="47069" s="2" customFormat="1"/>
    <row r="47070" s="2" customFormat="1"/>
    <row r="47071" s="2" customFormat="1"/>
    <row r="47072" s="2" customFormat="1"/>
    <row r="47073" s="2" customFormat="1"/>
    <row r="47074" s="2" customFormat="1"/>
    <row r="47075" s="2" customFormat="1"/>
    <row r="47076" s="2" customFormat="1"/>
    <row r="47077" s="2" customFormat="1"/>
    <row r="47078" s="2" customFormat="1"/>
    <row r="47079" s="2" customFormat="1"/>
    <row r="47080" s="2" customFormat="1"/>
    <row r="47081" s="2" customFormat="1"/>
    <row r="47082" s="2" customFormat="1"/>
    <row r="47083" s="2" customFormat="1"/>
    <row r="47084" s="2" customFormat="1"/>
    <row r="47085" s="2" customFormat="1"/>
    <row r="47086" s="2" customFormat="1"/>
    <row r="47087" s="2" customFormat="1"/>
    <row r="47088" s="2" customFormat="1"/>
    <row r="47089" s="2" customFormat="1"/>
    <row r="47090" s="2" customFormat="1"/>
    <row r="47091" s="2" customFormat="1"/>
    <row r="47092" s="2" customFormat="1"/>
    <row r="47093" s="2" customFormat="1"/>
    <row r="47094" s="2" customFormat="1"/>
    <row r="47095" s="2" customFormat="1"/>
    <row r="47096" s="2" customFormat="1"/>
    <row r="47097" s="2" customFormat="1"/>
    <row r="47098" s="2" customFormat="1"/>
    <row r="47099" s="2" customFormat="1"/>
    <row r="47100" s="2" customFormat="1"/>
    <row r="47101" s="2" customFormat="1"/>
    <row r="47102" s="2" customFormat="1"/>
    <row r="47103" s="2" customFormat="1"/>
    <row r="47104" s="2" customFormat="1"/>
    <row r="47105" s="2" customFormat="1"/>
    <row r="47106" s="2" customFormat="1"/>
    <row r="47107" s="2" customFormat="1"/>
    <row r="47108" s="2" customFormat="1"/>
    <row r="47109" s="2" customFormat="1"/>
    <row r="47110" s="2" customFormat="1"/>
    <row r="47111" s="2" customFormat="1"/>
    <row r="47112" s="2" customFormat="1"/>
    <row r="47113" s="2" customFormat="1"/>
    <row r="47114" s="2" customFormat="1"/>
    <row r="47115" s="2" customFormat="1"/>
    <row r="47116" s="2" customFormat="1"/>
    <row r="47117" s="2" customFormat="1"/>
    <row r="47118" s="2" customFormat="1"/>
    <row r="47119" s="2" customFormat="1"/>
    <row r="47120" s="2" customFormat="1"/>
    <row r="47121" s="2" customFormat="1"/>
    <row r="47122" s="2" customFormat="1"/>
    <row r="47123" s="2" customFormat="1"/>
    <row r="47124" s="2" customFormat="1"/>
    <row r="47125" s="2" customFormat="1"/>
    <row r="47126" s="2" customFormat="1"/>
    <row r="47127" s="2" customFormat="1"/>
    <row r="47128" s="2" customFormat="1"/>
    <row r="47129" s="2" customFormat="1"/>
    <row r="47130" s="2" customFormat="1"/>
    <row r="47131" s="2" customFormat="1"/>
    <row r="47132" s="2" customFormat="1"/>
    <row r="47133" s="2" customFormat="1"/>
    <row r="47134" s="2" customFormat="1"/>
    <row r="47135" s="2" customFormat="1"/>
    <row r="47136" s="2" customFormat="1"/>
    <row r="47137" s="2" customFormat="1"/>
    <row r="47138" s="2" customFormat="1"/>
    <row r="47139" s="2" customFormat="1"/>
    <row r="47140" s="2" customFormat="1"/>
    <row r="47141" s="2" customFormat="1"/>
    <row r="47142" s="2" customFormat="1"/>
    <row r="47143" s="2" customFormat="1"/>
    <row r="47144" s="2" customFormat="1"/>
    <row r="47145" s="2" customFormat="1"/>
    <row r="47146" s="2" customFormat="1"/>
    <row r="47147" s="2" customFormat="1"/>
    <row r="47148" s="2" customFormat="1"/>
    <row r="47149" s="2" customFormat="1"/>
    <row r="47150" s="2" customFormat="1"/>
    <row r="47151" s="2" customFormat="1"/>
    <row r="47152" s="2" customFormat="1"/>
    <row r="47153" s="2" customFormat="1"/>
    <row r="47154" s="2" customFormat="1"/>
    <row r="47155" s="2" customFormat="1"/>
    <row r="47156" s="2" customFormat="1"/>
    <row r="47157" s="2" customFormat="1"/>
    <row r="47158" s="2" customFormat="1"/>
    <row r="47159" s="2" customFormat="1"/>
    <row r="47160" s="2" customFormat="1"/>
    <row r="47161" s="2" customFormat="1"/>
    <row r="47162" s="2" customFormat="1"/>
    <row r="47163" s="2" customFormat="1"/>
    <row r="47164" s="2" customFormat="1"/>
    <row r="47165" s="2" customFormat="1"/>
    <row r="47166" s="2" customFormat="1"/>
    <row r="47167" s="2" customFormat="1"/>
    <row r="47168" s="2" customFormat="1"/>
    <row r="47169" s="2" customFormat="1"/>
    <row r="47170" s="2" customFormat="1"/>
    <row r="47171" s="2" customFormat="1"/>
    <row r="47172" s="2" customFormat="1"/>
    <row r="47173" s="2" customFormat="1"/>
    <row r="47174" s="2" customFormat="1"/>
    <row r="47175" s="2" customFormat="1"/>
    <row r="47176" s="2" customFormat="1"/>
    <row r="47177" s="2" customFormat="1"/>
    <row r="47178" s="2" customFormat="1"/>
    <row r="47179" s="2" customFormat="1"/>
    <row r="47180" s="2" customFormat="1"/>
    <row r="47181" s="2" customFormat="1"/>
    <row r="47182" s="2" customFormat="1"/>
    <row r="47183" s="2" customFormat="1"/>
    <row r="47184" s="2" customFormat="1"/>
    <row r="47185" s="2" customFormat="1"/>
    <row r="47186" s="2" customFormat="1"/>
    <row r="47187" s="2" customFormat="1"/>
    <row r="47188" s="2" customFormat="1"/>
    <row r="47189" s="2" customFormat="1"/>
    <row r="47190" s="2" customFormat="1"/>
    <row r="47191" s="2" customFormat="1"/>
    <row r="47192" s="2" customFormat="1"/>
    <row r="47193" s="2" customFormat="1"/>
    <row r="47194" s="2" customFormat="1"/>
    <row r="47195" s="2" customFormat="1"/>
    <row r="47196" s="2" customFormat="1"/>
    <row r="47197" s="2" customFormat="1"/>
    <row r="47198" s="2" customFormat="1"/>
    <row r="47199" s="2" customFormat="1"/>
    <row r="47200" s="2" customFormat="1"/>
    <row r="47201" s="2" customFormat="1"/>
    <row r="47202" s="2" customFormat="1"/>
    <row r="47203" s="2" customFormat="1"/>
    <row r="47204" s="2" customFormat="1"/>
    <row r="47205" s="2" customFormat="1"/>
    <row r="47206" s="2" customFormat="1"/>
    <row r="47207" s="2" customFormat="1"/>
    <row r="47208" s="2" customFormat="1"/>
    <row r="47209" s="2" customFormat="1"/>
    <row r="47210" s="2" customFormat="1"/>
    <row r="47211" s="2" customFormat="1"/>
    <row r="47212" s="2" customFormat="1"/>
    <row r="47213" s="2" customFormat="1"/>
    <row r="47214" s="2" customFormat="1"/>
    <row r="47215" s="2" customFormat="1"/>
    <row r="47216" s="2" customFormat="1"/>
    <row r="47217" s="2" customFormat="1"/>
    <row r="47218" s="2" customFormat="1"/>
    <row r="47219" s="2" customFormat="1"/>
    <row r="47220" s="2" customFormat="1"/>
    <row r="47221" s="2" customFormat="1"/>
    <row r="47222" s="2" customFormat="1"/>
    <row r="47223" s="2" customFormat="1"/>
    <row r="47224" s="2" customFormat="1"/>
    <row r="47225" s="2" customFormat="1"/>
    <row r="47226" s="2" customFormat="1"/>
    <row r="47227" s="2" customFormat="1"/>
    <row r="47228" s="2" customFormat="1"/>
    <row r="47229" s="2" customFormat="1"/>
    <row r="47230" s="2" customFormat="1"/>
    <row r="47231" s="2" customFormat="1"/>
    <row r="47232" s="2" customFormat="1"/>
    <row r="47233" s="2" customFormat="1"/>
    <row r="47234" s="2" customFormat="1"/>
    <row r="47235" s="2" customFormat="1"/>
    <row r="47236" s="2" customFormat="1"/>
    <row r="47237" s="2" customFormat="1"/>
    <row r="47238" s="2" customFormat="1"/>
    <row r="47239" s="2" customFormat="1"/>
    <row r="47240" s="2" customFormat="1"/>
    <row r="47241" s="2" customFormat="1"/>
    <row r="47242" s="2" customFormat="1"/>
    <row r="47243" s="2" customFormat="1"/>
    <row r="47244" s="2" customFormat="1"/>
    <row r="47245" s="2" customFormat="1"/>
    <row r="47246" s="2" customFormat="1"/>
    <row r="47247" s="2" customFormat="1"/>
    <row r="47248" s="2" customFormat="1"/>
    <row r="47249" s="2" customFormat="1"/>
    <row r="47250" s="2" customFormat="1"/>
    <row r="47251" s="2" customFormat="1"/>
    <row r="47252" s="2" customFormat="1"/>
    <row r="47253" s="2" customFormat="1"/>
    <row r="47254" s="2" customFormat="1"/>
    <row r="47255" s="2" customFormat="1"/>
    <row r="47256" s="2" customFormat="1"/>
    <row r="47257" s="2" customFormat="1"/>
    <row r="47258" s="2" customFormat="1"/>
    <row r="47259" s="2" customFormat="1"/>
    <row r="47260" s="2" customFormat="1"/>
    <row r="47261" s="2" customFormat="1"/>
    <row r="47262" s="2" customFormat="1"/>
    <row r="47263" s="2" customFormat="1"/>
    <row r="47264" s="2" customFormat="1"/>
    <row r="47265" s="2" customFormat="1"/>
    <row r="47266" s="2" customFormat="1"/>
    <row r="47267" s="2" customFormat="1"/>
    <row r="47268" s="2" customFormat="1"/>
    <row r="47269" s="2" customFormat="1"/>
    <row r="47270" s="2" customFormat="1"/>
    <row r="47271" s="2" customFormat="1"/>
    <row r="47272" s="2" customFormat="1"/>
    <row r="47273" s="2" customFormat="1"/>
    <row r="47274" s="2" customFormat="1"/>
    <row r="47275" s="2" customFormat="1"/>
    <row r="47276" s="2" customFormat="1"/>
    <row r="47277" s="2" customFormat="1"/>
    <row r="47278" s="2" customFormat="1"/>
    <row r="47279" s="2" customFormat="1"/>
    <row r="47280" s="2" customFormat="1"/>
    <row r="47281" s="2" customFormat="1"/>
    <row r="47282" s="2" customFormat="1"/>
    <row r="47283" s="2" customFormat="1"/>
    <row r="47284" s="2" customFormat="1"/>
    <row r="47285" s="2" customFormat="1"/>
    <row r="47286" s="2" customFormat="1"/>
    <row r="47287" s="2" customFormat="1"/>
    <row r="47288" s="2" customFormat="1"/>
    <row r="47289" s="2" customFormat="1"/>
    <row r="47290" s="2" customFormat="1"/>
    <row r="47291" s="2" customFormat="1"/>
    <row r="47292" s="2" customFormat="1"/>
    <row r="47293" s="2" customFormat="1"/>
    <row r="47294" s="2" customFormat="1"/>
    <row r="47295" s="2" customFormat="1"/>
    <row r="47296" s="2" customFormat="1"/>
    <row r="47297" s="2" customFormat="1"/>
    <row r="47298" s="2" customFormat="1"/>
    <row r="47299" s="2" customFormat="1"/>
    <row r="47300" s="2" customFormat="1"/>
    <row r="47301" s="2" customFormat="1"/>
    <row r="47302" s="2" customFormat="1"/>
    <row r="47303" s="2" customFormat="1"/>
    <row r="47304" s="2" customFormat="1"/>
    <row r="47305" s="2" customFormat="1"/>
    <row r="47306" s="2" customFormat="1"/>
    <row r="47307" s="2" customFormat="1"/>
    <row r="47308" s="2" customFormat="1"/>
    <row r="47309" s="2" customFormat="1"/>
    <row r="47310" s="2" customFormat="1"/>
    <row r="47311" s="2" customFormat="1"/>
    <row r="47312" s="2" customFormat="1"/>
    <row r="47313" s="2" customFormat="1"/>
    <row r="47314" s="2" customFormat="1"/>
    <row r="47315" s="2" customFormat="1"/>
    <row r="47316" s="2" customFormat="1"/>
    <row r="47317" s="2" customFormat="1"/>
    <row r="47318" s="2" customFormat="1"/>
    <row r="47319" s="2" customFormat="1"/>
    <row r="47320" s="2" customFormat="1"/>
    <row r="47321" s="2" customFormat="1"/>
    <row r="47322" s="2" customFormat="1"/>
    <row r="47323" s="2" customFormat="1"/>
    <row r="47324" s="2" customFormat="1"/>
    <row r="47325" s="2" customFormat="1"/>
    <row r="47326" s="2" customFormat="1"/>
    <row r="47327" s="2" customFormat="1"/>
    <row r="47328" s="2" customFormat="1"/>
    <row r="47329" s="2" customFormat="1"/>
    <row r="47330" s="2" customFormat="1"/>
    <row r="47331" s="2" customFormat="1"/>
    <row r="47332" s="2" customFormat="1"/>
    <row r="47333" s="2" customFormat="1"/>
    <row r="47334" s="2" customFormat="1"/>
    <row r="47335" s="2" customFormat="1"/>
    <row r="47336" s="2" customFormat="1"/>
    <row r="47337" s="2" customFormat="1"/>
    <row r="47338" s="2" customFormat="1"/>
    <row r="47339" s="2" customFormat="1"/>
    <row r="47340" s="2" customFormat="1"/>
    <row r="47341" s="2" customFormat="1"/>
    <row r="47342" s="2" customFormat="1"/>
    <row r="47343" s="2" customFormat="1"/>
    <row r="47344" s="2" customFormat="1"/>
    <row r="47345" s="2" customFormat="1"/>
    <row r="47346" s="2" customFormat="1"/>
    <row r="47347" s="2" customFormat="1"/>
    <row r="47348" s="2" customFormat="1"/>
    <row r="47349" s="2" customFormat="1"/>
    <row r="47350" s="2" customFormat="1"/>
    <row r="47351" s="2" customFormat="1"/>
    <row r="47352" s="2" customFormat="1"/>
    <row r="47353" s="2" customFormat="1"/>
    <row r="47354" s="2" customFormat="1"/>
    <row r="47355" s="2" customFormat="1"/>
    <row r="47356" s="2" customFormat="1"/>
    <row r="47357" s="2" customFormat="1"/>
    <row r="47358" s="2" customFormat="1"/>
    <row r="47359" s="2" customFormat="1"/>
    <row r="47360" s="2" customFormat="1"/>
    <row r="47361" s="2" customFormat="1"/>
    <row r="47362" s="2" customFormat="1"/>
    <row r="47363" s="2" customFormat="1"/>
    <row r="47364" s="2" customFormat="1"/>
    <row r="47365" s="2" customFormat="1"/>
    <row r="47366" s="2" customFormat="1"/>
    <row r="47367" s="2" customFormat="1"/>
    <row r="47368" s="2" customFormat="1"/>
    <row r="47369" s="2" customFormat="1"/>
    <row r="47370" s="2" customFormat="1"/>
    <row r="47371" s="2" customFormat="1"/>
    <row r="47372" s="2" customFormat="1"/>
    <row r="47373" s="2" customFormat="1"/>
    <row r="47374" s="2" customFormat="1"/>
    <row r="47375" s="2" customFormat="1"/>
    <row r="47376" s="2" customFormat="1"/>
    <row r="47377" s="2" customFormat="1"/>
    <row r="47378" s="2" customFormat="1"/>
    <row r="47379" s="2" customFormat="1"/>
    <row r="47380" s="2" customFormat="1"/>
    <row r="47381" s="2" customFormat="1"/>
    <row r="47382" s="2" customFormat="1"/>
    <row r="47383" s="2" customFormat="1"/>
    <row r="47384" s="2" customFormat="1"/>
    <row r="47385" s="2" customFormat="1"/>
    <row r="47386" s="2" customFormat="1"/>
    <row r="47387" s="2" customFormat="1"/>
    <row r="47388" s="2" customFormat="1"/>
    <row r="47389" s="2" customFormat="1"/>
    <row r="47390" s="2" customFormat="1"/>
    <row r="47391" s="2" customFormat="1"/>
    <row r="47392" s="2" customFormat="1"/>
    <row r="47393" s="2" customFormat="1"/>
    <row r="47394" s="2" customFormat="1"/>
    <row r="47395" s="2" customFormat="1"/>
    <row r="47396" s="2" customFormat="1"/>
    <row r="47397" s="2" customFormat="1"/>
    <row r="47398" s="2" customFormat="1"/>
    <row r="47399" s="2" customFormat="1"/>
    <row r="47400" s="2" customFormat="1"/>
    <row r="47401" s="2" customFormat="1"/>
    <row r="47402" s="2" customFormat="1"/>
    <row r="47403" s="2" customFormat="1"/>
    <row r="47404" s="2" customFormat="1"/>
    <row r="47405" s="2" customFormat="1"/>
    <row r="47406" s="2" customFormat="1"/>
    <row r="47407" s="2" customFormat="1"/>
    <row r="47408" s="2" customFormat="1"/>
    <row r="47409" s="2" customFormat="1"/>
    <row r="47410" s="2" customFormat="1"/>
    <row r="47411" s="2" customFormat="1"/>
    <row r="47412" s="2" customFormat="1"/>
    <row r="47413" s="2" customFormat="1"/>
    <row r="47414" s="2" customFormat="1"/>
    <row r="47415" s="2" customFormat="1"/>
    <row r="47416" s="2" customFormat="1"/>
    <row r="47417" s="2" customFormat="1"/>
    <row r="47418" s="2" customFormat="1"/>
    <row r="47419" s="2" customFormat="1"/>
    <row r="47420" s="2" customFormat="1"/>
    <row r="47421" s="2" customFormat="1"/>
    <row r="47422" s="2" customFormat="1"/>
    <row r="47423" s="2" customFormat="1"/>
    <row r="47424" s="2" customFormat="1"/>
    <row r="47425" s="2" customFormat="1"/>
    <row r="47426" s="2" customFormat="1"/>
    <row r="47427" s="2" customFormat="1"/>
    <row r="47428" s="2" customFormat="1"/>
    <row r="47429" s="2" customFormat="1"/>
    <row r="47430" s="2" customFormat="1"/>
    <row r="47431" s="2" customFormat="1"/>
    <row r="47432" s="2" customFormat="1"/>
    <row r="47433" s="2" customFormat="1"/>
    <row r="47434" s="2" customFormat="1"/>
    <row r="47435" s="2" customFormat="1"/>
    <row r="47436" s="2" customFormat="1"/>
    <row r="47437" s="2" customFormat="1"/>
    <row r="47438" s="2" customFormat="1"/>
    <row r="47439" s="2" customFormat="1"/>
    <row r="47440" s="2" customFormat="1"/>
    <row r="47441" s="2" customFormat="1"/>
    <row r="47442" s="2" customFormat="1"/>
    <row r="47443" s="2" customFormat="1"/>
    <row r="47444" s="2" customFormat="1"/>
    <row r="47445" s="2" customFormat="1"/>
    <row r="47446" s="2" customFormat="1"/>
    <row r="47447" s="2" customFormat="1"/>
    <row r="47448" s="2" customFormat="1"/>
    <row r="47449" s="2" customFormat="1"/>
    <row r="47450" s="2" customFormat="1"/>
    <row r="47451" s="2" customFormat="1"/>
    <row r="47452" s="2" customFormat="1"/>
    <row r="47453" s="2" customFormat="1"/>
    <row r="47454" s="2" customFormat="1"/>
    <row r="47455" s="2" customFormat="1"/>
    <row r="47456" s="2" customFormat="1"/>
    <row r="47457" s="2" customFormat="1"/>
    <row r="47458" s="2" customFormat="1"/>
    <row r="47459" s="2" customFormat="1"/>
    <row r="47460" s="2" customFormat="1"/>
    <row r="47461" s="2" customFormat="1"/>
    <row r="47462" s="2" customFormat="1"/>
    <row r="47463" s="2" customFormat="1"/>
    <row r="47464" s="2" customFormat="1"/>
    <row r="47465" s="2" customFormat="1"/>
    <row r="47466" s="2" customFormat="1"/>
    <row r="47467" s="2" customFormat="1"/>
    <row r="47468" s="2" customFormat="1"/>
    <row r="47469" s="2" customFormat="1"/>
    <row r="47470" s="2" customFormat="1"/>
    <row r="47471" s="2" customFormat="1"/>
    <row r="47472" s="2" customFormat="1"/>
    <row r="47473" s="2" customFormat="1"/>
    <row r="47474" s="2" customFormat="1"/>
    <row r="47475" s="2" customFormat="1"/>
    <row r="47476" s="2" customFormat="1"/>
    <row r="47477" s="2" customFormat="1"/>
    <row r="47478" s="2" customFormat="1"/>
    <row r="47479" s="2" customFormat="1"/>
    <row r="47480" s="2" customFormat="1"/>
    <row r="47481" s="2" customFormat="1"/>
    <row r="47482" s="2" customFormat="1"/>
    <row r="47483" s="2" customFormat="1"/>
    <row r="47484" s="2" customFormat="1"/>
    <row r="47485" s="2" customFormat="1"/>
    <row r="47486" s="2" customFormat="1"/>
    <row r="47487" s="2" customFormat="1"/>
    <row r="47488" s="2" customFormat="1"/>
    <row r="47489" s="2" customFormat="1"/>
    <row r="47490" s="2" customFormat="1"/>
    <row r="47491" s="2" customFormat="1"/>
    <row r="47492" s="2" customFormat="1"/>
    <row r="47493" s="2" customFormat="1"/>
    <row r="47494" s="2" customFormat="1"/>
    <row r="47495" s="2" customFormat="1"/>
    <row r="47496" s="2" customFormat="1"/>
    <row r="47497" s="2" customFormat="1"/>
    <row r="47498" s="2" customFormat="1"/>
    <row r="47499" s="2" customFormat="1"/>
    <row r="47500" s="2" customFormat="1"/>
    <row r="47501" s="2" customFormat="1"/>
    <row r="47502" s="2" customFormat="1"/>
    <row r="47503" s="2" customFormat="1"/>
    <row r="47504" s="2" customFormat="1"/>
    <row r="47505" s="2" customFormat="1"/>
    <row r="47506" s="2" customFormat="1"/>
    <row r="47507" s="2" customFormat="1"/>
    <row r="47508" s="2" customFormat="1"/>
    <row r="47509" s="2" customFormat="1"/>
    <row r="47510" s="2" customFormat="1"/>
    <row r="47511" s="2" customFormat="1"/>
    <row r="47512" s="2" customFormat="1"/>
    <row r="47513" s="2" customFormat="1"/>
    <row r="47514" s="2" customFormat="1"/>
    <row r="47515" s="2" customFormat="1"/>
    <row r="47516" s="2" customFormat="1"/>
    <row r="47517" s="2" customFormat="1"/>
    <row r="47518" s="2" customFormat="1"/>
    <row r="47519" s="2" customFormat="1"/>
    <row r="47520" s="2" customFormat="1"/>
    <row r="47521" s="2" customFormat="1"/>
    <row r="47522" s="2" customFormat="1"/>
    <row r="47523" s="2" customFormat="1"/>
    <row r="47524" s="2" customFormat="1"/>
    <row r="47525" s="2" customFormat="1"/>
    <row r="47526" s="2" customFormat="1"/>
    <row r="47527" s="2" customFormat="1"/>
    <row r="47528" s="2" customFormat="1"/>
    <row r="47529" s="2" customFormat="1"/>
    <row r="47530" s="2" customFormat="1"/>
    <row r="47531" s="2" customFormat="1"/>
    <row r="47532" s="2" customFormat="1"/>
    <row r="47533" s="2" customFormat="1"/>
    <row r="47534" s="2" customFormat="1"/>
    <row r="47535" s="2" customFormat="1"/>
    <row r="47536" s="2" customFormat="1"/>
    <row r="47537" s="2" customFormat="1"/>
    <row r="47538" s="2" customFormat="1"/>
    <row r="47539" s="2" customFormat="1"/>
    <row r="47540" s="2" customFormat="1"/>
    <row r="47541" s="2" customFormat="1"/>
    <row r="47542" s="2" customFormat="1"/>
    <row r="47543" s="2" customFormat="1"/>
    <row r="47544" s="2" customFormat="1"/>
    <row r="47545" s="2" customFormat="1"/>
    <row r="47546" s="2" customFormat="1"/>
    <row r="47547" s="2" customFormat="1"/>
    <row r="47548" s="2" customFormat="1"/>
    <row r="47549" s="2" customFormat="1"/>
    <row r="47550" s="2" customFormat="1"/>
    <row r="47551" s="2" customFormat="1"/>
    <row r="47552" s="2" customFormat="1"/>
    <row r="47553" s="2" customFormat="1"/>
    <row r="47554" s="2" customFormat="1"/>
    <row r="47555" s="2" customFormat="1"/>
    <row r="47556" s="2" customFormat="1"/>
    <row r="47557" s="2" customFormat="1"/>
    <row r="47558" s="2" customFormat="1"/>
    <row r="47559" s="2" customFormat="1"/>
    <row r="47560" s="2" customFormat="1"/>
    <row r="47561" s="2" customFormat="1"/>
    <row r="47562" s="2" customFormat="1"/>
    <row r="47563" s="2" customFormat="1"/>
    <row r="47564" s="2" customFormat="1"/>
    <row r="47565" s="2" customFormat="1"/>
    <row r="47566" s="2" customFormat="1"/>
    <row r="47567" s="2" customFormat="1"/>
    <row r="47568" s="2" customFormat="1"/>
    <row r="47569" s="2" customFormat="1"/>
    <row r="47570" s="2" customFormat="1"/>
    <row r="47571" s="2" customFormat="1"/>
    <row r="47572" s="2" customFormat="1"/>
    <row r="47573" s="2" customFormat="1"/>
    <row r="47574" s="2" customFormat="1"/>
    <row r="47575" s="2" customFormat="1"/>
    <row r="47576" s="2" customFormat="1"/>
    <row r="47577" s="2" customFormat="1"/>
    <row r="47578" s="2" customFormat="1"/>
    <row r="47579" s="2" customFormat="1"/>
    <row r="47580" s="2" customFormat="1"/>
    <row r="47581" s="2" customFormat="1"/>
    <row r="47582" s="2" customFormat="1"/>
    <row r="47583" s="2" customFormat="1"/>
    <row r="47584" s="2" customFormat="1"/>
    <row r="47585" s="2" customFormat="1"/>
    <row r="47586" s="2" customFormat="1"/>
    <row r="47587" s="2" customFormat="1"/>
    <row r="47588" s="2" customFormat="1"/>
    <row r="47589" s="2" customFormat="1"/>
    <row r="47590" s="2" customFormat="1"/>
    <row r="47591" s="2" customFormat="1"/>
    <row r="47592" s="2" customFormat="1"/>
    <row r="47593" s="2" customFormat="1"/>
    <row r="47594" s="2" customFormat="1"/>
    <row r="47595" s="2" customFormat="1"/>
    <row r="47596" s="2" customFormat="1"/>
    <row r="47597" s="2" customFormat="1"/>
    <row r="47598" s="2" customFormat="1"/>
    <row r="47599" s="2" customFormat="1"/>
    <row r="47600" s="2" customFormat="1"/>
    <row r="47601" s="2" customFormat="1"/>
    <row r="47602" s="2" customFormat="1"/>
    <row r="47603" s="2" customFormat="1"/>
    <row r="47604" s="2" customFormat="1"/>
    <row r="47605" s="2" customFormat="1"/>
    <row r="47606" s="2" customFormat="1"/>
    <row r="47607" s="2" customFormat="1"/>
    <row r="47608" s="2" customFormat="1"/>
    <row r="47609" s="2" customFormat="1"/>
    <row r="47610" s="2" customFormat="1"/>
    <row r="47611" s="2" customFormat="1"/>
    <row r="47612" s="2" customFormat="1"/>
    <row r="47613" s="2" customFormat="1"/>
    <row r="47614" s="2" customFormat="1"/>
    <row r="47615" s="2" customFormat="1"/>
    <row r="47616" s="2" customFormat="1"/>
    <row r="47617" s="2" customFormat="1"/>
    <row r="47618" s="2" customFormat="1"/>
    <row r="47619" s="2" customFormat="1"/>
    <row r="47620" s="2" customFormat="1"/>
    <row r="47621" s="2" customFormat="1"/>
    <row r="47622" s="2" customFormat="1"/>
    <row r="47623" s="2" customFormat="1"/>
    <row r="47624" s="2" customFormat="1"/>
    <row r="47625" s="2" customFormat="1"/>
    <row r="47626" s="2" customFormat="1"/>
    <row r="47627" s="2" customFormat="1"/>
    <row r="47628" s="2" customFormat="1"/>
    <row r="47629" s="2" customFormat="1"/>
    <row r="47630" s="2" customFormat="1"/>
    <row r="47631" s="2" customFormat="1"/>
    <row r="47632" s="2" customFormat="1"/>
    <row r="47633" s="2" customFormat="1"/>
    <row r="47634" s="2" customFormat="1"/>
    <row r="47635" s="2" customFormat="1"/>
    <row r="47636" s="2" customFormat="1"/>
    <row r="47637" s="2" customFormat="1"/>
    <row r="47638" s="2" customFormat="1"/>
    <row r="47639" s="2" customFormat="1"/>
    <row r="47640" s="2" customFormat="1"/>
    <row r="47641" s="2" customFormat="1"/>
    <row r="47642" s="2" customFormat="1"/>
    <row r="47643" s="2" customFormat="1"/>
    <row r="47644" s="2" customFormat="1"/>
    <row r="47645" s="2" customFormat="1"/>
    <row r="47646" s="2" customFormat="1"/>
    <row r="47647" s="2" customFormat="1"/>
    <row r="47648" s="2" customFormat="1"/>
    <row r="47649" s="2" customFormat="1"/>
    <row r="47650" s="2" customFormat="1"/>
    <row r="47651" s="2" customFormat="1"/>
    <row r="47652" s="2" customFormat="1"/>
    <row r="47653" s="2" customFormat="1"/>
    <row r="47654" s="2" customFormat="1"/>
    <row r="47655" s="2" customFormat="1"/>
    <row r="47656" s="2" customFormat="1"/>
    <row r="47657" s="2" customFormat="1"/>
    <row r="47658" s="2" customFormat="1"/>
    <row r="47659" s="2" customFormat="1"/>
    <row r="47660" s="2" customFormat="1"/>
    <row r="47661" s="2" customFormat="1"/>
    <row r="47662" s="2" customFormat="1"/>
    <row r="47663" s="2" customFormat="1"/>
    <row r="47664" s="2" customFormat="1"/>
    <row r="47665" s="2" customFormat="1"/>
    <row r="47666" s="2" customFormat="1"/>
    <row r="47667" s="2" customFormat="1"/>
    <row r="47668" s="2" customFormat="1"/>
    <row r="47669" s="2" customFormat="1"/>
    <row r="47670" s="2" customFormat="1"/>
    <row r="47671" s="2" customFormat="1"/>
    <row r="47672" s="2" customFormat="1"/>
    <row r="47673" s="2" customFormat="1"/>
    <row r="47674" s="2" customFormat="1"/>
    <row r="47675" s="2" customFormat="1"/>
    <row r="47676" s="2" customFormat="1"/>
    <row r="47677" s="2" customFormat="1"/>
    <row r="47678" s="2" customFormat="1"/>
    <row r="47679" s="2" customFormat="1"/>
    <row r="47680" s="2" customFormat="1"/>
    <row r="47681" s="2" customFormat="1"/>
    <row r="47682" s="2" customFormat="1"/>
    <row r="47683" s="2" customFormat="1"/>
    <row r="47684" s="2" customFormat="1"/>
    <row r="47685" s="2" customFormat="1"/>
    <row r="47686" s="2" customFormat="1"/>
    <row r="47687" s="2" customFormat="1"/>
    <row r="47688" s="2" customFormat="1"/>
    <row r="47689" s="2" customFormat="1"/>
    <row r="47690" s="2" customFormat="1"/>
    <row r="47691" s="2" customFormat="1"/>
    <row r="47692" s="2" customFormat="1"/>
    <row r="47693" s="2" customFormat="1"/>
    <row r="47694" s="2" customFormat="1"/>
    <row r="47695" s="2" customFormat="1"/>
    <row r="47696" s="2" customFormat="1"/>
    <row r="47697" s="2" customFormat="1"/>
    <row r="47698" s="2" customFormat="1"/>
    <row r="47699" s="2" customFormat="1"/>
    <row r="47700" s="2" customFormat="1"/>
    <row r="47701" s="2" customFormat="1"/>
    <row r="47702" s="2" customFormat="1"/>
    <row r="47703" s="2" customFormat="1"/>
    <row r="47704" s="2" customFormat="1"/>
    <row r="47705" s="2" customFormat="1"/>
    <row r="47706" s="2" customFormat="1"/>
    <row r="47707" s="2" customFormat="1"/>
    <row r="47708" s="2" customFormat="1"/>
    <row r="47709" s="2" customFormat="1"/>
    <row r="47710" s="2" customFormat="1"/>
    <row r="47711" s="2" customFormat="1"/>
    <row r="47712" s="2" customFormat="1"/>
    <row r="47713" s="2" customFormat="1"/>
    <row r="47714" s="2" customFormat="1"/>
    <row r="47715" s="2" customFormat="1"/>
    <row r="47716" s="2" customFormat="1"/>
    <row r="47717" s="2" customFormat="1"/>
    <row r="47718" s="2" customFormat="1"/>
    <row r="47719" s="2" customFormat="1"/>
    <row r="47720" s="2" customFormat="1"/>
    <row r="47721" s="2" customFormat="1"/>
    <row r="47722" s="2" customFormat="1"/>
    <row r="47723" s="2" customFormat="1"/>
    <row r="47724" s="2" customFormat="1"/>
    <row r="47725" s="2" customFormat="1"/>
    <row r="47726" s="2" customFormat="1"/>
    <row r="47727" s="2" customFormat="1"/>
    <row r="47728" s="2" customFormat="1"/>
    <row r="47729" s="2" customFormat="1"/>
    <row r="47730" s="2" customFormat="1"/>
    <row r="47731" s="2" customFormat="1"/>
    <row r="47732" s="2" customFormat="1"/>
    <row r="47733" s="2" customFormat="1"/>
    <row r="47734" s="2" customFormat="1"/>
    <row r="47735" s="2" customFormat="1"/>
    <row r="47736" s="2" customFormat="1"/>
    <row r="47737" s="2" customFormat="1"/>
    <row r="47738" s="2" customFormat="1"/>
    <row r="47739" s="2" customFormat="1"/>
    <row r="47740" s="2" customFormat="1"/>
    <row r="47741" s="2" customFormat="1"/>
    <row r="47742" s="2" customFormat="1"/>
    <row r="47743" s="2" customFormat="1"/>
    <row r="47744" s="2" customFormat="1"/>
    <row r="47745" s="2" customFormat="1"/>
    <row r="47746" s="2" customFormat="1"/>
    <row r="47747" s="2" customFormat="1"/>
    <row r="47748" s="2" customFormat="1"/>
    <row r="47749" s="2" customFormat="1"/>
    <row r="47750" s="2" customFormat="1"/>
    <row r="47751" s="2" customFormat="1"/>
    <row r="47752" s="2" customFormat="1"/>
    <row r="47753" s="2" customFormat="1"/>
    <row r="47754" s="2" customFormat="1"/>
    <row r="47755" s="2" customFormat="1"/>
    <row r="47756" s="2" customFormat="1"/>
    <row r="47757" s="2" customFormat="1"/>
    <row r="47758" s="2" customFormat="1"/>
    <row r="47759" s="2" customFormat="1"/>
    <row r="47760" s="2" customFormat="1"/>
    <row r="47761" s="2" customFormat="1"/>
    <row r="47762" s="2" customFormat="1"/>
    <row r="47763" s="2" customFormat="1"/>
    <row r="47764" s="2" customFormat="1"/>
    <row r="47765" s="2" customFormat="1"/>
    <row r="47766" s="2" customFormat="1"/>
    <row r="47767" s="2" customFormat="1"/>
    <row r="47768" s="2" customFormat="1"/>
    <row r="47769" s="2" customFormat="1"/>
    <row r="47770" s="2" customFormat="1"/>
    <row r="47771" s="2" customFormat="1"/>
    <row r="47772" s="2" customFormat="1"/>
    <row r="47773" s="2" customFormat="1"/>
    <row r="47774" s="2" customFormat="1"/>
    <row r="47775" s="2" customFormat="1"/>
    <row r="47776" s="2" customFormat="1"/>
    <row r="47777" s="2" customFormat="1"/>
    <row r="47778" s="2" customFormat="1"/>
    <row r="47779" s="2" customFormat="1"/>
    <row r="47780" s="2" customFormat="1"/>
    <row r="47781" s="2" customFormat="1"/>
    <row r="47782" s="2" customFormat="1"/>
    <row r="47783" s="2" customFormat="1"/>
    <row r="47784" s="2" customFormat="1"/>
    <row r="47785" s="2" customFormat="1"/>
    <row r="47786" s="2" customFormat="1"/>
    <row r="47787" s="2" customFormat="1"/>
    <row r="47788" s="2" customFormat="1"/>
    <row r="47789" s="2" customFormat="1"/>
    <row r="47790" s="2" customFormat="1"/>
    <row r="47791" s="2" customFormat="1"/>
    <row r="47792" s="2" customFormat="1"/>
    <row r="47793" s="2" customFormat="1"/>
    <row r="47794" s="2" customFormat="1"/>
    <row r="47795" s="2" customFormat="1"/>
    <row r="47796" s="2" customFormat="1"/>
    <row r="47797" s="2" customFormat="1"/>
    <row r="47798" s="2" customFormat="1"/>
    <row r="47799" s="2" customFormat="1"/>
    <row r="47800" s="2" customFormat="1"/>
    <row r="47801" s="2" customFormat="1"/>
    <row r="47802" s="2" customFormat="1"/>
    <row r="47803" s="2" customFormat="1"/>
    <row r="47804" s="2" customFormat="1"/>
    <row r="47805" s="2" customFormat="1"/>
    <row r="47806" s="2" customFormat="1"/>
    <row r="47807" s="2" customFormat="1"/>
    <row r="47808" s="2" customFormat="1"/>
    <row r="47809" s="2" customFormat="1"/>
    <row r="47810" s="2" customFormat="1"/>
    <row r="47811" s="2" customFormat="1"/>
    <row r="47812" s="2" customFormat="1"/>
    <row r="47813" s="2" customFormat="1"/>
    <row r="47814" s="2" customFormat="1"/>
    <row r="47815" s="2" customFormat="1"/>
    <row r="47816" s="2" customFormat="1"/>
    <row r="47817" s="2" customFormat="1"/>
    <row r="47818" s="2" customFormat="1"/>
    <row r="47819" s="2" customFormat="1"/>
    <row r="47820" s="2" customFormat="1"/>
    <row r="47821" s="2" customFormat="1"/>
    <row r="47822" s="2" customFormat="1"/>
    <row r="47823" s="2" customFormat="1"/>
    <row r="47824" s="2" customFormat="1"/>
    <row r="47825" s="2" customFormat="1"/>
    <row r="47826" s="2" customFormat="1"/>
    <row r="47827" s="2" customFormat="1"/>
    <row r="47828" s="2" customFormat="1"/>
    <row r="47829" s="2" customFormat="1"/>
    <row r="47830" s="2" customFormat="1"/>
    <row r="47831" s="2" customFormat="1"/>
    <row r="47832" s="2" customFormat="1"/>
    <row r="47833" s="2" customFormat="1"/>
    <row r="47834" s="2" customFormat="1"/>
    <row r="47835" s="2" customFormat="1"/>
    <row r="47836" s="2" customFormat="1"/>
    <row r="47837" s="2" customFormat="1"/>
    <row r="47838" s="2" customFormat="1"/>
    <row r="47839" s="2" customFormat="1"/>
    <row r="47840" s="2" customFormat="1"/>
    <row r="47841" s="2" customFormat="1"/>
    <row r="47842" s="2" customFormat="1"/>
    <row r="47843" s="2" customFormat="1"/>
    <row r="47844" s="2" customFormat="1"/>
    <row r="47845" s="2" customFormat="1"/>
    <row r="47846" s="2" customFormat="1"/>
    <row r="47847" s="2" customFormat="1"/>
    <row r="47848" s="2" customFormat="1"/>
    <row r="47849" s="2" customFormat="1"/>
    <row r="47850" s="2" customFormat="1"/>
    <row r="47851" s="2" customFormat="1"/>
    <row r="47852" s="2" customFormat="1"/>
    <row r="47853" s="2" customFormat="1"/>
    <row r="47854" s="2" customFormat="1"/>
    <row r="47855" s="2" customFormat="1"/>
    <row r="47856" s="2" customFormat="1"/>
    <row r="47857" s="2" customFormat="1"/>
    <row r="47858" s="2" customFormat="1"/>
    <row r="47859" s="2" customFormat="1"/>
    <row r="47860" s="2" customFormat="1"/>
    <row r="47861" s="2" customFormat="1"/>
    <row r="47862" s="2" customFormat="1"/>
    <row r="47863" s="2" customFormat="1"/>
    <row r="47864" s="2" customFormat="1"/>
    <row r="47865" s="2" customFormat="1"/>
    <row r="47866" s="2" customFormat="1"/>
    <row r="47867" s="2" customFormat="1"/>
    <row r="47868" s="2" customFormat="1"/>
    <row r="47869" s="2" customFormat="1"/>
    <row r="47870" s="2" customFormat="1"/>
    <row r="47871" s="2" customFormat="1"/>
    <row r="47872" s="2" customFormat="1"/>
    <row r="47873" s="2" customFormat="1"/>
    <row r="47874" s="2" customFormat="1"/>
    <row r="47875" s="2" customFormat="1"/>
    <row r="47876" s="2" customFormat="1"/>
    <row r="47877" s="2" customFormat="1"/>
    <row r="47878" s="2" customFormat="1"/>
    <row r="47879" s="2" customFormat="1"/>
    <row r="47880" s="2" customFormat="1"/>
    <row r="47881" s="2" customFormat="1"/>
    <row r="47882" s="2" customFormat="1"/>
    <row r="47883" s="2" customFormat="1"/>
    <row r="47884" s="2" customFormat="1"/>
    <row r="47885" s="2" customFormat="1"/>
    <row r="47886" s="2" customFormat="1"/>
    <row r="47887" s="2" customFormat="1"/>
    <row r="47888" s="2" customFormat="1"/>
    <row r="47889" s="2" customFormat="1"/>
    <row r="47890" s="2" customFormat="1"/>
    <row r="47891" s="2" customFormat="1"/>
    <row r="47892" s="2" customFormat="1"/>
    <row r="47893" s="2" customFormat="1"/>
    <row r="47894" s="2" customFormat="1"/>
    <row r="47895" s="2" customFormat="1"/>
    <row r="47896" s="2" customFormat="1"/>
    <row r="47897" s="2" customFormat="1"/>
    <row r="47898" s="2" customFormat="1"/>
    <row r="47899" s="2" customFormat="1"/>
    <row r="47900" s="2" customFormat="1"/>
    <row r="47901" s="2" customFormat="1"/>
    <row r="47902" s="2" customFormat="1"/>
    <row r="47903" s="2" customFormat="1"/>
    <row r="47904" s="2" customFormat="1"/>
    <row r="47905" s="2" customFormat="1"/>
    <row r="47906" s="2" customFormat="1"/>
    <row r="47907" s="2" customFormat="1"/>
    <row r="47908" s="2" customFormat="1"/>
    <row r="47909" s="2" customFormat="1"/>
    <row r="47910" s="2" customFormat="1"/>
    <row r="47911" s="2" customFormat="1"/>
    <row r="47912" s="2" customFormat="1"/>
    <row r="47913" s="2" customFormat="1"/>
    <row r="47914" s="2" customFormat="1"/>
    <row r="47915" s="2" customFormat="1"/>
    <row r="47916" s="2" customFormat="1"/>
    <row r="47917" s="2" customFormat="1"/>
    <row r="47918" s="2" customFormat="1"/>
    <row r="47919" s="2" customFormat="1"/>
    <row r="47920" s="2" customFormat="1"/>
    <row r="47921" s="2" customFormat="1"/>
    <row r="47922" s="2" customFormat="1"/>
    <row r="47923" s="2" customFormat="1"/>
    <row r="47924" s="2" customFormat="1"/>
    <row r="47925" s="2" customFormat="1"/>
    <row r="47926" s="2" customFormat="1"/>
    <row r="47927" s="2" customFormat="1"/>
    <row r="47928" s="2" customFormat="1"/>
    <row r="47929" s="2" customFormat="1"/>
    <row r="47930" s="2" customFormat="1"/>
    <row r="47931" s="2" customFormat="1"/>
    <row r="47932" s="2" customFormat="1"/>
    <row r="47933" s="2" customFormat="1"/>
    <row r="47934" s="2" customFormat="1"/>
    <row r="47935" s="2" customFormat="1"/>
    <row r="47936" s="2" customFormat="1"/>
    <row r="47937" s="2" customFormat="1"/>
    <row r="47938" s="2" customFormat="1"/>
    <row r="47939" s="2" customFormat="1"/>
    <row r="47940" s="2" customFormat="1"/>
    <row r="47941" s="2" customFormat="1"/>
    <row r="47942" s="2" customFormat="1"/>
    <row r="47943" s="2" customFormat="1"/>
    <row r="47944" s="2" customFormat="1"/>
    <row r="47945" s="2" customFormat="1"/>
    <row r="47946" s="2" customFormat="1"/>
    <row r="47947" s="2" customFormat="1"/>
    <row r="47948" s="2" customFormat="1"/>
    <row r="47949" s="2" customFormat="1"/>
    <row r="47950" s="2" customFormat="1"/>
    <row r="47951" s="2" customFormat="1"/>
    <row r="47952" s="2" customFormat="1"/>
    <row r="47953" s="2" customFormat="1"/>
    <row r="47954" s="2" customFormat="1"/>
    <row r="47955" s="2" customFormat="1"/>
    <row r="47956" s="2" customFormat="1"/>
    <row r="47957" s="2" customFormat="1"/>
    <row r="47958" s="2" customFormat="1"/>
    <row r="47959" s="2" customFormat="1"/>
    <row r="47960" s="2" customFormat="1"/>
    <row r="47961" s="2" customFormat="1"/>
    <row r="47962" s="2" customFormat="1"/>
    <row r="47963" s="2" customFormat="1"/>
    <row r="47964" s="2" customFormat="1"/>
    <row r="47965" s="2" customFormat="1"/>
    <row r="47966" s="2" customFormat="1"/>
    <row r="47967" s="2" customFormat="1"/>
    <row r="47968" s="2" customFormat="1"/>
    <row r="47969" s="2" customFormat="1"/>
    <row r="47970" s="2" customFormat="1"/>
    <row r="47971" s="2" customFormat="1"/>
    <row r="47972" s="2" customFormat="1"/>
    <row r="47973" s="2" customFormat="1"/>
    <row r="47974" s="2" customFormat="1"/>
    <row r="47975" s="2" customFormat="1"/>
    <row r="47976" s="2" customFormat="1"/>
    <row r="47977" s="2" customFormat="1"/>
    <row r="47978" s="2" customFormat="1"/>
    <row r="47979" s="2" customFormat="1"/>
    <row r="47980" s="2" customFormat="1"/>
    <row r="47981" s="2" customFormat="1"/>
    <row r="47982" s="2" customFormat="1"/>
    <row r="47983" s="2" customFormat="1"/>
    <row r="47984" s="2" customFormat="1"/>
    <row r="47985" s="2" customFormat="1"/>
    <row r="47986" s="2" customFormat="1"/>
    <row r="47987" s="2" customFormat="1"/>
    <row r="47988" s="2" customFormat="1"/>
    <row r="47989" s="2" customFormat="1"/>
    <row r="47990" s="2" customFormat="1"/>
    <row r="47991" s="2" customFormat="1"/>
    <row r="47992" s="2" customFormat="1"/>
    <row r="47993" s="2" customFormat="1"/>
    <row r="47994" s="2" customFormat="1"/>
    <row r="47995" s="2" customFormat="1"/>
    <row r="47996" s="2" customFormat="1"/>
    <row r="47997" s="2" customFormat="1"/>
    <row r="47998" s="2" customFormat="1"/>
    <row r="47999" s="2" customFormat="1"/>
    <row r="48000" s="2" customFormat="1"/>
    <row r="48001" s="2" customFormat="1"/>
    <row r="48002" s="2" customFormat="1"/>
    <row r="48003" s="2" customFormat="1"/>
    <row r="48004" s="2" customFormat="1"/>
    <row r="48005" s="2" customFormat="1"/>
    <row r="48006" s="2" customFormat="1"/>
    <row r="48007" s="2" customFormat="1"/>
    <row r="48008" s="2" customFormat="1"/>
    <row r="48009" s="2" customFormat="1"/>
    <row r="48010" s="2" customFormat="1"/>
    <row r="48011" s="2" customFormat="1"/>
    <row r="48012" s="2" customFormat="1"/>
    <row r="48013" s="2" customFormat="1"/>
    <row r="48014" s="2" customFormat="1"/>
    <row r="48015" s="2" customFormat="1"/>
    <row r="48016" s="2" customFormat="1"/>
    <row r="48017" s="2" customFormat="1"/>
    <row r="48018" s="2" customFormat="1"/>
    <row r="48019" s="2" customFormat="1"/>
    <row r="48020" s="2" customFormat="1"/>
    <row r="48021" s="2" customFormat="1"/>
    <row r="48022" s="2" customFormat="1"/>
    <row r="48023" s="2" customFormat="1"/>
    <row r="48024" s="2" customFormat="1"/>
    <row r="48025" s="2" customFormat="1"/>
    <row r="48026" s="2" customFormat="1"/>
    <row r="48027" s="2" customFormat="1"/>
    <row r="48028" s="2" customFormat="1"/>
    <row r="48029" s="2" customFormat="1"/>
    <row r="48030" s="2" customFormat="1"/>
    <row r="48031" s="2" customFormat="1"/>
    <row r="48032" s="2" customFormat="1"/>
    <row r="48033" s="2" customFormat="1"/>
    <row r="48034" s="2" customFormat="1"/>
    <row r="48035" s="2" customFormat="1"/>
    <row r="48036" s="2" customFormat="1"/>
    <row r="48037" s="2" customFormat="1"/>
    <row r="48038" s="2" customFormat="1"/>
    <row r="48039" s="2" customFormat="1"/>
    <row r="48040" s="2" customFormat="1"/>
    <row r="48041" s="2" customFormat="1"/>
    <row r="48042" s="2" customFormat="1"/>
    <row r="48043" s="2" customFormat="1"/>
    <row r="48044" s="2" customFormat="1"/>
    <row r="48045" s="2" customFormat="1"/>
    <row r="48046" s="2" customFormat="1"/>
    <row r="48047" s="2" customFormat="1"/>
    <row r="48048" s="2" customFormat="1"/>
    <row r="48049" s="2" customFormat="1"/>
    <row r="48050" s="2" customFormat="1"/>
    <row r="48051" s="2" customFormat="1"/>
    <row r="48052" s="2" customFormat="1"/>
    <row r="48053" s="2" customFormat="1"/>
    <row r="48054" s="2" customFormat="1"/>
    <row r="48055" s="2" customFormat="1"/>
    <row r="48056" s="2" customFormat="1"/>
    <row r="48057" s="2" customFormat="1"/>
    <row r="48058" s="2" customFormat="1"/>
    <row r="48059" s="2" customFormat="1"/>
    <row r="48060" s="2" customFormat="1"/>
    <row r="48061" s="2" customFormat="1"/>
    <row r="48062" s="2" customFormat="1"/>
    <row r="48063" s="2" customFormat="1"/>
    <row r="48064" s="2" customFormat="1"/>
    <row r="48065" s="2" customFormat="1"/>
    <row r="48066" s="2" customFormat="1"/>
    <row r="48067" s="2" customFormat="1"/>
    <row r="48068" s="2" customFormat="1"/>
    <row r="48069" s="2" customFormat="1"/>
    <row r="48070" s="2" customFormat="1"/>
    <row r="48071" s="2" customFormat="1"/>
    <row r="48072" s="2" customFormat="1"/>
    <row r="48073" s="2" customFormat="1"/>
    <row r="48074" s="2" customFormat="1"/>
    <row r="48075" s="2" customFormat="1"/>
    <row r="48076" s="2" customFormat="1"/>
    <row r="48077" s="2" customFormat="1"/>
    <row r="48078" s="2" customFormat="1"/>
    <row r="48079" s="2" customFormat="1"/>
    <row r="48080" s="2" customFormat="1"/>
    <row r="48081" s="2" customFormat="1"/>
    <row r="48082" s="2" customFormat="1"/>
    <row r="48083" s="2" customFormat="1"/>
    <row r="48084" s="2" customFormat="1"/>
    <row r="48085" s="2" customFormat="1"/>
    <row r="48086" s="2" customFormat="1"/>
    <row r="48087" s="2" customFormat="1"/>
    <row r="48088" s="2" customFormat="1"/>
    <row r="48089" s="2" customFormat="1"/>
    <row r="48090" s="2" customFormat="1"/>
    <row r="48091" s="2" customFormat="1"/>
    <row r="48092" s="2" customFormat="1"/>
    <row r="48093" s="2" customFormat="1"/>
    <row r="48094" s="2" customFormat="1"/>
    <row r="48095" s="2" customFormat="1"/>
    <row r="48096" s="2" customFormat="1"/>
    <row r="48097" s="2" customFormat="1"/>
    <row r="48098" s="2" customFormat="1"/>
    <row r="48099" s="2" customFormat="1"/>
    <row r="48100" s="2" customFormat="1"/>
    <row r="48101" s="2" customFormat="1"/>
    <row r="48102" s="2" customFormat="1"/>
    <row r="48103" s="2" customFormat="1"/>
    <row r="48104" s="2" customFormat="1"/>
    <row r="48105" s="2" customFormat="1"/>
    <row r="48106" s="2" customFormat="1"/>
    <row r="48107" s="2" customFormat="1"/>
    <row r="48108" s="2" customFormat="1"/>
    <row r="48109" s="2" customFormat="1"/>
    <row r="48110" s="2" customFormat="1"/>
    <row r="48111" s="2" customFormat="1"/>
    <row r="48112" s="2" customFormat="1"/>
    <row r="48113" s="2" customFormat="1"/>
    <row r="48114" s="2" customFormat="1"/>
    <row r="48115" s="2" customFormat="1"/>
    <row r="48116" s="2" customFormat="1"/>
    <row r="48117" s="2" customFormat="1"/>
    <row r="48118" s="2" customFormat="1"/>
    <row r="48119" s="2" customFormat="1"/>
    <row r="48120" s="2" customFormat="1"/>
    <row r="48121" s="2" customFormat="1"/>
    <row r="48122" s="2" customFormat="1"/>
    <row r="48123" s="2" customFormat="1"/>
    <row r="48124" s="2" customFormat="1"/>
    <row r="48125" s="2" customFormat="1"/>
    <row r="48126" s="2" customFormat="1"/>
    <row r="48127" s="2" customFormat="1"/>
    <row r="48128" s="2" customFormat="1"/>
    <row r="48129" s="2" customFormat="1"/>
    <row r="48130" s="2" customFormat="1"/>
    <row r="48131" s="2" customFormat="1"/>
    <row r="48132" s="2" customFormat="1"/>
    <row r="48133" s="2" customFormat="1"/>
    <row r="48134" s="2" customFormat="1"/>
    <row r="48135" s="2" customFormat="1"/>
    <row r="48136" s="2" customFormat="1"/>
    <row r="48137" s="2" customFormat="1"/>
    <row r="48138" s="2" customFormat="1"/>
    <row r="48139" s="2" customFormat="1"/>
    <row r="48140" s="2" customFormat="1"/>
    <row r="48141" s="2" customFormat="1"/>
    <row r="48142" s="2" customFormat="1"/>
    <row r="48143" s="2" customFormat="1"/>
    <row r="48144" s="2" customFormat="1"/>
    <row r="48145" s="2" customFormat="1"/>
    <row r="48146" s="2" customFormat="1"/>
    <row r="48147" s="2" customFormat="1"/>
    <row r="48148" s="2" customFormat="1"/>
    <row r="48149" s="2" customFormat="1"/>
    <row r="48150" s="2" customFormat="1"/>
    <row r="48151" s="2" customFormat="1"/>
    <row r="48152" s="2" customFormat="1"/>
    <row r="48153" s="2" customFormat="1"/>
    <row r="48154" s="2" customFormat="1"/>
    <row r="48155" s="2" customFormat="1"/>
    <row r="48156" s="2" customFormat="1"/>
    <row r="48157" s="2" customFormat="1"/>
    <row r="48158" s="2" customFormat="1"/>
    <row r="48159" s="2" customFormat="1"/>
    <row r="48160" s="2" customFormat="1"/>
    <row r="48161" s="2" customFormat="1"/>
    <row r="48162" s="2" customFormat="1"/>
    <row r="48163" s="2" customFormat="1"/>
    <row r="48164" s="2" customFormat="1"/>
    <row r="48165" s="2" customFormat="1"/>
    <row r="48166" s="2" customFormat="1"/>
    <row r="48167" s="2" customFormat="1"/>
    <row r="48168" s="2" customFormat="1"/>
    <row r="48169" s="2" customFormat="1"/>
    <row r="48170" s="2" customFormat="1"/>
    <row r="48171" s="2" customFormat="1"/>
    <row r="48172" s="2" customFormat="1"/>
    <row r="48173" s="2" customFormat="1"/>
    <row r="48174" s="2" customFormat="1"/>
    <row r="48175" s="2" customFormat="1"/>
    <row r="48176" s="2" customFormat="1"/>
    <row r="48177" s="2" customFormat="1"/>
    <row r="48178" s="2" customFormat="1"/>
    <row r="48179" s="2" customFormat="1"/>
    <row r="48180" s="2" customFormat="1"/>
    <row r="48181" s="2" customFormat="1"/>
    <row r="48182" s="2" customFormat="1"/>
    <row r="48183" s="2" customFormat="1"/>
    <row r="48184" s="2" customFormat="1"/>
    <row r="48185" s="2" customFormat="1"/>
    <row r="48186" s="2" customFormat="1"/>
    <row r="48187" s="2" customFormat="1"/>
    <row r="48188" s="2" customFormat="1"/>
    <row r="48189" s="2" customFormat="1"/>
    <row r="48190" s="2" customFormat="1"/>
    <row r="48191" s="2" customFormat="1"/>
    <row r="48192" s="2" customFormat="1"/>
    <row r="48193" s="2" customFormat="1"/>
    <row r="48194" s="2" customFormat="1"/>
    <row r="48195" s="2" customFormat="1"/>
    <row r="48196" s="2" customFormat="1"/>
    <row r="48197" s="2" customFormat="1"/>
    <row r="48198" s="2" customFormat="1"/>
    <row r="48199" s="2" customFormat="1"/>
    <row r="48200" s="2" customFormat="1"/>
    <row r="48201" s="2" customFormat="1"/>
    <row r="48202" s="2" customFormat="1"/>
    <row r="48203" s="2" customFormat="1"/>
    <row r="48204" s="2" customFormat="1"/>
    <row r="48205" s="2" customFormat="1"/>
    <row r="48206" s="2" customFormat="1"/>
    <row r="48207" s="2" customFormat="1"/>
    <row r="48208" s="2" customFormat="1"/>
    <row r="48209" s="2" customFormat="1"/>
    <row r="48210" s="2" customFormat="1"/>
    <row r="48211" s="2" customFormat="1"/>
    <row r="48212" s="2" customFormat="1"/>
    <row r="48213" s="2" customFormat="1"/>
    <row r="48214" s="2" customFormat="1"/>
    <row r="48215" s="2" customFormat="1"/>
    <row r="48216" s="2" customFormat="1"/>
    <row r="48217" s="2" customFormat="1"/>
    <row r="48218" s="2" customFormat="1"/>
    <row r="48219" s="2" customFormat="1"/>
    <row r="48220" s="2" customFormat="1"/>
    <row r="48221" s="2" customFormat="1"/>
    <row r="48222" s="2" customFormat="1"/>
    <row r="48223" s="2" customFormat="1"/>
    <row r="48224" s="2" customFormat="1"/>
    <row r="48225" s="2" customFormat="1"/>
    <row r="48226" s="2" customFormat="1"/>
    <row r="48227" s="2" customFormat="1"/>
    <row r="48228" s="2" customFormat="1"/>
    <row r="48229" s="2" customFormat="1"/>
    <row r="48230" s="2" customFormat="1"/>
    <row r="48231" s="2" customFormat="1"/>
    <row r="48232" s="2" customFormat="1"/>
    <row r="48233" s="2" customFormat="1"/>
    <row r="48234" s="2" customFormat="1"/>
    <row r="48235" s="2" customFormat="1"/>
    <row r="48236" s="2" customFormat="1"/>
    <row r="48237" s="2" customFormat="1"/>
    <row r="48238" s="2" customFormat="1"/>
    <row r="48239" s="2" customFormat="1"/>
    <row r="48240" s="2" customFormat="1"/>
    <row r="48241" s="2" customFormat="1"/>
    <row r="48242" s="2" customFormat="1"/>
    <row r="48243" s="2" customFormat="1"/>
    <row r="48244" s="2" customFormat="1"/>
    <row r="48245" s="2" customFormat="1"/>
    <row r="48246" s="2" customFormat="1"/>
    <row r="48247" s="2" customFormat="1"/>
    <row r="48248" s="2" customFormat="1"/>
    <row r="48249" s="2" customFormat="1"/>
    <row r="48250" s="2" customFormat="1"/>
    <row r="48251" s="2" customFormat="1"/>
    <row r="48252" s="2" customFormat="1"/>
    <row r="48253" s="2" customFormat="1"/>
    <row r="48254" s="2" customFormat="1"/>
    <row r="48255" s="2" customFormat="1"/>
    <row r="48256" s="2" customFormat="1"/>
    <row r="48257" s="2" customFormat="1"/>
    <row r="48258" s="2" customFormat="1"/>
    <row r="48259" s="2" customFormat="1"/>
    <row r="48260" s="2" customFormat="1"/>
    <row r="48261" s="2" customFormat="1"/>
    <row r="48262" s="2" customFormat="1"/>
    <row r="48263" s="2" customFormat="1"/>
    <row r="48264" s="2" customFormat="1"/>
    <row r="48265" s="2" customFormat="1"/>
    <row r="48266" s="2" customFormat="1"/>
    <row r="48267" s="2" customFormat="1"/>
    <row r="48268" s="2" customFormat="1"/>
    <row r="48269" s="2" customFormat="1"/>
    <row r="48270" s="2" customFormat="1"/>
    <row r="48271" s="2" customFormat="1"/>
    <row r="48272" s="2" customFormat="1"/>
    <row r="48273" s="2" customFormat="1"/>
    <row r="48274" s="2" customFormat="1"/>
    <row r="48275" s="2" customFormat="1"/>
    <row r="48276" s="2" customFormat="1"/>
    <row r="48277" s="2" customFormat="1"/>
    <row r="48278" s="2" customFormat="1"/>
    <row r="48279" s="2" customFormat="1"/>
    <row r="48280" s="2" customFormat="1"/>
    <row r="48281" s="2" customFormat="1"/>
    <row r="48282" s="2" customFormat="1"/>
    <row r="48283" s="2" customFormat="1"/>
    <row r="48284" s="2" customFormat="1"/>
    <row r="48285" s="2" customFormat="1"/>
    <row r="48286" s="2" customFormat="1"/>
    <row r="48287" s="2" customFormat="1"/>
    <row r="48288" s="2" customFormat="1"/>
    <row r="48289" s="2" customFormat="1"/>
    <row r="48290" s="2" customFormat="1"/>
    <row r="48291" s="2" customFormat="1"/>
    <row r="48292" s="2" customFormat="1"/>
    <row r="48293" s="2" customFormat="1"/>
    <row r="48294" s="2" customFormat="1"/>
    <row r="48295" s="2" customFormat="1"/>
    <row r="48296" s="2" customFormat="1"/>
    <row r="48297" s="2" customFormat="1"/>
    <row r="48298" s="2" customFormat="1"/>
    <row r="48299" s="2" customFormat="1"/>
    <row r="48300" s="2" customFormat="1"/>
    <row r="48301" s="2" customFormat="1"/>
    <row r="48302" s="2" customFormat="1"/>
    <row r="48303" s="2" customFormat="1"/>
    <row r="48304" s="2" customFormat="1"/>
    <row r="48305" s="2" customFormat="1"/>
    <row r="48306" s="2" customFormat="1"/>
    <row r="48307" s="2" customFormat="1"/>
    <row r="48308" s="2" customFormat="1"/>
    <row r="48309" s="2" customFormat="1"/>
    <row r="48310" s="2" customFormat="1"/>
    <row r="48311" s="2" customFormat="1"/>
    <row r="48312" s="2" customFormat="1"/>
    <row r="48313" s="2" customFormat="1"/>
    <row r="48314" s="2" customFormat="1"/>
    <row r="48315" s="2" customFormat="1"/>
    <row r="48316" s="2" customFormat="1"/>
    <row r="48317" s="2" customFormat="1"/>
    <row r="48318" s="2" customFormat="1"/>
    <row r="48319" s="2" customFormat="1"/>
    <row r="48320" s="2" customFormat="1"/>
    <row r="48321" s="2" customFormat="1"/>
    <row r="48322" s="2" customFormat="1"/>
    <row r="48323" s="2" customFormat="1"/>
    <row r="48324" s="2" customFormat="1"/>
    <row r="48325" s="2" customFormat="1"/>
    <row r="48326" s="2" customFormat="1"/>
    <row r="48327" s="2" customFormat="1"/>
    <row r="48328" s="2" customFormat="1"/>
    <row r="48329" s="2" customFormat="1"/>
    <row r="48330" s="2" customFormat="1"/>
    <row r="48331" s="2" customFormat="1"/>
    <row r="48332" s="2" customFormat="1"/>
    <row r="48333" s="2" customFormat="1"/>
    <row r="48334" s="2" customFormat="1"/>
    <row r="48335" s="2" customFormat="1"/>
    <row r="48336" s="2" customFormat="1"/>
    <row r="48337" s="2" customFormat="1"/>
    <row r="48338" s="2" customFormat="1"/>
    <row r="48339" s="2" customFormat="1"/>
    <row r="48340" s="2" customFormat="1"/>
    <row r="48341" s="2" customFormat="1"/>
    <row r="48342" s="2" customFormat="1"/>
    <row r="48343" s="2" customFormat="1"/>
    <row r="48344" s="2" customFormat="1"/>
    <row r="48345" s="2" customFormat="1"/>
    <row r="48346" s="2" customFormat="1"/>
    <row r="48347" s="2" customFormat="1"/>
    <row r="48348" s="2" customFormat="1"/>
    <row r="48349" s="2" customFormat="1"/>
    <row r="48350" s="2" customFormat="1"/>
    <row r="48351" s="2" customFormat="1"/>
    <row r="48352" s="2" customFormat="1"/>
    <row r="48353" s="2" customFormat="1"/>
    <row r="48354" s="2" customFormat="1"/>
    <row r="48355" s="2" customFormat="1"/>
    <row r="48356" s="2" customFormat="1"/>
    <row r="48357" s="2" customFormat="1"/>
    <row r="48358" s="2" customFormat="1"/>
    <row r="48359" s="2" customFormat="1"/>
    <row r="48360" s="2" customFormat="1"/>
    <row r="48361" s="2" customFormat="1"/>
    <row r="48362" s="2" customFormat="1"/>
    <row r="48363" s="2" customFormat="1"/>
    <row r="48364" s="2" customFormat="1"/>
    <row r="48365" s="2" customFormat="1"/>
    <row r="48366" s="2" customFormat="1"/>
    <row r="48367" s="2" customFormat="1"/>
    <row r="48368" s="2" customFormat="1"/>
    <row r="48369" s="2" customFormat="1"/>
    <row r="48370" s="2" customFormat="1"/>
    <row r="48371" s="2" customFormat="1"/>
    <row r="48372" s="2" customFormat="1"/>
    <row r="48373" s="2" customFormat="1"/>
    <row r="48374" s="2" customFormat="1"/>
    <row r="48375" s="2" customFormat="1"/>
    <row r="48376" s="2" customFormat="1"/>
    <row r="48377" s="2" customFormat="1"/>
    <row r="48378" s="2" customFormat="1"/>
    <row r="48379" s="2" customFormat="1"/>
    <row r="48380" s="2" customFormat="1"/>
    <row r="48381" s="2" customFormat="1"/>
    <row r="48382" s="2" customFormat="1"/>
    <row r="48383" s="2" customFormat="1"/>
    <row r="48384" s="2" customFormat="1"/>
    <row r="48385" s="2" customFormat="1"/>
    <row r="48386" s="2" customFormat="1"/>
    <row r="48387" s="2" customFormat="1"/>
    <row r="48388" s="2" customFormat="1"/>
    <row r="48389" s="2" customFormat="1"/>
    <row r="48390" s="2" customFormat="1"/>
    <row r="48391" s="2" customFormat="1"/>
    <row r="48392" s="2" customFormat="1"/>
    <row r="48393" s="2" customFormat="1"/>
    <row r="48394" s="2" customFormat="1"/>
    <row r="48395" s="2" customFormat="1"/>
    <row r="48396" s="2" customFormat="1"/>
    <row r="48397" s="2" customFormat="1"/>
    <row r="48398" s="2" customFormat="1"/>
    <row r="48399" s="2" customFormat="1"/>
    <row r="48400" s="2" customFormat="1"/>
    <row r="48401" s="2" customFormat="1"/>
    <row r="48402" s="2" customFormat="1"/>
    <row r="48403" s="2" customFormat="1"/>
    <row r="48404" s="2" customFormat="1"/>
    <row r="48405" s="2" customFormat="1"/>
    <row r="48406" s="2" customFormat="1"/>
    <row r="48407" s="2" customFormat="1"/>
    <row r="48408" s="2" customFormat="1"/>
    <row r="48409" s="2" customFormat="1"/>
    <row r="48410" s="2" customFormat="1"/>
    <row r="48411" s="2" customFormat="1"/>
    <row r="48412" s="2" customFormat="1"/>
    <row r="48413" s="2" customFormat="1"/>
    <row r="48414" s="2" customFormat="1"/>
    <row r="48415" s="2" customFormat="1"/>
    <row r="48416" s="2" customFormat="1"/>
    <row r="48417" s="2" customFormat="1"/>
    <row r="48418" s="2" customFormat="1"/>
    <row r="48419" s="2" customFormat="1"/>
    <row r="48420" s="2" customFormat="1"/>
    <row r="48421" s="2" customFormat="1"/>
    <row r="48422" s="2" customFormat="1"/>
    <row r="48423" s="2" customFormat="1"/>
    <row r="48424" s="2" customFormat="1"/>
    <row r="48425" s="2" customFormat="1"/>
    <row r="48426" s="2" customFormat="1"/>
    <row r="48427" s="2" customFormat="1"/>
    <row r="48428" s="2" customFormat="1"/>
    <row r="48429" s="2" customFormat="1"/>
    <row r="48430" s="2" customFormat="1"/>
    <row r="48431" s="2" customFormat="1"/>
    <row r="48432" s="2" customFormat="1"/>
    <row r="48433" s="2" customFormat="1"/>
    <row r="48434" s="2" customFormat="1"/>
    <row r="48435" s="2" customFormat="1"/>
    <row r="48436" s="2" customFormat="1"/>
    <row r="48437" s="2" customFormat="1"/>
    <row r="48438" s="2" customFormat="1"/>
    <row r="48439" s="2" customFormat="1"/>
    <row r="48440" s="2" customFormat="1"/>
    <row r="48441" s="2" customFormat="1"/>
    <row r="48442" s="2" customFormat="1"/>
    <row r="48443" s="2" customFormat="1"/>
    <row r="48444" s="2" customFormat="1"/>
    <row r="48445" s="2" customFormat="1"/>
    <row r="48446" s="2" customFormat="1"/>
    <row r="48447" s="2" customFormat="1"/>
    <row r="48448" s="2" customFormat="1"/>
    <row r="48449" s="2" customFormat="1"/>
    <row r="48450" s="2" customFormat="1"/>
    <row r="48451" s="2" customFormat="1"/>
    <row r="48452" s="2" customFormat="1"/>
    <row r="48453" s="2" customFormat="1"/>
    <row r="48454" s="2" customFormat="1"/>
    <row r="48455" s="2" customFormat="1"/>
    <row r="48456" s="2" customFormat="1"/>
    <row r="48457" s="2" customFormat="1"/>
    <row r="48458" s="2" customFormat="1"/>
    <row r="48459" s="2" customFormat="1"/>
    <row r="48460" s="2" customFormat="1"/>
    <row r="48461" s="2" customFormat="1"/>
    <row r="48462" s="2" customFormat="1"/>
    <row r="48463" s="2" customFormat="1"/>
    <row r="48464" s="2" customFormat="1"/>
    <row r="48465" s="2" customFormat="1"/>
    <row r="48466" s="2" customFormat="1"/>
    <row r="48467" s="2" customFormat="1"/>
    <row r="48468" s="2" customFormat="1"/>
    <row r="48469" s="2" customFormat="1"/>
    <row r="48470" s="2" customFormat="1"/>
    <row r="48471" s="2" customFormat="1"/>
    <row r="48472" s="2" customFormat="1"/>
    <row r="48473" s="2" customFormat="1"/>
    <row r="48474" s="2" customFormat="1"/>
    <row r="48475" s="2" customFormat="1"/>
    <row r="48476" s="2" customFormat="1"/>
    <row r="48477" s="2" customFormat="1"/>
    <row r="48478" s="2" customFormat="1"/>
    <row r="48479" s="2" customFormat="1"/>
    <row r="48480" s="2" customFormat="1"/>
    <row r="48481" s="2" customFormat="1"/>
    <row r="48482" s="2" customFormat="1"/>
    <row r="48483" s="2" customFormat="1"/>
    <row r="48484" s="2" customFormat="1"/>
    <row r="48485" s="2" customFormat="1"/>
    <row r="48486" s="2" customFormat="1"/>
    <row r="48487" s="2" customFormat="1"/>
    <row r="48488" s="2" customFormat="1"/>
    <row r="48489" s="2" customFormat="1"/>
    <row r="48490" s="2" customFormat="1"/>
    <row r="48491" s="2" customFormat="1"/>
    <row r="48492" s="2" customFormat="1"/>
    <row r="48493" s="2" customFormat="1"/>
    <row r="48494" s="2" customFormat="1"/>
    <row r="48495" s="2" customFormat="1"/>
    <row r="48496" s="2" customFormat="1"/>
    <row r="48497" s="2" customFormat="1"/>
    <row r="48498" s="2" customFormat="1"/>
    <row r="48499" s="2" customFormat="1"/>
    <row r="48500" s="2" customFormat="1"/>
    <row r="48501" s="2" customFormat="1"/>
    <row r="48502" s="2" customFormat="1"/>
    <row r="48503" s="2" customFormat="1"/>
    <row r="48504" s="2" customFormat="1"/>
    <row r="48505" s="2" customFormat="1"/>
    <row r="48506" s="2" customFormat="1"/>
    <row r="48507" s="2" customFormat="1"/>
    <row r="48508" s="2" customFormat="1"/>
    <row r="48509" s="2" customFormat="1"/>
    <row r="48510" s="2" customFormat="1"/>
    <row r="48511" s="2" customFormat="1"/>
    <row r="48512" s="2" customFormat="1"/>
    <row r="48513" s="2" customFormat="1"/>
    <row r="48514" s="2" customFormat="1"/>
    <row r="48515" s="2" customFormat="1"/>
    <row r="48516" s="2" customFormat="1"/>
    <row r="48517" s="2" customFormat="1"/>
    <row r="48518" s="2" customFormat="1"/>
    <row r="48519" s="2" customFormat="1"/>
    <row r="48520" s="2" customFormat="1"/>
    <row r="48521" s="2" customFormat="1"/>
    <row r="48522" s="2" customFormat="1"/>
    <row r="48523" s="2" customFormat="1"/>
    <row r="48524" s="2" customFormat="1"/>
    <row r="48525" s="2" customFormat="1"/>
    <row r="48526" s="2" customFormat="1"/>
    <row r="48527" s="2" customFormat="1"/>
    <row r="48528" s="2" customFormat="1"/>
    <row r="48529" s="2" customFormat="1"/>
    <row r="48530" s="2" customFormat="1"/>
    <row r="48531" s="2" customFormat="1"/>
    <row r="48532" s="2" customFormat="1"/>
    <row r="48533" s="2" customFormat="1"/>
    <row r="48534" s="2" customFormat="1"/>
    <row r="48535" s="2" customFormat="1"/>
    <row r="48536" s="2" customFormat="1"/>
    <row r="48537" s="2" customFormat="1"/>
    <row r="48538" s="2" customFormat="1"/>
    <row r="48539" s="2" customFormat="1"/>
    <row r="48540" s="2" customFormat="1"/>
    <row r="48541" s="2" customFormat="1"/>
    <row r="48542" s="2" customFormat="1"/>
    <row r="48543" s="2" customFormat="1"/>
    <row r="48544" s="2" customFormat="1"/>
    <row r="48545" s="2" customFormat="1"/>
    <row r="48546" s="2" customFormat="1"/>
    <row r="48547" s="2" customFormat="1"/>
    <row r="48548" s="2" customFormat="1"/>
    <row r="48549" s="2" customFormat="1"/>
    <row r="48550" s="2" customFormat="1"/>
    <row r="48551" s="2" customFormat="1"/>
    <row r="48552" s="2" customFormat="1"/>
    <row r="48553" s="2" customFormat="1"/>
    <row r="48554" s="2" customFormat="1"/>
    <row r="48555" s="2" customFormat="1"/>
    <row r="48556" s="2" customFormat="1"/>
    <row r="48557" s="2" customFormat="1"/>
    <row r="48558" s="2" customFormat="1"/>
    <row r="48559" s="2" customFormat="1"/>
    <row r="48560" s="2" customFormat="1"/>
    <row r="48561" s="2" customFormat="1"/>
    <row r="48562" s="2" customFormat="1"/>
    <row r="48563" s="2" customFormat="1"/>
    <row r="48564" s="2" customFormat="1"/>
    <row r="48565" s="2" customFormat="1"/>
    <row r="48566" s="2" customFormat="1"/>
    <row r="48567" s="2" customFormat="1"/>
    <row r="48568" s="2" customFormat="1"/>
    <row r="48569" s="2" customFormat="1"/>
    <row r="48570" s="2" customFormat="1"/>
    <row r="48571" s="2" customFormat="1"/>
    <row r="48572" s="2" customFormat="1"/>
    <row r="48573" s="2" customFormat="1"/>
    <row r="48574" s="2" customFormat="1"/>
    <row r="48575" s="2" customFormat="1"/>
    <row r="48576" s="2" customFormat="1"/>
    <row r="48577" s="2" customFormat="1"/>
    <row r="48578" s="2" customFormat="1"/>
    <row r="48579" s="2" customFormat="1"/>
    <row r="48580" s="2" customFormat="1"/>
    <row r="48581" s="2" customFormat="1"/>
    <row r="48582" s="2" customFormat="1"/>
    <row r="48583" s="2" customFormat="1"/>
    <row r="48584" s="2" customFormat="1"/>
    <row r="48585" s="2" customFormat="1"/>
    <row r="48586" s="2" customFormat="1"/>
    <row r="48587" s="2" customFormat="1"/>
    <row r="48588" s="2" customFormat="1"/>
    <row r="48589" s="2" customFormat="1"/>
    <row r="48590" s="2" customFormat="1"/>
    <row r="48591" s="2" customFormat="1"/>
    <row r="48592" s="2" customFormat="1"/>
    <row r="48593" s="2" customFormat="1"/>
    <row r="48594" s="2" customFormat="1"/>
    <row r="48595" s="2" customFormat="1"/>
    <row r="48596" s="2" customFormat="1"/>
    <row r="48597" s="2" customFormat="1"/>
    <row r="48598" s="2" customFormat="1"/>
    <row r="48599" s="2" customFormat="1"/>
    <row r="48600" s="2" customFormat="1"/>
    <row r="48601" s="2" customFormat="1"/>
    <row r="48602" s="2" customFormat="1"/>
    <row r="48603" s="2" customFormat="1"/>
    <row r="48604" s="2" customFormat="1"/>
    <row r="48605" s="2" customFormat="1"/>
    <row r="48606" s="2" customFormat="1"/>
    <row r="48607" s="2" customFormat="1"/>
    <row r="48608" s="2" customFormat="1"/>
    <row r="48609" s="2" customFormat="1"/>
    <row r="48610" s="2" customFormat="1"/>
    <row r="48611" s="2" customFormat="1"/>
    <row r="48612" s="2" customFormat="1"/>
    <row r="48613" s="2" customFormat="1"/>
    <row r="48614" s="2" customFormat="1"/>
    <row r="48615" s="2" customFormat="1"/>
    <row r="48616" s="2" customFormat="1"/>
    <row r="48617" s="2" customFormat="1"/>
    <row r="48618" s="2" customFormat="1"/>
    <row r="48619" s="2" customFormat="1"/>
    <row r="48620" s="2" customFormat="1"/>
    <row r="48621" s="2" customFormat="1"/>
    <row r="48622" s="2" customFormat="1"/>
    <row r="48623" s="2" customFormat="1"/>
    <row r="48624" s="2" customFormat="1"/>
    <row r="48625" s="2" customFormat="1"/>
    <row r="48626" s="2" customFormat="1"/>
    <row r="48627" s="2" customFormat="1"/>
    <row r="48628" s="2" customFormat="1"/>
    <row r="48629" s="2" customFormat="1"/>
    <row r="48630" s="2" customFormat="1"/>
    <row r="48631" s="2" customFormat="1"/>
    <row r="48632" s="2" customFormat="1"/>
    <row r="48633" s="2" customFormat="1"/>
    <row r="48634" s="2" customFormat="1"/>
    <row r="48635" s="2" customFormat="1"/>
    <row r="48636" s="2" customFormat="1"/>
    <row r="48637" s="2" customFormat="1"/>
    <row r="48638" s="2" customFormat="1"/>
    <row r="48639" s="2" customFormat="1"/>
    <row r="48640" s="2" customFormat="1"/>
    <row r="48641" s="2" customFormat="1"/>
    <row r="48642" s="2" customFormat="1"/>
    <row r="48643" s="2" customFormat="1"/>
    <row r="48644" s="2" customFormat="1"/>
    <row r="48645" s="2" customFormat="1"/>
    <row r="48646" s="2" customFormat="1"/>
    <row r="48647" s="2" customFormat="1"/>
    <row r="48648" s="2" customFormat="1"/>
    <row r="48649" s="2" customFormat="1"/>
    <row r="48650" s="2" customFormat="1"/>
    <row r="48651" s="2" customFormat="1"/>
    <row r="48652" s="2" customFormat="1"/>
    <row r="48653" s="2" customFormat="1"/>
    <row r="48654" s="2" customFormat="1"/>
    <row r="48655" s="2" customFormat="1"/>
    <row r="48656" s="2" customFormat="1"/>
    <row r="48657" s="2" customFormat="1"/>
    <row r="48658" s="2" customFormat="1"/>
    <row r="48659" s="2" customFormat="1"/>
    <row r="48660" s="2" customFormat="1"/>
    <row r="48661" s="2" customFormat="1"/>
    <row r="48662" s="2" customFormat="1"/>
    <row r="48663" s="2" customFormat="1"/>
    <row r="48664" s="2" customFormat="1"/>
    <row r="48665" s="2" customFormat="1"/>
    <row r="48666" s="2" customFormat="1"/>
    <row r="48667" s="2" customFormat="1"/>
    <row r="48668" s="2" customFormat="1"/>
    <row r="48669" s="2" customFormat="1"/>
    <row r="48670" s="2" customFormat="1"/>
    <row r="48671" s="2" customFormat="1"/>
    <row r="48672" s="2" customFormat="1"/>
    <row r="48673" s="2" customFormat="1"/>
    <row r="48674" s="2" customFormat="1"/>
    <row r="48675" s="2" customFormat="1"/>
    <row r="48676" s="2" customFormat="1"/>
    <row r="48677" s="2" customFormat="1"/>
    <row r="48678" s="2" customFormat="1"/>
    <row r="48679" s="2" customFormat="1"/>
    <row r="48680" s="2" customFormat="1"/>
    <row r="48681" s="2" customFormat="1"/>
    <row r="48682" s="2" customFormat="1"/>
    <row r="48683" s="2" customFormat="1"/>
    <row r="48684" s="2" customFormat="1"/>
    <row r="48685" s="2" customFormat="1"/>
    <row r="48686" s="2" customFormat="1"/>
    <row r="48687" s="2" customFormat="1"/>
    <row r="48688" s="2" customFormat="1"/>
    <row r="48689" s="2" customFormat="1"/>
    <row r="48690" s="2" customFormat="1"/>
    <row r="48691" s="2" customFormat="1"/>
    <row r="48692" s="2" customFormat="1"/>
    <row r="48693" s="2" customFormat="1"/>
    <row r="48694" s="2" customFormat="1"/>
    <row r="48695" s="2" customFormat="1"/>
    <row r="48696" s="2" customFormat="1"/>
    <row r="48697" s="2" customFormat="1"/>
    <row r="48698" s="2" customFormat="1"/>
    <row r="48699" s="2" customFormat="1"/>
    <row r="48700" s="2" customFormat="1"/>
    <row r="48701" s="2" customFormat="1"/>
    <row r="48702" s="2" customFormat="1"/>
    <row r="48703" s="2" customFormat="1"/>
    <row r="48704" s="2" customFormat="1"/>
    <row r="48705" s="2" customFormat="1"/>
    <row r="48706" s="2" customFormat="1"/>
    <row r="48707" s="2" customFormat="1"/>
    <row r="48708" s="2" customFormat="1"/>
    <row r="48709" s="2" customFormat="1"/>
    <row r="48710" s="2" customFormat="1"/>
    <row r="48711" s="2" customFormat="1"/>
    <row r="48712" s="2" customFormat="1"/>
    <row r="48713" s="2" customFormat="1"/>
    <row r="48714" s="2" customFormat="1"/>
    <row r="48715" s="2" customFormat="1"/>
    <row r="48716" s="2" customFormat="1"/>
    <row r="48717" s="2" customFormat="1"/>
    <row r="48718" s="2" customFormat="1"/>
    <row r="48719" s="2" customFormat="1"/>
    <row r="48720" s="2" customFormat="1"/>
    <row r="48721" s="2" customFormat="1"/>
    <row r="48722" s="2" customFormat="1"/>
    <row r="48723" s="2" customFormat="1"/>
    <row r="48724" s="2" customFormat="1"/>
    <row r="48725" s="2" customFormat="1"/>
    <row r="48726" s="2" customFormat="1"/>
    <row r="48727" s="2" customFormat="1"/>
    <row r="48728" s="2" customFormat="1"/>
    <row r="48729" s="2" customFormat="1"/>
    <row r="48730" s="2" customFormat="1"/>
    <row r="48731" s="2" customFormat="1"/>
    <row r="48732" s="2" customFormat="1"/>
    <row r="48733" s="2" customFormat="1"/>
    <row r="48734" s="2" customFormat="1"/>
    <row r="48735" s="2" customFormat="1"/>
    <row r="48736" s="2" customFormat="1"/>
    <row r="48737" s="2" customFormat="1"/>
    <row r="48738" s="2" customFormat="1"/>
    <row r="48739" s="2" customFormat="1"/>
    <row r="48740" s="2" customFormat="1"/>
    <row r="48741" s="2" customFormat="1"/>
    <row r="48742" s="2" customFormat="1"/>
    <row r="48743" s="2" customFormat="1"/>
    <row r="48744" s="2" customFormat="1"/>
    <row r="48745" s="2" customFormat="1"/>
    <row r="48746" s="2" customFormat="1"/>
    <row r="48747" s="2" customFormat="1"/>
    <row r="48748" s="2" customFormat="1"/>
    <row r="48749" s="2" customFormat="1"/>
    <row r="48750" s="2" customFormat="1"/>
    <row r="48751" s="2" customFormat="1"/>
    <row r="48752" s="2" customFormat="1"/>
    <row r="48753" s="2" customFormat="1"/>
    <row r="48754" s="2" customFormat="1"/>
    <row r="48755" s="2" customFormat="1"/>
    <row r="48756" s="2" customFormat="1"/>
    <row r="48757" s="2" customFormat="1"/>
    <row r="48758" s="2" customFormat="1"/>
    <row r="48759" s="2" customFormat="1"/>
    <row r="48760" s="2" customFormat="1"/>
    <row r="48761" s="2" customFormat="1"/>
    <row r="48762" s="2" customFormat="1"/>
    <row r="48763" s="2" customFormat="1"/>
    <row r="48764" s="2" customFormat="1"/>
    <row r="48765" s="2" customFormat="1"/>
    <row r="48766" s="2" customFormat="1"/>
    <row r="48767" s="2" customFormat="1"/>
    <row r="48768" s="2" customFormat="1"/>
    <row r="48769" s="2" customFormat="1"/>
    <row r="48770" s="2" customFormat="1"/>
    <row r="48771" s="2" customFormat="1"/>
    <row r="48772" s="2" customFormat="1"/>
    <row r="48773" s="2" customFormat="1"/>
    <row r="48774" s="2" customFormat="1"/>
    <row r="48775" s="2" customFormat="1"/>
    <row r="48776" s="2" customFormat="1"/>
    <row r="48777" s="2" customFormat="1"/>
    <row r="48778" s="2" customFormat="1"/>
    <row r="48779" s="2" customFormat="1"/>
    <row r="48780" s="2" customFormat="1"/>
    <row r="48781" s="2" customFormat="1"/>
    <row r="48782" s="2" customFormat="1"/>
    <row r="48783" s="2" customFormat="1"/>
    <row r="48784" s="2" customFormat="1"/>
    <row r="48785" s="2" customFormat="1"/>
    <row r="48786" s="2" customFormat="1"/>
    <row r="48787" s="2" customFormat="1"/>
    <row r="48788" s="2" customFormat="1"/>
    <row r="48789" s="2" customFormat="1"/>
    <row r="48790" s="2" customFormat="1"/>
    <row r="48791" s="2" customFormat="1"/>
    <row r="48792" s="2" customFormat="1"/>
    <row r="48793" s="2" customFormat="1"/>
    <row r="48794" s="2" customFormat="1"/>
    <row r="48795" s="2" customFormat="1"/>
    <row r="48796" s="2" customFormat="1"/>
    <row r="48797" s="2" customFormat="1"/>
    <row r="48798" s="2" customFormat="1"/>
    <row r="48799" s="2" customFormat="1"/>
    <row r="48800" s="2" customFormat="1"/>
    <row r="48801" s="2" customFormat="1"/>
    <row r="48802" s="2" customFormat="1"/>
    <row r="48803" s="2" customFormat="1"/>
    <row r="48804" s="2" customFormat="1"/>
    <row r="48805" s="2" customFormat="1"/>
    <row r="48806" s="2" customFormat="1"/>
    <row r="48807" s="2" customFormat="1"/>
    <row r="48808" s="2" customFormat="1"/>
    <row r="48809" s="2" customFormat="1"/>
    <row r="48810" s="2" customFormat="1"/>
    <row r="48811" s="2" customFormat="1"/>
    <row r="48812" s="2" customFormat="1"/>
    <row r="48813" s="2" customFormat="1"/>
    <row r="48814" s="2" customFormat="1"/>
    <row r="48815" s="2" customFormat="1"/>
    <row r="48816" s="2" customFormat="1"/>
    <row r="48817" s="2" customFormat="1"/>
    <row r="48818" s="2" customFormat="1"/>
    <row r="48819" s="2" customFormat="1"/>
    <row r="48820" s="2" customFormat="1"/>
    <row r="48821" s="2" customFormat="1"/>
    <row r="48822" s="2" customFormat="1"/>
    <row r="48823" s="2" customFormat="1"/>
    <row r="48824" s="2" customFormat="1"/>
    <row r="48825" s="2" customFormat="1"/>
    <row r="48826" s="2" customFormat="1"/>
    <row r="48827" s="2" customFormat="1"/>
    <row r="48828" s="2" customFormat="1"/>
    <row r="48829" s="2" customFormat="1"/>
    <row r="48830" s="2" customFormat="1"/>
    <row r="48831" s="2" customFormat="1"/>
    <row r="48832" s="2" customFormat="1"/>
    <row r="48833" s="2" customFormat="1"/>
    <row r="48834" s="2" customFormat="1"/>
    <row r="48835" s="2" customFormat="1"/>
    <row r="48836" s="2" customFormat="1"/>
    <row r="48837" s="2" customFormat="1"/>
    <row r="48838" s="2" customFormat="1"/>
    <row r="48839" s="2" customFormat="1"/>
    <row r="48840" s="2" customFormat="1"/>
    <row r="48841" s="2" customFormat="1"/>
    <row r="48842" s="2" customFormat="1"/>
    <row r="48843" s="2" customFormat="1"/>
    <row r="48844" s="2" customFormat="1"/>
    <row r="48845" s="2" customFormat="1"/>
    <row r="48846" s="2" customFormat="1"/>
    <row r="48847" s="2" customFormat="1"/>
    <row r="48848" s="2" customFormat="1"/>
    <row r="48849" s="2" customFormat="1"/>
    <row r="48850" s="2" customFormat="1"/>
    <row r="48851" s="2" customFormat="1"/>
    <row r="48852" s="2" customFormat="1"/>
    <row r="48853" s="2" customFormat="1"/>
    <row r="48854" s="2" customFormat="1"/>
    <row r="48855" s="2" customFormat="1"/>
    <row r="48856" s="2" customFormat="1"/>
    <row r="48857" s="2" customFormat="1"/>
    <row r="48858" s="2" customFormat="1"/>
    <row r="48859" s="2" customFormat="1"/>
    <row r="48860" s="2" customFormat="1"/>
    <row r="48861" s="2" customFormat="1"/>
    <row r="48862" s="2" customFormat="1"/>
    <row r="48863" s="2" customFormat="1"/>
    <row r="48864" s="2" customFormat="1"/>
    <row r="48865" s="2" customFormat="1"/>
    <row r="48866" s="2" customFormat="1"/>
    <row r="48867" s="2" customFormat="1"/>
    <row r="48868" s="2" customFormat="1"/>
    <row r="48869" s="2" customFormat="1"/>
    <row r="48870" s="2" customFormat="1"/>
    <row r="48871" s="2" customFormat="1"/>
    <row r="48872" s="2" customFormat="1"/>
    <row r="48873" s="2" customFormat="1"/>
    <row r="48874" s="2" customFormat="1"/>
    <row r="48875" s="2" customFormat="1"/>
    <row r="48876" s="2" customFormat="1"/>
    <row r="48877" s="2" customFormat="1"/>
    <row r="48878" s="2" customFormat="1"/>
    <row r="48879" s="2" customFormat="1"/>
    <row r="48880" s="2" customFormat="1"/>
    <row r="48881" s="2" customFormat="1"/>
    <row r="48882" s="2" customFormat="1"/>
    <row r="48883" s="2" customFormat="1"/>
    <row r="48884" s="2" customFormat="1"/>
    <row r="48885" s="2" customFormat="1"/>
    <row r="48886" s="2" customFormat="1"/>
    <row r="48887" s="2" customFormat="1"/>
    <row r="48888" s="2" customFormat="1"/>
    <row r="48889" s="2" customFormat="1"/>
    <row r="48890" s="2" customFormat="1"/>
    <row r="48891" s="2" customFormat="1"/>
    <row r="48892" s="2" customFormat="1"/>
    <row r="48893" s="2" customFormat="1"/>
    <row r="48894" s="2" customFormat="1"/>
    <row r="48895" s="2" customFormat="1"/>
    <row r="48896" s="2" customFormat="1"/>
    <row r="48897" s="2" customFormat="1"/>
    <row r="48898" s="2" customFormat="1"/>
    <row r="48899" s="2" customFormat="1"/>
    <row r="48900" s="2" customFormat="1"/>
    <row r="48901" s="2" customFormat="1"/>
    <row r="48902" s="2" customFormat="1"/>
    <row r="48903" s="2" customFormat="1"/>
    <row r="48904" s="2" customFormat="1"/>
    <row r="48905" s="2" customFormat="1"/>
    <row r="48906" s="2" customFormat="1"/>
    <row r="48907" s="2" customFormat="1"/>
    <row r="48908" s="2" customFormat="1"/>
    <row r="48909" s="2" customFormat="1"/>
    <row r="48910" s="2" customFormat="1"/>
    <row r="48911" s="2" customFormat="1"/>
    <row r="48912" s="2" customFormat="1"/>
    <row r="48913" s="2" customFormat="1"/>
    <row r="48914" s="2" customFormat="1"/>
    <row r="48915" s="2" customFormat="1"/>
    <row r="48916" s="2" customFormat="1"/>
    <row r="48917" s="2" customFormat="1"/>
    <row r="48918" s="2" customFormat="1"/>
    <row r="48919" s="2" customFormat="1"/>
    <row r="48920" s="2" customFormat="1"/>
    <row r="48921" s="2" customFormat="1"/>
    <row r="48922" s="2" customFormat="1"/>
    <row r="48923" s="2" customFormat="1"/>
    <row r="48924" s="2" customFormat="1"/>
    <row r="48925" s="2" customFormat="1"/>
    <row r="48926" s="2" customFormat="1"/>
    <row r="48927" s="2" customFormat="1"/>
    <row r="48928" s="2" customFormat="1"/>
    <row r="48929" s="2" customFormat="1"/>
    <row r="48930" s="2" customFormat="1"/>
    <row r="48931" s="2" customFormat="1"/>
    <row r="48932" s="2" customFormat="1"/>
    <row r="48933" s="2" customFormat="1"/>
    <row r="48934" s="2" customFormat="1"/>
    <row r="48935" s="2" customFormat="1"/>
    <row r="48936" s="2" customFormat="1"/>
    <row r="48937" s="2" customFormat="1"/>
    <row r="48938" s="2" customFormat="1"/>
    <row r="48939" s="2" customFormat="1"/>
    <row r="48940" s="2" customFormat="1"/>
    <row r="48941" s="2" customFormat="1"/>
    <row r="48942" s="2" customFormat="1"/>
    <row r="48943" s="2" customFormat="1"/>
    <row r="48944" s="2" customFormat="1"/>
    <row r="48945" s="2" customFormat="1"/>
    <row r="48946" s="2" customFormat="1"/>
    <row r="48947" s="2" customFormat="1"/>
    <row r="48948" s="2" customFormat="1"/>
    <row r="48949" s="2" customFormat="1"/>
    <row r="48950" s="2" customFormat="1"/>
    <row r="48951" s="2" customFormat="1"/>
    <row r="48952" s="2" customFormat="1"/>
    <row r="48953" s="2" customFormat="1"/>
    <row r="48954" s="2" customFormat="1"/>
    <row r="48955" s="2" customFormat="1"/>
    <row r="48956" s="2" customFormat="1"/>
    <row r="48957" s="2" customFormat="1"/>
    <row r="48958" s="2" customFormat="1"/>
    <row r="48959" s="2" customFormat="1"/>
    <row r="48960" s="2" customFormat="1"/>
    <row r="48961" s="2" customFormat="1"/>
    <row r="48962" s="2" customFormat="1"/>
    <row r="48963" s="2" customFormat="1"/>
    <row r="48964" s="2" customFormat="1"/>
    <row r="48965" s="2" customFormat="1"/>
    <row r="48966" s="2" customFormat="1"/>
    <row r="48967" s="2" customFormat="1"/>
    <row r="48968" s="2" customFormat="1"/>
    <row r="48969" s="2" customFormat="1"/>
    <row r="48970" s="2" customFormat="1"/>
    <row r="48971" s="2" customFormat="1"/>
    <row r="48972" s="2" customFormat="1"/>
    <row r="48973" s="2" customFormat="1"/>
    <row r="48974" s="2" customFormat="1"/>
    <row r="48975" s="2" customFormat="1"/>
    <row r="48976" s="2" customFormat="1"/>
    <row r="48977" s="2" customFormat="1"/>
    <row r="48978" s="2" customFormat="1"/>
    <row r="48979" s="2" customFormat="1"/>
    <row r="48980" s="2" customFormat="1"/>
    <row r="48981" s="2" customFormat="1"/>
    <row r="48982" s="2" customFormat="1"/>
    <row r="48983" s="2" customFormat="1"/>
    <row r="48984" s="2" customFormat="1"/>
    <row r="48985" s="2" customFormat="1"/>
    <row r="48986" s="2" customFormat="1"/>
    <row r="48987" s="2" customFormat="1"/>
    <row r="48988" s="2" customFormat="1"/>
    <row r="48989" s="2" customFormat="1"/>
    <row r="48990" s="2" customFormat="1"/>
    <row r="48991" s="2" customFormat="1"/>
    <row r="48992" s="2" customFormat="1"/>
    <row r="48993" s="2" customFormat="1"/>
    <row r="48994" s="2" customFormat="1"/>
    <row r="48995" s="2" customFormat="1"/>
    <row r="48996" s="2" customFormat="1"/>
    <row r="48997" s="2" customFormat="1"/>
    <row r="48998" s="2" customFormat="1"/>
    <row r="48999" s="2" customFormat="1"/>
    <row r="49000" s="2" customFormat="1"/>
    <row r="49001" s="2" customFormat="1"/>
    <row r="49002" s="2" customFormat="1"/>
    <row r="49003" s="2" customFormat="1"/>
    <row r="49004" s="2" customFormat="1"/>
    <row r="49005" s="2" customFormat="1"/>
    <row r="49006" s="2" customFormat="1"/>
    <row r="49007" s="2" customFormat="1"/>
    <row r="49008" s="2" customFormat="1"/>
    <row r="49009" s="2" customFormat="1"/>
    <row r="49010" s="2" customFormat="1"/>
    <row r="49011" s="2" customFormat="1"/>
    <row r="49012" s="2" customFormat="1"/>
    <row r="49013" s="2" customFormat="1"/>
    <row r="49014" s="2" customFormat="1"/>
    <row r="49015" s="2" customFormat="1"/>
    <row r="49016" s="2" customFormat="1"/>
    <row r="49017" s="2" customFormat="1"/>
    <row r="49018" s="2" customFormat="1"/>
    <row r="49019" s="2" customFormat="1"/>
    <row r="49020" s="2" customFormat="1"/>
    <row r="49021" s="2" customFormat="1"/>
    <row r="49022" s="2" customFormat="1"/>
    <row r="49023" s="2" customFormat="1"/>
    <row r="49024" s="2" customFormat="1"/>
    <row r="49025" s="2" customFormat="1"/>
    <row r="49026" s="2" customFormat="1"/>
    <row r="49027" s="2" customFormat="1"/>
    <row r="49028" s="2" customFormat="1"/>
    <row r="49029" s="2" customFormat="1"/>
    <row r="49030" s="2" customFormat="1"/>
    <row r="49031" s="2" customFormat="1"/>
    <row r="49032" s="2" customFormat="1"/>
    <row r="49033" s="2" customFormat="1"/>
    <row r="49034" s="2" customFormat="1"/>
    <row r="49035" s="2" customFormat="1"/>
    <row r="49036" s="2" customFormat="1"/>
    <row r="49037" s="2" customFormat="1"/>
    <row r="49038" s="2" customFormat="1"/>
    <row r="49039" s="2" customFormat="1"/>
    <row r="49040" s="2" customFormat="1"/>
    <row r="49041" s="2" customFormat="1"/>
    <row r="49042" s="2" customFormat="1"/>
    <row r="49043" s="2" customFormat="1"/>
    <row r="49044" s="2" customFormat="1"/>
    <row r="49045" s="2" customFormat="1"/>
    <row r="49046" s="2" customFormat="1"/>
    <row r="49047" s="2" customFormat="1"/>
    <row r="49048" s="2" customFormat="1"/>
    <row r="49049" s="2" customFormat="1"/>
    <row r="49050" s="2" customFormat="1"/>
    <row r="49051" s="2" customFormat="1"/>
    <row r="49052" s="2" customFormat="1"/>
    <row r="49053" s="2" customFormat="1"/>
    <row r="49054" s="2" customFormat="1"/>
    <row r="49055" s="2" customFormat="1"/>
    <row r="49056" s="2" customFormat="1"/>
    <row r="49057" s="2" customFormat="1"/>
    <row r="49058" s="2" customFormat="1"/>
    <row r="49059" s="2" customFormat="1"/>
    <row r="49060" s="2" customFormat="1"/>
    <row r="49061" s="2" customFormat="1"/>
    <row r="49062" s="2" customFormat="1"/>
    <row r="49063" s="2" customFormat="1"/>
    <row r="49064" s="2" customFormat="1"/>
    <row r="49065" s="2" customFormat="1"/>
    <row r="49066" s="2" customFormat="1"/>
    <row r="49067" s="2" customFormat="1"/>
    <row r="49068" s="2" customFormat="1"/>
    <row r="49069" s="2" customFormat="1"/>
    <row r="49070" s="2" customFormat="1"/>
    <row r="49071" s="2" customFormat="1"/>
    <row r="49072" s="2" customFormat="1"/>
    <row r="49073" s="2" customFormat="1"/>
    <row r="49074" s="2" customFormat="1"/>
    <row r="49075" s="2" customFormat="1"/>
    <row r="49076" s="2" customFormat="1"/>
    <row r="49077" s="2" customFormat="1"/>
    <row r="49078" s="2" customFormat="1"/>
    <row r="49079" s="2" customFormat="1"/>
    <row r="49080" s="2" customFormat="1"/>
    <row r="49081" s="2" customFormat="1"/>
    <row r="49082" s="2" customFormat="1"/>
    <row r="49083" s="2" customFormat="1"/>
    <row r="49084" s="2" customFormat="1"/>
    <row r="49085" s="2" customFormat="1"/>
    <row r="49086" s="2" customFormat="1"/>
    <row r="49087" s="2" customFormat="1"/>
    <row r="49088" s="2" customFormat="1"/>
    <row r="49089" s="2" customFormat="1"/>
    <row r="49090" s="2" customFormat="1"/>
    <row r="49091" s="2" customFormat="1"/>
    <row r="49092" s="2" customFormat="1"/>
    <row r="49093" s="2" customFormat="1"/>
    <row r="49094" s="2" customFormat="1"/>
    <row r="49095" s="2" customFormat="1"/>
    <row r="49096" s="2" customFormat="1"/>
    <row r="49097" s="2" customFormat="1"/>
    <row r="49098" s="2" customFormat="1"/>
    <row r="49099" s="2" customFormat="1"/>
    <row r="49100" s="2" customFormat="1"/>
    <row r="49101" s="2" customFormat="1"/>
    <row r="49102" s="2" customFormat="1"/>
    <row r="49103" s="2" customFormat="1"/>
    <row r="49104" s="2" customFormat="1"/>
    <row r="49105" s="2" customFormat="1"/>
    <row r="49106" s="2" customFormat="1"/>
    <row r="49107" s="2" customFormat="1"/>
    <row r="49108" s="2" customFormat="1"/>
    <row r="49109" s="2" customFormat="1"/>
    <row r="49110" s="2" customFormat="1"/>
    <row r="49111" s="2" customFormat="1"/>
    <row r="49112" s="2" customFormat="1"/>
    <row r="49113" s="2" customFormat="1"/>
    <row r="49114" s="2" customFormat="1"/>
    <row r="49115" s="2" customFormat="1"/>
    <row r="49116" s="2" customFormat="1"/>
    <row r="49117" s="2" customFormat="1"/>
    <row r="49118" s="2" customFormat="1"/>
    <row r="49119" s="2" customFormat="1"/>
    <row r="49120" s="2" customFormat="1"/>
    <row r="49121" s="2" customFormat="1"/>
    <row r="49122" s="2" customFormat="1"/>
    <row r="49123" s="2" customFormat="1"/>
    <row r="49124" s="2" customFormat="1"/>
    <row r="49125" s="2" customFormat="1"/>
    <row r="49126" s="2" customFormat="1"/>
    <row r="49127" s="2" customFormat="1"/>
    <row r="49128" s="2" customFormat="1"/>
    <row r="49129" s="2" customFormat="1"/>
    <row r="49130" s="2" customFormat="1"/>
    <row r="49131" s="2" customFormat="1"/>
    <row r="49132" s="2" customFormat="1"/>
    <row r="49133" s="2" customFormat="1"/>
    <row r="49134" s="2" customFormat="1"/>
    <row r="49135" s="2" customFormat="1"/>
    <row r="49136" s="2" customFormat="1"/>
    <row r="49137" s="2" customFormat="1"/>
    <row r="49138" s="2" customFormat="1"/>
    <row r="49139" s="2" customFormat="1"/>
    <row r="49140" s="2" customFormat="1"/>
    <row r="49141" s="2" customFormat="1"/>
    <row r="49142" s="2" customFormat="1"/>
    <row r="49143" s="2" customFormat="1"/>
    <row r="49144" s="2" customFormat="1"/>
    <row r="49145" s="2" customFormat="1"/>
    <row r="49146" s="2" customFormat="1"/>
    <row r="49147" s="2" customFormat="1"/>
    <row r="49148" s="2" customFormat="1"/>
    <row r="49149" s="2" customFormat="1"/>
    <row r="49150" s="2" customFormat="1"/>
    <row r="49151" s="2" customFormat="1"/>
    <row r="49152" s="2" customFormat="1"/>
    <row r="49153" s="2" customFormat="1"/>
    <row r="49154" s="2" customFormat="1"/>
    <row r="49155" s="2" customFormat="1"/>
    <row r="49156" s="2" customFormat="1"/>
    <row r="49157" s="2" customFormat="1"/>
    <row r="49158" s="2" customFormat="1"/>
    <row r="49159" s="2" customFormat="1"/>
    <row r="49160" s="2" customFormat="1"/>
    <row r="49161" s="2" customFormat="1"/>
    <row r="49162" s="2" customFormat="1"/>
    <row r="49163" s="2" customFormat="1"/>
    <row r="49164" s="2" customFormat="1"/>
    <row r="49165" s="2" customFormat="1"/>
    <row r="49166" s="2" customFormat="1"/>
    <row r="49167" s="2" customFormat="1"/>
    <row r="49168" s="2" customFormat="1"/>
    <row r="49169" s="2" customFormat="1"/>
    <row r="49170" s="2" customFormat="1"/>
    <row r="49171" s="2" customFormat="1"/>
    <row r="49172" s="2" customFormat="1"/>
    <row r="49173" s="2" customFormat="1"/>
    <row r="49174" s="2" customFormat="1"/>
    <row r="49175" s="2" customFormat="1"/>
    <row r="49176" s="2" customFormat="1"/>
    <row r="49177" s="2" customFormat="1"/>
    <row r="49178" s="2" customFormat="1"/>
    <row r="49179" s="2" customFormat="1"/>
    <row r="49180" s="2" customFormat="1"/>
    <row r="49181" s="2" customFormat="1"/>
    <row r="49182" s="2" customFormat="1"/>
    <row r="49183" s="2" customFormat="1"/>
    <row r="49184" s="2" customFormat="1"/>
    <row r="49185" s="2" customFormat="1"/>
    <row r="49186" s="2" customFormat="1"/>
    <row r="49187" s="2" customFormat="1"/>
    <row r="49188" s="2" customFormat="1"/>
    <row r="49189" s="2" customFormat="1"/>
    <row r="49190" s="2" customFormat="1"/>
    <row r="49191" s="2" customFormat="1"/>
    <row r="49192" s="2" customFormat="1"/>
    <row r="49193" s="2" customFormat="1"/>
    <row r="49194" s="2" customFormat="1"/>
    <row r="49195" s="2" customFormat="1"/>
    <row r="49196" s="2" customFormat="1"/>
    <row r="49197" s="2" customFormat="1"/>
    <row r="49198" s="2" customFormat="1"/>
    <row r="49199" s="2" customFormat="1"/>
    <row r="49200" s="2" customFormat="1"/>
    <row r="49201" s="2" customFormat="1"/>
    <row r="49202" s="2" customFormat="1"/>
    <row r="49203" s="2" customFormat="1"/>
    <row r="49204" s="2" customFormat="1"/>
    <row r="49205" s="2" customFormat="1"/>
    <row r="49206" s="2" customFormat="1"/>
    <row r="49207" s="2" customFormat="1"/>
    <row r="49208" s="2" customFormat="1"/>
    <row r="49209" s="2" customFormat="1"/>
    <row r="49210" s="2" customFormat="1"/>
    <row r="49211" s="2" customFormat="1"/>
    <row r="49212" s="2" customFormat="1"/>
    <row r="49213" s="2" customFormat="1"/>
    <row r="49214" s="2" customFormat="1"/>
    <row r="49215" s="2" customFormat="1"/>
    <row r="49216" s="2" customFormat="1"/>
    <row r="49217" s="2" customFormat="1"/>
    <row r="49218" s="2" customFormat="1"/>
    <row r="49219" s="2" customFormat="1"/>
    <row r="49220" s="2" customFormat="1"/>
    <row r="49221" s="2" customFormat="1"/>
    <row r="49222" s="2" customFormat="1"/>
    <row r="49223" s="2" customFormat="1"/>
    <row r="49224" s="2" customFormat="1"/>
    <row r="49225" s="2" customFormat="1"/>
    <row r="49226" s="2" customFormat="1"/>
    <row r="49227" s="2" customFormat="1"/>
    <row r="49228" s="2" customFormat="1"/>
    <row r="49229" s="2" customFormat="1"/>
    <row r="49230" s="2" customFormat="1"/>
    <row r="49231" s="2" customFormat="1"/>
    <row r="49232" s="2" customFormat="1"/>
    <row r="49233" s="2" customFormat="1"/>
    <row r="49234" s="2" customFormat="1"/>
    <row r="49235" s="2" customFormat="1"/>
    <row r="49236" s="2" customFormat="1"/>
    <row r="49237" s="2" customFormat="1"/>
    <row r="49238" s="2" customFormat="1"/>
    <row r="49239" s="2" customFormat="1"/>
    <row r="49240" s="2" customFormat="1"/>
    <row r="49241" s="2" customFormat="1"/>
    <row r="49242" s="2" customFormat="1"/>
    <row r="49243" s="2" customFormat="1"/>
    <row r="49244" s="2" customFormat="1"/>
    <row r="49245" s="2" customFormat="1"/>
    <row r="49246" s="2" customFormat="1"/>
    <row r="49247" s="2" customFormat="1"/>
    <row r="49248" s="2" customFormat="1"/>
    <row r="49249" s="2" customFormat="1"/>
    <row r="49250" s="2" customFormat="1"/>
    <row r="49251" s="2" customFormat="1"/>
    <row r="49252" s="2" customFormat="1"/>
    <row r="49253" s="2" customFormat="1"/>
    <row r="49254" s="2" customFormat="1"/>
    <row r="49255" s="2" customFormat="1"/>
    <row r="49256" s="2" customFormat="1"/>
    <row r="49257" s="2" customFormat="1"/>
    <row r="49258" s="2" customFormat="1"/>
    <row r="49259" s="2" customFormat="1"/>
    <row r="49260" s="2" customFormat="1"/>
    <row r="49261" s="2" customFormat="1"/>
    <row r="49262" s="2" customFormat="1"/>
    <row r="49263" s="2" customFormat="1"/>
    <row r="49264" s="2" customFormat="1"/>
    <row r="49265" s="2" customFormat="1"/>
    <row r="49266" s="2" customFormat="1"/>
    <row r="49267" s="2" customFormat="1"/>
    <row r="49268" s="2" customFormat="1"/>
    <row r="49269" s="2" customFormat="1"/>
    <row r="49270" s="2" customFormat="1"/>
    <row r="49271" s="2" customFormat="1"/>
    <row r="49272" s="2" customFormat="1"/>
    <row r="49273" s="2" customFormat="1"/>
    <row r="49274" s="2" customFormat="1"/>
    <row r="49275" s="2" customFormat="1"/>
    <row r="49276" s="2" customFormat="1"/>
    <row r="49277" s="2" customFormat="1"/>
    <row r="49278" s="2" customFormat="1"/>
    <row r="49279" s="2" customFormat="1"/>
    <row r="49280" s="2" customFormat="1"/>
    <row r="49281" s="2" customFormat="1"/>
    <row r="49282" s="2" customFormat="1"/>
    <row r="49283" s="2" customFormat="1"/>
    <row r="49284" s="2" customFormat="1"/>
    <row r="49285" s="2" customFormat="1"/>
    <row r="49286" s="2" customFormat="1"/>
    <row r="49287" s="2" customFormat="1"/>
    <row r="49288" s="2" customFormat="1"/>
    <row r="49289" s="2" customFormat="1"/>
    <row r="49290" s="2" customFormat="1"/>
    <row r="49291" s="2" customFormat="1"/>
    <row r="49292" s="2" customFormat="1"/>
    <row r="49293" s="2" customFormat="1"/>
    <row r="49294" s="2" customFormat="1"/>
    <row r="49295" s="2" customFormat="1"/>
    <row r="49296" s="2" customFormat="1"/>
    <row r="49297" s="2" customFormat="1"/>
    <row r="49298" s="2" customFormat="1"/>
    <row r="49299" s="2" customFormat="1"/>
    <row r="49300" s="2" customFormat="1"/>
    <row r="49301" s="2" customFormat="1"/>
    <row r="49302" s="2" customFormat="1"/>
    <row r="49303" s="2" customFormat="1"/>
    <row r="49304" s="2" customFormat="1"/>
    <row r="49305" s="2" customFormat="1"/>
    <row r="49306" s="2" customFormat="1"/>
    <row r="49307" s="2" customFormat="1"/>
    <row r="49308" s="2" customFormat="1"/>
    <row r="49309" s="2" customFormat="1"/>
    <row r="49310" s="2" customFormat="1"/>
    <row r="49311" s="2" customFormat="1"/>
    <row r="49312" s="2" customFormat="1"/>
    <row r="49313" s="2" customFormat="1"/>
    <row r="49314" s="2" customFormat="1"/>
    <row r="49315" s="2" customFormat="1"/>
    <row r="49316" s="2" customFormat="1"/>
    <row r="49317" s="2" customFormat="1"/>
    <row r="49318" s="2" customFormat="1"/>
    <row r="49319" s="2" customFormat="1"/>
    <row r="49320" s="2" customFormat="1"/>
    <row r="49321" s="2" customFormat="1"/>
    <row r="49322" s="2" customFormat="1"/>
    <row r="49323" s="2" customFormat="1"/>
    <row r="49324" s="2" customFormat="1"/>
    <row r="49325" s="2" customFormat="1"/>
    <row r="49326" s="2" customFormat="1"/>
    <row r="49327" s="2" customFormat="1"/>
    <row r="49328" s="2" customFormat="1"/>
    <row r="49329" s="2" customFormat="1"/>
    <row r="49330" s="2" customFormat="1"/>
    <row r="49331" s="2" customFormat="1"/>
    <row r="49332" s="2" customFormat="1"/>
    <row r="49333" s="2" customFormat="1"/>
    <row r="49334" s="2" customFormat="1"/>
    <row r="49335" s="2" customFormat="1"/>
    <row r="49336" s="2" customFormat="1"/>
    <row r="49337" s="2" customFormat="1"/>
    <row r="49338" s="2" customFormat="1"/>
    <row r="49339" s="2" customFormat="1"/>
    <row r="49340" s="2" customFormat="1"/>
    <row r="49341" s="2" customFormat="1"/>
    <row r="49342" s="2" customFormat="1"/>
    <row r="49343" s="2" customFormat="1"/>
    <row r="49344" s="2" customFormat="1"/>
    <row r="49345" s="2" customFormat="1"/>
    <row r="49346" s="2" customFormat="1"/>
    <row r="49347" s="2" customFormat="1"/>
    <row r="49348" s="2" customFormat="1"/>
    <row r="49349" s="2" customFormat="1"/>
    <row r="49350" s="2" customFormat="1"/>
    <row r="49351" s="2" customFormat="1"/>
    <row r="49352" s="2" customFormat="1"/>
    <row r="49353" s="2" customFormat="1"/>
    <row r="49354" s="2" customFormat="1"/>
    <row r="49355" s="2" customFormat="1"/>
    <row r="49356" s="2" customFormat="1"/>
    <row r="49357" s="2" customFormat="1"/>
    <row r="49358" s="2" customFormat="1"/>
    <row r="49359" s="2" customFormat="1"/>
    <row r="49360" s="2" customFormat="1"/>
    <row r="49361" s="2" customFormat="1"/>
    <row r="49362" s="2" customFormat="1"/>
    <row r="49363" s="2" customFormat="1"/>
    <row r="49364" s="2" customFormat="1"/>
    <row r="49365" s="2" customFormat="1"/>
    <row r="49366" s="2" customFormat="1"/>
    <row r="49367" s="2" customFormat="1"/>
    <row r="49368" s="2" customFormat="1"/>
    <row r="49369" s="2" customFormat="1"/>
    <row r="49370" s="2" customFormat="1"/>
    <row r="49371" s="2" customFormat="1"/>
    <row r="49372" s="2" customFormat="1"/>
    <row r="49373" s="2" customFormat="1"/>
    <row r="49374" s="2" customFormat="1"/>
    <row r="49375" s="2" customFormat="1"/>
    <row r="49376" s="2" customFormat="1"/>
    <row r="49377" s="2" customFormat="1"/>
    <row r="49378" s="2" customFormat="1"/>
    <row r="49379" s="2" customFormat="1"/>
    <row r="49380" s="2" customFormat="1"/>
    <row r="49381" s="2" customFormat="1"/>
    <row r="49382" s="2" customFormat="1"/>
    <row r="49383" s="2" customFormat="1"/>
    <row r="49384" s="2" customFormat="1"/>
    <row r="49385" s="2" customFormat="1"/>
    <row r="49386" s="2" customFormat="1"/>
    <row r="49387" s="2" customFormat="1"/>
    <row r="49388" s="2" customFormat="1"/>
    <row r="49389" s="2" customFormat="1"/>
    <row r="49390" s="2" customFormat="1"/>
    <row r="49391" s="2" customFormat="1"/>
    <row r="49392" s="2" customFormat="1"/>
    <row r="49393" s="2" customFormat="1"/>
    <row r="49394" s="2" customFormat="1"/>
    <row r="49395" s="2" customFormat="1"/>
    <row r="49396" s="2" customFormat="1"/>
    <row r="49397" s="2" customFormat="1"/>
    <row r="49398" s="2" customFormat="1"/>
    <row r="49399" s="2" customFormat="1"/>
    <row r="49400" s="2" customFormat="1"/>
    <row r="49401" s="2" customFormat="1"/>
    <row r="49402" s="2" customFormat="1"/>
    <row r="49403" s="2" customFormat="1"/>
    <row r="49404" s="2" customFormat="1"/>
    <row r="49405" s="2" customFormat="1"/>
    <row r="49406" s="2" customFormat="1"/>
    <row r="49407" s="2" customFormat="1"/>
    <row r="49408" s="2" customFormat="1"/>
    <row r="49409" s="2" customFormat="1"/>
    <row r="49410" s="2" customFormat="1"/>
    <row r="49411" s="2" customFormat="1"/>
    <row r="49412" s="2" customFormat="1"/>
    <row r="49413" s="2" customFormat="1"/>
    <row r="49414" s="2" customFormat="1"/>
    <row r="49415" s="2" customFormat="1"/>
    <row r="49416" s="2" customFormat="1"/>
    <row r="49417" s="2" customFormat="1"/>
    <row r="49418" s="2" customFormat="1"/>
    <row r="49419" s="2" customFormat="1"/>
    <row r="49420" s="2" customFormat="1"/>
    <row r="49421" s="2" customFormat="1"/>
    <row r="49422" s="2" customFormat="1"/>
    <row r="49423" s="2" customFormat="1"/>
    <row r="49424" s="2" customFormat="1"/>
    <row r="49425" s="2" customFormat="1"/>
    <row r="49426" s="2" customFormat="1"/>
    <row r="49427" s="2" customFormat="1"/>
    <row r="49428" s="2" customFormat="1"/>
    <row r="49429" s="2" customFormat="1"/>
    <row r="49430" s="2" customFormat="1"/>
    <row r="49431" s="2" customFormat="1"/>
    <row r="49432" s="2" customFormat="1"/>
    <row r="49433" s="2" customFormat="1"/>
    <row r="49434" s="2" customFormat="1"/>
    <row r="49435" s="2" customFormat="1"/>
    <row r="49436" s="2" customFormat="1"/>
    <row r="49437" s="2" customFormat="1"/>
    <row r="49438" s="2" customFormat="1"/>
    <row r="49439" s="2" customFormat="1"/>
    <row r="49440" s="2" customFormat="1"/>
    <row r="49441" s="2" customFormat="1"/>
    <row r="49442" s="2" customFormat="1"/>
    <row r="49443" s="2" customFormat="1"/>
    <row r="49444" s="2" customFormat="1"/>
    <row r="49445" s="2" customFormat="1"/>
    <row r="49446" s="2" customFormat="1"/>
    <row r="49447" s="2" customFormat="1"/>
    <row r="49448" s="2" customFormat="1"/>
    <row r="49449" s="2" customFormat="1"/>
    <row r="49450" s="2" customFormat="1"/>
    <row r="49451" s="2" customFormat="1"/>
    <row r="49452" s="2" customFormat="1"/>
    <row r="49453" s="2" customFormat="1"/>
    <row r="49454" s="2" customFormat="1"/>
    <row r="49455" s="2" customFormat="1"/>
    <row r="49456" s="2" customFormat="1"/>
    <row r="49457" s="2" customFormat="1"/>
    <row r="49458" s="2" customFormat="1"/>
    <row r="49459" s="2" customFormat="1"/>
    <row r="49460" s="2" customFormat="1"/>
    <row r="49461" s="2" customFormat="1"/>
    <row r="49462" s="2" customFormat="1"/>
    <row r="49463" s="2" customFormat="1"/>
    <row r="49464" s="2" customFormat="1"/>
    <row r="49465" s="2" customFormat="1"/>
    <row r="49466" s="2" customFormat="1"/>
    <row r="49467" s="2" customFormat="1"/>
    <row r="49468" s="2" customFormat="1"/>
    <row r="49469" s="2" customFormat="1"/>
    <row r="49470" s="2" customFormat="1"/>
    <row r="49471" s="2" customFormat="1"/>
    <row r="49472" s="2" customFormat="1"/>
    <row r="49473" s="2" customFormat="1"/>
    <row r="49474" s="2" customFormat="1"/>
    <row r="49475" s="2" customFormat="1"/>
    <row r="49476" s="2" customFormat="1"/>
    <row r="49477" s="2" customFormat="1"/>
    <row r="49478" s="2" customFormat="1"/>
    <row r="49479" s="2" customFormat="1"/>
    <row r="49480" s="2" customFormat="1"/>
    <row r="49481" s="2" customFormat="1"/>
    <row r="49482" s="2" customFormat="1"/>
    <row r="49483" s="2" customFormat="1"/>
    <row r="49484" s="2" customFormat="1"/>
    <row r="49485" s="2" customFormat="1"/>
    <row r="49486" s="2" customFormat="1"/>
    <row r="49487" s="2" customFormat="1"/>
    <row r="49488" s="2" customFormat="1"/>
    <row r="49489" s="2" customFormat="1"/>
    <row r="49490" s="2" customFormat="1"/>
    <row r="49491" s="2" customFormat="1"/>
    <row r="49492" s="2" customFormat="1"/>
    <row r="49493" s="2" customFormat="1"/>
    <row r="49494" s="2" customFormat="1"/>
    <row r="49495" s="2" customFormat="1"/>
    <row r="49496" s="2" customFormat="1"/>
    <row r="49497" s="2" customFormat="1"/>
    <row r="49498" s="2" customFormat="1"/>
    <row r="49499" s="2" customFormat="1"/>
    <row r="49500" s="2" customFormat="1"/>
    <row r="49501" s="2" customFormat="1"/>
    <row r="49502" s="2" customFormat="1"/>
    <row r="49503" s="2" customFormat="1"/>
    <row r="49504" s="2" customFormat="1"/>
    <row r="49505" s="2" customFormat="1"/>
    <row r="49506" s="2" customFormat="1"/>
    <row r="49507" s="2" customFormat="1"/>
    <row r="49508" s="2" customFormat="1"/>
    <row r="49509" s="2" customFormat="1"/>
    <row r="49510" s="2" customFormat="1"/>
    <row r="49511" s="2" customFormat="1"/>
    <row r="49512" s="2" customFormat="1"/>
    <row r="49513" s="2" customFormat="1"/>
    <row r="49514" s="2" customFormat="1"/>
    <row r="49515" s="2" customFormat="1"/>
    <row r="49516" s="2" customFormat="1"/>
    <row r="49517" s="2" customFormat="1"/>
    <row r="49518" s="2" customFormat="1"/>
    <row r="49519" s="2" customFormat="1"/>
    <row r="49520" s="2" customFormat="1"/>
    <row r="49521" s="2" customFormat="1"/>
    <row r="49522" s="2" customFormat="1"/>
    <row r="49523" s="2" customFormat="1"/>
    <row r="49524" s="2" customFormat="1"/>
    <row r="49525" s="2" customFormat="1"/>
    <row r="49526" s="2" customFormat="1"/>
    <row r="49527" s="2" customFormat="1"/>
    <row r="49528" s="2" customFormat="1"/>
    <row r="49529" s="2" customFormat="1"/>
    <row r="49530" s="2" customFormat="1"/>
    <row r="49531" s="2" customFormat="1"/>
    <row r="49532" s="2" customFormat="1"/>
    <row r="49533" s="2" customFormat="1"/>
    <row r="49534" s="2" customFormat="1"/>
    <row r="49535" s="2" customFormat="1"/>
    <row r="49536" s="2" customFormat="1"/>
    <row r="49537" s="2" customFormat="1"/>
    <row r="49538" s="2" customFormat="1"/>
    <row r="49539" s="2" customFormat="1"/>
    <row r="49540" s="2" customFormat="1"/>
    <row r="49541" s="2" customFormat="1"/>
    <row r="49542" s="2" customFormat="1"/>
    <row r="49543" s="2" customFormat="1"/>
    <row r="49544" s="2" customFormat="1"/>
    <row r="49545" s="2" customFormat="1"/>
    <row r="49546" s="2" customFormat="1"/>
    <row r="49547" s="2" customFormat="1"/>
    <row r="49548" s="2" customFormat="1"/>
    <row r="49549" s="2" customFormat="1"/>
    <row r="49550" s="2" customFormat="1"/>
    <row r="49551" s="2" customFormat="1"/>
    <row r="49552" s="2" customFormat="1"/>
    <row r="49553" s="2" customFormat="1"/>
    <row r="49554" s="2" customFormat="1"/>
    <row r="49555" s="2" customFormat="1"/>
    <row r="49556" s="2" customFormat="1"/>
    <row r="49557" s="2" customFormat="1"/>
    <row r="49558" s="2" customFormat="1"/>
    <row r="49559" s="2" customFormat="1"/>
    <row r="49560" s="2" customFormat="1"/>
    <row r="49561" s="2" customFormat="1"/>
    <row r="49562" s="2" customFormat="1"/>
    <row r="49563" s="2" customFormat="1"/>
    <row r="49564" s="2" customFormat="1"/>
    <row r="49565" s="2" customFormat="1"/>
    <row r="49566" s="2" customFormat="1"/>
    <row r="49567" s="2" customFormat="1"/>
    <row r="49568" s="2" customFormat="1"/>
    <row r="49569" s="2" customFormat="1"/>
    <row r="49570" s="2" customFormat="1"/>
    <row r="49571" s="2" customFormat="1"/>
    <row r="49572" s="2" customFormat="1"/>
    <row r="49573" s="2" customFormat="1"/>
    <row r="49574" s="2" customFormat="1"/>
    <row r="49575" s="2" customFormat="1"/>
    <row r="49576" s="2" customFormat="1"/>
    <row r="49577" s="2" customFormat="1"/>
    <row r="49578" s="2" customFormat="1"/>
    <row r="49579" s="2" customFormat="1"/>
    <row r="49580" s="2" customFormat="1"/>
    <row r="49581" s="2" customFormat="1"/>
    <row r="49582" s="2" customFormat="1"/>
    <row r="49583" s="2" customFormat="1"/>
    <row r="49584" s="2" customFormat="1"/>
    <row r="49585" s="2" customFormat="1"/>
    <row r="49586" s="2" customFormat="1"/>
    <row r="49587" s="2" customFormat="1"/>
    <row r="49588" s="2" customFormat="1"/>
    <row r="49589" s="2" customFormat="1"/>
    <row r="49590" s="2" customFormat="1"/>
    <row r="49591" s="2" customFormat="1"/>
    <row r="49592" s="2" customFormat="1"/>
    <row r="49593" s="2" customFormat="1"/>
    <row r="49594" s="2" customFormat="1"/>
    <row r="49595" s="2" customFormat="1"/>
    <row r="49596" s="2" customFormat="1"/>
    <row r="49597" s="2" customFormat="1"/>
    <row r="49598" s="2" customFormat="1"/>
    <row r="49599" s="2" customFormat="1"/>
    <row r="49600" s="2" customFormat="1"/>
    <row r="49601" s="2" customFormat="1"/>
    <row r="49602" s="2" customFormat="1"/>
    <row r="49603" s="2" customFormat="1"/>
    <row r="49604" s="2" customFormat="1"/>
    <row r="49605" s="2" customFormat="1"/>
    <row r="49606" s="2" customFormat="1"/>
    <row r="49607" s="2" customFormat="1"/>
    <row r="49608" s="2" customFormat="1"/>
    <row r="49609" s="2" customFormat="1"/>
    <row r="49610" s="2" customFormat="1"/>
    <row r="49611" s="2" customFormat="1"/>
    <row r="49612" s="2" customFormat="1"/>
    <row r="49613" s="2" customFormat="1"/>
    <row r="49614" s="2" customFormat="1"/>
    <row r="49615" s="2" customFormat="1"/>
    <row r="49616" s="2" customFormat="1"/>
    <row r="49617" s="2" customFormat="1"/>
    <row r="49618" s="2" customFormat="1"/>
    <row r="49619" s="2" customFormat="1"/>
    <row r="49620" s="2" customFormat="1"/>
    <row r="49621" s="2" customFormat="1"/>
    <row r="49622" s="2" customFormat="1"/>
    <row r="49623" s="2" customFormat="1"/>
    <row r="49624" s="2" customFormat="1"/>
    <row r="49625" s="2" customFormat="1"/>
    <row r="49626" s="2" customFormat="1"/>
    <row r="49627" s="2" customFormat="1"/>
    <row r="49628" s="2" customFormat="1"/>
    <row r="49629" s="2" customFormat="1"/>
    <row r="49630" s="2" customFormat="1"/>
    <row r="49631" s="2" customFormat="1"/>
    <row r="49632" s="2" customFormat="1"/>
    <row r="49633" s="2" customFormat="1"/>
    <row r="49634" s="2" customFormat="1"/>
    <row r="49635" s="2" customFormat="1"/>
    <row r="49636" s="2" customFormat="1"/>
    <row r="49637" s="2" customFormat="1"/>
    <row r="49638" s="2" customFormat="1"/>
    <row r="49639" s="2" customFormat="1"/>
    <row r="49640" s="2" customFormat="1"/>
    <row r="49641" s="2" customFormat="1"/>
    <row r="49642" s="2" customFormat="1"/>
    <row r="49643" s="2" customFormat="1"/>
    <row r="49644" s="2" customFormat="1"/>
    <row r="49645" s="2" customFormat="1"/>
    <row r="49646" s="2" customFormat="1"/>
    <row r="49647" s="2" customFormat="1"/>
    <row r="49648" s="2" customFormat="1"/>
    <row r="49649" s="2" customFormat="1"/>
    <row r="49650" s="2" customFormat="1"/>
    <row r="49651" s="2" customFormat="1"/>
    <row r="49652" s="2" customFormat="1"/>
    <row r="49653" s="2" customFormat="1"/>
    <row r="49654" s="2" customFormat="1"/>
    <row r="49655" s="2" customFormat="1"/>
    <row r="49656" s="2" customFormat="1"/>
    <row r="49657" s="2" customFormat="1"/>
    <row r="49658" s="2" customFormat="1"/>
    <row r="49659" s="2" customFormat="1"/>
    <row r="49660" s="2" customFormat="1"/>
    <row r="49661" s="2" customFormat="1"/>
    <row r="49662" s="2" customFormat="1"/>
    <row r="49663" s="2" customFormat="1"/>
    <row r="49664" s="2" customFormat="1"/>
    <row r="49665" s="2" customFormat="1"/>
    <row r="49666" s="2" customFormat="1"/>
    <row r="49667" s="2" customFormat="1"/>
    <row r="49668" s="2" customFormat="1"/>
    <row r="49669" s="2" customFormat="1"/>
    <row r="49670" s="2" customFormat="1"/>
    <row r="49671" s="2" customFormat="1"/>
    <row r="49672" s="2" customFormat="1"/>
    <row r="49673" s="2" customFormat="1"/>
    <row r="49674" s="2" customFormat="1"/>
    <row r="49675" s="2" customFormat="1"/>
    <row r="49676" s="2" customFormat="1"/>
    <row r="49677" s="2" customFormat="1"/>
    <row r="49678" s="2" customFormat="1"/>
    <row r="49679" s="2" customFormat="1"/>
    <row r="49680" s="2" customFormat="1"/>
    <row r="49681" s="2" customFormat="1"/>
    <row r="49682" s="2" customFormat="1"/>
    <row r="49683" s="2" customFormat="1"/>
    <row r="49684" s="2" customFormat="1"/>
    <row r="49685" s="2" customFormat="1"/>
    <row r="49686" s="2" customFormat="1"/>
    <row r="49687" s="2" customFormat="1"/>
    <row r="49688" s="2" customFormat="1"/>
    <row r="49689" s="2" customFormat="1"/>
    <row r="49690" s="2" customFormat="1"/>
    <row r="49691" s="2" customFormat="1"/>
    <row r="49692" s="2" customFormat="1"/>
    <row r="49693" s="2" customFormat="1"/>
    <row r="49694" s="2" customFormat="1"/>
    <row r="49695" s="2" customFormat="1"/>
    <row r="49696" s="2" customFormat="1"/>
    <row r="49697" s="2" customFormat="1"/>
    <row r="49698" s="2" customFormat="1"/>
    <row r="49699" s="2" customFormat="1"/>
    <row r="49700" s="2" customFormat="1"/>
    <row r="49701" s="2" customFormat="1"/>
    <row r="49702" s="2" customFormat="1"/>
    <row r="49703" s="2" customFormat="1"/>
    <row r="49704" s="2" customFormat="1"/>
    <row r="49705" s="2" customFormat="1"/>
    <row r="49706" s="2" customFormat="1"/>
    <row r="49707" s="2" customFormat="1"/>
    <row r="49708" s="2" customFormat="1"/>
    <row r="49709" s="2" customFormat="1"/>
    <row r="49710" s="2" customFormat="1"/>
    <row r="49711" s="2" customFormat="1"/>
    <row r="49712" s="2" customFormat="1"/>
    <row r="49713" s="2" customFormat="1"/>
    <row r="49714" s="2" customFormat="1"/>
    <row r="49715" s="2" customFormat="1"/>
    <row r="49716" s="2" customFormat="1"/>
    <row r="49717" s="2" customFormat="1"/>
    <row r="49718" s="2" customFormat="1"/>
    <row r="49719" s="2" customFormat="1"/>
    <row r="49720" s="2" customFormat="1"/>
    <row r="49721" s="2" customFormat="1"/>
    <row r="49722" s="2" customFormat="1"/>
    <row r="49723" s="2" customFormat="1"/>
    <row r="49724" s="2" customFormat="1"/>
    <row r="49725" s="2" customFormat="1"/>
    <row r="49726" s="2" customFormat="1"/>
    <row r="49727" s="2" customFormat="1"/>
    <row r="49728" s="2" customFormat="1"/>
    <row r="49729" s="2" customFormat="1"/>
    <row r="49730" s="2" customFormat="1"/>
    <row r="49731" s="2" customFormat="1"/>
    <row r="49732" s="2" customFormat="1"/>
    <row r="49733" s="2" customFormat="1"/>
    <row r="49734" s="2" customFormat="1"/>
    <row r="49735" s="2" customFormat="1"/>
    <row r="49736" s="2" customFormat="1"/>
    <row r="49737" s="2" customFormat="1"/>
    <row r="49738" s="2" customFormat="1"/>
    <row r="49739" s="2" customFormat="1"/>
    <row r="49740" s="2" customFormat="1"/>
    <row r="49741" s="2" customFormat="1"/>
    <row r="49742" s="2" customFormat="1"/>
    <row r="49743" s="2" customFormat="1"/>
    <row r="49744" s="2" customFormat="1"/>
    <row r="49745" s="2" customFormat="1"/>
    <row r="49746" s="2" customFormat="1"/>
    <row r="49747" s="2" customFormat="1"/>
    <row r="49748" s="2" customFormat="1"/>
    <row r="49749" s="2" customFormat="1"/>
    <row r="49750" s="2" customFormat="1"/>
    <row r="49751" s="2" customFormat="1"/>
    <row r="49752" s="2" customFormat="1"/>
    <row r="49753" s="2" customFormat="1"/>
    <row r="49754" s="2" customFormat="1"/>
    <row r="49755" s="2" customFormat="1"/>
    <row r="49756" s="2" customFormat="1"/>
    <row r="49757" s="2" customFormat="1"/>
    <row r="49758" s="2" customFormat="1"/>
    <row r="49759" s="2" customFormat="1"/>
    <row r="49760" s="2" customFormat="1"/>
    <row r="49761" s="2" customFormat="1"/>
    <row r="49762" s="2" customFormat="1"/>
    <row r="49763" s="2" customFormat="1"/>
    <row r="49764" s="2" customFormat="1"/>
    <row r="49765" s="2" customFormat="1"/>
    <row r="49766" s="2" customFormat="1"/>
    <row r="49767" s="2" customFormat="1"/>
    <row r="49768" s="2" customFormat="1"/>
    <row r="49769" s="2" customFormat="1"/>
    <row r="49770" s="2" customFormat="1"/>
    <row r="49771" s="2" customFormat="1"/>
    <row r="49772" s="2" customFormat="1"/>
    <row r="49773" s="2" customFormat="1"/>
    <row r="49774" s="2" customFormat="1"/>
    <row r="49775" s="2" customFormat="1"/>
    <row r="49776" s="2" customFormat="1"/>
    <row r="49777" s="2" customFormat="1"/>
    <row r="49778" s="2" customFormat="1"/>
    <row r="49779" s="2" customFormat="1"/>
    <row r="49780" s="2" customFormat="1"/>
    <row r="49781" s="2" customFormat="1"/>
    <row r="49782" s="2" customFormat="1"/>
    <row r="49783" s="2" customFormat="1"/>
    <row r="49784" s="2" customFormat="1"/>
    <row r="49785" s="2" customFormat="1"/>
    <row r="49786" s="2" customFormat="1"/>
    <row r="49787" s="2" customFormat="1"/>
    <row r="49788" s="2" customFormat="1"/>
    <row r="49789" s="2" customFormat="1"/>
    <row r="49790" s="2" customFormat="1"/>
    <row r="49791" s="2" customFormat="1"/>
    <row r="49792" s="2" customFormat="1"/>
    <row r="49793" s="2" customFormat="1"/>
    <row r="49794" s="2" customFormat="1"/>
    <row r="49795" s="2" customFormat="1"/>
    <row r="49796" s="2" customFormat="1"/>
    <row r="49797" s="2" customFormat="1"/>
    <row r="49798" s="2" customFormat="1"/>
    <row r="49799" s="2" customFormat="1"/>
    <row r="49800" s="2" customFormat="1"/>
    <row r="49801" s="2" customFormat="1"/>
    <row r="49802" s="2" customFormat="1"/>
    <row r="49803" s="2" customFormat="1"/>
    <row r="49804" s="2" customFormat="1"/>
    <row r="49805" s="2" customFormat="1"/>
    <row r="49806" s="2" customFormat="1"/>
    <row r="49807" s="2" customFormat="1"/>
    <row r="49808" s="2" customFormat="1"/>
    <row r="49809" s="2" customFormat="1"/>
    <row r="49810" s="2" customFormat="1"/>
    <row r="49811" s="2" customFormat="1"/>
    <row r="49812" s="2" customFormat="1"/>
    <row r="49813" s="2" customFormat="1"/>
    <row r="49814" s="2" customFormat="1"/>
    <row r="49815" s="2" customFormat="1"/>
    <row r="49816" s="2" customFormat="1"/>
    <row r="49817" s="2" customFormat="1"/>
    <row r="49818" s="2" customFormat="1"/>
    <row r="49819" s="2" customFormat="1"/>
    <row r="49820" s="2" customFormat="1"/>
    <row r="49821" s="2" customFormat="1"/>
    <row r="49822" s="2" customFormat="1"/>
    <row r="49823" s="2" customFormat="1"/>
    <row r="49824" s="2" customFormat="1"/>
    <row r="49825" s="2" customFormat="1"/>
    <row r="49826" s="2" customFormat="1"/>
    <row r="49827" s="2" customFormat="1"/>
    <row r="49828" s="2" customFormat="1"/>
    <row r="49829" s="2" customFormat="1"/>
    <row r="49830" s="2" customFormat="1"/>
    <row r="49831" s="2" customFormat="1"/>
    <row r="49832" s="2" customFormat="1"/>
    <row r="49833" s="2" customFormat="1"/>
    <row r="49834" s="2" customFormat="1"/>
    <row r="49835" s="2" customFormat="1"/>
    <row r="49836" s="2" customFormat="1"/>
    <row r="49837" s="2" customFormat="1"/>
    <row r="49838" s="2" customFormat="1"/>
    <row r="49839" s="2" customFormat="1"/>
    <row r="49840" s="2" customFormat="1"/>
    <row r="49841" s="2" customFormat="1"/>
    <row r="49842" s="2" customFormat="1"/>
    <row r="49843" s="2" customFormat="1"/>
    <row r="49844" s="2" customFormat="1"/>
    <row r="49845" s="2" customFormat="1"/>
    <row r="49846" s="2" customFormat="1"/>
    <row r="49847" s="2" customFormat="1"/>
    <row r="49848" s="2" customFormat="1"/>
    <row r="49849" s="2" customFormat="1"/>
    <row r="49850" s="2" customFormat="1"/>
    <row r="49851" s="2" customFormat="1"/>
    <row r="49852" s="2" customFormat="1"/>
    <row r="49853" s="2" customFormat="1"/>
    <row r="49854" s="2" customFormat="1"/>
    <row r="49855" s="2" customFormat="1"/>
    <row r="49856" s="2" customFormat="1"/>
    <row r="49857" s="2" customFormat="1"/>
    <row r="49858" s="2" customFormat="1"/>
    <row r="49859" s="2" customFormat="1"/>
    <row r="49860" s="2" customFormat="1"/>
    <row r="49861" s="2" customFormat="1"/>
    <row r="49862" s="2" customFormat="1"/>
    <row r="49863" s="2" customFormat="1"/>
    <row r="49864" s="2" customFormat="1"/>
    <row r="49865" s="2" customFormat="1"/>
    <row r="49866" s="2" customFormat="1"/>
    <row r="49867" s="2" customFormat="1"/>
    <row r="49868" s="2" customFormat="1"/>
    <row r="49869" s="2" customFormat="1"/>
    <row r="49870" s="2" customFormat="1"/>
    <row r="49871" s="2" customFormat="1"/>
    <row r="49872" s="2" customFormat="1"/>
    <row r="49873" s="2" customFormat="1"/>
    <row r="49874" s="2" customFormat="1"/>
    <row r="49875" s="2" customFormat="1"/>
    <row r="49876" s="2" customFormat="1"/>
    <row r="49877" s="2" customFormat="1"/>
    <row r="49878" s="2" customFormat="1"/>
    <row r="49879" s="2" customFormat="1"/>
    <row r="49880" s="2" customFormat="1"/>
    <row r="49881" s="2" customFormat="1"/>
    <row r="49882" s="2" customFormat="1"/>
    <row r="49883" s="2" customFormat="1"/>
    <row r="49884" s="2" customFormat="1"/>
    <row r="49885" s="2" customFormat="1"/>
    <row r="49886" s="2" customFormat="1"/>
    <row r="49887" s="2" customFormat="1"/>
    <row r="49888" s="2" customFormat="1"/>
    <row r="49889" s="2" customFormat="1"/>
    <row r="49890" s="2" customFormat="1"/>
    <row r="49891" s="2" customFormat="1"/>
    <row r="49892" s="2" customFormat="1"/>
    <row r="49893" s="2" customFormat="1"/>
    <row r="49894" s="2" customFormat="1"/>
    <row r="49895" s="2" customFormat="1"/>
    <row r="49896" s="2" customFormat="1"/>
    <row r="49897" s="2" customFormat="1"/>
    <row r="49898" s="2" customFormat="1"/>
    <row r="49899" s="2" customFormat="1"/>
    <row r="49900" s="2" customFormat="1"/>
    <row r="49901" s="2" customFormat="1"/>
    <row r="49902" s="2" customFormat="1"/>
    <row r="49903" s="2" customFormat="1"/>
    <row r="49904" s="2" customFormat="1"/>
    <row r="49905" s="2" customFormat="1"/>
    <row r="49906" s="2" customFormat="1"/>
    <row r="49907" s="2" customFormat="1"/>
    <row r="49908" s="2" customFormat="1"/>
    <row r="49909" s="2" customFormat="1"/>
    <row r="49910" s="2" customFormat="1"/>
    <row r="49911" s="2" customFormat="1"/>
    <row r="49912" s="2" customFormat="1"/>
    <row r="49913" s="2" customFormat="1"/>
    <row r="49914" s="2" customFormat="1"/>
    <row r="49915" s="2" customFormat="1"/>
    <row r="49916" s="2" customFormat="1"/>
    <row r="49917" s="2" customFormat="1"/>
    <row r="49918" s="2" customFormat="1"/>
    <row r="49919" s="2" customFormat="1"/>
    <row r="49920" s="2" customFormat="1"/>
    <row r="49921" s="2" customFormat="1"/>
    <row r="49922" s="2" customFormat="1"/>
    <row r="49923" s="2" customFormat="1"/>
    <row r="49924" s="2" customFormat="1"/>
    <row r="49925" s="2" customFormat="1"/>
    <row r="49926" s="2" customFormat="1"/>
    <row r="49927" s="2" customFormat="1"/>
    <row r="49928" s="2" customFormat="1"/>
    <row r="49929" s="2" customFormat="1"/>
    <row r="49930" s="2" customFormat="1"/>
    <row r="49931" s="2" customFormat="1"/>
    <row r="49932" s="2" customFormat="1"/>
    <row r="49933" s="2" customFormat="1"/>
    <row r="49934" s="2" customFormat="1"/>
    <row r="49935" s="2" customFormat="1"/>
    <row r="49936" s="2" customFormat="1"/>
    <row r="49937" s="2" customFormat="1"/>
    <row r="49938" s="2" customFormat="1"/>
    <row r="49939" s="2" customFormat="1"/>
    <row r="49940" s="2" customFormat="1"/>
    <row r="49941" s="2" customFormat="1"/>
    <row r="49942" s="2" customFormat="1"/>
    <row r="49943" s="2" customFormat="1"/>
    <row r="49944" s="2" customFormat="1"/>
    <row r="49945" s="2" customFormat="1"/>
    <row r="49946" s="2" customFormat="1"/>
    <row r="49947" s="2" customFormat="1"/>
    <row r="49948" s="2" customFormat="1"/>
    <row r="49949" s="2" customFormat="1"/>
    <row r="49950" s="2" customFormat="1"/>
    <row r="49951" s="2" customFormat="1"/>
    <row r="49952" s="2" customFormat="1"/>
    <row r="49953" s="2" customFormat="1"/>
    <row r="49954" s="2" customFormat="1"/>
    <row r="49955" s="2" customFormat="1"/>
    <row r="49956" s="2" customFormat="1"/>
    <row r="49957" s="2" customFormat="1"/>
    <row r="49958" s="2" customFormat="1"/>
    <row r="49959" s="2" customFormat="1"/>
    <row r="49960" s="2" customFormat="1"/>
    <row r="49961" s="2" customFormat="1"/>
    <row r="49962" s="2" customFormat="1"/>
    <row r="49963" s="2" customFormat="1"/>
    <row r="49964" s="2" customFormat="1"/>
    <row r="49965" s="2" customFormat="1"/>
    <row r="49966" s="2" customFormat="1"/>
    <row r="49967" s="2" customFormat="1"/>
    <row r="49968" s="2" customFormat="1"/>
    <row r="49969" s="2" customFormat="1"/>
    <row r="49970" s="2" customFormat="1"/>
    <row r="49971" s="2" customFormat="1"/>
    <row r="49972" s="2" customFormat="1"/>
    <row r="49973" s="2" customFormat="1"/>
    <row r="49974" s="2" customFormat="1"/>
    <row r="49975" s="2" customFormat="1"/>
    <row r="49976" s="2" customFormat="1"/>
    <row r="49977" s="2" customFormat="1"/>
    <row r="49978" s="2" customFormat="1"/>
    <row r="49979" s="2" customFormat="1"/>
    <row r="49980" s="2" customFormat="1"/>
    <row r="49981" s="2" customFormat="1"/>
    <row r="49982" s="2" customFormat="1"/>
    <row r="49983" s="2" customFormat="1"/>
    <row r="49984" s="2" customFormat="1"/>
    <row r="49985" s="2" customFormat="1"/>
    <row r="49986" s="2" customFormat="1"/>
    <row r="49987" s="2" customFormat="1"/>
    <row r="49988" s="2" customFormat="1"/>
    <row r="49989" s="2" customFormat="1"/>
    <row r="49990" s="2" customFormat="1"/>
    <row r="49991" s="2" customFormat="1"/>
    <row r="49992" s="2" customFormat="1"/>
    <row r="49993" s="2" customFormat="1"/>
    <row r="49994" s="2" customFormat="1"/>
    <row r="49995" s="2" customFormat="1"/>
    <row r="49996" s="2" customFormat="1"/>
    <row r="49997" s="2" customFormat="1"/>
    <row r="49998" s="2" customFormat="1"/>
    <row r="49999" s="2" customFormat="1"/>
    <row r="50000" s="2" customFormat="1"/>
    <row r="50001" s="2" customFormat="1"/>
    <row r="50002" s="2" customFormat="1"/>
    <row r="50003" s="2" customFormat="1"/>
    <row r="50004" s="2" customFormat="1"/>
    <row r="50005" s="2" customFormat="1"/>
    <row r="50006" s="2" customFormat="1"/>
    <row r="50007" s="2" customFormat="1"/>
    <row r="50008" s="2" customFormat="1"/>
    <row r="50009" s="2" customFormat="1"/>
    <row r="50010" s="2" customFormat="1"/>
    <row r="50011" s="2" customFormat="1"/>
    <row r="50012" s="2" customFormat="1"/>
    <row r="50013" s="2" customFormat="1"/>
    <row r="50014" s="2" customFormat="1"/>
    <row r="50015" s="2" customFormat="1"/>
    <row r="50016" s="2" customFormat="1"/>
    <row r="50017" s="2" customFormat="1"/>
    <row r="50018" s="2" customFormat="1"/>
    <row r="50019" s="2" customFormat="1"/>
    <row r="50020" s="2" customFormat="1"/>
    <row r="50021" s="2" customFormat="1"/>
    <row r="50022" s="2" customFormat="1"/>
    <row r="50023" s="2" customFormat="1"/>
    <row r="50024" s="2" customFormat="1"/>
    <row r="50025" s="2" customFormat="1"/>
    <row r="50026" s="2" customFormat="1"/>
    <row r="50027" s="2" customFormat="1"/>
    <row r="50028" s="2" customFormat="1"/>
    <row r="50029" s="2" customFormat="1"/>
    <row r="50030" s="2" customFormat="1"/>
    <row r="50031" s="2" customFormat="1"/>
    <row r="50032" s="2" customFormat="1"/>
    <row r="50033" s="2" customFormat="1"/>
    <row r="50034" s="2" customFormat="1"/>
    <row r="50035" s="2" customFormat="1"/>
    <row r="50036" s="2" customFormat="1"/>
    <row r="50037" s="2" customFormat="1"/>
    <row r="50038" s="2" customFormat="1"/>
    <row r="50039" s="2" customFormat="1"/>
    <row r="50040" s="2" customFormat="1"/>
    <row r="50041" s="2" customFormat="1"/>
    <row r="50042" s="2" customFormat="1"/>
    <row r="50043" s="2" customFormat="1"/>
    <row r="50044" s="2" customFormat="1"/>
    <row r="50045" s="2" customFormat="1"/>
    <row r="50046" s="2" customFormat="1"/>
    <row r="50047" s="2" customFormat="1"/>
    <row r="50048" s="2" customFormat="1"/>
    <row r="50049" s="2" customFormat="1"/>
    <row r="50050" s="2" customFormat="1"/>
    <row r="50051" s="2" customFormat="1"/>
    <row r="50052" s="2" customFormat="1"/>
    <row r="50053" s="2" customFormat="1"/>
    <row r="50054" s="2" customFormat="1"/>
    <row r="50055" s="2" customFormat="1"/>
    <row r="50056" s="2" customFormat="1"/>
    <row r="50057" s="2" customFormat="1"/>
    <row r="50058" s="2" customFormat="1"/>
    <row r="50059" s="2" customFormat="1"/>
    <row r="50060" s="2" customFormat="1"/>
    <row r="50061" s="2" customFormat="1"/>
    <row r="50062" s="2" customFormat="1"/>
    <row r="50063" s="2" customFormat="1"/>
    <row r="50064" s="2" customFormat="1"/>
    <row r="50065" s="2" customFormat="1"/>
    <row r="50066" s="2" customFormat="1"/>
    <row r="50067" s="2" customFormat="1"/>
    <row r="50068" s="2" customFormat="1"/>
    <row r="50069" s="2" customFormat="1"/>
    <row r="50070" s="2" customFormat="1"/>
    <row r="50071" s="2" customFormat="1"/>
    <row r="50072" s="2" customFormat="1"/>
    <row r="50073" s="2" customFormat="1"/>
    <row r="50074" s="2" customFormat="1"/>
    <row r="50075" s="2" customFormat="1"/>
    <row r="50076" s="2" customFormat="1"/>
    <row r="50077" s="2" customFormat="1"/>
    <row r="50078" s="2" customFormat="1"/>
    <row r="50079" s="2" customFormat="1"/>
    <row r="50080" s="2" customFormat="1"/>
    <row r="50081" s="2" customFormat="1"/>
    <row r="50082" s="2" customFormat="1"/>
    <row r="50083" s="2" customFormat="1"/>
    <row r="50084" s="2" customFormat="1"/>
    <row r="50085" s="2" customFormat="1"/>
    <row r="50086" s="2" customFormat="1"/>
    <row r="50087" s="2" customFormat="1"/>
    <row r="50088" s="2" customFormat="1"/>
    <row r="50089" s="2" customFormat="1"/>
    <row r="50090" s="2" customFormat="1"/>
    <row r="50091" s="2" customFormat="1"/>
    <row r="50092" s="2" customFormat="1"/>
    <row r="50093" s="2" customFormat="1"/>
    <row r="50094" s="2" customFormat="1"/>
    <row r="50095" s="2" customFormat="1"/>
    <row r="50096" s="2" customFormat="1"/>
    <row r="50097" s="2" customFormat="1"/>
    <row r="50098" s="2" customFormat="1"/>
    <row r="50099" s="2" customFormat="1"/>
    <row r="50100" s="2" customFormat="1"/>
    <row r="50101" s="2" customFormat="1"/>
    <row r="50102" s="2" customFormat="1"/>
    <row r="50103" s="2" customFormat="1"/>
    <row r="50104" s="2" customFormat="1"/>
    <row r="50105" s="2" customFormat="1"/>
    <row r="50106" s="2" customFormat="1"/>
    <row r="50107" s="2" customFormat="1"/>
    <row r="50108" s="2" customFormat="1"/>
    <row r="50109" s="2" customFormat="1"/>
    <row r="50110" s="2" customFormat="1"/>
    <row r="50111" s="2" customFormat="1"/>
    <row r="50112" s="2" customFormat="1"/>
    <row r="50113" s="2" customFormat="1"/>
    <row r="50114" s="2" customFormat="1"/>
    <row r="50115" s="2" customFormat="1"/>
    <row r="50116" s="2" customFormat="1"/>
    <row r="50117" s="2" customFormat="1"/>
    <row r="50118" s="2" customFormat="1"/>
    <row r="50119" s="2" customFormat="1"/>
    <row r="50120" s="2" customFormat="1"/>
    <row r="50121" s="2" customFormat="1"/>
    <row r="50122" s="2" customFormat="1"/>
    <row r="50123" s="2" customFormat="1"/>
    <row r="50124" s="2" customFormat="1"/>
    <row r="50125" s="2" customFormat="1"/>
    <row r="50126" s="2" customFormat="1"/>
    <row r="50127" s="2" customFormat="1"/>
    <row r="50128" s="2" customFormat="1"/>
    <row r="50129" s="2" customFormat="1"/>
    <row r="50130" s="2" customFormat="1"/>
    <row r="50131" s="2" customFormat="1"/>
    <row r="50132" s="2" customFormat="1"/>
    <row r="50133" s="2" customFormat="1"/>
    <row r="50134" s="2" customFormat="1"/>
    <row r="50135" s="2" customFormat="1"/>
    <row r="50136" s="2" customFormat="1"/>
    <row r="50137" s="2" customFormat="1"/>
    <row r="50138" s="2" customFormat="1"/>
    <row r="50139" s="2" customFormat="1"/>
    <row r="50140" s="2" customFormat="1"/>
    <row r="50141" s="2" customFormat="1"/>
    <row r="50142" s="2" customFormat="1"/>
    <row r="50143" s="2" customFormat="1"/>
    <row r="50144" s="2" customFormat="1"/>
    <row r="50145" s="2" customFormat="1"/>
    <row r="50146" s="2" customFormat="1"/>
    <row r="50147" s="2" customFormat="1"/>
    <row r="50148" s="2" customFormat="1"/>
    <row r="50149" s="2" customFormat="1"/>
    <row r="50150" s="2" customFormat="1"/>
    <row r="50151" s="2" customFormat="1"/>
    <row r="50152" s="2" customFormat="1"/>
    <row r="50153" s="2" customFormat="1"/>
    <row r="50154" s="2" customFormat="1"/>
    <row r="50155" s="2" customFormat="1"/>
    <row r="50156" s="2" customFormat="1"/>
    <row r="50157" s="2" customFormat="1"/>
    <row r="50158" s="2" customFormat="1"/>
    <row r="50159" s="2" customFormat="1"/>
    <row r="50160" s="2" customFormat="1"/>
    <row r="50161" s="2" customFormat="1"/>
    <row r="50162" s="2" customFormat="1"/>
    <row r="50163" s="2" customFormat="1"/>
    <row r="50164" s="2" customFormat="1"/>
    <row r="50165" s="2" customFormat="1"/>
    <row r="50166" s="2" customFormat="1"/>
    <row r="50167" s="2" customFormat="1"/>
    <row r="50168" s="2" customFormat="1"/>
    <row r="50169" s="2" customFormat="1"/>
    <row r="50170" s="2" customFormat="1"/>
    <row r="50171" s="2" customFormat="1"/>
    <row r="50172" s="2" customFormat="1"/>
    <row r="50173" s="2" customFormat="1"/>
    <row r="50174" s="2" customFormat="1"/>
    <row r="50175" s="2" customFormat="1"/>
    <row r="50176" s="2" customFormat="1"/>
    <row r="50177" s="2" customFormat="1"/>
    <row r="50178" s="2" customFormat="1"/>
    <row r="50179" s="2" customFormat="1"/>
    <row r="50180" s="2" customFormat="1"/>
    <row r="50181" s="2" customFormat="1"/>
    <row r="50182" s="2" customFormat="1"/>
    <row r="50183" s="2" customFormat="1"/>
    <row r="50184" s="2" customFormat="1"/>
    <row r="50185" s="2" customFormat="1"/>
    <row r="50186" s="2" customFormat="1"/>
    <row r="50187" s="2" customFormat="1"/>
    <row r="50188" s="2" customFormat="1"/>
    <row r="50189" s="2" customFormat="1"/>
    <row r="50190" s="2" customFormat="1"/>
    <row r="50191" s="2" customFormat="1"/>
    <row r="50192" s="2" customFormat="1"/>
    <row r="50193" s="2" customFormat="1"/>
    <row r="50194" s="2" customFormat="1"/>
    <row r="50195" s="2" customFormat="1"/>
    <row r="50196" s="2" customFormat="1"/>
    <row r="50197" s="2" customFormat="1"/>
    <row r="50198" s="2" customFormat="1"/>
    <row r="50199" s="2" customFormat="1"/>
    <row r="50200" s="2" customFormat="1"/>
    <row r="50201" s="2" customFormat="1"/>
    <row r="50202" s="2" customFormat="1"/>
    <row r="50203" s="2" customFormat="1"/>
    <row r="50204" s="2" customFormat="1"/>
    <row r="50205" s="2" customFormat="1"/>
    <row r="50206" s="2" customFormat="1"/>
    <row r="50207" s="2" customFormat="1"/>
    <row r="50208" s="2" customFormat="1"/>
    <row r="50209" s="2" customFormat="1"/>
    <row r="50210" s="2" customFormat="1"/>
    <row r="50211" s="2" customFormat="1"/>
    <row r="50212" s="2" customFormat="1"/>
    <row r="50213" s="2" customFormat="1"/>
    <row r="50214" s="2" customFormat="1"/>
    <row r="50215" s="2" customFormat="1"/>
    <row r="50216" s="2" customFormat="1"/>
    <row r="50217" s="2" customFormat="1"/>
    <row r="50218" s="2" customFormat="1"/>
    <row r="50219" s="2" customFormat="1"/>
    <row r="50220" s="2" customFormat="1"/>
    <row r="50221" s="2" customFormat="1"/>
    <row r="50222" s="2" customFormat="1"/>
    <row r="50223" s="2" customFormat="1"/>
    <row r="50224" s="2" customFormat="1"/>
    <row r="50225" s="2" customFormat="1"/>
    <row r="50226" s="2" customFormat="1"/>
    <row r="50227" s="2" customFormat="1"/>
    <row r="50228" s="2" customFormat="1"/>
    <row r="50229" s="2" customFormat="1"/>
    <row r="50230" s="2" customFormat="1"/>
    <row r="50231" s="2" customFormat="1"/>
    <row r="50232" s="2" customFormat="1"/>
    <row r="50233" s="2" customFormat="1"/>
    <row r="50234" s="2" customFormat="1"/>
    <row r="50235" s="2" customFormat="1"/>
    <row r="50236" s="2" customFormat="1"/>
    <row r="50237" s="2" customFormat="1"/>
    <row r="50238" s="2" customFormat="1"/>
    <row r="50239" s="2" customFormat="1"/>
    <row r="50240" s="2" customFormat="1"/>
    <row r="50241" s="2" customFormat="1"/>
    <row r="50242" s="2" customFormat="1"/>
    <row r="50243" s="2" customFormat="1"/>
    <row r="50244" s="2" customFormat="1"/>
    <row r="50245" s="2" customFormat="1"/>
    <row r="50246" s="2" customFormat="1"/>
    <row r="50247" s="2" customFormat="1"/>
    <row r="50248" s="2" customFormat="1"/>
    <row r="50249" s="2" customFormat="1"/>
    <row r="50250" s="2" customFormat="1"/>
    <row r="50251" s="2" customFormat="1"/>
    <row r="50252" s="2" customFormat="1"/>
    <row r="50253" s="2" customFormat="1"/>
    <row r="50254" s="2" customFormat="1"/>
    <row r="50255" s="2" customFormat="1"/>
    <row r="50256" s="2" customFormat="1"/>
    <row r="50257" s="2" customFormat="1"/>
    <row r="50258" s="2" customFormat="1"/>
    <row r="50259" s="2" customFormat="1"/>
    <row r="50260" s="2" customFormat="1"/>
    <row r="50261" s="2" customFormat="1"/>
    <row r="50262" s="2" customFormat="1"/>
    <row r="50263" s="2" customFormat="1"/>
    <row r="50264" s="2" customFormat="1"/>
    <row r="50265" s="2" customFormat="1"/>
    <row r="50266" s="2" customFormat="1"/>
    <row r="50267" s="2" customFormat="1"/>
    <row r="50268" s="2" customFormat="1"/>
    <row r="50269" s="2" customFormat="1"/>
    <row r="50270" s="2" customFormat="1"/>
    <row r="50271" s="2" customFormat="1"/>
    <row r="50272" s="2" customFormat="1"/>
    <row r="50273" s="2" customFormat="1"/>
    <row r="50274" s="2" customFormat="1"/>
    <row r="50275" s="2" customFormat="1"/>
    <row r="50276" s="2" customFormat="1"/>
    <row r="50277" s="2" customFormat="1"/>
    <row r="50278" s="2" customFormat="1"/>
    <row r="50279" s="2" customFormat="1"/>
    <row r="50280" s="2" customFormat="1"/>
    <row r="50281" s="2" customFormat="1"/>
    <row r="50282" s="2" customFormat="1"/>
    <row r="50283" s="2" customFormat="1"/>
    <row r="50284" s="2" customFormat="1"/>
    <row r="50285" s="2" customFormat="1"/>
    <row r="50286" s="2" customFormat="1"/>
    <row r="50287" s="2" customFormat="1"/>
    <row r="50288" s="2" customFormat="1"/>
    <row r="50289" s="2" customFormat="1"/>
    <row r="50290" s="2" customFormat="1"/>
    <row r="50291" s="2" customFormat="1"/>
    <row r="50292" s="2" customFormat="1"/>
    <row r="50293" s="2" customFormat="1"/>
    <row r="50294" s="2" customFormat="1"/>
    <row r="50295" s="2" customFormat="1"/>
    <row r="50296" s="2" customFormat="1"/>
    <row r="50297" s="2" customFormat="1"/>
    <row r="50298" s="2" customFormat="1"/>
    <row r="50299" s="2" customFormat="1"/>
    <row r="50300" s="2" customFormat="1"/>
    <row r="50301" s="2" customFormat="1"/>
    <row r="50302" s="2" customFormat="1"/>
    <row r="50303" s="2" customFormat="1"/>
    <row r="50304" s="2" customFormat="1"/>
    <row r="50305" s="2" customFormat="1"/>
    <row r="50306" s="2" customFormat="1"/>
    <row r="50307" s="2" customFormat="1"/>
    <row r="50308" s="2" customFormat="1"/>
    <row r="50309" s="2" customFormat="1"/>
    <row r="50310" s="2" customFormat="1"/>
    <row r="50311" s="2" customFormat="1"/>
    <row r="50312" s="2" customFormat="1"/>
    <row r="50313" s="2" customFormat="1"/>
    <row r="50314" s="2" customFormat="1"/>
    <row r="50315" s="2" customFormat="1"/>
    <row r="50316" s="2" customFormat="1"/>
    <row r="50317" s="2" customFormat="1"/>
    <row r="50318" s="2" customFormat="1"/>
    <row r="50319" s="2" customFormat="1"/>
    <row r="50320" s="2" customFormat="1"/>
    <row r="50321" s="2" customFormat="1"/>
    <row r="50322" s="2" customFormat="1"/>
    <row r="50323" s="2" customFormat="1"/>
    <row r="50324" s="2" customFormat="1"/>
    <row r="50325" s="2" customFormat="1"/>
    <row r="50326" s="2" customFormat="1"/>
    <row r="50327" s="2" customFormat="1"/>
    <row r="50328" s="2" customFormat="1"/>
    <row r="50329" s="2" customFormat="1"/>
    <row r="50330" s="2" customFormat="1"/>
    <row r="50331" s="2" customFormat="1"/>
    <row r="50332" s="2" customFormat="1"/>
    <row r="50333" s="2" customFormat="1"/>
    <row r="50334" s="2" customFormat="1"/>
    <row r="50335" s="2" customFormat="1"/>
    <row r="50336" s="2" customFormat="1"/>
    <row r="50337" s="2" customFormat="1"/>
    <row r="50338" s="2" customFormat="1"/>
    <row r="50339" s="2" customFormat="1"/>
    <row r="50340" s="2" customFormat="1"/>
    <row r="50341" s="2" customFormat="1"/>
    <row r="50342" s="2" customFormat="1"/>
    <row r="50343" s="2" customFormat="1"/>
    <row r="50344" s="2" customFormat="1"/>
    <row r="50345" s="2" customFormat="1"/>
    <row r="50346" s="2" customFormat="1"/>
    <row r="50347" s="2" customFormat="1"/>
    <row r="50348" s="2" customFormat="1"/>
    <row r="50349" s="2" customFormat="1"/>
    <row r="50350" s="2" customFormat="1"/>
    <row r="50351" s="2" customFormat="1"/>
    <row r="50352" s="2" customFormat="1"/>
    <row r="50353" s="2" customFormat="1"/>
    <row r="50354" s="2" customFormat="1"/>
    <row r="50355" s="2" customFormat="1"/>
    <row r="50356" s="2" customFormat="1"/>
    <row r="50357" s="2" customFormat="1"/>
    <row r="50358" s="2" customFormat="1"/>
    <row r="50359" s="2" customFormat="1"/>
    <row r="50360" s="2" customFormat="1"/>
    <row r="50361" s="2" customFormat="1"/>
    <row r="50362" s="2" customFormat="1"/>
    <row r="50363" s="2" customFormat="1"/>
    <row r="50364" s="2" customFormat="1"/>
    <row r="50365" s="2" customFormat="1"/>
    <row r="50366" s="2" customFormat="1"/>
    <row r="50367" s="2" customFormat="1"/>
    <row r="50368" s="2" customFormat="1"/>
    <row r="50369" s="2" customFormat="1"/>
    <row r="50370" s="2" customFormat="1"/>
    <row r="50371" s="2" customFormat="1"/>
    <row r="50372" s="2" customFormat="1"/>
    <row r="50373" s="2" customFormat="1"/>
    <row r="50374" s="2" customFormat="1"/>
    <row r="50375" s="2" customFormat="1"/>
    <row r="50376" s="2" customFormat="1"/>
    <row r="50377" s="2" customFormat="1"/>
    <row r="50378" s="2" customFormat="1"/>
    <row r="50379" s="2" customFormat="1"/>
    <row r="50380" s="2" customFormat="1"/>
    <row r="50381" s="2" customFormat="1"/>
    <row r="50382" s="2" customFormat="1"/>
    <row r="50383" s="2" customFormat="1"/>
    <row r="50384" s="2" customFormat="1"/>
    <row r="50385" s="2" customFormat="1"/>
    <row r="50386" s="2" customFormat="1"/>
    <row r="50387" s="2" customFormat="1"/>
    <row r="50388" s="2" customFormat="1"/>
    <row r="50389" s="2" customFormat="1"/>
    <row r="50390" s="2" customFormat="1"/>
    <row r="50391" s="2" customFormat="1"/>
    <row r="50392" s="2" customFormat="1"/>
    <row r="50393" s="2" customFormat="1"/>
    <row r="50394" s="2" customFormat="1"/>
    <row r="50395" s="2" customFormat="1"/>
    <row r="50396" s="2" customFormat="1"/>
    <row r="50397" s="2" customFormat="1"/>
    <row r="50398" s="2" customFormat="1"/>
    <row r="50399" s="2" customFormat="1"/>
    <row r="50400" s="2" customFormat="1"/>
    <row r="50401" s="2" customFormat="1"/>
    <row r="50402" s="2" customFormat="1"/>
    <row r="50403" s="2" customFormat="1"/>
    <row r="50404" s="2" customFormat="1"/>
    <row r="50405" s="2" customFormat="1"/>
    <row r="50406" s="2" customFormat="1"/>
    <row r="50407" s="2" customFormat="1"/>
    <row r="50408" s="2" customFormat="1"/>
    <row r="50409" s="2" customFormat="1"/>
    <row r="50410" s="2" customFormat="1"/>
    <row r="50411" s="2" customFormat="1"/>
    <row r="50412" s="2" customFormat="1"/>
    <row r="50413" s="2" customFormat="1"/>
    <row r="50414" s="2" customFormat="1"/>
    <row r="50415" s="2" customFormat="1"/>
    <row r="50416" s="2" customFormat="1"/>
    <row r="50417" s="2" customFormat="1"/>
    <row r="50418" s="2" customFormat="1"/>
    <row r="50419" s="2" customFormat="1"/>
    <row r="50420" s="2" customFormat="1"/>
    <row r="50421" s="2" customFormat="1"/>
    <row r="50422" s="2" customFormat="1"/>
    <row r="50423" s="2" customFormat="1"/>
    <row r="50424" s="2" customFormat="1"/>
    <row r="50425" s="2" customFormat="1"/>
    <row r="50426" s="2" customFormat="1"/>
    <row r="50427" s="2" customFormat="1"/>
    <row r="50428" s="2" customFormat="1"/>
    <row r="50429" s="2" customFormat="1"/>
    <row r="50430" s="2" customFormat="1"/>
    <row r="50431" s="2" customFormat="1"/>
    <row r="50432" s="2" customFormat="1"/>
    <row r="50433" s="2" customFormat="1"/>
    <row r="50434" s="2" customFormat="1"/>
    <row r="50435" s="2" customFormat="1"/>
    <row r="50436" s="2" customFormat="1"/>
    <row r="50437" s="2" customFormat="1"/>
    <row r="50438" s="2" customFormat="1"/>
    <row r="50439" s="2" customFormat="1"/>
    <row r="50440" s="2" customFormat="1"/>
    <row r="50441" s="2" customFormat="1"/>
    <row r="50442" s="2" customFormat="1"/>
    <row r="50443" s="2" customFormat="1"/>
    <row r="50444" s="2" customFormat="1"/>
    <row r="50445" s="2" customFormat="1"/>
    <row r="50446" s="2" customFormat="1"/>
    <row r="50447" s="2" customFormat="1"/>
    <row r="50448" s="2" customFormat="1"/>
    <row r="50449" s="2" customFormat="1"/>
    <row r="50450" s="2" customFormat="1"/>
    <row r="50451" s="2" customFormat="1"/>
    <row r="50452" s="2" customFormat="1"/>
    <row r="50453" s="2" customFormat="1"/>
    <row r="50454" s="2" customFormat="1"/>
    <row r="50455" s="2" customFormat="1"/>
    <row r="50456" s="2" customFormat="1"/>
    <row r="50457" s="2" customFormat="1"/>
    <row r="50458" s="2" customFormat="1"/>
    <row r="50459" s="2" customFormat="1"/>
    <row r="50460" s="2" customFormat="1"/>
    <row r="50461" s="2" customFormat="1"/>
    <row r="50462" s="2" customFormat="1"/>
    <row r="50463" s="2" customFormat="1"/>
    <row r="50464" s="2" customFormat="1"/>
    <row r="50465" s="2" customFormat="1"/>
    <row r="50466" s="2" customFormat="1"/>
    <row r="50467" s="2" customFormat="1"/>
    <row r="50468" s="2" customFormat="1"/>
    <row r="50469" s="2" customFormat="1"/>
    <row r="50470" s="2" customFormat="1"/>
    <row r="50471" s="2" customFormat="1"/>
    <row r="50472" s="2" customFormat="1"/>
    <row r="50473" s="2" customFormat="1"/>
    <row r="50474" s="2" customFormat="1"/>
    <row r="50475" s="2" customFormat="1"/>
    <row r="50476" s="2" customFormat="1"/>
    <row r="50477" s="2" customFormat="1"/>
    <row r="50478" s="2" customFormat="1"/>
    <row r="50479" s="2" customFormat="1"/>
    <row r="50480" s="2" customFormat="1"/>
    <row r="50481" s="2" customFormat="1"/>
    <row r="50482" s="2" customFormat="1"/>
    <row r="50483" s="2" customFormat="1"/>
    <row r="50484" s="2" customFormat="1"/>
    <row r="50485" s="2" customFormat="1"/>
    <row r="50486" s="2" customFormat="1"/>
    <row r="50487" s="2" customFormat="1"/>
    <row r="50488" s="2" customFormat="1"/>
    <row r="50489" s="2" customFormat="1"/>
    <row r="50490" s="2" customFormat="1"/>
    <row r="50491" s="2" customFormat="1"/>
    <row r="50492" s="2" customFormat="1"/>
    <row r="50493" s="2" customFormat="1"/>
    <row r="50494" s="2" customFormat="1"/>
    <row r="50495" s="2" customFormat="1"/>
    <row r="50496" s="2" customFormat="1"/>
    <row r="50497" s="2" customFormat="1"/>
    <row r="50498" s="2" customFormat="1"/>
    <row r="50499" s="2" customFormat="1"/>
    <row r="50500" s="2" customFormat="1"/>
    <row r="50501" s="2" customFormat="1"/>
    <row r="50502" s="2" customFormat="1"/>
    <row r="50503" s="2" customFormat="1"/>
    <row r="50504" s="2" customFormat="1"/>
    <row r="50505" s="2" customFormat="1"/>
    <row r="50506" s="2" customFormat="1"/>
    <row r="50507" s="2" customFormat="1"/>
    <row r="50508" s="2" customFormat="1"/>
    <row r="50509" s="2" customFormat="1"/>
    <row r="50510" s="2" customFormat="1"/>
    <row r="50511" s="2" customFormat="1"/>
    <row r="50512" s="2" customFormat="1"/>
    <row r="50513" s="2" customFormat="1"/>
    <row r="50514" s="2" customFormat="1"/>
    <row r="50515" s="2" customFormat="1"/>
    <row r="50516" s="2" customFormat="1"/>
    <row r="50517" s="2" customFormat="1"/>
    <row r="50518" s="2" customFormat="1"/>
    <row r="50519" s="2" customFormat="1"/>
    <row r="50520" s="2" customFormat="1"/>
    <row r="50521" s="2" customFormat="1"/>
    <row r="50522" s="2" customFormat="1"/>
    <row r="50523" s="2" customFormat="1"/>
    <row r="50524" s="2" customFormat="1"/>
    <row r="50525" s="2" customFormat="1"/>
    <row r="50526" s="2" customFormat="1"/>
    <row r="50527" s="2" customFormat="1"/>
    <row r="50528" s="2" customFormat="1"/>
    <row r="50529" s="2" customFormat="1"/>
    <row r="50530" s="2" customFormat="1"/>
    <row r="50531" s="2" customFormat="1"/>
    <row r="50532" s="2" customFormat="1"/>
    <row r="50533" s="2" customFormat="1"/>
    <row r="50534" s="2" customFormat="1"/>
    <row r="50535" s="2" customFormat="1"/>
    <row r="50536" s="2" customFormat="1"/>
    <row r="50537" s="2" customFormat="1"/>
    <row r="50538" s="2" customFormat="1"/>
    <row r="50539" s="2" customFormat="1"/>
    <row r="50540" s="2" customFormat="1"/>
    <row r="50541" s="2" customFormat="1"/>
    <row r="50542" s="2" customFormat="1"/>
    <row r="50543" s="2" customFormat="1"/>
    <row r="50544" s="2" customFormat="1"/>
    <row r="50545" s="2" customFormat="1"/>
    <row r="50546" s="2" customFormat="1"/>
    <row r="50547" s="2" customFormat="1"/>
    <row r="50548" s="2" customFormat="1"/>
    <row r="50549" s="2" customFormat="1"/>
    <row r="50550" s="2" customFormat="1"/>
    <row r="50551" s="2" customFormat="1"/>
    <row r="50552" s="2" customFormat="1"/>
    <row r="50553" s="2" customFormat="1"/>
    <row r="50554" s="2" customFormat="1"/>
    <row r="50555" s="2" customFormat="1"/>
    <row r="50556" s="2" customFormat="1"/>
    <row r="50557" s="2" customFormat="1"/>
    <row r="50558" s="2" customFormat="1"/>
    <row r="50559" s="2" customFormat="1"/>
    <row r="50560" s="2" customFormat="1"/>
    <row r="50561" s="2" customFormat="1"/>
    <row r="50562" s="2" customFormat="1"/>
    <row r="50563" s="2" customFormat="1"/>
    <row r="50564" s="2" customFormat="1"/>
    <row r="50565" s="2" customFormat="1"/>
    <row r="50566" s="2" customFormat="1"/>
    <row r="50567" s="2" customFormat="1"/>
    <row r="50568" s="2" customFormat="1"/>
    <row r="50569" s="2" customFormat="1"/>
    <row r="50570" s="2" customFormat="1"/>
    <row r="50571" s="2" customFormat="1"/>
    <row r="50572" s="2" customFormat="1"/>
    <row r="50573" s="2" customFormat="1"/>
    <row r="50574" s="2" customFormat="1"/>
    <row r="50575" s="2" customFormat="1"/>
    <row r="50576" s="2" customFormat="1"/>
    <row r="50577" s="2" customFormat="1"/>
    <row r="50578" s="2" customFormat="1"/>
    <row r="50579" s="2" customFormat="1"/>
    <row r="50580" s="2" customFormat="1"/>
    <row r="50581" s="2" customFormat="1"/>
    <row r="50582" s="2" customFormat="1"/>
    <row r="50583" s="2" customFormat="1"/>
    <row r="50584" s="2" customFormat="1"/>
    <row r="50585" s="2" customFormat="1"/>
    <row r="50586" s="2" customFormat="1"/>
    <row r="50587" s="2" customFormat="1"/>
    <row r="50588" s="2" customFormat="1"/>
    <row r="50589" s="2" customFormat="1"/>
    <row r="50590" s="2" customFormat="1"/>
    <row r="50591" s="2" customFormat="1"/>
    <row r="50592" s="2" customFormat="1"/>
    <row r="50593" s="2" customFormat="1"/>
    <row r="50594" s="2" customFormat="1"/>
    <row r="50595" s="2" customFormat="1"/>
    <row r="50596" s="2" customFormat="1"/>
    <row r="50597" s="2" customFormat="1"/>
    <row r="50598" s="2" customFormat="1"/>
    <row r="50599" s="2" customFormat="1"/>
    <row r="50600" s="2" customFormat="1"/>
    <row r="50601" s="2" customFormat="1"/>
    <row r="50602" s="2" customFormat="1"/>
    <row r="50603" s="2" customFormat="1"/>
    <row r="50604" s="2" customFormat="1"/>
    <row r="50605" s="2" customFormat="1"/>
    <row r="50606" s="2" customFormat="1"/>
    <row r="50607" s="2" customFormat="1"/>
    <row r="50608" s="2" customFormat="1"/>
    <row r="50609" s="2" customFormat="1"/>
    <row r="50610" s="2" customFormat="1"/>
    <row r="50611" s="2" customFormat="1"/>
    <row r="50612" s="2" customFormat="1"/>
    <row r="50613" s="2" customFormat="1"/>
    <row r="50614" s="2" customFormat="1"/>
    <row r="50615" s="2" customFormat="1"/>
    <row r="50616" s="2" customFormat="1"/>
    <row r="50617" s="2" customFormat="1"/>
    <row r="50618" s="2" customFormat="1"/>
    <row r="50619" s="2" customFormat="1"/>
    <row r="50620" s="2" customFormat="1"/>
    <row r="50621" s="2" customFormat="1"/>
    <row r="50622" s="2" customFormat="1"/>
    <row r="50623" s="2" customFormat="1"/>
    <row r="50624" s="2" customFormat="1"/>
    <row r="50625" s="2" customFormat="1"/>
    <row r="50626" s="2" customFormat="1"/>
    <row r="50627" s="2" customFormat="1"/>
    <row r="50628" s="2" customFormat="1"/>
    <row r="50629" s="2" customFormat="1"/>
    <row r="50630" s="2" customFormat="1"/>
    <row r="50631" s="2" customFormat="1"/>
    <row r="50632" s="2" customFormat="1"/>
    <row r="50633" s="2" customFormat="1"/>
    <row r="50634" s="2" customFormat="1"/>
    <row r="50635" s="2" customFormat="1"/>
    <row r="50636" s="2" customFormat="1"/>
    <row r="50637" s="2" customFormat="1"/>
    <row r="50638" s="2" customFormat="1"/>
    <row r="50639" s="2" customFormat="1"/>
    <row r="50640" s="2" customFormat="1"/>
    <row r="50641" s="2" customFormat="1"/>
    <row r="50642" s="2" customFormat="1"/>
    <row r="50643" s="2" customFormat="1"/>
    <row r="50644" s="2" customFormat="1"/>
    <row r="50645" s="2" customFormat="1"/>
    <row r="50646" s="2" customFormat="1"/>
    <row r="50647" s="2" customFormat="1"/>
    <row r="50648" s="2" customFormat="1"/>
    <row r="50649" s="2" customFormat="1"/>
    <row r="50650" s="2" customFormat="1"/>
    <row r="50651" s="2" customFormat="1"/>
    <row r="50652" s="2" customFormat="1"/>
    <row r="50653" s="2" customFormat="1"/>
    <row r="50654" s="2" customFormat="1"/>
    <row r="50655" s="2" customFormat="1"/>
    <row r="50656" s="2" customFormat="1"/>
    <row r="50657" s="2" customFormat="1"/>
    <row r="50658" s="2" customFormat="1"/>
    <row r="50659" s="2" customFormat="1"/>
    <row r="50660" s="2" customFormat="1"/>
    <row r="50661" s="2" customFormat="1"/>
    <row r="50662" s="2" customFormat="1"/>
    <row r="50663" s="2" customFormat="1"/>
    <row r="50664" s="2" customFormat="1"/>
    <row r="50665" s="2" customFormat="1"/>
    <row r="50666" s="2" customFormat="1"/>
    <row r="50667" s="2" customFormat="1"/>
    <row r="50668" s="2" customFormat="1"/>
    <row r="50669" s="2" customFormat="1"/>
    <row r="50670" s="2" customFormat="1"/>
    <row r="50671" s="2" customFormat="1"/>
    <row r="50672" s="2" customFormat="1"/>
    <row r="50673" s="2" customFormat="1"/>
    <row r="50674" s="2" customFormat="1"/>
    <row r="50675" s="2" customFormat="1"/>
    <row r="50676" s="2" customFormat="1"/>
    <row r="50677" s="2" customFormat="1"/>
    <row r="50678" s="2" customFormat="1"/>
    <row r="50679" s="2" customFormat="1"/>
    <row r="50680" s="2" customFormat="1"/>
    <row r="50681" s="2" customFormat="1"/>
    <row r="50682" s="2" customFormat="1"/>
    <row r="50683" s="2" customFormat="1"/>
    <row r="50684" s="2" customFormat="1"/>
    <row r="50685" s="2" customFormat="1"/>
    <row r="50686" s="2" customFormat="1"/>
    <row r="50687" s="2" customFormat="1"/>
    <row r="50688" s="2" customFormat="1"/>
    <row r="50689" s="2" customFormat="1"/>
    <row r="50690" s="2" customFormat="1"/>
    <row r="50691" s="2" customFormat="1"/>
    <row r="50692" s="2" customFormat="1"/>
    <row r="50693" s="2" customFormat="1"/>
    <row r="50694" s="2" customFormat="1"/>
    <row r="50695" s="2" customFormat="1"/>
    <row r="50696" s="2" customFormat="1"/>
    <row r="50697" s="2" customFormat="1"/>
    <row r="50698" s="2" customFormat="1"/>
    <row r="50699" s="2" customFormat="1"/>
    <row r="50700" s="2" customFormat="1"/>
    <row r="50701" s="2" customFormat="1"/>
    <row r="50702" s="2" customFormat="1"/>
    <row r="50703" s="2" customFormat="1"/>
    <row r="50704" s="2" customFormat="1"/>
    <row r="50705" s="2" customFormat="1"/>
    <row r="50706" s="2" customFormat="1"/>
    <row r="50707" s="2" customFormat="1"/>
    <row r="50708" s="2" customFormat="1"/>
    <row r="50709" s="2" customFormat="1"/>
    <row r="50710" s="2" customFormat="1"/>
    <row r="50711" s="2" customFormat="1"/>
    <row r="50712" s="2" customFormat="1"/>
    <row r="50713" s="2" customFormat="1"/>
    <row r="50714" s="2" customFormat="1"/>
    <row r="50715" s="2" customFormat="1"/>
    <row r="50716" s="2" customFormat="1"/>
    <row r="50717" s="2" customFormat="1"/>
    <row r="50718" s="2" customFormat="1"/>
    <row r="50719" s="2" customFormat="1"/>
    <row r="50720" s="2" customFormat="1"/>
    <row r="50721" s="2" customFormat="1"/>
    <row r="50722" s="2" customFormat="1"/>
    <row r="50723" s="2" customFormat="1"/>
    <row r="50724" s="2" customFormat="1"/>
    <row r="50725" s="2" customFormat="1"/>
    <row r="50726" s="2" customFormat="1"/>
    <row r="50727" s="2" customFormat="1"/>
    <row r="50728" s="2" customFormat="1"/>
    <row r="50729" s="2" customFormat="1"/>
    <row r="50730" s="2" customFormat="1"/>
    <row r="50731" s="2" customFormat="1"/>
    <row r="50732" s="2" customFormat="1"/>
    <row r="50733" s="2" customFormat="1"/>
    <row r="50734" s="2" customFormat="1"/>
    <row r="50735" s="2" customFormat="1"/>
    <row r="50736" s="2" customFormat="1"/>
    <row r="50737" s="2" customFormat="1"/>
    <row r="50738" s="2" customFormat="1"/>
    <row r="50739" s="2" customFormat="1"/>
    <row r="50740" s="2" customFormat="1"/>
    <row r="50741" s="2" customFormat="1"/>
    <row r="50742" s="2" customFormat="1"/>
    <row r="50743" s="2" customFormat="1"/>
    <row r="50744" s="2" customFormat="1"/>
    <row r="50745" s="2" customFormat="1"/>
    <row r="50746" s="2" customFormat="1"/>
    <row r="50747" s="2" customFormat="1"/>
    <row r="50748" s="2" customFormat="1"/>
    <row r="50749" s="2" customFormat="1"/>
    <row r="50750" s="2" customFormat="1"/>
    <row r="50751" s="2" customFormat="1"/>
    <row r="50752" s="2" customFormat="1"/>
    <row r="50753" s="2" customFormat="1"/>
    <row r="50754" s="2" customFormat="1"/>
    <row r="50755" s="2" customFormat="1"/>
    <row r="50756" s="2" customFormat="1"/>
    <row r="50757" s="2" customFormat="1"/>
    <row r="50758" s="2" customFormat="1"/>
    <row r="50759" s="2" customFormat="1"/>
    <row r="50760" s="2" customFormat="1"/>
    <row r="50761" s="2" customFormat="1"/>
    <row r="50762" s="2" customFormat="1"/>
    <row r="50763" s="2" customFormat="1"/>
    <row r="50764" s="2" customFormat="1"/>
    <row r="50765" s="2" customFormat="1"/>
    <row r="50766" s="2" customFormat="1"/>
    <row r="50767" s="2" customFormat="1"/>
    <row r="50768" s="2" customFormat="1"/>
    <row r="50769" s="2" customFormat="1"/>
    <row r="50770" s="2" customFormat="1"/>
    <row r="50771" s="2" customFormat="1"/>
    <row r="50772" s="2" customFormat="1"/>
    <row r="50773" s="2" customFormat="1"/>
    <row r="50774" s="2" customFormat="1"/>
    <row r="50775" s="2" customFormat="1"/>
    <row r="50776" s="2" customFormat="1"/>
    <row r="50777" s="2" customFormat="1"/>
    <row r="50778" s="2" customFormat="1"/>
    <row r="50779" s="2" customFormat="1"/>
    <row r="50780" s="2" customFormat="1"/>
    <row r="50781" s="2" customFormat="1"/>
    <row r="50782" s="2" customFormat="1"/>
    <row r="50783" s="2" customFormat="1"/>
    <row r="50784" s="2" customFormat="1"/>
    <row r="50785" s="2" customFormat="1"/>
    <row r="50786" s="2" customFormat="1"/>
    <row r="50787" s="2" customFormat="1"/>
    <row r="50788" s="2" customFormat="1"/>
    <row r="50789" s="2" customFormat="1"/>
    <row r="50790" s="2" customFormat="1"/>
    <row r="50791" s="2" customFormat="1"/>
    <row r="50792" s="2" customFormat="1"/>
    <row r="50793" s="2" customFormat="1"/>
    <row r="50794" s="2" customFormat="1"/>
    <row r="50795" s="2" customFormat="1"/>
    <row r="50796" s="2" customFormat="1"/>
    <row r="50797" s="2" customFormat="1"/>
    <row r="50798" s="2" customFormat="1"/>
    <row r="50799" s="2" customFormat="1"/>
    <row r="50800" s="2" customFormat="1"/>
    <row r="50801" s="2" customFormat="1"/>
    <row r="50802" s="2" customFormat="1"/>
    <row r="50803" s="2" customFormat="1"/>
    <row r="50804" s="2" customFormat="1"/>
    <row r="50805" s="2" customFormat="1"/>
    <row r="50806" s="2" customFormat="1"/>
    <row r="50807" s="2" customFormat="1"/>
    <row r="50808" s="2" customFormat="1"/>
    <row r="50809" s="2" customFormat="1"/>
    <row r="50810" s="2" customFormat="1"/>
    <row r="50811" s="2" customFormat="1"/>
    <row r="50812" s="2" customFormat="1"/>
    <row r="50813" s="2" customFormat="1"/>
    <row r="50814" s="2" customFormat="1"/>
    <row r="50815" s="2" customFormat="1"/>
    <row r="50816" s="2" customFormat="1"/>
    <row r="50817" s="2" customFormat="1"/>
    <row r="50818" s="2" customFormat="1"/>
    <row r="50819" s="2" customFormat="1"/>
    <row r="50820" s="2" customFormat="1"/>
    <row r="50821" s="2" customFormat="1"/>
    <row r="50822" s="2" customFormat="1"/>
    <row r="50823" s="2" customFormat="1"/>
    <row r="50824" s="2" customFormat="1"/>
    <row r="50825" s="2" customFormat="1"/>
    <row r="50826" s="2" customFormat="1"/>
    <row r="50827" s="2" customFormat="1"/>
    <row r="50828" s="2" customFormat="1"/>
    <row r="50829" s="2" customFormat="1"/>
    <row r="50830" s="2" customFormat="1"/>
    <row r="50831" s="2" customFormat="1"/>
    <row r="50832" s="2" customFormat="1"/>
    <row r="50833" s="2" customFormat="1"/>
    <row r="50834" s="2" customFormat="1"/>
    <row r="50835" s="2" customFormat="1"/>
    <row r="50836" s="2" customFormat="1"/>
    <row r="50837" s="2" customFormat="1"/>
    <row r="50838" s="2" customFormat="1"/>
    <row r="50839" s="2" customFormat="1"/>
    <row r="50840" s="2" customFormat="1"/>
    <row r="50841" s="2" customFormat="1"/>
    <row r="50842" s="2" customFormat="1"/>
    <row r="50843" s="2" customFormat="1"/>
    <row r="50844" s="2" customFormat="1"/>
    <row r="50845" s="2" customFormat="1"/>
    <row r="50846" s="2" customFormat="1"/>
    <row r="50847" s="2" customFormat="1"/>
    <row r="50848" s="2" customFormat="1"/>
    <row r="50849" s="2" customFormat="1"/>
    <row r="50850" s="2" customFormat="1"/>
    <row r="50851" s="2" customFormat="1"/>
    <row r="50852" s="2" customFormat="1"/>
    <row r="50853" s="2" customFormat="1"/>
    <row r="50854" s="2" customFormat="1"/>
    <row r="50855" s="2" customFormat="1"/>
    <row r="50856" s="2" customFormat="1"/>
    <row r="50857" s="2" customFormat="1"/>
    <row r="50858" s="2" customFormat="1"/>
    <row r="50859" s="2" customFormat="1"/>
    <row r="50860" s="2" customFormat="1"/>
    <row r="50861" s="2" customFormat="1"/>
    <row r="50862" s="2" customFormat="1"/>
    <row r="50863" s="2" customFormat="1"/>
    <row r="50864" s="2" customFormat="1"/>
    <row r="50865" s="2" customFormat="1"/>
    <row r="50866" s="2" customFormat="1"/>
    <row r="50867" s="2" customFormat="1"/>
    <row r="50868" s="2" customFormat="1"/>
    <row r="50869" s="2" customFormat="1"/>
    <row r="50870" s="2" customFormat="1"/>
    <row r="50871" s="2" customFormat="1"/>
    <row r="50872" s="2" customFormat="1"/>
    <row r="50873" s="2" customFormat="1"/>
    <row r="50874" s="2" customFormat="1"/>
    <row r="50875" s="2" customFormat="1"/>
    <row r="50876" s="2" customFormat="1"/>
    <row r="50877" s="2" customFormat="1"/>
    <row r="50878" s="2" customFormat="1"/>
    <row r="50879" s="2" customFormat="1"/>
    <row r="50880" s="2" customFormat="1"/>
    <row r="50881" s="2" customFormat="1"/>
    <row r="50882" s="2" customFormat="1"/>
    <row r="50883" s="2" customFormat="1"/>
    <row r="50884" s="2" customFormat="1"/>
    <row r="50885" s="2" customFormat="1"/>
    <row r="50886" s="2" customFormat="1"/>
    <row r="50887" s="2" customFormat="1"/>
    <row r="50888" s="2" customFormat="1"/>
    <row r="50889" s="2" customFormat="1"/>
    <row r="50890" s="2" customFormat="1"/>
    <row r="50891" s="2" customFormat="1"/>
    <row r="50892" s="2" customFormat="1"/>
    <row r="50893" s="2" customFormat="1"/>
    <row r="50894" s="2" customFormat="1"/>
    <row r="50895" s="2" customFormat="1"/>
    <row r="50896" s="2" customFormat="1"/>
    <row r="50897" s="2" customFormat="1"/>
    <row r="50898" s="2" customFormat="1"/>
    <row r="50899" s="2" customFormat="1"/>
    <row r="50900" s="2" customFormat="1"/>
    <row r="50901" s="2" customFormat="1"/>
    <row r="50902" s="2" customFormat="1"/>
    <row r="50903" s="2" customFormat="1"/>
    <row r="50904" s="2" customFormat="1"/>
    <row r="50905" s="2" customFormat="1"/>
    <row r="50906" s="2" customFormat="1"/>
    <row r="50907" s="2" customFormat="1"/>
    <row r="50908" s="2" customFormat="1"/>
    <row r="50909" s="2" customFormat="1"/>
    <row r="50910" s="2" customFormat="1"/>
    <row r="50911" s="2" customFormat="1"/>
    <row r="50912" s="2" customFormat="1"/>
    <row r="50913" s="2" customFormat="1"/>
    <row r="50914" s="2" customFormat="1"/>
    <row r="50915" s="2" customFormat="1"/>
    <row r="50916" s="2" customFormat="1"/>
    <row r="50917" s="2" customFormat="1"/>
    <row r="50918" s="2" customFormat="1"/>
    <row r="50919" s="2" customFormat="1"/>
    <row r="50920" s="2" customFormat="1"/>
    <row r="50921" s="2" customFormat="1"/>
    <row r="50922" s="2" customFormat="1"/>
    <row r="50923" s="2" customFormat="1"/>
    <row r="50924" s="2" customFormat="1"/>
    <row r="50925" s="2" customFormat="1"/>
    <row r="50926" s="2" customFormat="1"/>
    <row r="50927" s="2" customFormat="1"/>
    <row r="50928" s="2" customFormat="1"/>
    <row r="50929" s="2" customFormat="1"/>
    <row r="50930" s="2" customFormat="1"/>
    <row r="50931" s="2" customFormat="1"/>
    <row r="50932" s="2" customFormat="1"/>
    <row r="50933" s="2" customFormat="1"/>
    <row r="50934" s="2" customFormat="1"/>
    <row r="50935" s="2" customFormat="1"/>
    <row r="50936" s="2" customFormat="1"/>
    <row r="50937" s="2" customFormat="1"/>
    <row r="50938" s="2" customFormat="1"/>
    <row r="50939" s="2" customFormat="1"/>
    <row r="50940" s="2" customFormat="1"/>
    <row r="50941" s="2" customFormat="1"/>
    <row r="50942" s="2" customFormat="1"/>
    <row r="50943" s="2" customFormat="1"/>
    <row r="50944" s="2" customFormat="1"/>
    <row r="50945" s="2" customFormat="1"/>
    <row r="50946" s="2" customFormat="1"/>
    <row r="50947" s="2" customFormat="1"/>
    <row r="50948" s="2" customFormat="1"/>
    <row r="50949" s="2" customFormat="1"/>
    <row r="50950" s="2" customFormat="1"/>
    <row r="50951" s="2" customFormat="1"/>
    <row r="50952" s="2" customFormat="1"/>
    <row r="50953" s="2" customFormat="1"/>
    <row r="50954" s="2" customFormat="1"/>
    <row r="50955" s="2" customFormat="1"/>
    <row r="50956" s="2" customFormat="1"/>
    <row r="50957" s="2" customFormat="1"/>
    <row r="50958" s="2" customFormat="1"/>
    <row r="50959" s="2" customFormat="1"/>
    <row r="50960" s="2" customFormat="1"/>
    <row r="50961" s="2" customFormat="1"/>
    <row r="50962" s="2" customFormat="1"/>
    <row r="50963" s="2" customFormat="1"/>
    <row r="50964" s="2" customFormat="1"/>
    <row r="50965" s="2" customFormat="1"/>
    <row r="50966" s="2" customFormat="1"/>
    <row r="50967" s="2" customFormat="1"/>
    <row r="50968" s="2" customFormat="1"/>
    <row r="50969" s="2" customFormat="1"/>
    <row r="50970" s="2" customFormat="1"/>
    <row r="50971" s="2" customFormat="1"/>
    <row r="50972" s="2" customFormat="1"/>
    <row r="50973" s="2" customFormat="1"/>
    <row r="50974" s="2" customFormat="1"/>
    <row r="50975" s="2" customFormat="1"/>
    <row r="50976" s="2" customFormat="1"/>
    <row r="50977" s="2" customFormat="1"/>
    <row r="50978" s="2" customFormat="1"/>
    <row r="50979" s="2" customFormat="1"/>
    <row r="50980" s="2" customFormat="1"/>
    <row r="50981" s="2" customFormat="1"/>
    <row r="50982" s="2" customFormat="1"/>
    <row r="50983" s="2" customFormat="1"/>
    <row r="50984" s="2" customFormat="1"/>
    <row r="50985" s="2" customFormat="1"/>
    <row r="50986" s="2" customFormat="1"/>
    <row r="50987" s="2" customFormat="1"/>
    <row r="50988" s="2" customFormat="1"/>
    <row r="50989" s="2" customFormat="1"/>
    <row r="50990" s="2" customFormat="1"/>
    <row r="50991" s="2" customFormat="1"/>
    <row r="50992" s="2" customFormat="1"/>
    <row r="50993" s="2" customFormat="1"/>
    <row r="50994" s="2" customFormat="1"/>
    <row r="50995" s="2" customFormat="1"/>
    <row r="50996" s="2" customFormat="1"/>
    <row r="50997" s="2" customFormat="1"/>
    <row r="50998" s="2" customFormat="1"/>
    <row r="50999" s="2" customFormat="1"/>
    <row r="51000" s="2" customFormat="1"/>
    <row r="51001" s="2" customFormat="1"/>
    <row r="51002" s="2" customFormat="1"/>
    <row r="51003" s="2" customFormat="1"/>
    <row r="51004" s="2" customFormat="1"/>
    <row r="51005" s="2" customFormat="1"/>
    <row r="51006" s="2" customFormat="1"/>
    <row r="51007" s="2" customFormat="1"/>
    <row r="51008" s="2" customFormat="1"/>
    <row r="51009" s="2" customFormat="1"/>
    <row r="51010" s="2" customFormat="1"/>
    <row r="51011" s="2" customFormat="1"/>
    <row r="51012" s="2" customFormat="1"/>
    <row r="51013" s="2" customFormat="1"/>
    <row r="51014" s="2" customFormat="1"/>
    <row r="51015" s="2" customFormat="1"/>
    <row r="51016" s="2" customFormat="1"/>
    <row r="51017" s="2" customFormat="1"/>
    <row r="51018" s="2" customFormat="1"/>
    <row r="51019" s="2" customFormat="1"/>
    <row r="51020" s="2" customFormat="1"/>
    <row r="51021" s="2" customFormat="1"/>
    <row r="51022" s="2" customFormat="1"/>
    <row r="51023" s="2" customFormat="1"/>
    <row r="51024" s="2" customFormat="1"/>
    <row r="51025" s="2" customFormat="1"/>
    <row r="51026" s="2" customFormat="1"/>
    <row r="51027" s="2" customFormat="1"/>
    <row r="51028" s="2" customFormat="1"/>
    <row r="51029" s="2" customFormat="1"/>
    <row r="51030" s="2" customFormat="1"/>
    <row r="51031" s="2" customFormat="1"/>
    <row r="51032" s="2" customFormat="1"/>
    <row r="51033" s="2" customFormat="1"/>
    <row r="51034" s="2" customFormat="1"/>
    <row r="51035" s="2" customFormat="1"/>
    <row r="51036" s="2" customFormat="1"/>
    <row r="51037" s="2" customFormat="1"/>
    <row r="51038" s="2" customFormat="1"/>
    <row r="51039" s="2" customFormat="1"/>
    <row r="51040" s="2" customFormat="1"/>
    <row r="51041" s="2" customFormat="1"/>
    <row r="51042" s="2" customFormat="1"/>
    <row r="51043" s="2" customFormat="1"/>
    <row r="51044" s="2" customFormat="1"/>
    <row r="51045" s="2" customFormat="1"/>
    <row r="51046" s="2" customFormat="1"/>
    <row r="51047" s="2" customFormat="1"/>
    <row r="51048" s="2" customFormat="1"/>
    <row r="51049" s="2" customFormat="1"/>
    <row r="51050" s="2" customFormat="1"/>
    <row r="51051" s="2" customFormat="1"/>
    <row r="51052" s="2" customFormat="1"/>
    <row r="51053" s="2" customFormat="1"/>
    <row r="51054" s="2" customFormat="1"/>
    <row r="51055" s="2" customFormat="1"/>
    <row r="51056" s="2" customFormat="1"/>
    <row r="51057" s="2" customFormat="1"/>
    <row r="51058" s="2" customFormat="1"/>
    <row r="51059" s="2" customFormat="1"/>
    <row r="51060" s="2" customFormat="1"/>
    <row r="51061" s="2" customFormat="1"/>
    <row r="51062" s="2" customFormat="1"/>
    <row r="51063" s="2" customFormat="1"/>
    <row r="51064" s="2" customFormat="1"/>
    <row r="51065" s="2" customFormat="1"/>
    <row r="51066" s="2" customFormat="1"/>
    <row r="51067" s="2" customFormat="1"/>
    <row r="51068" s="2" customFormat="1"/>
    <row r="51069" s="2" customFormat="1"/>
    <row r="51070" s="2" customFormat="1"/>
    <row r="51071" s="2" customFormat="1"/>
    <row r="51072" s="2" customFormat="1"/>
    <row r="51073" s="2" customFormat="1"/>
    <row r="51074" s="2" customFormat="1"/>
    <row r="51075" s="2" customFormat="1"/>
    <row r="51076" s="2" customFormat="1"/>
    <row r="51077" s="2" customFormat="1"/>
    <row r="51078" s="2" customFormat="1"/>
    <row r="51079" s="2" customFormat="1"/>
    <row r="51080" s="2" customFormat="1"/>
    <row r="51081" s="2" customFormat="1"/>
    <row r="51082" s="2" customFormat="1"/>
    <row r="51083" s="2" customFormat="1"/>
    <row r="51084" s="2" customFormat="1"/>
    <row r="51085" s="2" customFormat="1"/>
    <row r="51086" s="2" customFormat="1"/>
    <row r="51087" s="2" customFormat="1"/>
    <row r="51088" s="2" customFormat="1"/>
    <row r="51089" s="2" customFormat="1"/>
    <row r="51090" s="2" customFormat="1"/>
    <row r="51091" s="2" customFormat="1"/>
    <row r="51092" s="2" customFormat="1"/>
    <row r="51093" s="2" customFormat="1"/>
    <row r="51094" s="2" customFormat="1"/>
    <row r="51095" s="2" customFormat="1"/>
    <row r="51096" s="2" customFormat="1"/>
    <row r="51097" s="2" customFormat="1"/>
    <row r="51098" s="2" customFormat="1"/>
    <row r="51099" s="2" customFormat="1"/>
    <row r="51100" s="2" customFormat="1"/>
    <row r="51101" s="2" customFormat="1"/>
    <row r="51102" s="2" customFormat="1"/>
    <row r="51103" s="2" customFormat="1"/>
    <row r="51104" s="2" customFormat="1"/>
    <row r="51105" s="2" customFormat="1"/>
    <row r="51106" s="2" customFormat="1"/>
    <row r="51107" s="2" customFormat="1"/>
    <row r="51108" s="2" customFormat="1"/>
    <row r="51109" s="2" customFormat="1"/>
    <row r="51110" s="2" customFormat="1"/>
    <row r="51111" s="2" customFormat="1"/>
    <row r="51112" s="2" customFormat="1"/>
    <row r="51113" s="2" customFormat="1"/>
    <row r="51114" s="2" customFormat="1"/>
    <row r="51115" s="2" customFormat="1"/>
    <row r="51116" s="2" customFormat="1"/>
    <row r="51117" s="2" customFormat="1"/>
    <row r="51118" s="2" customFormat="1"/>
    <row r="51119" s="2" customFormat="1"/>
    <row r="51120" s="2" customFormat="1"/>
    <row r="51121" s="2" customFormat="1"/>
    <row r="51122" s="2" customFormat="1"/>
    <row r="51123" s="2" customFormat="1"/>
    <row r="51124" s="2" customFormat="1"/>
    <row r="51125" s="2" customFormat="1"/>
    <row r="51126" s="2" customFormat="1"/>
    <row r="51127" s="2" customFormat="1"/>
    <row r="51128" s="2" customFormat="1"/>
    <row r="51129" s="2" customFormat="1"/>
    <row r="51130" s="2" customFormat="1"/>
    <row r="51131" s="2" customFormat="1"/>
    <row r="51132" s="2" customFormat="1"/>
    <row r="51133" s="2" customFormat="1"/>
    <row r="51134" s="2" customFormat="1"/>
    <row r="51135" s="2" customFormat="1"/>
    <row r="51136" s="2" customFormat="1"/>
    <row r="51137" s="2" customFormat="1"/>
    <row r="51138" s="2" customFormat="1"/>
    <row r="51139" s="2" customFormat="1"/>
    <row r="51140" s="2" customFormat="1"/>
    <row r="51141" s="2" customFormat="1"/>
    <row r="51142" s="2" customFormat="1"/>
    <row r="51143" s="2" customFormat="1"/>
    <row r="51144" s="2" customFormat="1"/>
    <row r="51145" s="2" customFormat="1"/>
    <row r="51146" s="2" customFormat="1"/>
    <row r="51147" s="2" customFormat="1"/>
    <row r="51148" s="2" customFormat="1"/>
    <row r="51149" s="2" customFormat="1"/>
    <row r="51150" s="2" customFormat="1"/>
    <row r="51151" s="2" customFormat="1"/>
    <row r="51152" s="2" customFormat="1"/>
    <row r="51153" s="2" customFormat="1"/>
    <row r="51154" s="2" customFormat="1"/>
    <row r="51155" s="2" customFormat="1"/>
    <row r="51156" s="2" customFormat="1"/>
    <row r="51157" s="2" customFormat="1"/>
    <row r="51158" s="2" customFormat="1"/>
    <row r="51159" s="2" customFormat="1"/>
    <row r="51160" s="2" customFormat="1"/>
    <row r="51161" s="2" customFormat="1"/>
    <row r="51162" s="2" customFormat="1"/>
    <row r="51163" s="2" customFormat="1"/>
    <row r="51164" s="2" customFormat="1"/>
    <row r="51165" s="2" customFormat="1"/>
    <row r="51166" s="2" customFormat="1"/>
    <row r="51167" s="2" customFormat="1"/>
    <row r="51168" s="2" customFormat="1"/>
    <row r="51169" s="2" customFormat="1"/>
    <row r="51170" s="2" customFormat="1"/>
    <row r="51171" s="2" customFormat="1"/>
    <row r="51172" s="2" customFormat="1"/>
    <row r="51173" s="2" customFormat="1"/>
    <row r="51174" s="2" customFormat="1"/>
    <row r="51175" s="2" customFormat="1"/>
    <row r="51176" s="2" customFormat="1"/>
    <row r="51177" s="2" customFormat="1"/>
    <row r="51178" s="2" customFormat="1"/>
    <row r="51179" s="2" customFormat="1"/>
    <row r="51180" s="2" customFormat="1"/>
    <row r="51181" s="2" customFormat="1"/>
    <row r="51182" s="2" customFormat="1"/>
    <row r="51183" s="2" customFormat="1"/>
    <row r="51184" s="2" customFormat="1"/>
    <row r="51185" s="2" customFormat="1"/>
    <row r="51186" s="2" customFormat="1"/>
    <row r="51187" s="2" customFormat="1"/>
    <row r="51188" s="2" customFormat="1"/>
    <row r="51189" s="2" customFormat="1"/>
    <row r="51190" s="2" customFormat="1"/>
    <row r="51191" s="2" customFormat="1"/>
    <row r="51192" s="2" customFormat="1"/>
    <row r="51193" s="2" customFormat="1"/>
    <row r="51194" s="2" customFormat="1"/>
    <row r="51195" s="2" customFormat="1"/>
    <row r="51196" s="2" customFormat="1"/>
    <row r="51197" s="2" customFormat="1"/>
    <row r="51198" s="2" customFormat="1"/>
    <row r="51199" s="2" customFormat="1"/>
    <row r="51200" s="2" customFormat="1"/>
    <row r="51201" s="2" customFormat="1"/>
    <row r="51202" s="2" customFormat="1"/>
    <row r="51203" s="2" customFormat="1"/>
    <row r="51204" s="2" customFormat="1"/>
    <row r="51205" s="2" customFormat="1"/>
    <row r="51206" s="2" customFormat="1"/>
    <row r="51207" s="2" customFormat="1"/>
    <row r="51208" s="2" customFormat="1"/>
    <row r="51209" s="2" customFormat="1"/>
    <row r="51210" s="2" customFormat="1"/>
    <row r="51211" s="2" customFormat="1"/>
    <row r="51212" s="2" customFormat="1"/>
    <row r="51213" s="2" customFormat="1"/>
    <row r="51214" s="2" customFormat="1"/>
    <row r="51215" s="2" customFormat="1"/>
    <row r="51216" s="2" customFormat="1"/>
    <row r="51217" s="2" customFormat="1"/>
    <row r="51218" s="2" customFormat="1"/>
    <row r="51219" s="2" customFormat="1"/>
    <row r="51220" s="2" customFormat="1"/>
    <row r="51221" s="2" customFormat="1"/>
    <row r="51222" s="2" customFormat="1"/>
    <row r="51223" s="2" customFormat="1"/>
    <row r="51224" s="2" customFormat="1"/>
    <row r="51225" s="2" customFormat="1"/>
    <row r="51226" s="2" customFormat="1"/>
    <row r="51227" s="2" customFormat="1"/>
    <row r="51228" s="2" customFormat="1"/>
    <row r="51229" s="2" customFormat="1"/>
    <row r="51230" s="2" customFormat="1"/>
    <row r="51231" s="2" customFormat="1"/>
    <row r="51232" s="2" customFormat="1"/>
    <row r="51233" s="2" customFormat="1"/>
    <row r="51234" s="2" customFormat="1"/>
    <row r="51235" s="2" customFormat="1"/>
    <row r="51236" s="2" customFormat="1"/>
    <row r="51237" s="2" customFormat="1"/>
    <row r="51238" s="2" customFormat="1"/>
    <row r="51239" s="2" customFormat="1"/>
    <row r="51240" s="2" customFormat="1"/>
    <row r="51241" s="2" customFormat="1"/>
    <row r="51242" s="2" customFormat="1"/>
    <row r="51243" s="2" customFormat="1"/>
    <row r="51244" s="2" customFormat="1"/>
    <row r="51245" s="2" customFormat="1"/>
    <row r="51246" s="2" customFormat="1"/>
    <row r="51247" s="2" customFormat="1"/>
    <row r="51248" s="2" customFormat="1"/>
    <row r="51249" s="2" customFormat="1"/>
    <row r="51250" s="2" customFormat="1"/>
    <row r="51251" s="2" customFormat="1"/>
    <row r="51252" s="2" customFormat="1"/>
    <row r="51253" s="2" customFormat="1"/>
    <row r="51254" s="2" customFormat="1"/>
    <row r="51255" s="2" customFormat="1"/>
    <row r="51256" s="2" customFormat="1"/>
    <row r="51257" s="2" customFormat="1"/>
    <row r="51258" s="2" customFormat="1"/>
    <row r="51259" s="2" customFormat="1"/>
    <row r="51260" s="2" customFormat="1"/>
    <row r="51261" s="2" customFormat="1"/>
    <row r="51262" s="2" customFormat="1"/>
    <row r="51263" s="2" customFormat="1"/>
    <row r="51264" s="2" customFormat="1"/>
    <row r="51265" s="2" customFormat="1"/>
    <row r="51266" s="2" customFormat="1"/>
    <row r="51267" s="2" customFormat="1"/>
    <row r="51268" s="2" customFormat="1"/>
    <row r="51269" s="2" customFormat="1"/>
    <row r="51270" s="2" customFormat="1"/>
    <row r="51271" s="2" customFormat="1"/>
    <row r="51272" s="2" customFormat="1"/>
    <row r="51273" s="2" customFormat="1"/>
    <row r="51274" s="2" customFormat="1"/>
    <row r="51275" s="2" customFormat="1"/>
    <row r="51276" s="2" customFormat="1"/>
    <row r="51277" s="2" customFormat="1"/>
    <row r="51278" s="2" customFormat="1"/>
    <row r="51279" s="2" customFormat="1"/>
    <row r="51280" s="2" customFormat="1"/>
    <row r="51281" s="2" customFormat="1"/>
    <row r="51282" s="2" customFormat="1"/>
    <row r="51283" s="2" customFormat="1"/>
    <row r="51284" s="2" customFormat="1"/>
    <row r="51285" s="2" customFormat="1"/>
    <row r="51286" s="2" customFormat="1"/>
    <row r="51287" s="2" customFormat="1"/>
    <row r="51288" s="2" customFormat="1"/>
    <row r="51289" s="2" customFormat="1"/>
    <row r="51290" s="2" customFormat="1"/>
    <row r="51291" s="2" customFormat="1"/>
    <row r="51292" s="2" customFormat="1"/>
    <row r="51293" s="2" customFormat="1"/>
    <row r="51294" s="2" customFormat="1"/>
    <row r="51295" s="2" customFormat="1"/>
    <row r="51296" s="2" customFormat="1"/>
    <row r="51297" s="2" customFormat="1"/>
    <row r="51298" s="2" customFormat="1"/>
    <row r="51299" s="2" customFormat="1"/>
    <row r="51300" s="2" customFormat="1"/>
    <row r="51301" s="2" customFormat="1"/>
    <row r="51302" s="2" customFormat="1"/>
    <row r="51303" s="2" customFormat="1"/>
    <row r="51304" s="2" customFormat="1"/>
    <row r="51305" s="2" customFormat="1"/>
    <row r="51306" s="2" customFormat="1"/>
    <row r="51307" s="2" customFormat="1"/>
    <row r="51308" s="2" customFormat="1"/>
    <row r="51309" s="2" customFormat="1"/>
    <row r="51310" s="2" customFormat="1"/>
    <row r="51311" s="2" customFormat="1"/>
    <row r="51312" s="2" customFormat="1"/>
    <row r="51313" s="2" customFormat="1"/>
    <row r="51314" s="2" customFormat="1"/>
    <row r="51315" s="2" customFormat="1"/>
    <row r="51316" s="2" customFormat="1"/>
    <row r="51317" s="2" customFormat="1"/>
    <row r="51318" s="2" customFormat="1"/>
    <row r="51319" s="2" customFormat="1"/>
    <row r="51320" s="2" customFormat="1"/>
    <row r="51321" s="2" customFormat="1"/>
    <row r="51322" s="2" customFormat="1"/>
    <row r="51323" s="2" customFormat="1"/>
    <row r="51324" s="2" customFormat="1"/>
    <row r="51325" s="2" customFormat="1"/>
    <row r="51326" s="2" customFormat="1"/>
    <row r="51327" s="2" customFormat="1"/>
    <row r="51328" s="2" customFormat="1"/>
    <row r="51329" s="2" customFormat="1"/>
    <row r="51330" s="2" customFormat="1"/>
    <row r="51331" s="2" customFormat="1"/>
    <row r="51332" s="2" customFormat="1"/>
    <row r="51333" s="2" customFormat="1"/>
    <row r="51334" s="2" customFormat="1"/>
    <row r="51335" s="2" customFormat="1"/>
    <row r="51336" s="2" customFormat="1"/>
    <row r="51337" s="2" customFormat="1"/>
    <row r="51338" s="2" customFormat="1"/>
    <row r="51339" s="2" customFormat="1"/>
    <row r="51340" s="2" customFormat="1"/>
    <row r="51341" s="2" customFormat="1"/>
    <row r="51342" s="2" customFormat="1"/>
    <row r="51343" s="2" customFormat="1"/>
    <row r="51344" s="2" customFormat="1"/>
    <row r="51345" s="2" customFormat="1"/>
    <row r="51346" s="2" customFormat="1"/>
    <row r="51347" s="2" customFormat="1"/>
    <row r="51348" s="2" customFormat="1"/>
    <row r="51349" s="2" customFormat="1"/>
    <row r="51350" s="2" customFormat="1"/>
    <row r="51351" s="2" customFormat="1"/>
    <row r="51352" s="2" customFormat="1"/>
    <row r="51353" s="2" customFormat="1"/>
    <row r="51354" s="2" customFormat="1"/>
    <row r="51355" s="2" customFormat="1"/>
    <row r="51356" s="2" customFormat="1"/>
    <row r="51357" s="2" customFormat="1"/>
    <row r="51358" s="2" customFormat="1"/>
    <row r="51359" s="2" customFormat="1"/>
    <row r="51360" s="2" customFormat="1"/>
    <row r="51361" s="2" customFormat="1"/>
    <row r="51362" s="2" customFormat="1"/>
    <row r="51363" s="2" customFormat="1"/>
    <row r="51364" s="2" customFormat="1"/>
    <row r="51365" s="2" customFormat="1"/>
    <row r="51366" s="2" customFormat="1"/>
    <row r="51367" s="2" customFormat="1"/>
    <row r="51368" s="2" customFormat="1"/>
    <row r="51369" s="2" customFormat="1"/>
    <row r="51370" s="2" customFormat="1"/>
    <row r="51371" s="2" customFormat="1"/>
    <row r="51372" s="2" customFormat="1"/>
    <row r="51373" s="2" customFormat="1"/>
    <row r="51374" s="2" customFormat="1"/>
    <row r="51375" s="2" customFormat="1"/>
    <row r="51376" s="2" customFormat="1"/>
    <row r="51377" s="2" customFormat="1"/>
    <row r="51378" s="2" customFormat="1"/>
    <row r="51379" s="2" customFormat="1"/>
    <row r="51380" s="2" customFormat="1"/>
    <row r="51381" s="2" customFormat="1"/>
    <row r="51382" s="2" customFormat="1"/>
    <row r="51383" s="2" customFormat="1"/>
    <row r="51384" s="2" customFormat="1"/>
    <row r="51385" s="2" customFormat="1"/>
    <row r="51386" s="2" customFormat="1"/>
    <row r="51387" s="2" customFormat="1"/>
    <row r="51388" s="2" customFormat="1"/>
    <row r="51389" s="2" customFormat="1"/>
    <row r="51390" s="2" customFormat="1"/>
    <row r="51391" s="2" customFormat="1"/>
    <row r="51392" s="2" customFormat="1"/>
    <row r="51393" s="2" customFormat="1"/>
    <row r="51394" s="2" customFormat="1"/>
    <row r="51395" s="2" customFormat="1"/>
    <row r="51396" s="2" customFormat="1"/>
    <row r="51397" s="2" customFormat="1"/>
    <row r="51398" s="2" customFormat="1"/>
    <row r="51399" s="2" customFormat="1"/>
    <row r="51400" s="2" customFormat="1"/>
    <row r="51401" s="2" customFormat="1"/>
    <row r="51402" s="2" customFormat="1"/>
    <row r="51403" s="2" customFormat="1"/>
    <row r="51404" s="2" customFormat="1"/>
    <row r="51405" s="2" customFormat="1"/>
    <row r="51406" s="2" customFormat="1"/>
    <row r="51407" s="2" customFormat="1"/>
    <row r="51408" s="2" customFormat="1"/>
    <row r="51409" s="2" customFormat="1"/>
    <row r="51410" s="2" customFormat="1"/>
    <row r="51411" s="2" customFormat="1"/>
    <row r="51412" s="2" customFormat="1"/>
    <row r="51413" s="2" customFormat="1"/>
    <row r="51414" s="2" customFormat="1"/>
    <row r="51415" s="2" customFormat="1"/>
    <row r="51416" s="2" customFormat="1"/>
    <row r="51417" s="2" customFormat="1"/>
    <row r="51418" s="2" customFormat="1"/>
    <row r="51419" s="2" customFormat="1"/>
    <row r="51420" s="2" customFormat="1"/>
    <row r="51421" s="2" customFormat="1"/>
    <row r="51422" s="2" customFormat="1"/>
    <row r="51423" s="2" customFormat="1"/>
    <row r="51424" s="2" customFormat="1"/>
    <row r="51425" s="2" customFormat="1"/>
    <row r="51426" s="2" customFormat="1"/>
    <row r="51427" s="2" customFormat="1"/>
    <row r="51428" s="2" customFormat="1"/>
    <row r="51429" s="2" customFormat="1"/>
    <row r="51430" s="2" customFormat="1"/>
    <row r="51431" s="2" customFormat="1"/>
    <row r="51432" s="2" customFormat="1"/>
    <row r="51433" s="2" customFormat="1"/>
    <row r="51434" s="2" customFormat="1"/>
    <row r="51435" s="2" customFormat="1"/>
    <row r="51436" s="2" customFormat="1"/>
    <row r="51437" s="2" customFormat="1"/>
    <row r="51438" s="2" customFormat="1"/>
    <row r="51439" s="2" customFormat="1"/>
    <row r="51440" s="2" customFormat="1"/>
    <row r="51441" s="2" customFormat="1"/>
    <row r="51442" s="2" customFormat="1"/>
    <row r="51443" s="2" customFormat="1"/>
    <row r="51444" s="2" customFormat="1"/>
    <row r="51445" s="2" customFormat="1"/>
    <row r="51446" s="2" customFormat="1"/>
    <row r="51447" s="2" customFormat="1"/>
    <row r="51448" s="2" customFormat="1"/>
    <row r="51449" s="2" customFormat="1"/>
    <row r="51450" s="2" customFormat="1"/>
    <row r="51451" s="2" customFormat="1"/>
    <row r="51452" s="2" customFormat="1"/>
    <row r="51453" s="2" customFormat="1"/>
    <row r="51454" s="2" customFormat="1"/>
    <row r="51455" s="2" customFormat="1"/>
    <row r="51456" s="2" customFormat="1"/>
    <row r="51457" s="2" customFormat="1"/>
    <row r="51458" s="2" customFormat="1"/>
    <row r="51459" s="2" customFormat="1"/>
    <row r="51460" s="2" customFormat="1"/>
    <row r="51461" s="2" customFormat="1"/>
    <row r="51462" s="2" customFormat="1"/>
    <row r="51463" s="2" customFormat="1"/>
    <row r="51464" s="2" customFormat="1"/>
    <row r="51465" s="2" customFormat="1"/>
    <row r="51466" s="2" customFormat="1"/>
    <row r="51467" s="2" customFormat="1"/>
    <row r="51468" s="2" customFormat="1"/>
    <row r="51469" s="2" customFormat="1"/>
    <row r="51470" s="2" customFormat="1"/>
    <row r="51471" s="2" customFormat="1"/>
    <row r="51472" s="2" customFormat="1"/>
    <row r="51473" s="2" customFormat="1"/>
    <row r="51474" s="2" customFormat="1"/>
    <row r="51475" s="2" customFormat="1"/>
    <row r="51476" s="2" customFormat="1"/>
    <row r="51477" s="2" customFormat="1"/>
    <row r="51478" s="2" customFormat="1"/>
    <row r="51479" s="2" customFormat="1"/>
    <row r="51480" s="2" customFormat="1"/>
    <row r="51481" s="2" customFormat="1"/>
    <row r="51482" s="2" customFormat="1"/>
    <row r="51483" s="2" customFormat="1"/>
    <row r="51484" s="2" customFormat="1"/>
    <row r="51485" s="2" customFormat="1"/>
    <row r="51486" s="2" customFormat="1"/>
    <row r="51487" s="2" customFormat="1"/>
    <row r="51488" s="2" customFormat="1"/>
    <row r="51489" s="2" customFormat="1"/>
    <row r="51490" s="2" customFormat="1"/>
    <row r="51491" s="2" customFormat="1"/>
    <row r="51492" s="2" customFormat="1"/>
    <row r="51493" s="2" customFormat="1"/>
    <row r="51494" s="2" customFormat="1"/>
    <row r="51495" s="2" customFormat="1"/>
    <row r="51496" s="2" customFormat="1"/>
    <row r="51497" s="2" customFormat="1"/>
    <row r="51498" s="2" customFormat="1"/>
    <row r="51499" s="2" customFormat="1"/>
    <row r="51500" s="2" customFormat="1"/>
    <row r="51501" s="2" customFormat="1"/>
    <row r="51502" s="2" customFormat="1"/>
    <row r="51503" s="2" customFormat="1"/>
    <row r="51504" s="2" customFormat="1"/>
    <row r="51505" s="2" customFormat="1"/>
    <row r="51506" s="2" customFormat="1"/>
    <row r="51507" s="2" customFormat="1"/>
    <row r="51508" s="2" customFormat="1"/>
    <row r="51509" s="2" customFormat="1"/>
    <row r="51510" s="2" customFormat="1"/>
    <row r="51511" s="2" customFormat="1"/>
    <row r="51512" s="2" customFormat="1"/>
    <row r="51513" s="2" customFormat="1"/>
    <row r="51514" s="2" customFormat="1"/>
    <row r="51515" s="2" customFormat="1"/>
    <row r="51516" s="2" customFormat="1"/>
    <row r="51517" s="2" customFormat="1"/>
    <row r="51518" s="2" customFormat="1"/>
    <row r="51519" s="2" customFormat="1"/>
    <row r="51520" s="2" customFormat="1"/>
    <row r="51521" s="2" customFormat="1"/>
    <row r="51522" s="2" customFormat="1"/>
    <row r="51523" s="2" customFormat="1"/>
    <row r="51524" s="2" customFormat="1"/>
    <row r="51525" s="2" customFormat="1"/>
    <row r="51526" s="2" customFormat="1"/>
    <row r="51527" s="2" customFormat="1"/>
    <row r="51528" s="2" customFormat="1"/>
    <row r="51529" s="2" customFormat="1"/>
    <row r="51530" s="2" customFormat="1"/>
    <row r="51531" s="2" customFormat="1"/>
    <row r="51532" s="2" customFormat="1"/>
    <row r="51533" s="2" customFormat="1"/>
    <row r="51534" s="2" customFormat="1"/>
    <row r="51535" s="2" customFormat="1"/>
    <row r="51536" s="2" customFormat="1"/>
    <row r="51537" s="2" customFormat="1"/>
    <row r="51538" s="2" customFormat="1"/>
    <row r="51539" s="2" customFormat="1"/>
    <row r="51540" s="2" customFormat="1"/>
    <row r="51541" s="2" customFormat="1"/>
    <row r="51542" s="2" customFormat="1"/>
    <row r="51543" s="2" customFormat="1"/>
    <row r="51544" s="2" customFormat="1"/>
    <row r="51545" s="2" customFormat="1"/>
    <row r="51546" s="2" customFormat="1"/>
    <row r="51547" s="2" customFormat="1"/>
    <row r="51548" s="2" customFormat="1"/>
    <row r="51549" s="2" customFormat="1"/>
    <row r="51550" s="2" customFormat="1"/>
    <row r="51551" s="2" customFormat="1"/>
    <row r="51552" s="2" customFormat="1"/>
    <row r="51553" s="2" customFormat="1"/>
    <row r="51554" s="2" customFormat="1"/>
    <row r="51555" s="2" customFormat="1"/>
    <row r="51556" s="2" customFormat="1"/>
    <row r="51557" s="2" customFormat="1"/>
    <row r="51558" s="2" customFormat="1"/>
    <row r="51559" s="2" customFormat="1"/>
    <row r="51560" s="2" customFormat="1"/>
    <row r="51561" s="2" customFormat="1"/>
    <row r="51562" s="2" customFormat="1"/>
    <row r="51563" s="2" customFormat="1"/>
    <row r="51564" s="2" customFormat="1"/>
    <row r="51565" s="2" customFormat="1"/>
    <row r="51566" s="2" customFormat="1"/>
    <row r="51567" s="2" customFormat="1"/>
    <row r="51568" s="2" customFormat="1"/>
    <row r="51569" s="2" customFormat="1"/>
    <row r="51570" s="2" customFormat="1"/>
    <row r="51571" s="2" customFormat="1"/>
    <row r="51572" s="2" customFormat="1"/>
    <row r="51573" s="2" customFormat="1"/>
    <row r="51574" s="2" customFormat="1"/>
    <row r="51575" s="2" customFormat="1"/>
    <row r="51576" s="2" customFormat="1"/>
    <row r="51577" s="2" customFormat="1"/>
    <row r="51578" s="2" customFormat="1"/>
    <row r="51579" s="2" customFormat="1"/>
    <row r="51580" s="2" customFormat="1"/>
    <row r="51581" s="2" customFormat="1"/>
    <row r="51582" s="2" customFormat="1"/>
    <row r="51583" s="2" customFormat="1"/>
    <row r="51584" s="2" customFormat="1"/>
    <row r="51585" s="2" customFormat="1"/>
    <row r="51586" s="2" customFormat="1"/>
    <row r="51587" s="2" customFormat="1"/>
    <row r="51588" s="2" customFormat="1"/>
    <row r="51589" s="2" customFormat="1"/>
    <row r="51590" s="2" customFormat="1"/>
    <row r="51591" s="2" customFormat="1"/>
    <row r="51592" s="2" customFormat="1"/>
    <row r="51593" s="2" customFormat="1"/>
    <row r="51594" s="2" customFormat="1"/>
    <row r="51595" s="2" customFormat="1"/>
    <row r="51596" s="2" customFormat="1"/>
    <row r="51597" s="2" customFormat="1"/>
    <row r="51598" s="2" customFormat="1"/>
    <row r="51599" s="2" customFormat="1"/>
    <row r="51600" s="2" customFormat="1"/>
    <row r="51601" s="2" customFormat="1"/>
    <row r="51602" s="2" customFormat="1"/>
    <row r="51603" s="2" customFormat="1"/>
    <row r="51604" s="2" customFormat="1"/>
    <row r="51605" s="2" customFormat="1"/>
    <row r="51606" s="2" customFormat="1"/>
    <row r="51607" s="2" customFormat="1"/>
    <row r="51608" s="2" customFormat="1"/>
    <row r="51609" s="2" customFormat="1"/>
    <row r="51610" s="2" customFormat="1"/>
    <row r="51611" s="2" customFormat="1"/>
    <row r="51612" s="2" customFormat="1"/>
    <row r="51613" s="2" customFormat="1"/>
    <row r="51614" s="2" customFormat="1"/>
    <row r="51615" s="2" customFormat="1"/>
    <row r="51616" s="2" customFormat="1"/>
    <row r="51617" s="2" customFormat="1"/>
    <row r="51618" s="2" customFormat="1"/>
    <row r="51619" s="2" customFormat="1"/>
    <row r="51620" s="2" customFormat="1"/>
    <row r="51621" s="2" customFormat="1"/>
    <row r="51622" s="2" customFormat="1"/>
    <row r="51623" s="2" customFormat="1"/>
    <row r="51624" s="2" customFormat="1"/>
    <row r="51625" s="2" customFormat="1"/>
    <row r="51626" s="2" customFormat="1"/>
    <row r="51627" s="2" customFormat="1"/>
    <row r="51628" s="2" customFormat="1"/>
    <row r="51629" s="2" customFormat="1"/>
    <row r="51630" s="2" customFormat="1"/>
    <row r="51631" s="2" customFormat="1"/>
    <row r="51632" s="2" customFormat="1"/>
    <row r="51633" s="2" customFormat="1"/>
    <row r="51634" s="2" customFormat="1"/>
    <row r="51635" s="2" customFormat="1"/>
    <row r="51636" s="2" customFormat="1"/>
    <row r="51637" s="2" customFormat="1"/>
    <row r="51638" s="2" customFormat="1"/>
    <row r="51639" s="2" customFormat="1"/>
    <row r="51640" s="2" customFormat="1"/>
    <row r="51641" s="2" customFormat="1"/>
    <row r="51642" s="2" customFormat="1"/>
    <row r="51643" s="2" customFormat="1"/>
    <row r="51644" s="2" customFormat="1"/>
    <row r="51645" s="2" customFormat="1"/>
    <row r="51646" s="2" customFormat="1"/>
    <row r="51647" s="2" customFormat="1"/>
    <row r="51648" s="2" customFormat="1"/>
    <row r="51649" s="2" customFormat="1"/>
    <row r="51650" s="2" customFormat="1"/>
    <row r="51651" s="2" customFormat="1"/>
    <row r="51652" s="2" customFormat="1"/>
    <row r="51653" s="2" customFormat="1"/>
    <row r="51654" s="2" customFormat="1"/>
    <row r="51655" s="2" customFormat="1"/>
    <row r="51656" s="2" customFormat="1"/>
    <row r="51657" s="2" customFormat="1"/>
    <row r="51658" s="2" customFormat="1"/>
    <row r="51659" s="2" customFormat="1"/>
    <row r="51660" s="2" customFormat="1"/>
    <row r="51661" s="2" customFormat="1"/>
    <row r="51662" s="2" customFormat="1"/>
    <row r="51663" s="2" customFormat="1"/>
    <row r="51664" s="2" customFormat="1"/>
    <row r="51665" s="2" customFormat="1"/>
    <row r="51666" s="2" customFormat="1"/>
    <row r="51667" s="2" customFormat="1"/>
    <row r="51668" s="2" customFormat="1"/>
    <row r="51669" s="2" customFormat="1"/>
    <row r="51670" s="2" customFormat="1"/>
    <row r="51671" s="2" customFormat="1"/>
    <row r="51672" s="2" customFormat="1"/>
    <row r="51673" s="2" customFormat="1"/>
    <row r="51674" s="2" customFormat="1"/>
    <row r="51675" s="2" customFormat="1"/>
    <row r="51676" s="2" customFormat="1"/>
    <row r="51677" s="2" customFormat="1"/>
    <row r="51678" s="2" customFormat="1"/>
    <row r="51679" s="2" customFormat="1"/>
    <row r="51680" s="2" customFormat="1"/>
    <row r="51681" s="2" customFormat="1"/>
    <row r="51682" s="2" customFormat="1"/>
    <row r="51683" s="2" customFormat="1"/>
    <row r="51684" s="2" customFormat="1"/>
    <row r="51685" s="2" customFormat="1"/>
    <row r="51686" s="2" customFormat="1"/>
    <row r="51687" s="2" customFormat="1"/>
    <row r="51688" s="2" customFormat="1"/>
    <row r="51689" s="2" customFormat="1"/>
    <row r="51690" s="2" customFormat="1"/>
    <row r="51691" s="2" customFormat="1"/>
    <row r="51692" s="2" customFormat="1"/>
    <row r="51693" s="2" customFormat="1"/>
    <row r="51694" s="2" customFormat="1"/>
    <row r="51695" s="2" customFormat="1"/>
    <row r="51696" s="2" customFormat="1"/>
    <row r="51697" s="2" customFormat="1"/>
    <row r="51698" s="2" customFormat="1"/>
    <row r="51699" s="2" customFormat="1"/>
    <row r="51700" s="2" customFormat="1"/>
    <row r="51701" s="2" customFormat="1"/>
    <row r="51702" s="2" customFormat="1"/>
    <row r="51703" s="2" customFormat="1"/>
    <row r="51704" s="2" customFormat="1"/>
    <row r="51705" s="2" customFormat="1"/>
    <row r="51706" s="2" customFormat="1"/>
    <row r="51707" s="2" customFormat="1"/>
    <row r="51708" s="2" customFormat="1"/>
    <row r="51709" s="2" customFormat="1"/>
    <row r="51710" s="2" customFormat="1"/>
    <row r="51711" s="2" customFormat="1"/>
    <row r="51712" s="2" customFormat="1"/>
    <row r="51713" s="2" customFormat="1"/>
    <row r="51714" s="2" customFormat="1"/>
    <row r="51715" s="2" customFormat="1"/>
    <row r="51716" s="2" customFormat="1"/>
    <row r="51717" s="2" customFormat="1"/>
    <row r="51718" s="2" customFormat="1"/>
    <row r="51719" s="2" customFormat="1"/>
    <row r="51720" s="2" customFormat="1"/>
    <row r="51721" s="2" customFormat="1"/>
    <row r="51722" s="2" customFormat="1"/>
    <row r="51723" s="2" customFormat="1"/>
    <row r="51724" s="2" customFormat="1"/>
    <row r="51725" s="2" customFormat="1"/>
    <row r="51726" s="2" customFormat="1"/>
    <row r="51727" s="2" customFormat="1"/>
    <row r="51728" s="2" customFormat="1"/>
    <row r="51729" s="2" customFormat="1"/>
    <row r="51730" s="2" customFormat="1"/>
    <row r="51731" s="2" customFormat="1"/>
    <row r="51732" s="2" customFormat="1"/>
    <row r="51733" s="2" customFormat="1"/>
    <row r="51734" s="2" customFormat="1"/>
    <row r="51735" s="2" customFormat="1"/>
    <row r="51736" s="2" customFormat="1"/>
    <row r="51737" s="2" customFormat="1"/>
    <row r="51738" s="2" customFormat="1"/>
    <row r="51739" s="2" customFormat="1"/>
    <row r="51740" s="2" customFormat="1"/>
    <row r="51741" s="2" customFormat="1"/>
    <row r="51742" s="2" customFormat="1"/>
    <row r="51743" s="2" customFormat="1"/>
    <row r="51744" s="2" customFormat="1"/>
    <row r="51745" s="2" customFormat="1"/>
    <row r="51746" s="2" customFormat="1"/>
    <row r="51747" s="2" customFormat="1"/>
    <row r="51748" s="2" customFormat="1"/>
    <row r="51749" s="2" customFormat="1"/>
    <row r="51750" s="2" customFormat="1"/>
    <row r="51751" s="2" customFormat="1"/>
    <row r="51752" s="2" customFormat="1"/>
    <row r="51753" s="2" customFormat="1"/>
    <row r="51754" s="2" customFormat="1"/>
    <row r="51755" s="2" customFormat="1"/>
    <row r="51756" s="2" customFormat="1"/>
    <row r="51757" s="2" customFormat="1"/>
    <row r="51758" s="2" customFormat="1"/>
    <row r="51759" s="2" customFormat="1"/>
    <row r="51760" s="2" customFormat="1"/>
    <row r="51761" s="2" customFormat="1"/>
    <row r="51762" s="2" customFormat="1"/>
    <row r="51763" s="2" customFormat="1"/>
    <row r="51764" s="2" customFormat="1"/>
    <row r="51765" s="2" customFormat="1"/>
    <row r="51766" s="2" customFormat="1"/>
    <row r="51767" s="2" customFormat="1"/>
    <row r="51768" s="2" customFormat="1"/>
    <row r="51769" s="2" customFormat="1"/>
    <row r="51770" s="2" customFormat="1"/>
    <row r="51771" s="2" customFormat="1"/>
    <row r="51772" s="2" customFormat="1"/>
    <row r="51773" s="2" customFormat="1"/>
    <row r="51774" s="2" customFormat="1"/>
    <row r="51775" s="2" customFormat="1"/>
    <row r="51776" s="2" customFormat="1"/>
    <row r="51777" s="2" customFormat="1"/>
    <row r="51778" s="2" customFormat="1"/>
    <row r="51779" s="2" customFormat="1"/>
    <row r="51780" s="2" customFormat="1"/>
    <row r="51781" s="2" customFormat="1"/>
    <row r="51782" s="2" customFormat="1"/>
    <row r="51783" s="2" customFormat="1"/>
    <row r="51784" s="2" customFormat="1"/>
    <row r="51785" s="2" customFormat="1"/>
    <row r="51786" s="2" customFormat="1"/>
    <row r="51787" s="2" customFormat="1"/>
    <row r="51788" s="2" customFormat="1"/>
    <row r="51789" s="2" customFormat="1"/>
    <row r="51790" s="2" customFormat="1"/>
    <row r="51791" s="2" customFormat="1"/>
    <row r="51792" s="2" customFormat="1"/>
    <row r="51793" s="2" customFormat="1"/>
    <row r="51794" s="2" customFormat="1"/>
    <row r="51795" s="2" customFormat="1"/>
    <row r="51796" s="2" customFormat="1"/>
    <row r="51797" s="2" customFormat="1"/>
    <row r="51798" s="2" customFormat="1"/>
    <row r="51799" s="2" customFormat="1"/>
    <row r="51800" s="2" customFormat="1"/>
    <row r="51801" s="2" customFormat="1"/>
    <row r="51802" s="2" customFormat="1"/>
    <row r="51803" s="2" customFormat="1"/>
    <row r="51804" s="2" customFormat="1"/>
    <row r="51805" s="2" customFormat="1"/>
    <row r="51806" s="2" customFormat="1"/>
    <row r="51807" s="2" customFormat="1"/>
    <row r="51808" s="2" customFormat="1"/>
    <row r="51809" s="2" customFormat="1"/>
    <row r="51810" s="2" customFormat="1"/>
    <row r="51811" s="2" customFormat="1"/>
    <row r="51812" s="2" customFormat="1"/>
    <row r="51813" s="2" customFormat="1"/>
    <row r="51814" s="2" customFormat="1"/>
    <row r="51815" s="2" customFormat="1"/>
    <row r="51816" s="2" customFormat="1"/>
    <row r="51817" s="2" customFormat="1"/>
    <row r="51818" s="2" customFormat="1"/>
    <row r="51819" s="2" customFormat="1"/>
    <row r="51820" s="2" customFormat="1"/>
    <row r="51821" s="2" customFormat="1"/>
    <row r="51822" s="2" customFormat="1"/>
    <row r="51823" s="2" customFormat="1"/>
    <row r="51824" s="2" customFormat="1"/>
    <row r="51825" s="2" customFormat="1"/>
    <row r="51826" s="2" customFormat="1"/>
    <row r="51827" s="2" customFormat="1"/>
    <row r="51828" s="2" customFormat="1"/>
    <row r="51829" s="2" customFormat="1"/>
    <row r="51830" s="2" customFormat="1"/>
    <row r="51831" s="2" customFormat="1"/>
    <row r="51832" s="2" customFormat="1"/>
    <row r="51833" s="2" customFormat="1"/>
    <row r="51834" s="2" customFormat="1"/>
    <row r="51835" s="2" customFormat="1"/>
    <row r="51836" s="2" customFormat="1"/>
    <row r="51837" s="2" customFormat="1"/>
    <row r="51838" s="2" customFormat="1"/>
    <row r="51839" s="2" customFormat="1"/>
    <row r="51840" s="2" customFormat="1"/>
    <row r="51841" s="2" customFormat="1"/>
    <row r="51842" s="2" customFormat="1"/>
    <row r="51843" s="2" customFormat="1"/>
    <row r="51844" s="2" customFormat="1"/>
    <row r="51845" s="2" customFormat="1"/>
    <row r="51846" s="2" customFormat="1"/>
    <row r="51847" s="2" customFormat="1"/>
    <row r="51848" s="2" customFormat="1"/>
    <row r="51849" s="2" customFormat="1"/>
    <row r="51850" s="2" customFormat="1"/>
    <row r="51851" s="2" customFormat="1"/>
    <row r="51852" s="2" customFormat="1"/>
    <row r="51853" s="2" customFormat="1"/>
    <row r="51854" s="2" customFormat="1"/>
    <row r="51855" s="2" customFormat="1"/>
    <row r="51856" s="2" customFormat="1"/>
    <row r="51857" s="2" customFormat="1"/>
    <row r="51858" s="2" customFormat="1"/>
    <row r="51859" s="2" customFormat="1"/>
    <row r="51860" s="2" customFormat="1"/>
    <row r="51861" s="2" customFormat="1"/>
    <row r="51862" s="2" customFormat="1"/>
    <row r="51863" s="2" customFormat="1"/>
    <row r="51864" s="2" customFormat="1"/>
    <row r="51865" s="2" customFormat="1"/>
    <row r="51866" s="2" customFormat="1"/>
    <row r="51867" s="2" customFormat="1"/>
    <row r="51868" s="2" customFormat="1"/>
    <row r="51869" s="2" customFormat="1"/>
    <row r="51870" s="2" customFormat="1"/>
    <row r="51871" s="2" customFormat="1"/>
    <row r="51872" s="2" customFormat="1"/>
    <row r="51873" s="2" customFormat="1"/>
    <row r="51874" s="2" customFormat="1"/>
    <row r="51875" s="2" customFormat="1"/>
    <row r="51876" s="2" customFormat="1"/>
    <row r="51877" s="2" customFormat="1"/>
    <row r="51878" s="2" customFormat="1"/>
    <row r="51879" s="2" customFormat="1"/>
    <row r="51880" s="2" customFormat="1"/>
    <row r="51881" s="2" customFormat="1"/>
    <row r="51882" s="2" customFormat="1"/>
    <row r="51883" s="2" customFormat="1"/>
    <row r="51884" s="2" customFormat="1"/>
    <row r="51885" s="2" customFormat="1"/>
    <row r="51886" s="2" customFormat="1"/>
    <row r="51887" s="2" customFormat="1"/>
    <row r="51888" s="2" customFormat="1"/>
    <row r="51889" s="2" customFormat="1"/>
    <row r="51890" s="2" customFormat="1"/>
    <row r="51891" s="2" customFormat="1"/>
    <row r="51892" s="2" customFormat="1"/>
    <row r="51893" s="2" customFormat="1"/>
    <row r="51894" s="2" customFormat="1"/>
    <row r="51895" s="2" customFormat="1"/>
    <row r="51896" s="2" customFormat="1"/>
    <row r="51897" s="2" customFormat="1"/>
    <row r="51898" s="2" customFormat="1"/>
    <row r="51899" s="2" customFormat="1"/>
    <row r="51900" s="2" customFormat="1"/>
    <row r="51901" s="2" customFormat="1"/>
    <row r="51902" s="2" customFormat="1"/>
    <row r="51903" s="2" customFormat="1"/>
    <row r="51904" s="2" customFormat="1"/>
    <row r="51905" s="2" customFormat="1"/>
    <row r="51906" s="2" customFormat="1"/>
    <row r="51907" s="2" customFormat="1"/>
    <row r="51908" s="2" customFormat="1"/>
    <row r="51909" s="2" customFormat="1"/>
    <row r="51910" s="2" customFormat="1"/>
    <row r="51911" s="2" customFormat="1"/>
    <row r="51912" s="2" customFormat="1"/>
    <row r="51913" s="2" customFormat="1"/>
    <row r="51914" s="2" customFormat="1"/>
    <row r="51915" s="2" customFormat="1"/>
    <row r="51916" s="2" customFormat="1"/>
    <row r="51917" s="2" customFormat="1"/>
    <row r="51918" s="2" customFormat="1"/>
    <row r="51919" s="2" customFormat="1"/>
    <row r="51920" s="2" customFormat="1"/>
    <row r="51921" s="2" customFormat="1"/>
    <row r="51922" s="2" customFormat="1"/>
    <row r="51923" s="2" customFormat="1"/>
    <row r="51924" s="2" customFormat="1"/>
    <row r="51925" s="2" customFormat="1"/>
    <row r="51926" s="2" customFormat="1"/>
    <row r="51927" s="2" customFormat="1"/>
    <row r="51928" s="2" customFormat="1"/>
    <row r="51929" s="2" customFormat="1"/>
    <row r="51930" s="2" customFormat="1"/>
    <row r="51931" s="2" customFormat="1"/>
    <row r="51932" s="2" customFormat="1"/>
    <row r="51933" s="2" customFormat="1"/>
    <row r="51934" s="2" customFormat="1"/>
    <row r="51935" s="2" customFormat="1"/>
    <row r="51936" s="2" customFormat="1"/>
    <row r="51937" s="2" customFormat="1"/>
    <row r="51938" s="2" customFormat="1"/>
    <row r="51939" s="2" customFormat="1"/>
    <row r="51940" s="2" customFormat="1"/>
    <row r="51941" s="2" customFormat="1"/>
    <row r="51942" s="2" customFormat="1"/>
    <row r="51943" s="2" customFormat="1"/>
    <row r="51944" s="2" customFormat="1"/>
    <row r="51945" s="2" customFormat="1"/>
    <row r="51946" s="2" customFormat="1"/>
    <row r="51947" s="2" customFormat="1"/>
    <row r="51948" s="2" customFormat="1"/>
    <row r="51949" s="2" customFormat="1"/>
    <row r="51950" s="2" customFormat="1"/>
    <row r="51951" s="2" customFormat="1"/>
    <row r="51952" s="2" customFormat="1"/>
    <row r="51953" s="2" customFormat="1"/>
    <row r="51954" s="2" customFormat="1"/>
    <row r="51955" s="2" customFormat="1"/>
    <row r="51956" s="2" customFormat="1"/>
    <row r="51957" s="2" customFormat="1"/>
    <row r="51958" s="2" customFormat="1"/>
    <row r="51959" s="2" customFormat="1"/>
    <row r="51960" s="2" customFormat="1"/>
    <row r="51961" s="2" customFormat="1"/>
    <row r="51962" s="2" customFormat="1"/>
    <row r="51963" s="2" customFormat="1"/>
    <row r="51964" s="2" customFormat="1"/>
    <row r="51965" s="2" customFormat="1"/>
    <row r="51966" s="2" customFormat="1"/>
    <row r="51967" s="2" customFormat="1"/>
    <row r="51968" s="2" customFormat="1"/>
    <row r="51969" s="2" customFormat="1"/>
    <row r="51970" s="2" customFormat="1"/>
    <row r="51971" s="2" customFormat="1"/>
    <row r="51972" s="2" customFormat="1"/>
    <row r="51973" s="2" customFormat="1"/>
    <row r="51974" s="2" customFormat="1"/>
    <row r="51975" s="2" customFormat="1"/>
    <row r="51976" s="2" customFormat="1"/>
    <row r="51977" s="2" customFormat="1"/>
    <row r="51978" s="2" customFormat="1"/>
    <row r="51979" s="2" customFormat="1"/>
    <row r="51980" s="2" customFormat="1"/>
    <row r="51981" s="2" customFormat="1"/>
    <row r="51982" s="2" customFormat="1"/>
    <row r="51983" s="2" customFormat="1"/>
    <row r="51984" s="2" customFormat="1"/>
    <row r="51985" s="2" customFormat="1"/>
    <row r="51986" s="2" customFormat="1"/>
    <row r="51987" s="2" customFormat="1"/>
    <row r="51988" s="2" customFormat="1"/>
    <row r="51989" s="2" customFormat="1"/>
    <row r="51990" s="2" customFormat="1"/>
    <row r="51991" s="2" customFormat="1"/>
    <row r="51992" s="2" customFormat="1"/>
    <row r="51993" s="2" customFormat="1"/>
    <row r="51994" s="2" customFormat="1"/>
    <row r="51995" s="2" customFormat="1"/>
    <row r="51996" s="2" customFormat="1"/>
    <row r="51997" s="2" customFormat="1"/>
    <row r="51998" s="2" customFormat="1"/>
    <row r="51999" s="2" customFormat="1"/>
    <row r="52000" s="2" customFormat="1"/>
    <row r="52001" s="2" customFormat="1"/>
    <row r="52002" s="2" customFormat="1"/>
    <row r="52003" s="2" customFormat="1"/>
    <row r="52004" s="2" customFormat="1"/>
    <row r="52005" s="2" customFormat="1"/>
    <row r="52006" s="2" customFormat="1"/>
    <row r="52007" s="2" customFormat="1"/>
    <row r="52008" s="2" customFormat="1"/>
    <row r="52009" s="2" customFormat="1"/>
    <row r="52010" s="2" customFormat="1"/>
    <row r="52011" s="2" customFormat="1"/>
    <row r="52012" s="2" customFormat="1"/>
    <row r="52013" s="2" customFormat="1"/>
    <row r="52014" s="2" customFormat="1"/>
    <row r="52015" s="2" customFormat="1"/>
    <row r="52016" s="2" customFormat="1"/>
    <row r="52017" s="2" customFormat="1"/>
    <row r="52018" s="2" customFormat="1"/>
    <row r="52019" s="2" customFormat="1"/>
    <row r="52020" s="2" customFormat="1"/>
    <row r="52021" s="2" customFormat="1"/>
    <row r="52022" s="2" customFormat="1"/>
    <row r="52023" s="2" customFormat="1"/>
    <row r="52024" s="2" customFormat="1"/>
    <row r="52025" s="2" customFormat="1"/>
    <row r="52026" s="2" customFormat="1"/>
    <row r="52027" s="2" customFormat="1"/>
    <row r="52028" s="2" customFormat="1"/>
    <row r="52029" s="2" customFormat="1"/>
    <row r="52030" s="2" customFormat="1"/>
    <row r="52031" s="2" customFormat="1"/>
    <row r="52032" s="2" customFormat="1"/>
    <row r="52033" s="2" customFormat="1"/>
    <row r="52034" s="2" customFormat="1"/>
    <row r="52035" s="2" customFormat="1"/>
    <row r="52036" s="2" customFormat="1"/>
    <row r="52037" s="2" customFormat="1"/>
    <row r="52038" s="2" customFormat="1"/>
    <row r="52039" s="2" customFormat="1"/>
    <row r="52040" s="2" customFormat="1"/>
    <row r="52041" s="2" customFormat="1"/>
    <row r="52042" s="2" customFormat="1"/>
    <row r="52043" s="2" customFormat="1"/>
    <row r="52044" s="2" customFormat="1"/>
    <row r="52045" s="2" customFormat="1"/>
    <row r="52046" s="2" customFormat="1"/>
    <row r="52047" s="2" customFormat="1"/>
    <row r="52048" s="2" customFormat="1"/>
    <row r="52049" s="2" customFormat="1"/>
    <row r="52050" s="2" customFormat="1"/>
    <row r="52051" s="2" customFormat="1"/>
    <row r="52052" s="2" customFormat="1"/>
    <row r="52053" s="2" customFormat="1"/>
    <row r="52054" s="2" customFormat="1"/>
    <row r="52055" s="2" customFormat="1"/>
    <row r="52056" s="2" customFormat="1"/>
    <row r="52057" s="2" customFormat="1"/>
    <row r="52058" s="2" customFormat="1"/>
    <row r="52059" s="2" customFormat="1"/>
    <row r="52060" s="2" customFormat="1"/>
    <row r="52061" s="2" customFormat="1"/>
    <row r="52062" s="2" customFormat="1"/>
    <row r="52063" s="2" customFormat="1"/>
    <row r="52064" s="2" customFormat="1"/>
    <row r="52065" s="2" customFormat="1"/>
    <row r="52066" s="2" customFormat="1"/>
    <row r="52067" s="2" customFormat="1"/>
    <row r="52068" s="2" customFormat="1"/>
    <row r="52069" s="2" customFormat="1"/>
    <row r="52070" s="2" customFormat="1"/>
    <row r="52071" s="2" customFormat="1"/>
    <row r="52072" s="2" customFormat="1"/>
    <row r="52073" s="2" customFormat="1"/>
    <row r="52074" s="2" customFormat="1"/>
    <row r="52075" s="2" customFormat="1"/>
    <row r="52076" s="2" customFormat="1"/>
    <row r="52077" s="2" customFormat="1"/>
    <row r="52078" s="2" customFormat="1"/>
    <row r="52079" s="2" customFormat="1"/>
    <row r="52080" s="2" customFormat="1"/>
    <row r="52081" s="2" customFormat="1"/>
    <row r="52082" s="2" customFormat="1"/>
    <row r="52083" s="2" customFormat="1"/>
    <row r="52084" s="2" customFormat="1"/>
    <row r="52085" s="2" customFormat="1"/>
    <row r="52086" s="2" customFormat="1"/>
    <row r="52087" s="2" customFormat="1"/>
    <row r="52088" s="2" customFormat="1"/>
    <row r="52089" s="2" customFormat="1"/>
    <row r="52090" s="2" customFormat="1"/>
    <row r="52091" s="2" customFormat="1"/>
    <row r="52092" s="2" customFormat="1"/>
    <row r="52093" s="2" customFormat="1"/>
    <row r="52094" s="2" customFormat="1"/>
    <row r="52095" s="2" customFormat="1"/>
    <row r="52096" s="2" customFormat="1"/>
    <row r="52097" s="2" customFormat="1"/>
    <row r="52098" s="2" customFormat="1"/>
    <row r="52099" s="2" customFormat="1"/>
    <row r="52100" s="2" customFormat="1"/>
    <row r="52101" s="2" customFormat="1"/>
    <row r="52102" s="2" customFormat="1"/>
    <row r="52103" s="2" customFormat="1"/>
    <row r="52104" s="2" customFormat="1"/>
    <row r="52105" s="2" customFormat="1"/>
    <row r="52106" s="2" customFormat="1"/>
    <row r="52107" s="2" customFormat="1"/>
    <row r="52108" s="2" customFormat="1"/>
    <row r="52109" s="2" customFormat="1"/>
    <row r="52110" s="2" customFormat="1"/>
    <row r="52111" s="2" customFormat="1"/>
    <row r="52112" s="2" customFormat="1"/>
    <row r="52113" s="2" customFormat="1"/>
    <row r="52114" s="2" customFormat="1"/>
    <row r="52115" s="2" customFormat="1"/>
    <row r="52116" s="2" customFormat="1"/>
    <row r="52117" s="2" customFormat="1"/>
    <row r="52118" s="2" customFormat="1"/>
    <row r="52119" s="2" customFormat="1"/>
    <row r="52120" s="2" customFormat="1"/>
    <row r="52121" s="2" customFormat="1"/>
    <row r="52122" s="2" customFormat="1"/>
    <row r="52123" s="2" customFormat="1"/>
    <row r="52124" s="2" customFormat="1"/>
    <row r="52125" s="2" customFormat="1"/>
    <row r="52126" s="2" customFormat="1"/>
    <row r="52127" s="2" customFormat="1"/>
    <row r="52128" s="2" customFormat="1"/>
    <row r="52129" s="2" customFormat="1"/>
    <row r="52130" s="2" customFormat="1"/>
    <row r="52131" s="2" customFormat="1"/>
    <row r="52132" s="2" customFormat="1"/>
    <row r="52133" s="2" customFormat="1"/>
    <row r="52134" s="2" customFormat="1"/>
    <row r="52135" s="2" customFormat="1"/>
    <row r="52136" s="2" customFormat="1"/>
    <row r="52137" s="2" customFormat="1"/>
    <row r="52138" s="2" customFormat="1"/>
    <row r="52139" s="2" customFormat="1"/>
    <row r="52140" s="2" customFormat="1"/>
    <row r="52141" s="2" customFormat="1"/>
    <row r="52142" s="2" customFormat="1"/>
    <row r="52143" s="2" customFormat="1"/>
    <row r="52144" s="2" customFormat="1"/>
    <row r="52145" s="2" customFormat="1"/>
    <row r="52146" s="2" customFormat="1"/>
    <row r="52147" s="2" customFormat="1"/>
    <row r="52148" s="2" customFormat="1"/>
    <row r="52149" s="2" customFormat="1"/>
    <row r="52150" s="2" customFormat="1"/>
    <row r="52151" s="2" customFormat="1"/>
    <row r="52152" s="2" customFormat="1"/>
    <row r="52153" s="2" customFormat="1"/>
    <row r="52154" s="2" customFormat="1"/>
    <row r="52155" s="2" customFormat="1"/>
    <row r="52156" s="2" customFormat="1"/>
    <row r="52157" s="2" customFormat="1"/>
    <row r="52158" s="2" customFormat="1"/>
    <row r="52159" s="2" customFormat="1"/>
    <row r="52160" s="2" customFormat="1"/>
    <row r="52161" s="2" customFormat="1"/>
    <row r="52162" s="2" customFormat="1"/>
    <row r="52163" s="2" customFormat="1"/>
    <row r="52164" s="2" customFormat="1"/>
    <row r="52165" s="2" customFormat="1"/>
    <row r="52166" s="2" customFormat="1"/>
    <row r="52167" s="2" customFormat="1"/>
    <row r="52168" s="2" customFormat="1"/>
    <row r="52169" s="2" customFormat="1"/>
    <row r="52170" s="2" customFormat="1"/>
    <row r="52171" s="2" customFormat="1"/>
    <row r="52172" s="2" customFormat="1"/>
    <row r="52173" s="2" customFormat="1"/>
    <row r="52174" s="2" customFormat="1"/>
    <row r="52175" s="2" customFormat="1"/>
    <row r="52176" s="2" customFormat="1"/>
    <row r="52177" s="2" customFormat="1"/>
    <row r="52178" s="2" customFormat="1"/>
    <row r="52179" s="2" customFormat="1"/>
    <row r="52180" s="2" customFormat="1"/>
    <row r="52181" s="2" customFormat="1"/>
    <row r="52182" s="2" customFormat="1"/>
    <row r="52183" s="2" customFormat="1"/>
    <row r="52184" s="2" customFormat="1"/>
    <row r="52185" s="2" customFormat="1"/>
    <row r="52186" s="2" customFormat="1"/>
    <row r="52187" s="2" customFormat="1"/>
    <row r="52188" s="2" customFormat="1"/>
    <row r="52189" s="2" customFormat="1"/>
    <row r="52190" s="2" customFormat="1"/>
    <row r="52191" s="2" customFormat="1"/>
    <row r="52192" s="2" customFormat="1"/>
    <row r="52193" s="2" customFormat="1"/>
    <row r="52194" s="2" customFormat="1"/>
    <row r="52195" s="2" customFormat="1"/>
    <row r="52196" s="2" customFormat="1"/>
    <row r="52197" s="2" customFormat="1"/>
    <row r="52198" s="2" customFormat="1"/>
    <row r="52199" s="2" customFormat="1"/>
    <row r="52200" s="2" customFormat="1"/>
    <row r="52201" s="2" customFormat="1"/>
    <row r="52202" s="2" customFormat="1"/>
    <row r="52203" s="2" customFormat="1"/>
    <row r="52204" s="2" customFormat="1"/>
    <row r="52205" s="2" customFormat="1"/>
    <row r="52206" s="2" customFormat="1"/>
    <row r="52207" s="2" customFormat="1"/>
    <row r="52208" s="2" customFormat="1"/>
    <row r="52209" s="2" customFormat="1"/>
    <row r="52210" s="2" customFormat="1"/>
    <row r="52211" s="2" customFormat="1"/>
    <row r="52212" s="2" customFormat="1"/>
    <row r="52213" s="2" customFormat="1"/>
    <row r="52214" s="2" customFormat="1"/>
    <row r="52215" s="2" customFormat="1"/>
    <row r="52216" s="2" customFormat="1"/>
    <row r="52217" s="2" customFormat="1"/>
    <row r="52218" s="2" customFormat="1"/>
    <row r="52219" s="2" customFormat="1"/>
    <row r="52220" s="2" customFormat="1"/>
    <row r="52221" s="2" customFormat="1"/>
    <row r="52222" s="2" customFormat="1"/>
    <row r="52223" s="2" customFormat="1"/>
    <row r="52224" s="2" customFormat="1"/>
    <row r="52225" s="2" customFormat="1"/>
    <row r="52226" s="2" customFormat="1"/>
    <row r="52227" s="2" customFormat="1"/>
    <row r="52228" s="2" customFormat="1"/>
    <row r="52229" s="2" customFormat="1"/>
    <row r="52230" s="2" customFormat="1"/>
    <row r="52231" s="2" customFormat="1"/>
    <row r="52232" s="2" customFormat="1"/>
    <row r="52233" s="2" customFormat="1"/>
    <row r="52234" s="2" customFormat="1"/>
    <row r="52235" s="2" customFormat="1"/>
    <row r="52236" s="2" customFormat="1"/>
    <row r="52237" s="2" customFormat="1"/>
    <row r="52238" s="2" customFormat="1"/>
    <row r="52239" s="2" customFormat="1"/>
    <row r="52240" s="2" customFormat="1"/>
    <row r="52241" s="2" customFormat="1"/>
    <row r="52242" s="2" customFormat="1"/>
    <row r="52243" s="2" customFormat="1"/>
    <row r="52244" s="2" customFormat="1"/>
    <row r="52245" s="2" customFormat="1"/>
    <row r="52246" s="2" customFormat="1"/>
    <row r="52247" s="2" customFormat="1"/>
    <row r="52248" s="2" customFormat="1"/>
    <row r="52249" s="2" customFormat="1"/>
    <row r="52250" s="2" customFormat="1"/>
    <row r="52251" s="2" customFormat="1"/>
    <row r="52252" s="2" customFormat="1"/>
    <row r="52253" s="2" customFormat="1"/>
    <row r="52254" s="2" customFormat="1"/>
    <row r="52255" s="2" customFormat="1"/>
    <row r="52256" s="2" customFormat="1"/>
    <row r="52257" s="2" customFormat="1"/>
    <row r="52258" s="2" customFormat="1"/>
    <row r="52259" s="2" customFormat="1"/>
    <row r="52260" s="2" customFormat="1"/>
    <row r="52261" s="2" customFormat="1"/>
    <row r="52262" s="2" customFormat="1"/>
    <row r="52263" s="2" customFormat="1"/>
    <row r="52264" s="2" customFormat="1"/>
    <row r="52265" s="2" customFormat="1"/>
    <row r="52266" s="2" customFormat="1"/>
    <row r="52267" s="2" customFormat="1"/>
    <row r="52268" s="2" customFormat="1"/>
    <row r="52269" s="2" customFormat="1"/>
    <row r="52270" s="2" customFormat="1"/>
    <row r="52271" s="2" customFormat="1"/>
    <row r="52272" s="2" customFormat="1"/>
    <row r="52273" s="2" customFormat="1"/>
    <row r="52274" s="2" customFormat="1"/>
    <row r="52275" s="2" customFormat="1"/>
    <row r="52276" s="2" customFormat="1"/>
    <row r="52277" s="2" customFormat="1"/>
    <row r="52278" s="2" customFormat="1"/>
    <row r="52279" s="2" customFormat="1"/>
    <row r="52280" s="2" customFormat="1"/>
    <row r="52281" s="2" customFormat="1"/>
    <row r="52282" s="2" customFormat="1"/>
    <row r="52283" s="2" customFormat="1"/>
    <row r="52284" s="2" customFormat="1"/>
    <row r="52285" s="2" customFormat="1"/>
    <row r="52286" s="2" customFormat="1"/>
    <row r="52287" s="2" customFormat="1"/>
    <row r="52288" s="2" customFormat="1"/>
    <row r="52289" s="2" customFormat="1"/>
    <row r="52290" s="2" customFormat="1"/>
    <row r="52291" s="2" customFormat="1"/>
    <row r="52292" s="2" customFormat="1"/>
    <row r="52293" s="2" customFormat="1"/>
    <row r="52294" s="2" customFormat="1"/>
    <row r="52295" s="2" customFormat="1"/>
    <row r="52296" s="2" customFormat="1"/>
    <row r="52297" s="2" customFormat="1"/>
    <row r="52298" s="2" customFormat="1"/>
    <row r="52299" s="2" customFormat="1"/>
    <row r="52300" s="2" customFormat="1"/>
    <row r="52301" s="2" customFormat="1"/>
    <row r="52302" s="2" customFormat="1"/>
    <row r="52303" s="2" customFormat="1"/>
    <row r="52304" s="2" customFormat="1"/>
    <row r="52305" s="2" customFormat="1"/>
    <row r="52306" s="2" customFormat="1"/>
    <row r="52307" s="2" customFormat="1"/>
    <row r="52308" s="2" customFormat="1"/>
    <row r="52309" s="2" customFormat="1"/>
    <row r="52310" s="2" customFormat="1"/>
    <row r="52311" s="2" customFormat="1"/>
    <row r="52312" s="2" customFormat="1"/>
    <row r="52313" s="2" customFormat="1"/>
    <row r="52314" s="2" customFormat="1"/>
    <row r="52315" s="2" customFormat="1"/>
    <row r="52316" s="2" customFormat="1"/>
    <row r="52317" s="2" customFormat="1"/>
    <row r="52318" s="2" customFormat="1"/>
    <row r="52319" s="2" customFormat="1"/>
    <row r="52320" s="2" customFormat="1"/>
    <row r="52321" s="2" customFormat="1"/>
    <row r="52322" s="2" customFormat="1"/>
    <row r="52323" s="2" customFormat="1"/>
    <row r="52324" s="2" customFormat="1"/>
    <row r="52325" s="2" customFormat="1"/>
    <row r="52326" s="2" customFormat="1"/>
    <row r="52327" s="2" customFormat="1"/>
    <row r="52328" s="2" customFormat="1"/>
    <row r="52329" s="2" customFormat="1"/>
    <row r="52330" s="2" customFormat="1"/>
    <row r="52331" s="2" customFormat="1"/>
    <row r="52332" s="2" customFormat="1"/>
    <row r="52333" s="2" customFormat="1"/>
    <row r="52334" s="2" customFormat="1"/>
    <row r="52335" s="2" customFormat="1"/>
    <row r="52336" s="2" customFormat="1"/>
    <row r="52337" s="2" customFormat="1"/>
    <row r="52338" s="2" customFormat="1"/>
    <row r="52339" s="2" customFormat="1"/>
    <row r="52340" s="2" customFormat="1"/>
    <row r="52341" s="2" customFormat="1"/>
    <row r="52342" s="2" customFormat="1"/>
    <row r="52343" s="2" customFormat="1"/>
    <row r="52344" s="2" customFormat="1"/>
    <row r="52345" s="2" customFormat="1"/>
    <row r="52346" s="2" customFormat="1"/>
    <row r="52347" s="2" customFormat="1"/>
    <row r="52348" s="2" customFormat="1"/>
    <row r="52349" s="2" customFormat="1"/>
    <row r="52350" s="2" customFormat="1"/>
    <row r="52351" s="2" customFormat="1"/>
    <row r="52352" s="2" customFormat="1"/>
    <row r="52353" s="2" customFormat="1"/>
    <row r="52354" s="2" customFormat="1"/>
    <row r="52355" s="2" customFormat="1"/>
    <row r="52356" s="2" customFormat="1"/>
    <row r="52357" s="2" customFormat="1"/>
    <row r="52358" s="2" customFormat="1"/>
    <row r="52359" s="2" customFormat="1"/>
    <row r="52360" s="2" customFormat="1"/>
    <row r="52361" s="2" customFormat="1"/>
    <row r="52362" s="2" customFormat="1"/>
    <row r="52363" s="2" customFormat="1"/>
    <row r="52364" s="2" customFormat="1"/>
    <row r="52365" s="2" customFormat="1"/>
    <row r="52366" s="2" customFormat="1"/>
    <row r="52367" s="2" customFormat="1"/>
    <row r="52368" s="2" customFormat="1"/>
    <row r="52369" s="2" customFormat="1"/>
    <row r="52370" s="2" customFormat="1"/>
    <row r="52371" s="2" customFormat="1"/>
    <row r="52372" s="2" customFormat="1"/>
    <row r="52373" s="2" customFormat="1"/>
    <row r="52374" s="2" customFormat="1"/>
    <row r="52375" s="2" customFormat="1"/>
    <row r="52376" s="2" customFormat="1"/>
    <row r="52377" s="2" customFormat="1"/>
    <row r="52378" s="2" customFormat="1"/>
    <row r="52379" s="2" customFormat="1"/>
    <row r="52380" s="2" customFormat="1"/>
    <row r="52381" s="2" customFormat="1"/>
    <row r="52382" s="2" customFormat="1"/>
    <row r="52383" s="2" customFormat="1"/>
    <row r="52384" s="2" customFormat="1"/>
    <row r="52385" s="2" customFormat="1"/>
    <row r="52386" s="2" customFormat="1"/>
    <row r="52387" s="2" customFormat="1"/>
    <row r="52388" s="2" customFormat="1"/>
    <row r="52389" s="2" customFormat="1"/>
    <row r="52390" s="2" customFormat="1"/>
    <row r="52391" s="2" customFormat="1"/>
    <row r="52392" s="2" customFormat="1"/>
    <row r="52393" s="2" customFormat="1"/>
    <row r="52394" s="2" customFormat="1"/>
    <row r="52395" s="2" customFormat="1"/>
    <row r="52396" s="2" customFormat="1"/>
    <row r="52397" s="2" customFormat="1"/>
    <row r="52398" s="2" customFormat="1"/>
    <row r="52399" s="2" customFormat="1"/>
    <row r="52400" s="2" customFormat="1"/>
    <row r="52401" s="2" customFormat="1"/>
    <row r="52402" s="2" customFormat="1"/>
    <row r="52403" s="2" customFormat="1"/>
    <row r="52404" s="2" customFormat="1"/>
    <row r="52405" s="2" customFormat="1"/>
    <row r="52406" s="2" customFormat="1"/>
    <row r="52407" s="2" customFormat="1"/>
    <row r="52408" s="2" customFormat="1"/>
    <row r="52409" s="2" customFormat="1"/>
    <row r="52410" s="2" customFormat="1"/>
    <row r="52411" s="2" customFormat="1"/>
    <row r="52412" s="2" customFormat="1"/>
    <row r="52413" s="2" customFormat="1"/>
    <row r="52414" s="2" customFormat="1"/>
    <row r="52415" s="2" customFormat="1"/>
    <row r="52416" s="2" customFormat="1"/>
    <row r="52417" s="2" customFormat="1"/>
    <row r="52418" s="2" customFormat="1"/>
    <row r="52419" s="2" customFormat="1"/>
    <row r="52420" s="2" customFormat="1"/>
    <row r="52421" s="2" customFormat="1"/>
    <row r="52422" s="2" customFormat="1"/>
    <row r="52423" s="2" customFormat="1"/>
    <row r="52424" s="2" customFormat="1"/>
    <row r="52425" s="2" customFormat="1"/>
    <row r="52426" s="2" customFormat="1"/>
    <row r="52427" s="2" customFormat="1"/>
    <row r="52428" s="2" customFormat="1"/>
    <row r="52429" s="2" customFormat="1"/>
    <row r="52430" s="2" customFormat="1"/>
    <row r="52431" s="2" customFormat="1"/>
    <row r="52432" s="2" customFormat="1"/>
    <row r="52433" s="2" customFormat="1"/>
    <row r="52434" s="2" customFormat="1"/>
    <row r="52435" s="2" customFormat="1"/>
    <row r="52436" s="2" customFormat="1"/>
    <row r="52437" s="2" customFormat="1"/>
    <row r="52438" s="2" customFormat="1"/>
    <row r="52439" s="2" customFormat="1"/>
    <row r="52440" s="2" customFormat="1"/>
    <row r="52441" s="2" customFormat="1"/>
    <row r="52442" s="2" customFormat="1"/>
    <row r="52443" s="2" customFormat="1"/>
    <row r="52444" s="2" customFormat="1"/>
    <row r="52445" s="2" customFormat="1"/>
    <row r="52446" s="2" customFormat="1"/>
    <row r="52447" s="2" customFormat="1"/>
    <row r="52448" s="2" customFormat="1"/>
    <row r="52449" s="2" customFormat="1"/>
    <row r="52450" s="2" customFormat="1"/>
    <row r="52451" s="2" customFormat="1"/>
    <row r="52452" s="2" customFormat="1"/>
    <row r="52453" s="2" customFormat="1"/>
    <row r="52454" s="2" customFormat="1"/>
    <row r="52455" s="2" customFormat="1"/>
    <row r="52456" s="2" customFormat="1"/>
    <row r="52457" s="2" customFormat="1"/>
    <row r="52458" s="2" customFormat="1"/>
    <row r="52459" s="2" customFormat="1"/>
    <row r="52460" s="2" customFormat="1"/>
    <row r="52461" s="2" customFormat="1"/>
    <row r="52462" s="2" customFormat="1"/>
    <row r="52463" s="2" customFormat="1"/>
    <row r="52464" s="2" customFormat="1"/>
    <row r="52465" s="2" customFormat="1"/>
    <row r="52466" s="2" customFormat="1"/>
    <row r="52467" s="2" customFormat="1"/>
    <row r="52468" s="2" customFormat="1"/>
    <row r="52469" s="2" customFormat="1"/>
    <row r="52470" s="2" customFormat="1"/>
    <row r="52471" s="2" customFormat="1"/>
    <row r="52472" s="2" customFormat="1"/>
    <row r="52473" s="2" customFormat="1"/>
    <row r="52474" s="2" customFormat="1"/>
    <row r="52475" s="2" customFormat="1"/>
    <row r="52476" s="2" customFormat="1"/>
    <row r="52477" s="2" customFormat="1"/>
    <row r="52478" s="2" customFormat="1"/>
    <row r="52479" s="2" customFormat="1"/>
    <row r="52480" s="2" customFormat="1"/>
    <row r="52481" s="2" customFormat="1"/>
    <row r="52482" s="2" customFormat="1"/>
    <row r="52483" s="2" customFormat="1"/>
    <row r="52484" s="2" customFormat="1"/>
    <row r="52485" s="2" customFormat="1"/>
    <row r="52486" s="2" customFormat="1"/>
    <row r="52487" s="2" customFormat="1"/>
    <row r="52488" s="2" customFormat="1"/>
    <row r="52489" s="2" customFormat="1"/>
    <row r="52490" s="2" customFormat="1"/>
    <row r="52491" s="2" customFormat="1"/>
    <row r="52492" s="2" customFormat="1"/>
    <row r="52493" s="2" customFormat="1"/>
    <row r="52494" s="2" customFormat="1"/>
    <row r="52495" s="2" customFormat="1"/>
    <row r="52496" s="2" customFormat="1"/>
    <row r="52497" s="2" customFormat="1"/>
    <row r="52498" s="2" customFormat="1"/>
    <row r="52499" s="2" customFormat="1"/>
    <row r="52500" s="2" customFormat="1"/>
    <row r="52501" s="2" customFormat="1"/>
    <row r="52502" s="2" customFormat="1"/>
    <row r="52503" s="2" customFormat="1"/>
    <row r="52504" s="2" customFormat="1"/>
    <row r="52505" s="2" customFormat="1"/>
    <row r="52506" s="2" customFormat="1"/>
    <row r="52507" s="2" customFormat="1"/>
    <row r="52508" s="2" customFormat="1"/>
    <row r="52509" s="2" customFormat="1"/>
    <row r="52510" s="2" customFormat="1"/>
    <row r="52511" s="2" customFormat="1"/>
    <row r="52512" s="2" customFormat="1"/>
    <row r="52513" s="2" customFormat="1"/>
    <row r="52514" s="2" customFormat="1"/>
    <row r="52515" s="2" customFormat="1"/>
    <row r="52516" s="2" customFormat="1"/>
    <row r="52517" s="2" customFormat="1"/>
    <row r="52518" s="2" customFormat="1"/>
    <row r="52519" s="2" customFormat="1"/>
    <row r="52520" s="2" customFormat="1"/>
    <row r="52521" s="2" customFormat="1"/>
    <row r="52522" s="2" customFormat="1"/>
    <row r="52523" s="2" customFormat="1"/>
    <row r="52524" s="2" customFormat="1"/>
    <row r="52525" s="2" customFormat="1"/>
    <row r="52526" s="2" customFormat="1"/>
    <row r="52527" s="2" customFormat="1"/>
    <row r="52528" s="2" customFormat="1"/>
    <row r="52529" s="2" customFormat="1"/>
    <row r="52530" s="2" customFormat="1"/>
    <row r="52531" s="2" customFormat="1"/>
    <row r="52532" s="2" customFormat="1"/>
    <row r="52533" s="2" customFormat="1"/>
    <row r="52534" s="2" customFormat="1"/>
    <row r="52535" s="2" customFormat="1"/>
    <row r="52536" s="2" customFormat="1"/>
    <row r="52537" s="2" customFormat="1"/>
    <row r="52538" s="2" customFormat="1"/>
    <row r="52539" s="2" customFormat="1"/>
    <row r="52540" s="2" customFormat="1"/>
    <row r="52541" s="2" customFormat="1"/>
    <row r="52542" s="2" customFormat="1"/>
    <row r="52543" s="2" customFormat="1"/>
    <row r="52544" s="2" customFormat="1"/>
    <row r="52545" s="2" customFormat="1"/>
    <row r="52546" s="2" customFormat="1"/>
    <row r="52547" s="2" customFormat="1"/>
    <row r="52548" s="2" customFormat="1"/>
    <row r="52549" s="2" customFormat="1"/>
    <row r="52550" s="2" customFormat="1"/>
    <row r="52551" s="2" customFormat="1"/>
    <row r="52552" s="2" customFormat="1"/>
    <row r="52553" s="2" customFormat="1"/>
    <row r="52554" s="2" customFormat="1"/>
    <row r="52555" s="2" customFormat="1"/>
    <row r="52556" s="2" customFormat="1"/>
    <row r="52557" s="2" customFormat="1"/>
    <row r="52558" s="2" customFormat="1"/>
    <row r="52559" s="2" customFormat="1"/>
    <row r="52560" s="2" customFormat="1"/>
    <row r="52561" s="2" customFormat="1"/>
    <row r="52562" s="2" customFormat="1"/>
    <row r="52563" s="2" customFormat="1"/>
    <row r="52564" s="2" customFormat="1"/>
    <row r="52565" s="2" customFormat="1"/>
    <row r="52566" s="2" customFormat="1"/>
    <row r="52567" s="2" customFormat="1"/>
    <row r="52568" s="2" customFormat="1"/>
    <row r="52569" s="2" customFormat="1"/>
    <row r="52570" s="2" customFormat="1"/>
    <row r="52571" s="2" customFormat="1"/>
    <row r="52572" s="2" customFormat="1"/>
    <row r="52573" s="2" customFormat="1"/>
    <row r="52574" s="2" customFormat="1"/>
    <row r="52575" s="2" customFormat="1"/>
    <row r="52576" s="2" customFormat="1"/>
    <row r="52577" s="2" customFormat="1"/>
    <row r="52578" s="2" customFormat="1"/>
    <row r="52579" s="2" customFormat="1"/>
    <row r="52580" s="2" customFormat="1"/>
    <row r="52581" s="2" customFormat="1"/>
    <row r="52582" s="2" customFormat="1"/>
    <row r="52583" s="2" customFormat="1"/>
    <row r="52584" s="2" customFormat="1"/>
    <row r="52585" s="2" customFormat="1"/>
    <row r="52586" s="2" customFormat="1"/>
    <row r="52587" s="2" customFormat="1"/>
    <row r="52588" s="2" customFormat="1"/>
    <row r="52589" s="2" customFormat="1"/>
    <row r="52590" s="2" customFormat="1"/>
    <row r="52591" s="2" customFormat="1"/>
    <row r="52592" s="2" customFormat="1"/>
    <row r="52593" s="2" customFormat="1"/>
    <row r="52594" s="2" customFormat="1"/>
    <row r="52595" s="2" customFormat="1"/>
    <row r="52596" s="2" customFormat="1"/>
    <row r="52597" s="2" customFormat="1"/>
    <row r="52598" s="2" customFormat="1"/>
    <row r="52599" s="2" customFormat="1"/>
    <row r="52600" s="2" customFormat="1"/>
    <row r="52601" s="2" customFormat="1"/>
    <row r="52602" s="2" customFormat="1"/>
    <row r="52603" s="2" customFormat="1"/>
    <row r="52604" s="2" customFormat="1"/>
    <row r="52605" s="2" customFormat="1"/>
    <row r="52606" s="2" customFormat="1"/>
    <row r="52607" s="2" customFormat="1"/>
    <row r="52608" s="2" customFormat="1"/>
    <row r="52609" s="2" customFormat="1"/>
    <row r="52610" s="2" customFormat="1"/>
    <row r="52611" s="2" customFormat="1"/>
    <row r="52612" s="2" customFormat="1"/>
    <row r="52613" s="2" customFormat="1"/>
    <row r="52614" s="2" customFormat="1"/>
    <row r="52615" s="2" customFormat="1"/>
    <row r="52616" s="2" customFormat="1"/>
    <row r="52617" s="2" customFormat="1"/>
    <row r="52618" s="2" customFormat="1"/>
    <row r="52619" s="2" customFormat="1"/>
    <row r="52620" s="2" customFormat="1"/>
    <row r="52621" s="2" customFormat="1"/>
    <row r="52622" s="2" customFormat="1"/>
    <row r="52623" s="2" customFormat="1"/>
    <row r="52624" s="2" customFormat="1"/>
    <row r="52625" s="2" customFormat="1"/>
    <row r="52626" s="2" customFormat="1"/>
    <row r="52627" s="2" customFormat="1"/>
    <row r="52628" s="2" customFormat="1"/>
    <row r="52629" s="2" customFormat="1"/>
    <row r="52630" s="2" customFormat="1"/>
    <row r="52631" s="2" customFormat="1"/>
    <row r="52632" s="2" customFormat="1"/>
    <row r="52633" s="2" customFormat="1"/>
    <row r="52634" s="2" customFormat="1"/>
    <row r="52635" s="2" customFormat="1"/>
    <row r="52636" s="2" customFormat="1"/>
    <row r="52637" s="2" customFormat="1"/>
    <row r="52638" s="2" customFormat="1"/>
    <row r="52639" s="2" customFormat="1"/>
    <row r="52640" s="2" customFormat="1"/>
    <row r="52641" s="2" customFormat="1"/>
    <row r="52642" s="2" customFormat="1"/>
    <row r="52643" s="2" customFormat="1"/>
    <row r="52644" s="2" customFormat="1"/>
    <row r="52645" s="2" customFormat="1"/>
    <row r="52646" s="2" customFormat="1"/>
    <row r="52647" s="2" customFormat="1"/>
    <row r="52648" s="2" customFormat="1"/>
    <row r="52649" s="2" customFormat="1"/>
    <row r="52650" s="2" customFormat="1"/>
    <row r="52651" s="2" customFormat="1"/>
    <row r="52652" s="2" customFormat="1"/>
    <row r="52653" s="2" customFormat="1"/>
    <row r="52654" s="2" customFormat="1"/>
    <row r="52655" s="2" customFormat="1"/>
    <row r="52656" s="2" customFormat="1"/>
    <row r="52657" s="2" customFormat="1"/>
    <row r="52658" s="2" customFormat="1"/>
    <row r="52659" s="2" customFormat="1"/>
    <row r="52660" s="2" customFormat="1"/>
    <row r="52661" s="2" customFormat="1"/>
    <row r="52662" s="2" customFormat="1"/>
    <row r="52663" s="2" customFormat="1"/>
    <row r="52664" s="2" customFormat="1"/>
    <row r="52665" s="2" customFormat="1"/>
    <row r="52666" s="2" customFormat="1"/>
    <row r="52667" s="2" customFormat="1"/>
    <row r="52668" s="2" customFormat="1"/>
    <row r="52669" s="2" customFormat="1"/>
    <row r="52670" s="2" customFormat="1"/>
    <row r="52671" s="2" customFormat="1"/>
    <row r="52672" s="2" customFormat="1"/>
    <row r="52673" s="2" customFormat="1"/>
    <row r="52674" s="2" customFormat="1"/>
    <row r="52675" s="2" customFormat="1"/>
    <row r="52676" s="2" customFormat="1"/>
    <row r="52677" s="2" customFormat="1"/>
    <row r="52678" s="2" customFormat="1"/>
    <row r="52679" s="2" customFormat="1"/>
    <row r="52680" s="2" customFormat="1"/>
    <row r="52681" s="2" customFormat="1"/>
    <row r="52682" s="2" customFormat="1"/>
    <row r="52683" s="2" customFormat="1"/>
    <row r="52684" s="2" customFormat="1"/>
    <row r="52685" s="2" customFormat="1"/>
    <row r="52686" s="2" customFormat="1"/>
    <row r="52687" s="2" customFormat="1"/>
    <row r="52688" s="2" customFormat="1"/>
    <row r="52689" s="2" customFormat="1"/>
    <row r="52690" s="2" customFormat="1"/>
    <row r="52691" s="2" customFormat="1"/>
    <row r="52692" s="2" customFormat="1"/>
    <row r="52693" s="2" customFormat="1"/>
    <row r="52694" s="2" customFormat="1"/>
    <row r="52695" s="2" customFormat="1"/>
    <row r="52696" s="2" customFormat="1"/>
    <row r="52697" s="2" customFormat="1"/>
    <row r="52698" s="2" customFormat="1"/>
    <row r="52699" s="2" customFormat="1"/>
    <row r="52700" s="2" customFormat="1"/>
    <row r="52701" s="2" customFormat="1"/>
    <row r="52702" s="2" customFormat="1"/>
    <row r="52703" s="2" customFormat="1"/>
    <row r="52704" s="2" customFormat="1"/>
    <row r="52705" s="2" customFormat="1"/>
    <row r="52706" s="2" customFormat="1"/>
    <row r="52707" s="2" customFormat="1"/>
    <row r="52708" s="2" customFormat="1"/>
    <row r="52709" s="2" customFormat="1"/>
    <row r="52710" s="2" customFormat="1"/>
    <row r="52711" s="2" customFormat="1"/>
    <row r="52712" s="2" customFormat="1"/>
    <row r="52713" s="2" customFormat="1"/>
    <row r="52714" s="2" customFormat="1"/>
    <row r="52715" s="2" customFormat="1"/>
    <row r="52716" s="2" customFormat="1"/>
    <row r="52717" s="2" customFormat="1"/>
    <row r="52718" s="2" customFormat="1"/>
    <row r="52719" s="2" customFormat="1"/>
    <row r="52720" s="2" customFormat="1"/>
    <row r="52721" s="2" customFormat="1"/>
    <row r="52722" s="2" customFormat="1"/>
    <row r="52723" s="2" customFormat="1"/>
    <row r="52724" s="2" customFormat="1"/>
    <row r="52725" s="2" customFormat="1"/>
    <row r="52726" s="2" customFormat="1"/>
    <row r="52727" s="2" customFormat="1"/>
    <row r="52728" s="2" customFormat="1"/>
    <row r="52729" s="2" customFormat="1"/>
    <row r="52730" s="2" customFormat="1"/>
    <row r="52731" s="2" customFormat="1"/>
    <row r="52732" s="2" customFormat="1"/>
    <row r="52733" s="2" customFormat="1"/>
    <row r="52734" s="2" customFormat="1"/>
    <row r="52735" s="2" customFormat="1"/>
    <row r="52736" s="2" customFormat="1"/>
    <row r="52737" s="2" customFormat="1"/>
    <row r="52738" s="2" customFormat="1"/>
    <row r="52739" s="2" customFormat="1"/>
    <row r="52740" s="2" customFormat="1"/>
    <row r="52741" s="2" customFormat="1"/>
    <row r="52742" s="2" customFormat="1"/>
    <row r="52743" s="2" customFormat="1"/>
    <row r="52744" s="2" customFormat="1"/>
    <row r="52745" s="2" customFormat="1"/>
    <row r="52746" s="2" customFormat="1"/>
    <row r="52747" s="2" customFormat="1"/>
    <row r="52748" s="2" customFormat="1"/>
    <row r="52749" s="2" customFormat="1"/>
    <row r="52750" s="2" customFormat="1"/>
    <row r="52751" s="2" customFormat="1"/>
    <row r="52752" s="2" customFormat="1"/>
    <row r="52753" s="2" customFormat="1"/>
    <row r="52754" s="2" customFormat="1"/>
    <row r="52755" s="2" customFormat="1"/>
    <row r="52756" s="2" customFormat="1"/>
    <row r="52757" s="2" customFormat="1"/>
    <row r="52758" s="2" customFormat="1"/>
    <row r="52759" s="2" customFormat="1"/>
    <row r="52760" s="2" customFormat="1"/>
    <row r="52761" s="2" customFormat="1"/>
    <row r="52762" s="2" customFormat="1"/>
    <row r="52763" s="2" customFormat="1"/>
    <row r="52764" s="2" customFormat="1"/>
    <row r="52765" s="2" customFormat="1"/>
    <row r="52766" s="2" customFormat="1"/>
    <row r="52767" s="2" customFormat="1"/>
    <row r="52768" s="2" customFormat="1"/>
    <row r="52769" s="2" customFormat="1"/>
    <row r="52770" s="2" customFormat="1"/>
    <row r="52771" s="2" customFormat="1"/>
    <row r="52772" s="2" customFormat="1"/>
    <row r="52773" s="2" customFormat="1"/>
    <row r="52774" s="2" customFormat="1"/>
    <row r="52775" s="2" customFormat="1"/>
    <row r="52776" s="2" customFormat="1"/>
    <row r="52777" s="2" customFormat="1"/>
    <row r="52778" s="2" customFormat="1"/>
    <row r="52779" s="2" customFormat="1"/>
    <row r="52780" s="2" customFormat="1"/>
    <row r="52781" s="2" customFormat="1"/>
    <row r="52782" s="2" customFormat="1"/>
    <row r="52783" s="2" customFormat="1"/>
    <row r="52784" s="2" customFormat="1"/>
    <row r="52785" s="2" customFormat="1"/>
    <row r="52786" s="2" customFormat="1"/>
    <row r="52787" s="2" customFormat="1"/>
    <row r="52788" s="2" customFormat="1"/>
    <row r="52789" s="2" customFormat="1"/>
    <row r="52790" s="2" customFormat="1"/>
    <row r="52791" s="2" customFormat="1"/>
    <row r="52792" s="2" customFormat="1"/>
    <row r="52793" s="2" customFormat="1"/>
    <row r="52794" s="2" customFormat="1"/>
    <row r="52795" s="2" customFormat="1"/>
    <row r="52796" s="2" customFormat="1"/>
    <row r="52797" s="2" customFormat="1"/>
    <row r="52798" s="2" customFormat="1"/>
    <row r="52799" s="2" customFormat="1"/>
    <row r="52800" s="2" customFormat="1"/>
    <row r="52801" s="2" customFormat="1"/>
    <row r="52802" s="2" customFormat="1"/>
    <row r="52803" s="2" customFormat="1"/>
    <row r="52804" s="2" customFormat="1"/>
    <row r="52805" s="2" customFormat="1"/>
    <row r="52806" s="2" customFormat="1"/>
    <row r="52807" s="2" customFormat="1"/>
    <row r="52808" s="2" customFormat="1"/>
    <row r="52809" s="2" customFormat="1"/>
    <row r="52810" s="2" customFormat="1"/>
    <row r="52811" s="2" customFormat="1"/>
    <row r="52812" s="2" customFormat="1"/>
    <row r="52813" s="2" customFormat="1"/>
    <row r="52814" s="2" customFormat="1"/>
    <row r="52815" s="2" customFormat="1"/>
    <row r="52816" s="2" customFormat="1"/>
    <row r="52817" s="2" customFormat="1"/>
    <row r="52818" s="2" customFormat="1"/>
    <row r="52819" s="2" customFormat="1"/>
    <row r="52820" s="2" customFormat="1"/>
    <row r="52821" s="2" customFormat="1"/>
    <row r="52822" s="2" customFormat="1"/>
    <row r="52823" s="2" customFormat="1"/>
    <row r="52824" s="2" customFormat="1"/>
    <row r="52825" s="2" customFormat="1"/>
    <row r="52826" s="2" customFormat="1"/>
    <row r="52827" s="2" customFormat="1"/>
    <row r="52828" s="2" customFormat="1"/>
    <row r="52829" s="2" customFormat="1"/>
    <row r="52830" s="2" customFormat="1"/>
    <row r="52831" s="2" customFormat="1"/>
    <row r="52832" s="2" customFormat="1"/>
    <row r="52833" s="2" customFormat="1"/>
    <row r="52834" s="2" customFormat="1"/>
    <row r="52835" s="2" customFormat="1"/>
    <row r="52836" s="2" customFormat="1"/>
    <row r="52837" s="2" customFormat="1"/>
    <row r="52838" s="2" customFormat="1"/>
    <row r="52839" s="2" customFormat="1"/>
    <row r="52840" s="2" customFormat="1"/>
    <row r="52841" s="2" customFormat="1"/>
    <row r="52842" s="2" customFormat="1"/>
    <row r="52843" s="2" customFormat="1"/>
    <row r="52844" s="2" customFormat="1"/>
    <row r="52845" s="2" customFormat="1"/>
    <row r="52846" s="2" customFormat="1"/>
    <row r="52847" s="2" customFormat="1"/>
    <row r="52848" s="2" customFormat="1"/>
    <row r="52849" s="2" customFormat="1"/>
    <row r="52850" s="2" customFormat="1"/>
    <row r="52851" s="2" customFormat="1"/>
    <row r="52852" s="2" customFormat="1"/>
    <row r="52853" s="2" customFormat="1"/>
    <row r="52854" s="2" customFormat="1"/>
    <row r="52855" s="2" customFormat="1"/>
    <row r="52856" s="2" customFormat="1"/>
    <row r="52857" s="2" customFormat="1"/>
    <row r="52858" s="2" customFormat="1"/>
    <row r="52859" s="2" customFormat="1"/>
    <row r="52860" s="2" customFormat="1"/>
    <row r="52861" s="2" customFormat="1"/>
    <row r="52862" s="2" customFormat="1"/>
    <row r="52863" s="2" customFormat="1"/>
    <row r="52864" s="2" customFormat="1"/>
    <row r="52865" s="2" customFormat="1"/>
    <row r="52866" s="2" customFormat="1"/>
    <row r="52867" s="2" customFormat="1"/>
    <row r="52868" s="2" customFormat="1"/>
    <row r="52869" s="2" customFormat="1"/>
    <row r="52870" s="2" customFormat="1"/>
    <row r="52871" s="2" customFormat="1"/>
    <row r="52872" s="2" customFormat="1"/>
    <row r="52873" s="2" customFormat="1"/>
    <row r="52874" s="2" customFormat="1"/>
    <row r="52875" s="2" customFormat="1"/>
    <row r="52876" s="2" customFormat="1"/>
    <row r="52877" s="2" customFormat="1"/>
    <row r="52878" s="2" customFormat="1"/>
    <row r="52879" s="2" customFormat="1"/>
    <row r="52880" s="2" customFormat="1"/>
    <row r="52881" s="2" customFormat="1"/>
    <row r="52882" s="2" customFormat="1"/>
    <row r="52883" s="2" customFormat="1"/>
    <row r="52884" s="2" customFormat="1"/>
    <row r="52885" s="2" customFormat="1"/>
    <row r="52886" s="2" customFormat="1"/>
    <row r="52887" s="2" customFormat="1"/>
    <row r="52888" s="2" customFormat="1"/>
    <row r="52889" s="2" customFormat="1"/>
    <row r="52890" s="2" customFormat="1"/>
    <row r="52891" s="2" customFormat="1"/>
    <row r="52892" s="2" customFormat="1"/>
    <row r="52893" s="2" customFormat="1"/>
    <row r="52894" s="2" customFormat="1"/>
    <row r="52895" s="2" customFormat="1"/>
    <row r="52896" s="2" customFormat="1"/>
    <row r="52897" s="2" customFormat="1"/>
    <row r="52898" s="2" customFormat="1"/>
    <row r="52899" s="2" customFormat="1"/>
    <row r="52900" s="2" customFormat="1"/>
    <row r="52901" s="2" customFormat="1"/>
    <row r="52902" s="2" customFormat="1"/>
    <row r="52903" s="2" customFormat="1"/>
    <row r="52904" s="2" customFormat="1"/>
    <row r="52905" s="2" customFormat="1"/>
    <row r="52906" s="2" customFormat="1"/>
    <row r="52907" s="2" customFormat="1"/>
    <row r="52908" s="2" customFormat="1"/>
    <row r="52909" s="2" customFormat="1"/>
    <row r="52910" s="2" customFormat="1"/>
    <row r="52911" s="2" customFormat="1"/>
    <row r="52912" s="2" customFormat="1"/>
    <row r="52913" s="2" customFormat="1"/>
    <row r="52914" s="2" customFormat="1"/>
    <row r="52915" s="2" customFormat="1"/>
    <row r="52916" s="2" customFormat="1"/>
    <row r="52917" s="2" customFormat="1"/>
    <row r="52918" s="2" customFormat="1"/>
    <row r="52919" s="2" customFormat="1"/>
    <row r="52920" s="2" customFormat="1"/>
    <row r="52921" s="2" customFormat="1"/>
    <row r="52922" s="2" customFormat="1"/>
    <row r="52923" s="2" customFormat="1"/>
    <row r="52924" s="2" customFormat="1"/>
    <row r="52925" s="2" customFormat="1"/>
    <row r="52926" s="2" customFormat="1"/>
    <row r="52927" s="2" customFormat="1"/>
    <row r="52928" s="2" customFormat="1"/>
    <row r="52929" s="2" customFormat="1"/>
    <row r="52930" s="2" customFormat="1"/>
    <row r="52931" s="2" customFormat="1"/>
    <row r="52932" s="2" customFormat="1"/>
    <row r="52933" s="2" customFormat="1"/>
    <row r="52934" s="2" customFormat="1"/>
    <row r="52935" s="2" customFormat="1"/>
    <row r="52936" s="2" customFormat="1"/>
    <row r="52937" s="2" customFormat="1"/>
    <row r="52938" s="2" customFormat="1"/>
    <row r="52939" s="2" customFormat="1"/>
    <row r="52940" s="2" customFormat="1"/>
    <row r="52941" s="2" customFormat="1"/>
    <row r="52942" s="2" customFormat="1"/>
    <row r="52943" s="2" customFormat="1"/>
    <row r="52944" s="2" customFormat="1"/>
    <row r="52945" s="2" customFormat="1"/>
    <row r="52946" s="2" customFormat="1"/>
    <row r="52947" s="2" customFormat="1"/>
    <row r="52948" s="2" customFormat="1"/>
    <row r="52949" s="2" customFormat="1"/>
    <row r="52950" s="2" customFormat="1"/>
    <row r="52951" s="2" customFormat="1"/>
    <row r="52952" s="2" customFormat="1"/>
    <row r="52953" s="2" customFormat="1"/>
    <row r="52954" s="2" customFormat="1"/>
    <row r="52955" s="2" customFormat="1"/>
    <row r="52956" s="2" customFormat="1"/>
    <row r="52957" s="2" customFormat="1"/>
    <row r="52958" s="2" customFormat="1"/>
    <row r="52959" s="2" customFormat="1"/>
    <row r="52960" s="2" customFormat="1"/>
    <row r="52961" s="2" customFormat="1"/>
    <row r="52962" s="2" customFormat="1"/>
    <row r="52963" s="2" customFormat="1"/>
    <row r="52964" s="2" customFormat="1"/>
    <row r="52965" s="2" customFormat="1"/>
    <row r="52966" s="2" customFormat="1"/>
    <row r="52967" s="2" customFormat="1"/>
    <row r="52968" s="2" customFormat="1"/>
    <row r="52969" s="2" customFormat="1"/>
    <row r="52970" s="2" customFormat="1"/>
    <row r="52971" s="2" customFormat="1"/>
    <row r="52972" s="2" customFormat="1"/>
    <row r="52973" s="2" customFormat="1"/>
    <row r="52974" s="2" customFormat="1"/>
    <row r="52975" s="2" customFormat="1"/>
    <row r="52976" s="2" customFormat="1"/>
    <row r="52977" s="2" customFormat="1"/>
    <row r="52978" s="2" customFormat="1"/>
    <row r="52979" s="2" customFormat="1"/>
    <row r="52980" s="2" customFormat="1"/>
    <row r="52981" s="2" customFormat="1"/>
    <row r="52982" s="2" customFormat="1"/>
    <row r="52983" s="2" customFormat="1"/>
    <row r="52984" s="2" customFormat="1"/>
    <row r="52985" s="2" customFormat="1"/>
    <row r="52986" s="2" customFormat="1"/>
    <row r="52987" s="2" customFormat="1"/>
    <row r="52988" s="2" customFormat="1"/>
    <row r="52989" s="2" customFormat="1"/>
    <row r="52990" s="2" customFormat="1"/>
    <row r="52991" s="2" customFormat="1"/>
    <row r="52992" s="2" customFormat="1"/>
    <row r="52993" s="2" customFormat="1"/>
    <row r="52994" s="2" customFormat="1"/>
    <row r="52995" s="2" customFormat="1"/>
    <row r="52996" s="2" customFormat="1"/>
    <row r="52997" s="2" customFormat="1"/>
    <row r="52998" s="2" customFormat="1"/>
    <row r="52999" s="2" customFormat="1"/>
    <row r="53000" s="2" customFormat="1"/>
    <row r="53001" s="2" customFormat="1"/>
    <row r="53002" s="2" customFormat="1"/>
    <row r="53003" s="2" customFormat="1"/>
    <row r="53004" s="2" customFormat="1"/>
    <row r="53005" s="2" customFormat="1"/>
    <row r="53006" s="2" customFormat="1"/>
    <row r="53007" s="2" customFormat="1"/>
    <row r="53008" s="2" customFormat="1"/>
    <row r="53009" s="2" customFormat="1"/>
    <row r="53010" s="2" customFormat="1"/>
    <row r="53011" s="2" customFormat="1"/>
    <row r="53012" s="2" customFormat="1"/>
    <row r="53013" s="2" customFormat="1"/>
    <row r="53014" s="2" customFormat="1"/>
    <row r="53015" s="2" customFormat="1"/>
    <row r="53016" s="2" customFormat="1"/>
    <row r="53017" s="2" customFormat="1"/>
    <row r="53018" s="2" customFormat="1"/>
    <row r="53019" s="2" customFormat="1"/>
    <row r="53020" s="2" customFormat="1"/>
    <row r="53021" s="2" customFormat="1"/>
    <row r="53022" s="2" customFormat="1"/>
    <row r="53023" s="2" customFormat="1"/>
    <row r="53024" s="2" customFormat="1"/>
    <row r="53025" s="2" customFormat="1"/>
    <row r="53026" s="2" customFormat="1"/>
    <row r="53027" s="2" customFormat="1"/>
    <row r="53028" s="2" customFormat="1"/>
    <row r="53029" s="2" customFormat="1"/>
    <row r="53030" s="2" customFormat="1"/>
    <row r="53031" s="2" customFormat="1"/>
    <row r="53032" s="2" customFormat="1"/>
    <row r="53033" s="2" customFormat="1"/>
    <row r="53034" s="2" customFormat="1"/>
    <row r="53035" s="2" customFormat="1"/>
    <row r="53036" s="2" customFormat="1"/>
    <row r="53037" s="2" customFormat="1"/>
    <row r="53038" s="2" customFormat="1"/>
    <row r="53039" s="2" customFormat="1"/>
    <row r="53040" s="2" customFormat="1"/>
    <row r="53041" s="2" customFormat="1"/>
    <row r="53042" s="2" customFormat="1"/>
    <row r="53043" s="2" customFormat="1"/>
    <row r="53044" s="2" customFormat="1"/>
    <row r="53045" s="2" customFormat="1"/>
    <row r="53046" s="2" customFormat="1"/>
    <row r="53047" s="2" customFormat="1"/>
    <row r="53048" s="2" customFormat="1"/>
    <row r="53049" s="2" customFormat="1"/>
    <row r="53050" s="2" customFormat="1"/>
    <row r="53051" s="2" customFormat="1"/>
    <row r="53052" s="2" customFormat="1"/>
    <row r="53053" s="2" customFormat="1"/>
    <row r="53054" s="2" customFormat="1"/>
    <row r="53055" s="2" customFormat="1"/>
    <row r="53056" s="2" customFormat="1"/>
    <row r="53057" s="2" customFormat="1"/>
    <row r="53058" s="2" customFormat="1"/>
    <row r="53059" s="2" customFormat="1"/>
    <row r="53060" s="2" customFormat="1"/>
    <row r="53061" s="2" customFormat="1"/>
    <row r="53062" s="2" customFormat="1"/>
    <row r="53063" s="2" customFormat="1"/>
    <row r="53064" s="2" customFormat="1"/>
    <row r="53065" s="2" customFormat="1"/>
    <row r="53066" s="2" customFormat="1"/>
    <row r="53067" s="2" customFormat="1"/>
    <row r="53068" s="2" customFormat="1"/>
    <row r="53069" s="2" customFormat="1"/>
    <row r="53070" s="2" customFormat="1"/>
    <row r="53071" s="2" customFormat="1"/>
    <row r="53072" s="2" customFormat="1"/>
    <row r="53073" s="2" customFormat="1"/>
    <row r="53074" s="2" customFormat="1"/>
    <row r="53075" s="2" customFormat="1"/>
    <row r="53076" s="2" customFormat="1"/>
    <row r="53077" s="2" customFormat="1"/>
    <row r="53078" s="2" customFormat="1"/>
    <row r="53079" s="2" customFormat="1"/>
    <row r="53080" s="2" customFormat="1"/>
    <row r="53081" s="2" customFormat="1"/>
    <row r="53082" s="2" customFormat="1"/>
    <row r="53083" s="2" customFormat="1"/>
    <row r="53084" s="2" customFormat="1"/>
    <row r="53085" s="2" customFormat="1"/>
    <row r="53086" s="2" customFormat="1"/>
    <row r="53087" s="2" customFormat="1"/>
    <row r="53088" s="2" customFormat="1"/>
    <row r="53089" s="2" customFormat="1"/>
    <row r="53090" s="2" customFormat="1"/>
    <row r="53091" s="2" customFormat="1"/>
    <row r="53092" s="2" customFormat="1"/>
    <row r="53093" s="2" customFormat="1"/>
    <row r="53094" s="2" customFormat="1"/>
    <row r="53095" s="2" customFormat="1"/>
    <row r="53096" s="2" customFormat="1"/>
    <row r="53097" s="2" customFormat="1"/>
    <row r="53098" s="2" customFormat="1"/>
    <row r="53099" s="2" customFormat="1"/>
    <row r="53100" s="2" customFormat="1"/>
    <row r="53101" s="2" customFormat="1"/>
    <row r="53102" s="2" customFormat="1"/>
    <row r="53103" s="2" customFormat="1"/>
    <row r="53104" s="2" customFormat="1"/>
    <row r="53105" s="2" customFormat="1"/>
    <row r="53106" s="2" customFormat="1"/>
    <row r="53107" s="2" customFormat="1"/>
    <row r="53108" s="2" customFormat="1"/>
    <row r="53109" s="2" customFormat="1"/>
    <row r="53110" s="2" customFormat="1"/>
    <row r="53111" s="2" customFormat="1"/>
    <row r="53112" s="2" customFormat="1"/>
    <row r="53113" s="2" customFormat="1"/>
    <row r="53114" s="2" customFormat="1"/>
    <row r="53115" s="2" customFormat="1"/>
    <row r="53116" s="2" customFormat="1"/>
    <row r="53117" s="2" customFormat="1"/>
    <row r="53118" s="2" customFormat="1"/>
    <row r="53119" s="2" customFormat="1"/>
    <row r="53120" s="2" customFormat="1"/>
    <row r="53121" s="2" customFormat="1"/>
    <row r="53122" s="2" customFormat="1"/>
    <row r="53123" s="2" customFormat="1"/>
    <row r="53124" s="2" customFormat="1"/>
    <row r="53125" s="2" customFormat="1"/>
    <row r="53126" s="2" customFormat="1"/>
    <row r="53127" s="2" customFormat="1"/>
    <row r="53128" s="2" customFormat="1"/>
    <row r="53129" s="2" customFormat="1"/>
    <row r="53130" s="2" customFormat="1"/>
    <row r="53131" s="2" customFormat="1"/>
    <row r="53132" s="2" customFormat="1"/>
    <row r="53133" s="2" customFormat="1"/>
    <row r="53134" s="2" customFormat="1"/>
    <row r="53135" s="2" customFormat="1"/>
    <row r="53136" s="2" customFormat="1"/>
    <row r="53137" s="2" customFormat="1"/>
    <row r="53138" s="2" customFormat="1"/>
    <row r="53139" s="2" customFormat="1"/>
    <row r="53140" s="2" customFormat="1"/>
    <row r="53141" s="2" customFormat="1"/>
    <row r="53142" s="2" customFormat="1"/>
    <row r="53143" s="2" customFormat="1"/>
    <row r="53144" s="2" customFormat="1"/>
    <row r="53145" s="2" customFormat="1"/>
    <row r="53146" s="2" customFormat="1"/>
    <row r="53147" s="2" customFormat="1"/>
    <row r="53148" s="2" customFormat="1"/>
    <row r="53149" s="2" customFormat="1"/>
    <row r="53150" s="2" customFormat="1"/>
    <row r="53151" s="2" customFormat="1"/>
    <row r="53152" s="2" customFormat="1"/>
    <row r="53153" s="2" customFormat="1"/>
    <row r="53154" s="2" customFormat="1"/>
    <row r="53155" s="2" customFormat="1"/>
    <row r="53156" s="2" customFormat="1"/>
    <row r="53157" s="2" customFormat="1"/>
    <row r="53158" s="2" customFormat="1"/>
    <row r="53159" s="2" customFormat="1"/>
    <row r="53160" s="2" customFormat="1"/>
    <row r="53161" s="2" customFormat="1"/>
    <row r="53162" s="2" customFormat="1"/>
    <row r="53163" s="2" customFormat="1"/>
    <row r="53164" s="2" customFormat="1"/>
    <row r="53165" s="2" customFormat="1"/>
    <row r="53166" s="2" customFormat="1"/>
    <row r="53167" s="2" customFormat="1"/>
    <row r="53168" s="2" customFormat="1"/>
    <row r="53169" s="2" customFormat="1"/>
    <row r="53170" s="2" customFormat="1"/>
    <row r="53171" s="2" customFormat="1"/>
    <row r="53172" s="2" customFormat="1"/>
    <row r="53173" s="2" customFormat="1"/>
    <row r="53174" s="2" customFormat="1"/>
    <row r="53175" s="2" customFormat="1"/>
    <row r="53176" s="2" customFormat="1"/>
    <row r="53177" s="2" customFormat="1"/>
    <row r="53178" s="2" customFormat="1"/>
    <row r="53179" s="2" customFormat="1"/>
    <row r="53180" s="2" customFormat="1"/>
    <row r="53181" s="2" customFormat="1"/>
    <row r="53182" s="2" customFormat="1"/>
    <row r="53183" s="2" customFormat="1"/>
    <row r="53184" s="2" customFormat="1"/>
    <row r="53185" s="2" customFormat="1"/>
    <row r="53186" s="2" customFormat="1"/>
    <row r="53187" s="2" customFormat="1"/>
    <row r="53188" s="2" customFormat="1"/>
    <row r="53189" s="2" customFormat="1"/>
    <row r="53190" s="2" customFormat="1"/>
    <row r="53191" s="2" customFormat="1"/>
    <row r="53192" s="2" customFormat="1"/>
    <row r="53193" s="2" customFormat="1"/>
    <row r="53194" s="2" customFormat="1"/>
    <row r="53195" s="2" customFormat="1"/>
    <row r="53196" s="2" customFormat="1"/>
    <row r="53197" s="2" customFormat="1"/>
    <row r="53198" s="2" customFormat="1"/>
    <row r="53199" s="2" customFormat="1"/>
    <row r="53200" s="2" customFormat="1"/>
    <row r="53201" s="2" customFormat="1"/>
    <row r="53202" s="2" customFormat="1"/>
    <row r="53203" s="2" customFormat="1"/>
    <row r="53204" s="2" customFormat="1"/>
    <row r="53205" s="2" customFormat="1"/>
    <row r="53206" s="2" customFormat="1"/>
    <row r="53207" s="2" customFormat="1"/>
    <row r="53208" s="2" customFormat="1"/>
    <row r="53209" s="2" customFormat="1"/>
    <row r="53210" s="2" customFormat="1"/>
    <row r="53211" s="2" customFormat="1"/>
    <row r="53212" s="2" customFormat="1"/>
    <row r="53213" s="2" customFormat="1"/>
    <row r="53214" s="2" customFormat="1"/>
    <row r="53215" s="2" customFormat="1"/>
    <row r="53216" s="2" customFormat="1"/>
    <row r="53217" s="2" customFormat="1"/>
    <row r="53218" s="2" customFormat="1"/>
    <row r="53219" s="2" customFormat="1"/>
    <row r="53220" s="2" customFormat="1"/>
    <row r="53221" s="2" customFormat="1"/>
    <row r="53222" s="2" customFormat="1"/>
    <row r="53223" s="2" customFormat="1"/>
    <row r="53224" s="2" customFormat="1"/>
    <row r="53225" s="2" customFormat="1"/>
    <row r="53226" s="2" customFormat="1"/>
    <row r="53227" s="2" customFormat="1"/>
    <row r="53228" s="2" customFormat="1"/>
    <row r="53229" s="2" customFormat="1"/>
    <row r="53230" s="2" customFormat="1"/>
    <row r="53231" s="2" customFormat="1"/>
    <row r="53232" s="2" customFormat="1"/>
    <row r="53233" s="2" customFormat="1"/>
    <row r="53234" s="2" customFormat="1"/>
    <row r="53235" s="2" customFormat="1"/>
    <row r="53236" s="2" customFormat="1"/>
    <row r="53237" s="2" customFormat="1"/>
    <row r="53238" s="2" customFormat="1"/>
    <row r="53239" s="2" customFormat="1"/>
    <row r="53240" s="2" customFormat="1"/>
    <row r="53241" s="2" customFormat="1"/>
    <row r="53242" s="2" customFormat="1"/>
    <row r="53243" s="2" customFormat="1"/>
    <row r="53244" s="2" customFormat="1"/>
    <row r="53245" s="2" customFormat="1"/>
    <row r="53246" s="2" customFormat="1"/>
    <row r="53247" s="2" customFormat="1"/>
    <row r="53248" s="2" customFormat="1"/>
    <row r="53249" s="2" customFormat="1"/>
    <row r="53250" s="2" customFormat="1"/>
    <row r="53251" s="2" customFormat="1"/>
    <row r="53252" s="2" customFormat="1"/>
    <row r="53253" s="2" customFormat="1"/>
    <row r="53254" s="2" customFormat="1"/>
    <row r="53255" s="2" customFormat="1"/>
    <row r="53256" s="2" customFormat="1"/>
    <row r="53257" s="2" customFormat="1"/>
    <row r="53258" s="2" customFormat="1"/>
    <row r="53259" s="2" customFormat="1"/>
    <row r="53260" s="2" customFormat="1"/>
    <row r="53261" s="2" customFormat="1"/>
    <row r="53262" s="2" customFormat="1"/>
    <row r="53263" s="2" customFormat="1"/>
    <row r="53264" s="2" customFormat="1"/>
    <row r="53265" s="2" customFormat="1"/>
    <row r="53266" s="2" customFormat="1"/>
    <row r="53267" s="2" customFormat="1"/>
    <row r="53268" s="2" customFormat="1"/>
    <row r="53269" s="2" customFormat="1"/>
    <row r="53270" s="2" customFormat="1"/>
    <row r="53271" s="2" customFormat="1"/>
    <row r="53272" s="2" customFormat="1"/>
    <row r="53273" s="2" customFormat="1"/>
    <row r="53274" s="2" customFormat="1"/>
    <row r="53275" s="2" customFormat="1"/>
    <row r="53276" s="2" customFormat="1"/>
    <row r="53277" s="2" customFormat="1"/>
    <row r="53278" s="2" customFormat="1"/>
    <row r="53279" s="2" customFormat="1"/>
    <row r="53280" s="2" customFormat="1"/>
    <row r="53281" s="2" customFormat="1"/>
    <row r="53282" s="2" customFormat="1"/>
    <row r="53283" s="2" customFormat="1"/>
    <row r="53284" s="2" customFormat="1"/>
    <row r="53285" s="2" customFormat="1"/>
    <row r="53286" s="2" customFormat="1"/>
    <row r="53287" s="2" customFormat="1"/>
    <row r="53288" s="2" customFormat="1"/>
    <row r="53289" s="2" customFormat="1"/>
    <row r="53290" s="2" customFormat="1"/>
    <row r="53291" s="2" customFormat="1"/>
    <row r="53292" s="2" customFormat="1"/>
    <row r="53293" s="2" customFormat="1"/>
    <row r="53294" s="2" customFormat="1"/>
    <row r="53295" s="2" customFormat="1"/>
    <row r="53296" s="2" customFormat="1"/>
    <row r="53297" s="2" customFormat="1"/>
    <row r="53298" s="2" customFormat="1"/>
    <row r="53299" s="2" customFormat="1"/>
    <row r="53300" s="2" customFormat="1"/>
    <row r="53301" s="2" customFormat="1"/>
    <row r="53302" s="2" customFormat="1"/>
    <row r="53303" s="2" customFormat="1"/>
    <row r="53304" s="2" customFormat="1"/>
    <row r="53305" s="2" customFormat="1"/>
    <row r="53306" s="2" customFormat="1"/>
    <row r="53307" s="2" customFormat="1"/>
    <row r="53308" s="2" customFormat="1"/>
    <row r="53309" s="2" customFormat="1"/>
    <row r="53310" s="2" customFormat="1"/>
    <row r="53311" s="2" customFormat="1"/>
    <row r="53312" s="2" customFormat="1"/>
    <row r="53313" s="2" customFormat="1"/>
    <row r="53314" s="2" customFormat="1"/>
    <row r="53315" s="2" customFormat="1"/>
    <row r="53316" s="2" customFormat="1"/>
    <row r="53317" s="2" customFormat="1"/>
    <row r="53318" s="2" customFormat="1"/>
    <row r="53319" s="2" customFormat="1"/>
    <row r="53320" s="2" customFormat="1"/>
    <row r="53321" s="2" customFormat="1"/>
    <row r="53322" s="2" customFormat="1"/>
    <row r="53323" s="2" customFormat="1"/>
    <row r="53324" s="2" customFormat="1"/>
    <row r="53325" s="2" customFormat="1"/>
    <row r="53326" s="2" customFormat="1"/>
    <row r="53327" s="2" customFormat="1"/>
    <row r="53328" s="2" customFormat="1"/>
    <row r="53329" s="2" customFormat="1"/>
    <row r="53330" s="2" customFormat="1"/>
    <row r="53331" s="2" customFormat="1"/>
    <row r="53332" s="2" customFormat="1"/>
    <row r="53333" s="2" customFormat="1"/>
    <row r="53334" s="2" customFormat="1"/>
    <row r="53335" s="2" customFormat="1"/>
    <row r="53336" s="2" customFormat="1"/>
    <row r="53337" s="2" customFormat="1"/>
    <row r="53338" s="2" customFormat="1"/>
    <row r="53339" s="2" customFormat="1"/>
    <row r="53340" s="2" customFormat="1"/>
    <row r="53341" s="2" customFormat="1"/>
    <row r="53342" s="2" customFormat="1"/>
    <row r="53343" s="2" customFormat="1"/>
    <row r="53344" s="2" customFormat="1"/>
    <row r="53345" s="2" customFormat="1"/>
    <row r="53346" s="2" customFormat="1"/>
    <row r="53347" s="2" customFormat="1"/>
    <row r="53348" s="2" customFormat="1"/>
    <row r="53349" s="2" customFormat="1"/>
    <row r="53350" s="2" customFormat="1"/>
    <row r="53351" s="2" customFormat="1"/>
    <row r="53352" s="2" customFormat="1"/>
    <row r="53353" s="2" customFormat="1"/>
    <row r="53354" s="2" customFormat="1"/>
    <row r="53355" s="2" customFormat="1"/>
    <row r="53356" s="2" customFormat="1"/>
    <row r="53357" s="2" customFormat="1"/>
    <row r="53358" s="2" customFormat="1"/>
    <row r="53359" s="2" customFormat="1"/>
    <row r="53360" s="2" customFormat="1"/>
    <row r="53361" s="2" customFormat="1"/>
    <row r="53362" s="2" customFormat="1"/>
    <row r="53363" s="2" customFormat="1"/>
    <row r="53364" s="2" customFormat="1"/>
    <row r="53365" s="2" customFormat="1"/>
    <row r="53366" s="2" customFormat="1"/>
    <row r="53367" s="2" customFormat="1"/>
    <row r="53368" s="2" customFormat="1"/>
    <row r="53369" s="2" customFormat="1"/>
    <row r="53370" s="2" customFormat="1"/>
    <row r="53371" s="2" customFormat="1"/>
    <row r="53372" s="2" customFormat="1"/>
    <row r="53373" s="2" customFormat="1"/>
    <row r="53374" s="2" customFormat="1"/>
    <row r="53375" s="2" customFormat="1"/>
    <row r="53376" s="2" customFormat="1"/>
    <row r="53377" s="2" customFormat="1"/>
    <row r="53378" s="2" customFormat="1"/>
    <row r="53379" s="2" customFormat="1"/>
    <row r="53380" s="2" customFormat="1"/>
    <row r="53381" s="2" customFormat="1"/>
    <row r="53382" s="2" customFormat="1"/>
    <row r="53383" s="2" customFormat="1"/>
    <row r="53384" s="2" customFormat="1"/>
    <row r="53385" s="2" customFormat="1"/>
    <row r="53386" s="2" customFormat="1"/>
    <row r="53387" s="2" customFormat="1"/>
    <row r="53388" s="2" customFormat="1"/>
    <row r="53389" s="2" customFormat="1"/>
    <row r="53390" s="2" customFormat="1"/>
    <row r="53391" s="2" customFormat="1"/>
    <row r="53392" s="2" customFormat="1"/>
    <row r="53393" s="2" customFormat="1"/>
    <row r="53394" s="2" customFormat="1"/>
    <row r="53395" s="2" customFormat="1"/>
    <row r="53396" s="2" customFormat="1"/>
    <row r="53397" s="2" customFormat="1"/>
    <row r="53398" s="2" customFormat="1"/>
    <row r="53399" s="2" customFormat="1"/>
    <row r="53400" s="2" customFormat="1"/>
    <row r="53401" s="2" customFormat="1"/>
    <row r="53402" s="2" customFormat="1"/>
    <row r="53403" s="2" customFormat="1"/>
    <row r="53404" s="2" customFormat="1"/>
    <row r="53405" s="2" customFormat="1"/>
    <row r="53406" s="2" customFormat="1"/>
    <row r="53407" s="2" customFormat="1"/>
    <row r="53408" s="2" customFormat="1"/>
    <row r="53409" s="2" customFormat="1"/>
    <row r="53410" s="2" customFormat="1"/>
    <row r="53411" s="2" customFormat="1"/>
    <row r="53412" s="2" customFormat="1"/>
    <row r="53413" s="2" customFormat="1"/>
    <row r="53414" s="2" customFormat="1"/>
    <row r="53415" s="2" customFormat="1"/>
    <row r="53416" s="2" customFormat="1"/>
    <row r="53417" s="2" customFormat="1"/>
    <row r="53418" s="2" customFormat="1"/>
    <row r="53419" s="2" customFormat="1"/>
    <row r="53420" s="2" customFormat="1"/>
    <row r="53421" s="2" customFormat="1"/>
    <row r="53422" s="2" customFormat="1"/>
    <row r="53423" s="2" customFormat="1"/>
    <row r="53424" s="2" customFormat="1"/>
    <row r="53425" s="2" customFormat="1"/>
    <row r="53426" s="2" customFormat="1"/>
    <row r="53427" s="2" customFormat="1"/>
    <row r="53428" s="2" customFormat="1"/>
    <row r="53429" s="2" customFormat="1"/>
    <row r="53430" s="2" customFormat="1"/>
    <row r="53431" s="2" customFormat="1"/>
    <row r="53432" s="2" customFormat="1"/>
    <row r="53433" s="2" customFormat="1"/>
    <row r="53434" s="2" customFormat="1"/>
    <row r="53435" s="2" customFormat="1"/>
    <row r="53436" s="2" customFormat="1"/>
    <row r="53437" s="2" customFormat="1"/>
    <row r="53438" s="2" customFormat="1"/>
    <row r="53439" s="2" customFormat="1"/>
    <row r="53440" s="2" customFormat="1"/>
    <row r="53441" s="2" customFormat="1"/>
    <row r="53442" s="2" customFormat="1"/>
    <row r="53443" s="2" customFormat="1"/>
    <row r="53444" s="2" customFormat="1"/>
    <row r="53445" s="2" customFormat="1"/>
    <row r="53446" s="2" customFormat="1"/>
    <row r="53447" s="2" customFormat="1"/>
    <row r="53448" s="2" customFormat="1"/>
    <row r="53449" s="2" customFormat="1"/>
    <row r="53450" s="2" customFormat="1"/>
    <row r="53451" s="2" customFormat="1"/>
    <row r="53452" s="2" customFormat="1"/>
    <row r="53453" s="2" customFormat="1"/>
    <row r="53454" s="2" customFormat="1"/>
    <row r="53455" s="2" customFormat="1"/>
    <row r="53456" s="2" customFormat="1"/>
    <row r="53457" s="2" customFormat="1"/>
    <row r="53458" s="2" customFormat="1"/>
    <row r="53459" s="2" customFormat="1"/>
    <row r="53460" s="2" customFormat="1"/>
    <row r="53461" s="2" customFormat="1"/>
    <row r="53462" s="2" customFormat="1"/>
    <row r="53463" s="2" customFormat="1"/>
    <row r="53464" s="2" customFormat="1"/>
    <row r="53465" s="2" customFormat="1"/>
    <row r="53466" s="2" customFormat="1"/>
    <row r="53467" s="2" customFormat="1"/>
    <row r="53468" s="2" customFormat="1"/>
    <row r="53469" s="2" customFormat="1"/>
    <row r="53470" s="2" customFormat="1"/>
    <row r="53471" s="2" customFormat="1"/>
    <row r="53472" s="2" customFormat="1"/>
    <row r="53473" s="2" customFormat="1"/>
    <row r="53474" s="2" customFormat="1"/>
    <row r="53475" s="2" customFormat="1"/>
    <row r="53476" s="2" customFormat="1"/>
    <row r="53477" s="2" customFormat="1"/>
    <row r="53478" s="2" customFormat="1"/>
    <row r="53479" s="2" customFormat="1"/>
    <row r="53480" s="2" customFormat="1"/>
    <row r="53481" s="2" customFormat="1"/>
    <row r="53482" s="2" customFormat="1"/>
    <row r="53483" s="2" customFormat="1"/>
    <row r="53484" s="2" customFormat="1"/>
    <row r="53485" s="2" customFormat="1"/>
    <row r="53486" s="2" customFormat="1"/>
    <row r="53487" s="2" customFormat="1"/>
    <row r="53488" s="2" customFormat="1"/>
    <row r="53489" s="2" customFormat="1"/>
    <row r="53490" s="2" customFormat="1"/>
    <row r="53491" s="2" customFormat="1"/>
    <row r="53492" s="2" customFormat="1"/>
    <row r="53493" s="2" customFormat="1"/>
    <row r="53494" s="2" customFormat="1"/>
    <row r="53495" s="2" customFormat="1"/>
    <row r="53496" s="2" customFormat="1"/>
    <row r="53497" s="2" customFormat="1"/>
    <row r="53498" s="2" customFormat="1"/>
    <row r="53499" s="2" customFormat="1"/>
    <row r="53500" s="2" customFormat="1"/>
    <row r="53501" s="2" customFormat="1"/>
    <row r="53502" s="2" customFormat="1"/>
    <row r="53503" s="2" customFormat="1"/>
    <row r="53504" s="2" customFormat="1"/>
    <row r="53505" s="2" customFormat="1"/>
    <row r="53506" s="2" customFormat="1"/>
    <row r="53507" s="2" customFormat="1"/>
    <row r="53508" s="2" customFormat="1"/>
    <row r="53509" s="2" customFormat="1"/>
    <row r="53510" s="2" customFormat="1"/>
    <row r="53511" s="2" customFormat="1"/>
    <row r="53512" s="2" customFormat="1"/>
    <row r="53513" s="2" customFormat="1"/>
    <row r="53514" s="2" customFormat="1"/>
    <row r="53515" s="2" customFormat="1"/>
    <row r="53516" s="2" customFormat="1"/>
    <row r="53517" s="2" customFormat="1"/>
    <row r="53518" s="2" customFormat="1"/>
    <row r="53519" s="2" customFormat="1"/>
    <row r="53520" s="2" customFormat="1"/>
    <row r="53521" s="2" customFormat="1"/>
    <row r="53522" s="2" customFormat="1"/>
    <row r="53523" s="2" customFormat="1"/>
    <row r="53524" s="2" customFormat="1"/>
    <row r="53525" s="2" customFormat="1"/>
    <row r="53526" s="2" customFormat="1"/>
    <row r="53527" s="2" customFormat="1"/>
    <row r="53528" s="2" customFormat="1"/>
    <row r="53529" s="2" customFormat="1"/>
    <row r="53530" s="2" customFormat="1"/>
    <row r="53531" s="2" customFormat="1"/>
    <row r="53532" s="2" customFormat="1"/>
    <row r="53533" s="2" customFormat="1"/>
    <row r="53534" s="2" customFormat="1"/>
    <row r="53535" s="2" customFormat="1"/>
    <row r="53536" s="2" customFormat="1"/>
    <row r="53537" s="2" customFormat="1"/>
    <row r="53538" s="2" customFormat="1"/>
    <row r="53539" s="2" customFormat="1"/>
    <row r="53540" s="2" customFormat="1"/>
    <row r="53541" s="2" customFormat="1"/>
    <row r="53542" s="2" customFormat="1"/>
    <row r="53543" s="2" customFormat="1"/>
    <row r="53544" s="2" customFormat="1"/>
    <row r="53545" s="2" customFormat="1"/>
    <row r="53546" s="2" customFormat="1"/>
    <row r="53547" s="2" customFormat="1"/>
    <row r="53548" s="2" customFormat="1"/>
    <row r="53549" s="2" customFormat="1"/>
    <row r="53550" s="2" customFormat="1"/>
    <row r="53551" s="2" customFormat="1"/>
    <row r="53552" s="2" customFormat="1"/>
    <row r="53553" s="2" customFormat="1"/>
    <row r="53554" s="2" customFormat="1"/>
    <row r="53555" s="2" customFormat="1"/>
    <row r="53556" s="2" customFormat="1"/>
    <row r="53557" s="2" customFormat="1"/>
    <row r="53558" s="2" customFormat="1"/>
    <row r="53559" s="2" customFormat="1"/>
    <row r="53560" s="2" customFormat="1"/>
    <row r="53561" s="2" customFormat="1"/>
    <row r="53562" s="2" customFormat="1"/>
    <row r="53563" s="2" customFormat="1"/>
    <row r="53564" s="2" customFormat="1"/>
    <row r="53565" s="2" customFormat="1"/>
    <row r="53566" s="2" customFormat="1"/>
    <row r="53567" s="2" customFormat="1"/>
    <row r="53568" s="2" customFormat="1"/>
    <row r="53569" s="2" customFormat="1"/>
    <row r="53570" s="2" customFormat="1"/>
    <row r="53571" s="2" customFormat="1"/>
    <row r="53572" s="2" customFormat="1"/>
    <row r="53573" s="2" customFormat="1"/>
    <row r="53574" s="2" customFormat="1"/>
    <row r="53575" s="2" customFormat="1"/>
    <row r="53576" s="2" customFormat="1"/>
    <row r="53577" s="2" customFormat="1"/>
    <row r="53578" s="2" customFormat="1"/>
    <row r="53579" s="2" customFormat="1"/>
    <row r="53580" s="2" customFormat="1"/>
    <row r="53581" s="2" customFormat="1"/>
    <row r="53582" s="2" customFormat="1"/>
    <row r="53583" s="2" customFormat="1"/>
    <row r="53584" s="2" customFormat="1"/>
    <row r="53585" s="2" customFormat="1"/>
    <row r="53586" s="2" customFormat="1"/>
    <row r="53587" s="2" customFormat="1"/>
    <row r="53588" s="2" customFormat="1"/>
    <row r="53589" s="2" customFormat="1"/>
    <row r="53590" s="2" customFormat="1"/>
    <row r="53591" s="2" customFormat="1"/>
    <row r="53592" s="2" customFormat="1"/>
    <row r="53593" s="2" customFormat="1"/>
    <row r="53594" s="2" customFormat="1"/>
    <row r="53595" s="2" customFormat="1"/>
    <row r="53596" s="2" customFormat="1"/>
    <row r="53597" s="2" customFormat="1"/>
    <row r="53598" s="2" customFormat="1"/>
    <row r="53599" s="2" customFormat="1"/>
    <row r="53600" s="2" customFormat="1"/>
    <row r="53601" s="2" customFormat="1"/>
    <row r="53602" s="2" customFormat="1"/>
    <row r="53603" s="2" customFormat="1"/>
    <row r="53604" s="2" customFormat="1"/>
    <row r="53605" s="2" customFormat="1"/>
    <row r="53606" s="2" customFormat="1"/>
    <row r="53607" s="2" customFormat="1"/>
    <row r="53608" s="2" customFormat="1"/>
    <row r="53609" s="2" customFormat="1"/>
    <row r="53610" s="2" customFormat="1"/>
    <row r="53611" s="2" customFormat="1"/>
    <row r="53612" s="2" customFormat="1"/>
    <row r="53613" s="2" customFormat="1"/>
    <row r="53614" s="2" customFormat="1"/>
    <row r="53615" s="2" customFormat="1"/>
    <row r="53616" s="2" customFormat="1"/>
    <row r="53617" s="2" customFormat="1"/>
    <row r="53618" s="2" customFormat="1"/>
    <row r="53619" s="2" customFormat="1"/>
    <row r="53620" s="2" customFormat="1"/>
    <row r="53621" s="2" customFormat="1"/>
    <row r="53622" s="2" customFormat="1"/>
    <row r="53623" s="2" customFormat="1"/>
    <row r="53624" s="2" customFormat="1"/>
    <row r="53625" s="2" customFormat="1"/>
    <row r="53626" s="2" customFormat="1"/>
    <row r="53627" s="2" customFormat="1"/>
    <row r="53628" s="2" customFormat="1"/>
    <row r="53629" s="2" customFormat="1"/>
    <row r="53630" s="2" customFormat="1"/>
    <row r="53631" s="2" customFormat="1"/>
    <row r="53632" s="2" customFormat="1"/>
    <row r="53633" s="2" customFormat="1"/>
    <row r="53634" s="2" customFormat="1"/>
    <row r="53635" s="2" customFormat="1"/>
    <row r="53636" s="2" customFormat="1"/>
    <row r="53637" s="2" customFormat="1"/>
    <row r="53638" s="2" customFormat="1"/>
    <row r="53639" s="2" customFormat="1"/>
    <row r="53640" s="2" customFormat="1"/>
    <row r="53641" s="2" customFormat="1"/>
    <row r="53642" s="2" customFormat="1"/>
    <row r="53643" s="2" customFormat="1"/>
    <row r="53644" s="2" customFormat="1"/>
    <row r="53645" s="2" customFormat="1"/>
    <row r="53646" s="2" customFormat="1"/>
    <row r="53647" s="2" customFormat="1"/>
    <row r="53648" s="2" customFormat="1"/>
    <row r="53649" s="2" customFormat="1"/>
    <row r="53650" s="2" customFormat="1"/>
    <row r="53651" s="2" customFormat="1"/>
    <row r="53652" s="2" customFormat="1"/>
    <row r="53653" s="2" customFormat="1"/>
    <row r="53654" s="2" customFormat="1"/>
    <row r="53655" s="2" customFormat="1"/>
    <row r="53656" s="2" customFormat="1"/>
    <row r="53657" s="2" customFormat="1"/>
    <row r="53658" s="2" customFormat="1"/>
    <row r="53659" s="2" customFormat="1"/>
    <row r="53660" s="2" customFormat="1"/>
    <row r="53661" s="2" customFormat="1"/>
    <row r="53662" s="2" customFormat="1"/>
    <row r="53663" s="2" customFormat="1"/>
    <row r="53664" s="2" customFormat="1"/>
    <row r="53665" s="2" customFormat="1"/>
    <row r="53666" s="2" customFormat="1"/>
    <row r="53667" s="2" customFormat="1"/>
    <row r="53668" s="2" customFormat="1"/>
    <row r="53669" s="2" customFormat="1"/>
    <row r="53670" s="2" customFormat="1"/>
    <row r="53671" s="2" customFormat="1"/>
    <row r="53672" s="2" customFormat="1"/>
    <row r="53673" s="2" customFormat="1"/>
    <row r="53674" s="2" customFormat="1"/>
    <row r="53675" s="2" customFormat="1"/>
    <row r="53676" s="2" customFormat="1"/>
    <row r="53677" s="2" customFormat="1"/>
    <row r="53678" s="2" customFormat="1"/>
    <row r="53679" s="2" customFormat="1"/>
    <row r="53680" s="2" customFormat="1"/>
    <row r="53681" s="2" customFormat="1"/>
    <row r="53682" s="2" customFormat="1"/>
    <row r="53683" s="2" customFormat="1"/>
    <row r="53684" s="2" customFormat="1"/>
    <row r="53685" s="2" customFormat="1"/>
    <row r="53686" s="2" customFormat="1"/>
    <row r="53687" s="2" customFormat="1"/>
    <row r="53688" s="2" customFormat="1"/>
    <row r="53689" s="2" customFormat="1"/>
    <row r="53690" s="2" customFormat="1"/>
    <row r="53691" s="2" customFormat="1"/>
    <row r="53692" s="2" customFormat="1"/>
    <row r="53693" s="2" customFormat="1"/>
    <row r="53694" s="2" customFormat="1"/>
    <row r="53695" s="2" customFormat="1"/>
    <row r="53696" s="2" customFormat="1"/>
    <row r="53697" s="2" customFormat="1"/>
    <row r="53698" s="2" customFormat="1"/>
    <row r="53699" s="2" customFormat="1"/>
    <row r="53700" s="2" customFormat="1"/>
    <row r="53701" s="2" customFormat="1"/>
    <row r="53702" s="2" customFormat="1"/>
    <row r="53703" s="2" customFormat="1"/>
    <row r="53704" s="2" customFormat="1"/>
    <row r="53705" s="2" customFormat="1"/>
    <row r="53706" s="2" customFormat="1"/>
    <row r="53707" s="2" customFormat="1"/>
    <row r="53708" s="2" customFormat="1"/>
    <row r="53709" s="2" customFormat="1"/>
    <row r="53710" s="2" customFormat="1"/>
    <row r="53711" s="2" customFormat="1"/>
    <row r="53712" s="2" customFormat="1"/>
    <row r="53713" s="2" customFormat="1"/>
    <row r="53714" s="2" customFormat="1"/>
    <row r="53715" s="2" customFormat="1"/>
    <row r="53716" s="2" customFormat="1"/>
    <row r="53717" s="2" customFormat="1"/>
    <row r="53718" s="2" customFormat="1"/>
    <row r="53719" s="2" customFormat="1"/>
    <row r="53720" s="2" customFormat="1"/>
    <row r="53721" s="2" customFormat="1"/>
    <row r="53722" s="2" customFormat="1"/>
    <row r="53723" s="2" customFormat="1"/>
    <row r="53724" s="2" customFormat="1"/>
    <row r="53725" s="2" customFormat="1"/>
    <row r="53726" s="2" customFormat="1"/>
    <row r="53727" s="2" customFormat="1"/>
    <row r="53728" s="2" customFormat="1"/>
    <row r="53729" s="2" customFormat="1"/>
    <row r="53730" s="2" customFormat="1"/>
    <row r="53731" s="2" customFormat="1"/>
    <row r="53732" s="2" customFormat="1"/>
    <row r="53733" s="2" customFormat="1"/>
    <row r="53734" s="2" customFormat="1"/>
    <row r="53735" s="2" customFormat="1"/>
    <row r="53736" s="2" customFormat="1"/>
    <row r="53737" s="2" customFormat="1"/>
    <row r="53738" s="2" customFormat="1"/>
    <row r="53739" s="2" customFormat="1"/>
    <row r="53740" s="2" customFormat="1"/>
    <row r="53741" s="2" customFormat="1"/>
    <row r="53742" s="2" customFormat="1"/>
    <row r="53743" s="2" customFormat="1"/>
    <row r="53744" s="2" customFormat="1"/>
    <row r="53745" s="2" customFormat="1"/>
    <row r="53746" s="2" customFormat="1"/>
    <row r="53747" s="2" customFormat="1"/>
    <row r="53748" s="2" customFormat="1"/>
    <row r="53749" s="2" customFormat="1"/>
    <row r="53750" s="2" customFormat="1"/>
    <row r="53751" s="2" customFormat="1"/>
    <row r="53752" s="2" customFormat="1"/>
    <row r="53753" s="2" customFormat="1"/>
    <row r="53754" s="2" customFormat="1"/>
    <row r="53755" s="2" customFormat="1"/>
    <row r="53756" s="2" customFormat="1"/>
    <row r="53757" s="2" customFormat="1"/>
    <row r="53758" s="2" customFormat="1"/>
    <row r="53759" s="2" customFormat="1"/>
    <row r="53760" s="2" customFormat="1"/>
    <row r="53761" s="2" customFormat="1"/>
    <row r="53762" s="2" customFormat="1"/>
    <row r="53763" s="2" customFormat="1"/>
    <row r="53764" s="2" customFormat="1"/>
    <row r="53765" s="2" customFormat="1"/>
    <row r="53766" s="2" customFormat="1"/>
    <row r="53767" s="2" customFormat="1"/>
    <row r="53768" s="2" customFormat="1"/>
    <row r="53769" s="2" customFormat="1"/>
    <row r="53770" s="2" customFormat="1"/>
    <row r="53771" s="2" customFormat="1"/>
    <row r="53772" s="2" customFormat="1"/>
    <row r="53773" s="2" customFormat="1"/>
    <row r="53774" s="2" customFormat="1"/>
    <row r="53775" s="2" customFormat="1"/>
    <row r="53776" s="2" customFormat="1"/>
    <row r="53777" s="2" customFormat="1"/>
    <row r="53778" s="2" customFormat="1"/>
    <row r="53779" s="2" customFormat="1"/>
    <row r="53780" s="2" customFormat="1"/>
    <row r="53781" s="2" customFormat="1"/>
    <row r="53782" s="2" customFormat="1"/>
    <row r="53783" s="2" customFormat="1"/>
    <row r="53784" s="2" customFormat="1"/>
    <row r="53785" s="2" customFormat="1"/>
    <row r="53786" s="2" customFormat="1"/>
    <row r="53787" s="2" customFormat="1"/>
    <row r="53788" s="2" customFormat="1"/>
    <row r="53789" s="2" customFormat="1"/>
    <row r="53790" s="2" customFormat="1"/>
    <row r="53791" s="2" customFormat="1"/>
    <row r="53792" s="2" customFormat="1"/>
    <row r="53793" s="2" customFormat="1"/>
    <row r="53794" s="2" customFormat="1"/>
    <row r="53795" s="2" customFormat="1"/>
    <row r="53796" s="2" customFormat="1"/>
    <row r="53797" s="2" customFormat="1"/>
    <row r="53798" s="2" customFormat="1"/>
    <row r="53799" s="2" customFormat="1"/>
    <row r="53800" s="2" customFormat="1"/>
    <row r="53801" s="2" customFormat="1"/>
    <row r="53802" s="2" customFormat="1"/>
    <row r="53803" s="2" customFormat="1"/>
    <row r="53804" s="2" customFormat="1"/>
    <row r="53805" s="2" customFormat="1"/>
    <row r="53806" s="2" customFormat="1"/>
    <row r="53807" s="2" customFormat="1"/>
    <row r="53808" s="2" customFormat="1"/>
    <row r="53809" s="2" customFormat="1"/>
    <row r="53810" s="2" customFormat="1"/>
    <row r="53811" s="2" customFormat="1"/>
    <row r="53812" s="2" customFormat="1"/>
    <row r="53813" s="2" customFormat="1"/>
    <row r="53814" s="2" customFormat="1"/>
    <row r="53815" s="2" customFormat="1"/>
    <row r="53816" s="2" customFormat="1"/>
    <row r="53817" s="2" customFormat="1"/>
    <row r="53818" s="2" customFormat="1"/>
    <row r="53819" s="2" customFormat="1"/>
    <row r="53820" s="2" customFormat="1"/>
    <row r="53821" s="2" customFormat="1"/>
    <row r="53822" s="2" customFormat="1"/>
    <row r="53823" s="2" customFormat="1"/>
    <row r="53824" s="2" customFormat="1"/>
    <row r="53825" s="2" customFormat="1"/>
    <row r="53826" s="2" customFormat="1"/>
    <row r="53827" s="2" customFormat="1"/>
    <row r="53828" s="2" customFormat="1"/>
    <row r="53829" s="2" customFormat="1"/>
    <row r="53830" s="2" customFormat="1"/>
    <row r="53831" s="2" customFormat="1"/>
    <row r="53832" s="2" customFormat="1"/>
    <row r="53833" s="2" customFormat="1"/>
    <row r="53834" s="2" customFormat="1"/>
    <row r="53835" s="2" customFormat="1"/>
    <row r="53836" s="2" customFormat="1"/>
    <row r="53837" s="2" customFormat="1"/>
    <row r="53838" s="2" customFormat="1"/>
    <row r="53839" s="2" customFormat="1"/>
    <row r="53840" s="2" customFormat="1"/>
    <row r="53841" s="2" customFormat="1"/>
    <row r="53842" s="2" customFormat="1"/>
    <row r="53843" s="2" customFormat="1"/>
    <row r="53844" s="2" customFormat="1"/>
    <row r="53845" s="2" customFormat="1"/>
    <row r="53846" s="2" customFormat="1"/>
    <row r="53847" s="2" customFormat="1"/>
    <row r="53848" s="2" customFormat="1"/>
    <row r="53849" s="2" customFormat="1"/>
    <row r="53850" s="2" customFormat="1"/>
    <row r="53851" s="2" customFormat="1"/>
    <row r="53852" s="2" customFormat="1"/>
    <row r="53853" s="2" customFormat="1"/>
    <row r="53854" s="2" customFormat="1"/>
    <row r="53855" s="2" customFormat="1"/>
    <row r="53856" s="2" customFormat="1"/>
    <row r="53857" s="2" customFormat="1"/>
    <row r="53858" s="2" customFormat="1"/>
    <row r="53859" s="2" customFormat="1"/>
    <row r="53860" s="2" customFormat="1"/>
    <row r="53861" s="2" customFormat="1"/>
    <row r="53862" s="2" customFormat="1"/>
    <row r="53863" s="2" customFormat="1"/>
    <row r="53864" s="2" customFormat="1"/>
    <row r="53865" s="2" customFormat="1"/>
    <row r="53866" s="2" customFormat="1"/>
    <row r="53867" s="2" customFormat="1"/>
    <row r="53868" s="2" customFormat="1"/>
    <row r="53869" s="2" customFormat="1"/>
    <row r="53870" s="2" customFormat="1"/>
    <row r="53871" s="2" customFormat="1"/>
    <row r="53872" s="2" customFormat="1"/>
    <row r="53873" s="2" customFormat="1"/>
    <row r="53874" s="2" customFormat="1"/>
    <row r="53875" s="2" customFormat="1"/>
    <row r="53876" s="2" customFormat="1"/>
    <row r="53877" s="2" customFormat="1"/>
    <row r="53878" s="2" customFormat="1"/>
    <row r="53879" s="2" customFormat="1"/>
    <row r="53880" s="2" customFormat="1"/>
    <row r="53881" s="2" customFormat="1"/>
    <row r="53882" s="2" customFormat="1"/>
    <row r="53883" s="2" customFormat="1"/>
    <row r="53884" s="2" customFormat="1"/>
    <row r="53885" s="2" customFormat="1"/>
    <row r="53886" s="2" customFormat="1"/>
    <row r="53887" s="2" customFormat="1"/>
    <row r="53888" s="2" customFormat="1"/>
    <row r="53889" s="2" customFormat="1"/>
    <row r="53890" s="2" customFormat="1"/>
    <row r="53891" s="2" customFormat="1"/>
    <row r="53892" s="2" customFormat="1"/>
    <row r="53893" s="2" customFormat="1"/>
    <row r="53894" s="2" customFormat="1"/>
    <row r="53895" s="2" customFormat="1"/>
    <row r="53896" s="2" customFormat="1"/>
    <row r="53897" s="2" customFormat="1"/>
    <row r="53898" s="2" customFormat="1"/>
    <row r="53899" s="2" customFormat="1"/>
    <row r="53900" s="2" customFormat="1"/>
    <row r="53901" s="2" customFormat="1"/>
    <row r="53902" s="2" customFormat="1"/>
    <row r="53903" s="2" customFormat="1"/>
    <row r="53904" s="2" customFormat="1"/>
    <row r="53905" s="2" customFormat="1"/>
    <row r="53906" s="2" customFormat="1"/>
    <row r="53907" s="2" customFormat="1"/>
    <row r="53908" s="2" customFormat="1"/>
    <row r="53909" s="2" customFormat="1"/>
    <row r="53910" s="2" customFormat="1"/>
    <row r="53911" s="2" customFormat="1"/>
    <row r="53912" s="2" customFormat="1"/>
    <row r="53913" s="2" customFormat="1"/>
    <row r="53914" s="2" customFormat="1"/>
    <row r="53915" s="2" customFormat="1"/>
    <row r="53916" s="2" customFormat="1"/>
    <row r="53917" s="2" customFormat="1"/>
    <row r="53918" s="2" customFormat="1"/>
    <row r="53919" s="2" customFormat="1"/>
    <row r="53920" s="2" customFormat="1"/>
    <row r="53921" s="2" customFormat="1"/>
    <row r="53922" s="2" customFormat="1"/>
    <row r="53923" s="2" customFormat="1"/>
    <row r="53924" s="2" customFormat="1"/>
    <row r="53925" s="2" customFormat="1"/>
    <row r="53926" s="2" customFormat="1"/>
    <row r="53927" s="2" customFormat="1"/>
    <row r="53928" s="2" customFormat="1"/>
    <row r="53929" s="2" customFormat="1"/>
    <row r="53930" s="2" customFormat="1"/>
    <row r="53931" s="2" customFormat="1"/>
    <row r="53932" s="2" customFormat="1"/>
    <row r="53933" s="2" customFormat="1"/>
    <row r="53934" s="2" customFormat="1"/>
    <row r="53935" s="2" customFormat="1"/>
    <row r="53936" s="2" customFormat="1"/>
    <row r="53937" s="2" customFormat="1"/>
    <row r="53938" s="2" customFormat="1"/>
    <row r="53939" s="2" customFormat="1"/>
    <row r="53940" s="2" customFormat="1"/>
    <row r="53941" s="2" customFormat="1"/>
    <row r="53942" s="2" customFormat="1"/>
    <row r="53943" s="2" customFormat="1"/>
    <row r="53944" s="2" customFormat="1"/>
    <row r="53945" s="2" customFormat="1"/>
    <row r="53946" s="2" customFormat="1"/>
    <row r="53947" s="2" customFormat="1"/>
    <row r="53948" s="2" customFormat="1"/>
    <row r="53949" s="2" customFormat="1"/>
    <row r="53950" s="2" customFormat="1"/>
    <row r="53951" s="2" customFormat="1"/>
    <row r="53952" s="2" customFormat="1"/>
    <row r="53953" s="2" customFormat="1"/>
    <row r="53954" s="2" customFormat="1"/>
    <row r="53955" s="2" customFormat="1"/>
    <row r="53956" s="2" customFormat="1"/>
    <row r="53957" s="2" customFormat="1"/>
    <row r="53958" s="2" customFormat="1"/>
    <row r="53959" s="2" customFormat="1"/>
    <row r="53960" s="2" customFormat="1"/>
    <row r="53961" s="2" customFormat="1"/>
    <row r="53962" s="2" customFormat="1"/>
    <row r="53963" s="2" customFormat="1"/>
    <row r="53964" s="2" customFormat="1"/>
    <row r="53965" s="2" customFormat="1"/>
    <row r="53966" s="2" customFormat="1"/>
    <row r="53967" s="2" customFormat="1"/>
    <row r="53968" s="2" customFormat="1"/>
    <row r="53969" s="2" customFormat="1"/>
    <row r="53970" s="2" customFormat="1"/>
    <row r="53971" s="2" customFormat="1"/>
    <row r="53972" s="2" customFormat="1"/>
    <row r="53973" s="2" customFormat="1"/>
    <row r="53974" s="2" customFormat="1"/>
    <row r="53975" s="2" customFormat="1"/>
    <row r="53976" s="2" customFormat="1"/>
    <row r="53977" s="2" customFormat="1"/>
    <row r="53978" s="2" customFormat="1"/>
    <row r="53979" s="2" customFormat="1"/>
    <row r="53980" s="2" customFormat="1"/>
    <row r="53981" s="2" customFormat="1"/>
    <row r="53982" s="2" customFormat="1"/>
    <row r="53983" s="2" customFormat="1"/>
    <row r="53984" s="2" customFormat="1"/>
    <row r="53985" s="2" customFormat="1"/>
    <row r="53986" s="2" customFormat="1"/>
    <row r="53987" s="2" customFormat="1"/>
    <row r="53988" s="2" customFormat="1"/>
    <row r="53989" s="2" customFormat="1"/>
    <row r="53990" s="2" customFormat="1"/>
    <row r="53991" s="2" customFormat="1"/>
    <row r="53992" s="2" customFormat="1"/>
    <row r="53993" s="2" customFormat="1"/>
    <row r="53994" s="2" customFormat="1"/>
    <row r="53995" s="2" customFormat="1"/>
    <row r="53996" s="2" customFormat="1"/>
    <row r="53997" s="2" customFormat="1"/>
    <row r="53998" s="2" customFormat="1"/>
    <row r="53999" s="2" customFormat="1"/>
    <row r="54000" s="2" customFormat="1"/>
    <row r="54001" s="2" customFormat="1"/>
    <row r="54002" s="2" customFormat="1"/>
    <row r="54003" s="2" customFormat="1"/>
    <row r="54004" s="2" customFormat="1"/>
    <row r="54005" s="2" customFormat="1"/>
    <row r="54006" s="2" customFormat="1"/>
    <row r="54007" s="2" customFormat="1"/>
    <row r="54008" s="2" customFormat="1"/>
    <row r="54009" s="2" customFormat="1"/>
    <row r="54010" s="2" customFormat="1"/>
    <row r="54011" s="2" customFormat="1"/>
    <row r="54012" s="2" customFormat="1"/>
    <row r="54013" s="2" customFormat="1"/>
    <row r="54014" s="2" customFormat="1"/>
    <row r="54015" s="2" customFormat="1"/>
    <row r="54016" s="2" customFormat="1"/>
    <row r="54017" s="2" customFormat="1"/>
    <row r="54018" s="2" customFormat="1"/>
    <row r="54019" s="2" customFormat="1"/>
    <row r="54020" s="2" customFormat="1"/>
    <row r="54021" s="2" customFormat="1"/>
    <row r="54022" s="2" customFormat="1"/>
    <row r="54023" s="2" customFormat="1"/>
    <row r="54024" s="2" customFormat="1"/>
    <row r="54025" s="2" customFormat="1"/>
    <row r="54026" s="2" customFormat="1"/>
    <row r="54027" s="2" customFormat="1"/>
    <row r="54028" s="2" customFormat="1"/>
    <row r="54029" s="2" customFormat="1"/>
    <row r="54030" s="2" customFormat="1"/>
    <row r="54031" s="2" customFormat="1"/>
    <row r="54032" s="2" customFormat="1"/>
    <row r="54033" s="2" customFormat="1"/>
    <row r="54034" s="2" customFormat="1"/>
    <row r="54035" s="2" customFormat="1"/>
    <row r="54036" s="2" customFormat="1"/>
    <row r="54037" s="2" customFormat="1"/>
    <row r="54038" s="2" customFormat="1"/>
    <row r="54039" s="2" customFormat="1"/>
    <row r="54040" s="2" customFormat="1"/>
    <row r="54041" s="2" customFormat="1"/>
    <row r="54042" s="2" customFormat="1"/>
    <row r="54043" s="2" customFormat="1"/>
    <row r="54044" s="2" customFormat="1"/>
    <row r="54045" s="2" customFormat="1"/>
    <row r="54046" s="2" customFormat="1"/>
    <row r="54047" s="2" customFormat="1"/>
    <row r="54048" s="2" customFormat="1"/>
    <row r="54049" s="2" customFormat="1"/>
    <row r="54050" s="2" customFormat="1"/>
    <row r="54051" s="2" customFormat="1"/>
    <row r="54052" s="2" customFormat="1"/>
    <row r="54053" s="2" customFormat="1"/>
    <row r="54054" s="2" customFormat="1"/>
    <row r="54055" s="2" customFormat="1"/>
    <row r="54056" s="2" customFormat="1"/>
    <row r="54057" s="2" customFormat="1"/>
    <row r="54058" s="2" customFormat="1"/>
    <row r="54059" s="2" customFormat="1"/>
    <row r="54060" s="2" customFormat="1"/>
    <row r="54061" s="2" customFormat="1"/>
    <row r="54062" s="2" customFormat="1"/>
    <row r="54063" s="2" customFormat="1"/>
    <row r="54064" s="2" customFormat="1"/>
    <row r="54065" s="2" customFormat="1"/>
    <row r="54066" s="2" customFormat="1"/>
    <row r="54067" s="2" customFormat="1"/>
    <row r="54068" s="2" customFormat="1"/>
    <row r="54069" s="2" customFormat="1"/>
    <row r="54070" s="2" customFormat="1"/>
    <row r="54071" s="2" customFormat="1"/>
    <row r="54072" s="2" customFormat="1"/>
    <row r="54073" s="2" customFormat="1"/>
    <row r="54074" s="2" customFormat="1"/>
    <row r="54075" s="2" customFormat="1"/>
    <row r="54076" s="2" customFormat="1"/>
    <row r="54077" s="2" customFormat="1"/>
    <row r="54078" s="2" customFormat="1"/>
    <row r="54079" s="2" customFormat="1"/>
    <row r="54080" s="2" customFormat="1"/>
    <row r="54081" s="2" customFormat="1"/>
    <row r="54082" s="2" customFormat="1"/>
    <row r="54083" s="2" customFormat="1"/>
    <row r="54084" s="2" customFormat="1"/>
    <row r="54085" s="2" customFormat="1"/>
    <row r="54086" s="2" customFormat="1"/>
    <row r="54087" s="2" customFormat="1"/>
    <row r="54088" s="2" customFormat="1"/>
    <row r="54089" s="2" customFormat="1"/>
    <row r="54090" s="2" customFormat="1"/>
    <row r="54091" s="2" customFormat="1"/>
    <row r="54092" s="2" customFormat="1"/>
    <row r="54093" s="2" customFormat="1"/>
    <row r="54094" s="2" customFormat="1"/>
    <row r="54095" s="2" customFormat="1"/>
    <row r="54096" s="2" customFormat="1"/>
    <row r="54097" s="2" customFormat="1"/>
    <row r="54098" s="2" customFormat="1"/>
    <row r="54099" s="2" customFormat="1"/>
    <row r="54100" s="2" customFormat="1"/>
    <row r="54101" s="2" customFormat="1"/>
    <row r="54102" s="2" customFormat="1"/>
    <row r="54103" s="2" customFormat="1"/>
    <row r="54104" s="2" customFormat="1"/>
    <row r="54105" s="2" customFormat="1"/>
    <row r="54106" s="2" customFormat="1"/>
    <row r="54107" s="2" customFormat="1"/>
    <row r="54108" s="2" customFormat="1"/>
    <row r="54109" s="2" customFormat="1"/>
    <row r="54110" s="2" customFormat="1"/>
    <row r="54111" s="2" customFormat="1"/>
    <row r="54112" s="2" customFormat="1"/>
    <row r="54113" s="2" customFormat="1"/>
    <row r="54114" s="2" customFormat="1"/>
    <row r="54115" s="2" customFormat="1"/>
    <row r="54116" s="2" customFormat="1"/>
    <row r="54117" s="2" customFormat="1"/>
    <row r="54118" s="2" customFormat="1"/>
    <row r="54119" s="2" customFormat="1"/>
    <row r="54120" s="2" customFormat="1"/>
    <row r="54121" s="2" customFormat="1"/>
    <row r="54122" s="2" customFormat="1"/>
    <row r="54123" s="2" customFormat="1"/>
    <row r="54124" s="2" customFormat="1"/>
    <row r="54125" s="2" customFormat="1"/>
    <row r="54126" s="2" customFormat="1"/>
    <row r="54127" s="2" customFormat="1"/>
    <row r="54128" s="2" customFormat="1"/>
    <row r="54129" s="2" customFormat="1"/>
    <row r="54130" s="2" customFormat="1"/>
    <row r="54131" s="2" customFormat="1"/>
    <row r="54132" s="2" customFormat="1"/>
    <row r="54133" s="2" customFormat="1"/>
    <row r="54134" s="2" customFormat="1"/>
    <row r="54135" s="2" customFormat="1"/>
    <row r="54136" s="2" customFormat="1"/>
    <row r="54137" s="2" customFormat="1"/>
    <row r="54138" s="2" customFormat="1"/>
    <row r="54139" s="2" customFormat="1"/>
    <row r="54140" s="2" customFormat="1"/>
    <row r="54141" s="2" customFormat="1"/>
    <row r="54142" s="2" customFormat="1"/>
    <row r="54143" s="2" customFormat="1"/>
    <row r="54144" s="2" customFormat="1"/>
    <row r="54145" s="2" customFormat="1"/>
    <row r="54146" s="2" customFormat="1"/>
    <row r="54147" s="2" customFormat="1"/>
    <row r="54148" s="2" customFormat="1"/>
    <row r="54149" s="2" customFormat="1"/>
    <row r="54150" s="2" customFormat="1"/>
    <row r="54151" s="2" customFormat="1"/>
    <row r="54152" s="2" customFormat="1"/>
    <row r="54153" s="2" customFormat="1"/>
    <row r="54154" s="2" customFormat="1"/>
    <row r="54155" s="2" customFormat="1"/>
    <row r="54156" s="2" customFormat="1"/>
    <row r="54157" s="2" customFormat="1"/>
    <row r="54158" s="2" customFormat="1"/>
    <row r="54159" s="2" customFormat="1"/>
    <row r="54160" s="2" customFormat="1"/>
    <row r="54161" s="2" customFormat="1"/>
    <row r="54162" s="2" customFormat="1"/>
    <row r="54163" s="2" customFormat="1"/>
    <row r="54164" s="2" customFormat="1"/>
    <row r="54165" s="2" customFormat="1"/>
    <row r="54166" s="2" customFormat="1"/>
    <row r="54167" s="2" customFormat="1"/>
    <row r="54168" s="2" customFormat="1"/>
    <row r="54169" s="2" customFormat="1"/>
    <row r="54170" s="2" customFormat="1"/>
    <row r="54171" s="2" customFormat="1"/>
    <row r="54172" s="2" customFormat="1"/>
    <row r="54173" s="2" customFormat="1"/>
    <row r="54174" s="2" customFormat="1"/>
    <row r="54175" s="2" customFormat="1"/>
    <row r="54176" s="2" customFormat="1"/>
    <row r="54177" s="2" customFormat="1"/>
    <row r="54178" s="2" customFormat="1"/>
    <row r="54179" s="2" customFormat="1"/>
    <row r="54180" s="2" customFormat="1"/>
    <row r="54181" s="2" customFormat="1"/>
    <row r="54182" s="2" customFormat="1"/>
    <row r="54183" s="2" customFormat="1"/>
    <row r="54184" s="2" customFormat="1"/>
    <row r="54185" s="2" customFormat="1"/>
    <row r="54186" s="2" customFormat="1"/>
    <row r="54187" s="2" customFormat="1"/>
    <row r="54188" s="2" customFormat="1"/>
    <row r="54189" s="2" customFormat="1"/>
    <row r="54190" s="2" customFormat="1"/>
    <row r="54191" s="2" customFormat="1"/>
    <row r="54192" s="2" customFormat="1"/>
    <row r="54193" s="2" customFormat="1"/>
    <row r="54194" s="2" customFormat="1"/>
    <row r="54195" s="2" customFormat="1"/>
    <row r="54196" s="2" customFormat="1"/>
    <row r="54197" s="2" customFormat="1"/>
    <row r="54198" s="2" customFormat="1"/>
    <row r="54199" s="2" customFormat="1"/>
    <row r="54200" s="2" customFormat="1"/>
    <row r="54201" s="2" customFormat="1"/>
    <row r="54202" s="2" customFormat="1"/>
    <row r="54203" s="2" customFormat="1"/>
    <row r="54204" s="2" customFormat="1"/>
    <row r="54205" s="2" customFormat="1"/>
    <row r="54206" s="2" customFormat="1"/>
    <row r="54207" s="2" customFormat="1"/>
    <row r="54208" s="2" customFormat="1"/>
    <row r="54209" s="2" customFormat="1"/>
    <row r="54210" s="2" customFormat="1"/>
    <row r="54211" s="2" customFormat="1"/>
    <row r="54212" s="2" customFormat="1"/>
    <row r="54213" s="2" customFormat="1"/>
    <row r="54214" s="2" customFormat="1"/>
    <row r="54215" s="2" customFormat="1"/>
    <row r="54216" s="2" customFormat="1"/>
    <row r="54217" s="2" customFormat="1"/>
    <row r="54218" s="2" customFormat="1"/>
    <row r="54219" s="2" customFormat="1"/>
    <row r="54220" s="2" customFormat="1"/>
    <row r="54221" s="2" customFormat="1"/>
    <row r="54222" s="2" customFormat="1"/>
    <row r="54223" s="2" customFormat="1"/>
    <row r="54224" s="2" customFormat="1"/>
    <row r="54225" s="2" customFormat="1"/>
    <row r="54226" s="2" customFormat="1"/>
    <row r="54227" s="2" customFormat="1"/>
    <row r="54228" s="2" customFormat="1"/>
    <row r="54229" s="2" customFormat="1"/>
    <row r="54230" s="2" customFormat="1"/>
    <row r="54231" s="2" customFormat="1"/>
    <row r="54232" s="2" customFormat="1"/>
    <row r="54233" s="2" customFormat="1"/>
    <row r="54234" s="2" customFormat="1"/>
    <row r="54235" s="2" customFormat="1"/>
    <row r="54236" s="2" customFormat="1"/>
    <row r="54237" s="2" customFormat="1"/>
    <row r="54238" s="2" customFormat="1"/>
    <row r="54239" s="2" customFormat="1"/>
    <row r="54240" s="2" customFormat="1"/>
    <row r="54241" s="2" customFormat="1"/>
    <row r="54242" s="2" customFormat="1"/>
    <row r="54243" s="2" customFormat="1"/>
    <row r="54244" s="2" customFormat="1"/>
    <row r="54245" s="2" customFormat="1"/>
    <row r="54246" s="2" customFormat="1"/>
    <row r="54247" s="2" customFormat="1"/>
    <row r="54248" s="2" customFormat="1"/>
    <row r="54249" s="2" customFormat="1"/>
    <row r="54250" s="2" customFormat="1"/>
    <row r="54251" s="2" customFormat="1"/>
    <row r="54252" s="2" customFormat="1"/>
    <row r="54253" s="2" customFormat="1"/>
    <row r="54254" s="2" customFormat="1"/>
    <row r="54255" s="2" customFormat="1"/>
    <row r="54256" s="2" customFormat="1"/>
    <row r="54257" s="2" customFormat="1"/>
    <row r="54258" s="2" customFormat="1"/>
    <row r="54259" s="2" customFormat="1"/>
    <row r="54260" s="2" customFormat="1"/>
    <row r="54261" s="2" customFormat="1"/>
    <row r="54262" s="2" customFormat="1"/>
    <row r="54263" s="2" customFormat="1"/>
    <row r="54264" s="2" customFormat="1"/>
    <row r="54265" s="2" customFormat="1"/>
    <row r="54266" s="2" customFormat="1"/>
    <row r="54267" s="2" customFormat="1"/>
    <row r="54268" s="2" customFormat="1"/>
    <row r="54269" s="2" customFormat="1"/>
    <row r="54270" s="2" customFormat="1"/>
    <row r="54271" s="2" customFormat="1"/>
    <row r="54272" s="2" customFormat="1"/>
    <row r="54273" s="2" customFormat="1"/>
    <row r="54274" s="2" customFormat="1"/>
    <row r="54275" s="2" customFormat="1"/>
    <row r="54276" s="2" customFormat="1"/>
    <row r="54277" s="2" customFormat="1"/>
    <row r="54278" s="2" customFormat="1"/>
    <row r="54279" s="2" customFormat="1"/>
    <row r="54280" s="2" customFormat="1"/>
    <row r="54281" s="2" customFormat="1"/>
    <row r="54282" s="2" customFormat="1"/>
    <row r="54283" s="2" customFormat="1"/>
    <row r="54284" s="2" customFormat="1"/>
    <row r="54285" s="2" customFormat="1"/>
    <row r="54286" s="2" customFormat="1"/>
    <row r="54287" s="2" customFormat="1"/>
    <row r="54288" s="2" customFormat="1"/>
    <row r="54289" s="2" customFormat="1"/>
    <row r="54290" s="2" customFormat="1"/>
    <row r="54291" s="2" customFormat="1"/>
    <row r="54292" s="2" customFormat="1"/>
    <row r="54293" s="2" customFormat="1"/>
    <row r="54294" s="2" customFormat="1"/>
    <row r="54295" s="2" customFormat="1"/>
    <row r="54296" s="2" customFormat="1"/>
    <row r="54297" s="2" customFormat="1"/>
    <row r="54298" s="2" customFormat="1"/>
    <row r="54299" s="2" customFormat="1"/>
    <row r="54300" s="2" customFormat="1"/>
    <row r="54301" s="2" customFormat="1"/>
    <row r="54302" s="2" customFormat="1"/>
    <row r="54303" s="2" customFormat="1"/>
    <row r="54304" s="2" customFormat="1"/>
    <row r="54305" s="2" customFormat="1"/>
    <row r="54306" s="2" customFormat="1"/>
    <row r="54307" s="2" customFormat="1"/>
    <row r="54308" s="2" customFormat="1"/>
    <row r="54309" s="2" customFormat="1"/>
    <row r="54310" s="2" customFormat="1"/>
    <row r="54311" s="2" customFormat="1"/>
    <row r="54312" s="2" customFormat="1"/>
    <row r="54313" s="2" customFormat="1"/>
    <row r="54314" s="2" customFormat="1"/>
    <row r="54315" s="2" customFormat="1"/>
    <row r="54316" s="2" customFormat="1"/>
    <row r="54317" s="2" customFormat="1"/>
    <row r="54318" s="2" customFormat="1"/>
    <row r="54319" s="2" customFormat="1"/>
    <row r="54320" s="2" customFormat="1"/>
    <row r="54321" s="2" customFormat="1"/>
    <row r="54322" s="2" customFormat="1"/>
    <row r="54323" s="2" customFormat="1"/>
    <row r="54324" s="2" customFormat="1"/>
    <row r="54325" s="2" customFormat="1"/>
    <row r="54326" s="2" customFormat="1"/>
    <row r="54327" s="2" customFormat="1"/>
    <row r="54328" s="2" customFormat="1"/>
    <row r="54329" s="2" customFormat="1"/>
    <row r="54330" s="2" customFormat="1"/>
    <row r="54331" s="2" customFormat="1"/>
    <row r="54332" s="2" customFormat="1"/>
    <row r="54333" s="2" customFormat="1"/>
    <row r="54334" s="2" customFormat="1"/>
    <row r="54335" s="2" customFormat="1"/>
    <row r="54336" s="2" customFormat="1"/>
    <row r="54337" s="2" customFormat="1"/>
    <row r="54338" s="2" customFormat="1"/>
    <row r="54339" s="2" customFormat="1"/>
    <row r="54340" s="2" customFormat="1"/>
    <row r="54341" s="2" customFormat="1"/>
    <row r="54342" s="2" customFormat="1"/>
    <row r="54343" s="2" customFormat="1"/>
    <row r="54344" s="2" customFormat="1"/>
    <row r="54345" s="2" customFormat="1"/>
    <row r="54346" s="2" customFormat="1"/>
    <row r="54347" s="2" customFormat="1"/>
    <row r="54348" s="2" customFormat="1"/>
    <row r="54349" s="2" customFormat="1"/>
    <row r="54350" s="2" customFormat="1"/>
    <row r="54351" s="2" customFormat="1"/>
    <row r="54352" s="2" customFormat="1"/>
    <row r="54353" s="2" customFormat="1"/>
    <row r="54354" s="2" customFormat="1"/>
    <row r="54355" s="2" customFormat="1"/>
    <row r="54356" s="2" customFormat="1"/>
    <row r="54357" s="2" customFormat="1"/>
    <row r="54358" s="2" customFormat="1"/>
    <row r="54359" s="2" customFormat="1"/>
    <row r="54360" s="2" customFormat="1"/>
    <row r="54361" s="2" customFormat="1"/>
    <row r="54362" s="2" customFormat="1"/>
    <row r="54363" s="2" customFormat="1"/>
    <row r="54364" s="2" customFormat="1"/>
    <row r="54365" s="2" customFormat="1"/>
    <row r="54366" s="2" customFormat="1"/>
    <row r="54367" s="2" customFormat="1"/>
    <row r="54368" s="2" customFormat="1"/>
    <row r="54369" s="2" customFormat="1"/>
    <row r="54370" s="2" customFormat="1"/>
    <row r="54371" s="2" customFormat="1"/>
    <row r="54372" s="2" customFormat="1"/>
    <row r="54373" s="2" customFormat="1"/>
    <row r="54374" s="2" customFormat="1"/>
    <row r="54375" s="2" customFormat="1"/>
    <row r="54376" s="2" customFormat="1"/>
    <row r="54377" s="2" customFormat="1"/>
    <row r="54378" s="2" customFormat="1"/>
    <row r="54379" s="2" customFormat="1"/>
    <row r="54380" s="2" customFormat="1"/>
    <row r="54381" s="2" customFormat="1"/>
    <row r="54382" s="2" customFormat="1"/>
    <row r="54383" s="2" customFormat="1"/>
    <row r="54384" s="2" customFormat="1"/>
    <row r="54385" s="2" customFormat="1"/>
    <row r="54386" s="2" customFormat="1"/>
    <row r="54387" s="2" customFormat="1"/>
    <row r="54388" s="2" customFormat="1"/>
    <row r="54389" s="2" customFormat="1"/>
    <row r="54390" s="2" customFormat="1"/>
    <row r="54391" s="2" customFormat="1"/>
    <row r="54392" s="2" customFormat="1"/>
    <row r="54393" s="2" customFormat="1"/>
    <row r="54394" s="2" customFormat="1"/>
    <row r="54395" s="2" customFormat="1"/>
    <row r="54396" s="2" customFormat="1"/>
    <row r="54397" s="2" customFormat="1"/>
    <row r="54398" s="2" customFormat="1"/>
    <row r="54399" s="2" customFormat="1"/>
    <row r="54400" s="2" customFormat="1"/>
    <row r="54401" s="2" customFormat="1"/>
    <row r="54402" s="2" customFormat="1"/>
    <row r="54403" s="2" customFormat="1"/>
    <row r="54404" s="2" customFormat="1"/>
    <row r="54405" s="2" customFormat="1"/>
    <row r="54406" s="2" customFormat="1"/>
    <row r="54407" s="2" customFormat="1"/>
    <row r="54408" s="2" customFormat="1"/>
    <row r="54409" s="2" customFormat="1"/>
    <row r="54410" s="2" customFormat="1"/>
    <row r="54411" s="2" customFormat="1"/>
    <row r="54412" s="2" customFormat="1"/>
    <row r="54413" s="2" customFormat="1"/>
    <row r="54414" s="2" customFormat="1"/>
    <row r="54415" s="2" customFormat="1"/>
    <row r="54416" s="2" customFormat="1"/>
    <row r="54417" s="2" customFormat="1"/>
    <row r="54418" s="2" customFormat="1"/>
    <row r="54419" s="2" customFormat="1"/>
    <row r="54420" s="2" customFormat="1"/>
    <row r="54421" s="2" customFormat="1"/>
    <row r="54422" s="2" customFormat="1"/>
    <row r="54423" s="2" customFormat="1"/>
    <row r="54424" s="2" customFormat="1"/>
    <row r="54425" s="2" customFormat="1"/>
    <row r="54426" s="2" customFormat="1"/>
    <row r="54427" s="2" customFormat="1"/>
    <row r="54428" s="2" customFormat="1"/>
    <row r="54429" s="2" customFormat="1"/>
    <row r="54430" s="2" customFormat="1"/>
    <row r="54431" s="2" customFormat="1"/>
    <row r="54432" s="2" customFormat="1"/>
    <row r="54433" s="2" customFormat="1"/>
    <row r="54434" s="2" customFormat="1"/>
    <row r="54435" s="2" customFormat="1"/>
    <row r="54436" s="2" customFormat="1"/>
    <row r="54437" s="2" customFormat="1"/>
    <row r="54438" s="2" customFormat="1"/>
    <row r="54439" s="2" customFormat="1"/>
    <row r="54440" s="2" customFormat="1"/>
    <row r="54441" s="2" customFormat="1"/>
    <row r="54442" s="2" customFormat="1"/>
    <row r="54443" s="2" customFormat="1"/>
    <row r="54444" s="2" customFormat="1"/>
    <row r="54445" s="2" customFormat="1"/>
    <row r="54446" s="2" customFormat="1"/>
    <row r="54447" s="2" customFormat="1"/>
    <row r="54448" s="2" customFormat="1"/>
    <row r="54449" s="2" customFormat="1"/>
    <row r="54450" s="2" customFormat="1"/>
    <row r="54451" s="2" customFormat="1"/>
    <row r="54452" s="2" customFormat="1"/>
    <row r="54453" s="2" customFormat="1"/>
    <row r="54454" s="2" customFormat="1"/>
    <row r="54455" s="2" customFormat="1"/>
    <row r="54456" s="2" customFormat="1"/>
    <row r="54457" s="2" customFormat="1"/>
    <row r="54458" s="2" customFormat="1"/>
    <row r="54459" s="2" customFormat="1"/>
    <row r="54460" s="2" customFormat="1"/>
    <row r="54461" s="2" customFormat="1"/>
    <row r="54462" s="2" customFormat="1"/>
    <row r="54463" s="2" customFormat="1"/>
    <row r="54464" s="2" customFormat="1"/>
    <row r="54465" s="2" customFormat="1"/>
    <row r="54466" s="2" customFormat="1"/>
    <row r="54467" s="2" customFormat="1"/>
    <row r="54468" s="2" customFormat="1"/>
    <row r="54469" s="2" customFormat="1"/>
    <row r="54470" s="2" customFormat="1"/>
    <row r="54471" s="2" customFormat="1"/>
    <row r="54472" s="2" customFormat="1"/>
    <row r="54473" s="2" customFormat="1"/>
    <row r="54474" s="2" customFormat="1"/>
    <row r="54475" s="2" customFormat="1"/>
    <row r="54476" s="2" customFormat="1"/>
    <row r="54477" s="2" customFormat="1"/>
    <row r="54478" s="2" customFormat="1"/>
    <row r="54479" s="2" customFormat="1"/>
    <row r="54480" s="2" customFormat="1"/>
    <row r="54481" s="2" customFormat="1"/>
    <row r="54482" s="2" customFormat="1"/>
    <row r="54483" s="2" customFormat="1"/>
    <row r="54484" s="2" customFormat="1"/>
    <row r="54485" s="2" customFormat="1"/>
    <row r="54486" s="2" customFormat="1"/>
    <row r="54487" s="2" customFormat="1"/>
    <row r="54488" s="2" customFormat="1"/>
    <row r="54489" s="2" customFormat="1"/>
    <row r="54490" s="2" customFormat="1"/>
    <row r="54491" s="2" customFormat="1"/>
    <row r="54492" s="2" customFormat="1"/>
    <row r="54493" s="2" customFormat="1"/>
    <row r="54494" s="2" customFormat="1"/>
    <row r="54495" s="2" customFormat="1"/>
    <row r="54496" s="2" customFormat="1"/>
    <row r="54497" s="2" customFormat="1"/>
    <row r="54498" s="2" customFormat="1"/>
    <row r="54499" s="2" customFormat="1"/>
    <row r="54500" s="2" customFormat="1"/>
    <row r="54501" s="2" customFormat="1"/>
    <row r="54502" s="2" customFormat="1"/>
    <row r="54503" s="2" customFormat="1"/>
    <row r="54504" s="2" customFormat="1"/>
    <row r="54505" s="2" customFormat="1"/>
    <row r="54506" s="2" customFormat="1"/>
    <row r="54507" s="2" customFormat="1"/>
    <row r="54508" s="2" customFormat="1"/>
    <row r="54509" s="2" customFormat="1"/>
    <row r="54510" s="2" customFormat="1"/>
    <row r="54511" s="2" customFormat="1"/>
    <row r="54512" s="2" customFormat="1"/>
    <row r="54513" s="2" customFormat="1"/>
    <row r="54514" s="2" customFormat="1"/>
    <row r="54515" s="2" customFormat="1"/>
    <row r="54516" s="2" customFormat="1"/>
    <row r="54517" s="2" customFormat="1"/>
    <row r="54518" s="2" customFormat="1"/>
    <row r="54519" s="2" customFormat="1"/>
    <row r="54520" s="2" customFormat="1"/>
    <row r="54521" s="2" customFormat="1"/>
    <row r="54522" s="2" customFormat="1"/>
    <row r="54523" s="2" customFormat="1"/>
    <row r="54524" s="2" customFormat="1"/>
    <row r="54525" s="2" customFormat="1"/>
    <row r="54526" s="2" customFormat="1"/>
    <row r="54527" s="2" customFormat="1"/>
    <row r="54528" s="2" customFormat="1"/>
    <row r="54529" s="2" customFormat="1"/>
    <row r="54530" s="2" customFormat="1"/>
    <row r="54531" s="2" customFormat="1"/>
    <row r="54532" s="2" customFormat="1"/>
    <row r="54533" s="2" customFormat="1"/>
    <row r="54534" s="2" customFormat="1"/>
    <row r="54535" s="2" customFormat="1"/>
    <row r="54536" s="2" customFormat="1"/>
    <row r="54537" s="2" customFormat="1"/>
    <row r="54538" s="2" customFormat="1"/>
    <row r="54539" s="2" customFormat="1"/>
    <row r="54540" s="2" customFormat="1"/>
    <row r="54541" s="2" customFormat="1"/>
    <row r="54542" s="2" customFormat="1"/>
    <row r="54543" s="2" customFormat="1"/>
    <row r="54544" s="2" customFormat="1"/>
    <row r="54545" s="2" customFormat="1"/>
    <row r="54546" s="2" customFormat="1"/>
    <row r="54547" s="2" customFormat="1"/>
    <row r="54548" s="2" customFormat="1"/>
    <row r="54549" s="2" customFormat="1"/>
    <row r="54550" s="2" customFormat="1"/>
    <row r="54551" s="2" customFormat="1"/>
    <row r="54552" s="2" customFormat="1"/>
    <row r="54553" s="2" customFormat="1"/>
    <row r="54554" s="2" customFormat="1"/>
    <row r="54555" s="2" customFormat="1"/>
    <row r="54556" s="2" customFormat="1"/>
    <row r="54557" s="2" customFormat="1"/>
    <row r="54558" s="2" customFormat="1"/>
    <row r="54559" s="2" customFormat="1"/>
    <row r="54560" s="2" customFormat="1"/>
    <row r="54561" s="2" customFormat="1"/>
    <row r="54562" s="2" customFormat="1"/>
    <row r="54563" s="2" customFormat="1"/>
    <row r="54564" s="2" customFormat="1"/>
    <row r="54565" s="2" customFormat="1"/>
    <row r="54566" s="2" customFormat="1"/>
    <row r="54567" s="2" customFormat="1"/>
    <row r="54568" s="2" customFormat="1"/>
    <row r="54569" s="2" customFormat="1"/>
    <row r="54570" s="2" customFormat="1"/>
    <row r="54571" s="2" customFormat="1"/>
    <row r="54572" s="2" customFormat="1"/>
    <row r="54573" s="2" customFormat="1"/>
    <row r="54574" s="2" customFormat="1"/>
    <row r="54575" s="2" customFormat="1"/>
    <row r="54576" s="2" customFormat="1"/>
    <row r="54577" s="2" customFormat="1"/>
    <row r="54578" s="2" customFormat="1"/>
    <row r="54579" s="2" customFormat="1"/>
    <row r="54580" s="2" customFormat="1"/>
    <row r="54581" s="2" customFormat="1"/>
    <row r="54582" s="2" customFormat="1"/>
    <row r="54583" s="2" customFormat="1"/>
    <row r="54584" s="2" customFormat="1"/>
    <row r="54585" s="2" customFormat="1"/>
    <row r="54586" s="2" customFormat="1"/>
    <row r="54587" s="2" customFormat="1"/>
    <row r="54588" s="2" customFormat="1"/>
    <row r="54589" s="2" customFormat="1"/>
    <row r="54590" s="2" customFormat="1"/>
    <row r="54591" s="2" customFormat="1"/>
    <row r="54592" s="2" customFormat="1"/>
    <row r="54593" s="2" customFormat="1"/>
    <row r="54594" s="2" customFormat="1"/>
    <row r="54595" s="2" customFormat="1"/>
    <row r="54596" s="2" customFormat="1"/>
    <row r="54597" s="2" customFormat="1"/>
    <row r="54598" s="2" customFormat="1"/>
    <row r="54599" s="2" customFormat="1"/>
    <row r="54600" s="2" customFormat="1"/>
    <row r="54601" s="2" customFormat="1"/>
    <row r="54602" s="2" customFormat="1"/>
    <row r="54603" s="2" customFormat="1"/>
    <row r="54604" s="2" customFormat="1"/>
    <row r="54605" s="2" customFormat="1"/>
    <row r="54606" s="2" customFormat="1"/>
    <row r="54607" s="2" customFormat="1"/>
    <row r="54608" s="2" customFormat="1"/>
    <row r="54609" s="2" customFormat="1"/>
    <row r="54610" s="2" customFormat="1"/>
    <row r="54611" s="2" customFormat="1"/>
    <row r="54612" s="2" customFormat="1"/>
    <row r="54613" s="2" customFormat="1"/>
    <row r="54614" s="2" customFormat="1"/>
    <row r="54615" s="2" customFormat="1"/>
    <row r="54616" s="2" customFormat="1"/>
    <row r="54617" s="2" customFormat="1"/>
    <row r="54618" s="2" customFormat="1"/>
    <row r="54619" s="2" customFormat="1"/>
    <row r="54620" s="2" customFormat="1"/>
    <row r="54621" s="2" customFormat="1"/>
    <row r="54622" s="2" customFormat="1"/>
    <row r="54623" s="2" customFormat="1"/>
    <row r="54624" s="2" customFormat="1"/>
    <row r="54625" s="2" customFormat="1"/>
    <row r="54626" s="2" customFormat="1"/>
    <row r="54627" s="2" customFormat="1"/>
    <row r="54628" s="2" customFormat="1"/>
    <row r="54629" s="2" customFormat="1"/>
    <row r="54630" s="2" customFormat="1"/>
    <row r="54631" s="2" customFormat="1"/>
    <row r="54632" s="2" customFormat="1"/>
    <row r="54633" s="2" customFormat="1"/>
    <row r="54634" s="2" customFormat="1"/>
    <row r="54635" s="2" customFormat="1"/>
    <row r="54636" s="2" customFormat="1"/>
    <row r="54637" s="2" customFormat="1"/>
    <row r="54638" s="2" customFormat="1"/>
    <row r="54639" s="2" customFormat="1"/>
    <row r="54640" s="2" customFormat="1"/>
    <row r="54641" s="2" customFormat="1"/>
    <row r="54642" s="2" customFormat="1"/>
    <row r="54643" s="2" customFormat="1"/>
    <row r="54644" s="2" customFormat="1"/>
    <row r="54645" s="2" customFormat="1"/>
    <row r="54646" s="2" customFormat="1"/>
    <row r="54647" s="2" customFormat="1"/>
    <row r="54648" s="2" customFormat="1"/>
    <row r="54649" s="2" customFormat="1"/>
    <row r="54650" s="2" customFormat="1"/>
    <row r="54651" s="2" customFormat="1"/>
    <row r="54652" s="2" customFormat="1"/>
    <row r="54653" s="2" customFormat="1"/>
    <row r="54654" s="2" customFormat="1"/>
    <row r="54655" s="2" customFormat="1"/>
    <row r="54656" s="2" customFormat="1"/>
    <row r="54657" s="2" customFormat="1"/>
    <row r="54658" s="2" customFormat="1"/>
    <row r="54659" s="2" customFormat="1"/>
    <row r="54660" s="2" customFormat="1"/>
    <row r="54661" s="2" customFormat="1"/>
    <row r="54662" s="2" customFormat="1"/>
    <row r="54663" s="2" customFormat="1"/>
    <row r="54664" s="2" customFormat="1"/>
    <row r="54665" s="2" customFormat="1"/>
    <row r="54666" s="2" customFormat="1"/>
    <row r="54667" s="2" customFormat="1"/>
    <row r="54668" s="2" customFormat="1"/>
    <row r="54669" s="2" customFormat="1"/>
    <row r="54670" s="2" customFormat="1"/>
    <row r="54671" s="2" customFormat="1"/>
    <row r="54672" s="2" customFormat="1"/>
    <row r="54673" s="2" customFormat="1"/>
    <row r="54674" s="2" customFormat="1"/>
    <row r="54675" s="2" customFormat="1"/>
    <row r="54676" s="2" customFormat="1"/>
    <row r="54677" s="2" customFormat="1"/>
    <row r="54678" s="2" customFormat="1"/>
    <row r="54679" s="2" customFormat="1"/>
    <row r="54680" s="2" customFormat="1"/>
    <row r="54681" s="2" customFormat="1"/>
    <row r="54682" s="2" customFormat="1"/>
    <row r="54683" s="2" customFormat="1"/>
    <row r="54684" s="2" customFormat="1"/>
    <row r="54685" s="2" customFormat="1"/>
    <row r="54686" s="2" customFormat="1"/>
    <row r="54687" s="2" customFormat="1"/>
    <row r="54688" s="2" customFormat="1"/>
    <row r="54689" s="2" customFormat="1"/>
    <row r="54690" s="2" customFormat="1"/>
    <row r="54691" s="2" customFormat="1"/>
    <row r="54692" s="2" customFormat="1"/>
    <row r="54693" s="2" customFormat="1"/>
    <row r="54694" s="2" customFormat="1"/>
    <row r="54695" s="2" customFormat="1"/>
    <row r="54696" s="2" customFormat="1"/>
    <row r="54697" s="2" customFormat="1"/>
    <row r="54698" s="2" customFormat="1"/>
    <row r="54699" s="2" customFormat="1"/>
    <row r="54700" s="2" customFormat="1"/>
    <row r="54701" s="2" customFormat="1"/>
    <row r="54702" s="2" customFormat="1"/>
    <row r="54703" s="2" customFormat="1"/>
    <row r="54704" s="2" customFormat="1"/>
    <row r="54705" s="2" customFormat="1"/>
    <row r="54706" s="2" customFormat="1"/>
    <row r="54707" s="2" customFormat="1"/>
    <row r="54708" s="2" customFormat="1"/>
    <row r="54709" s="2" customFormat="1"/>
    <row r="54710" s="2" customFormat="1"/>
    <row r="54711" s="2" customFormat="1"/>
    <row r="54712" s="2" customFormat="1"/>
    <row r="54713" s="2" customFormat="1"/>
    <row r="54714" s="2" customFormat="1"/>
    <row r="54715" s="2" customFormat="1"/>
    <row r="54716" s="2" customFormat="1"/>
    <row r="54717" s="2" customFormat="1"/>
    <row r="54718" s="2" customFormat="1"/>
    <row r="54719" s="2" customFormat="1"/>
    <row r="54720" s="2" customFormat="1"/>
    <row r="54721" s="2" customFormat="1"/>
    <row r="54722" s="2" customFormat="1"/>
    <row r="54723" s="2" customFormat="1"/>
    <row r="54724" s="2" customFormat="1"/>
    <row r="54725" s="2" customFormat="1"/>
    <row r="54726" s="2" customFormat="1"/>
    <row r="54727" s="2" customFormat="1"/>
    <row r="54728" s="2" customFormat="1"/>
    <row r="54729" s="2" customFormat="1"/>
    <row r="54730" s="2" customFormat="1"/>
    <row r="54731" s="2" customFormat="1"/>
    <row r="54732" s="2" customFormat="1"/>
    <row r="54733" s="2" customFormat="1"/>
    <row r="54734" s="2" customFormat="1"/>
    <row r="54735" s="2" customFormat="1"/>
    <row r="54736" s="2" customFormat="1"/>
    <row r="54737" s="2" customFormat="1"/>
    <row r="54738" s="2" customFormat="1"/>
    <row r="54739" s="2" customFormat="1"/>
    <row r="54740" s="2" customFormat="1"/>
    <row r="54741" s="2" customFormat="1"/>
    <row r="54742" s="2" customFormat="1"/>
    <row r="54743" s="2" customFormat="1"/>
    <row r="54744" s="2" customFormat="1"/>
    <row r="54745" s="2" customFormat="1"/>
    <row r="54746" s="2" customFormat="1"/>
    <row r="54747" s="2" customFormat="1"/>
    <row r="54748" s="2" customFormat="1"/>
    <row r="54749" s="2" customFormat="1"/>
    <row r="54750" s="2" customFormat="1"/>
    <row r="54751" s="2" customFormat="1"/>
    <row r="54752" s="2" customFormat="1"/>
    <row r="54753" s="2" customFormat="1"/>
    <row r="54754" s="2" customFormat="1"/>
    <row r="54755" s="2" customFormat="1"/>
    <row r="54756" s="2" customFormat="1"/>
    <row r="54757" s="2" customFormat="1"/>
    <row r="54758" s="2" customFormat="1"/>
    <row r="54759" s="2" customFormat="1"/>
    <row r="54760" s="2" customFormat="1"/>
    <row r="54761" s="2" customFormat="1"/>
    <row r="54762" s="2" customFormat="1"/>
    <row r="54763" s="2" customFormat="1"/>
    <row r="54764" s="2" customFormat="1"/>
    <row r="54765" s="2" customFormat="1"/>
    <row r="54766" s="2" customFormat="1"/>
    <row r="54767" s="2" customFormat="1"/>
    <row r="54768" s="2" customFormat="1"/>
    <row r="54769" s="2" customFormat="1"/>
    <row r="54770" s="2" customFormat="1"/>
    <row r="54771" s="2" customFormat="1"/>
    <row r="54772" s="2" customFormat="1"/>
    <row r="54773" s="2" customFormat="1"/>
    <row r="54774" s="2" customFormat="1"/>
    <row r="54775" s="2" customFormat="1"/>
    <row r="54776" s="2" customFormat="1"/>
    <row r="54777" s="2" customFormat="1"/>
    <row r="54778" s="2" customFormat="1"/>
    <row r="54779" s="2" customFormat="1"/>
    <row r="54780" s="2" customFormat="1"/>
    <row r="54781" s="2" customFormat="1"/>
    <row r="54782" s="2" customFormat="1"/>
    <row r="54783" s="2" customFormat="1"/>
    <row r="54784" s="2" customFormat="1"/>
    <row r="54785" s="2" customFormat="1"/>
    <row r="54786" s="2" customFormat="1"/>
    <row r="54787" s="2" customFormat="1"/>
    <row r="54788" s="2" customFormat="1"/>
    <row r="54789" s="2" customFormat="1"/>
    <row r="54790" s="2" customFormat="1"/>
    <row r="54791" s="2" customFormat="1"/>
    <row r="54792" s="2" customFormat="1"/>
    <row r="54793" s="2" customFormat="1"/>
    <row r="54794" s="2" customFormat="1"/>
    <row r="54795" s="2" customFormat="1"/>
    <row r="54796" s="2" customFormat="1"/>
    <row r="54797" s="2" customFormat="1"/>
    <row r="54798" s="2" customFormat="1"/>
    <row r="54799" s="2" customFormat="1"/>
    <row r="54800" s="2" customFormat="1"/>
    <row r="54801" s="2" customFormat="1"/>
    <row r="54802" s="2" customFormat="1"/>
    <row r="54803" s="2" customFormat="1"/>
    <row r="54804" s="2" customFormat="1"/>
    <row r="54805" s="2" customFormat="1"/>
    <row r="54806" s="2" customFormat="1"/>
    <row r="54807" s="2" customFormat="1"/>
    <row r="54808" s="2" customFormat="1"/>
    <row r="54809" s="2" customFormat="1"/>
    <row r="54810" s="2" customFormat="1"/>
    <row r="54811" s="2" customFormat="1"/>
    <row r="54812" s="2" customFormat="1"/>
    <row r="54813" s="2" customFormat="1"/>
    <row r="54814" s="2" customFormat="1"/>
    <row r="54815" s="2" customFormat="1"/>
    <row r="54816" s="2" customFormat="1"/>
    <row r="54817" s="2" customFormat="1"/>
    <row r="54818" s="2" customFormat="1"/>
    <row r="54819" s="2" customFormat="1"/>
    <row r="54820" s="2" customFormat="1"/>
    <row r="54821" s="2" customFormat="1"/>
    <row r="54822" s="2" customFormat="1"/>
    <row r="54823" s="2" customFormat="1"/>
    <row r="54824" s="2" customFormat="1"/>
    <row r="54825" s="2" customFormat="1"/>
    <row r="54826" s="2" customFormat="1"/>
    <row r="54827" s="2" customFormat="1"/>
    <row r="54828" s="2" customFormat="1"/>
    <row r="54829" s="2" customFormat="1"/>
    <row r="54830" s="2" customFormat="1"/>
    <row r="54831" s="2" customFormat="1"/>
    <row r="54832" s="2" customFormat="1"/>
    <row r="54833" s="2" customFormat="1"/>
    <row r="54834" s="2" customFormat="1"/>
    <row r="54835" s="2" customFormat="1"/>
    <row r="54836" s="2" customFormat="1"/>
    <row r="54837" s="2" customFormat="1"/>
    <row r="54838" s="2" customFormat="1"/>
    <row r="54839" s="2" customFormat="1"/>
    <row r="54840" s="2" customFormat="1"/>
    <row r="54841" s="2" customFormat="1"/>
    <row r="54842" s="2" customFormat="1"/>
    <row r="54843" s="2" customFormat="1"/>
    <row r="54844" s="2" customFormat="1"/>
    <row r="54845" s="2" customFormat="1"/>
    <row r="54846" s="2" customFormat="1"/>
    <row r="54847" s="2" customFormat="1"/>
    <row r="54848" s="2" customFormat="1"/>
    <row r="54849" s="2" customFormat="1"/>
    <row r="54850" s="2" customFormat="1"/>
    <row r="54851" s="2" customFormat="1"/>
    <row r="54852" s="2" customFormat="1"/>
    <row r="54853" s="2" customFormat="1"/>
    <row r="54854" s="2" customFormat="1"/>
    <row r="54855" s="2" customFormat="1"/>
    <row r="54856" s="2" customFormat="1"/>
    <row r="54857" s="2" customFormat="1"/>
    <row r="54858" s="2" customFormat="1"/>
    <row r="54859" s="2" customFormat="1"/>
    <row r="54860" s="2" customFormat="1"/>
    <row r="54861" s="2" customFormat="1"/>
    <row r="54862" s="2" customFormat="1"/>
    <row r="54863" s="2" customFormat="1"/>
    <row r="54864" s="2" customFormat="1"/>
    <row r="54865" s="2" customFormat="1"/>
    <row r="54866" s="2" customFormat="1"/>
    <row r="54867" s="2" customFormat="1"/>
    <row r="54868" s="2" customFormat="1"/>
    <row r="54869" s="2" customFormat="1"/>
    <row r="54870" s="2" customFormat="1"/>
    <row r="54871" s="2" customFormat="1"/>
    <row r="54872" s="2" customFormat="1"/>
    <row r="54873" s="2" customFormat="1"/>
    <row r="54874" s="2" customFormat="1"/>
    <row r="54875" s="2" customFormat="1"/>
    <row r="54876" s="2" customFormat="1"/>
    <row r="54877" s="2" customFormat="1"/>
    <row r="54878" s="2" customFormat="1"/>
    <row r="54879" s="2" customFormat="1"/>
    <row r="54880" s="2" customFormat="1"/>
    <row r="54881" s="2" customFormat="1"/>
    <row r="54882" s="2" customFormat="1"/>
    <row r="54883" s="2" customFormat="1"/>
    <row r="54884" s="2" customFormat="1"/>
    <row r="54885" s="2" customFormat="1"/>
    <row r="54886" s="2" customFormat="1"/>
    <row r="54887" s="2" customFormat="1"/>
    <row r="54888" s="2" customFormat="1"/>
    <row r="54889" s="2" customFormat="1"/>
    <row r="54890" s="2" customFormat="1"/>
    <row r="54891" s="2" customFormat="1"/>
    <row r="54892" s="2" customFormat="1"/>
    <row r="54893" s="2" customFormat="1"/>
    <row r="54894" s="2" customFormat="1"/>
    <row r="54895" s="2" customFormat="1"/>
    <row r="54896" s="2" customFormat="1"/>
    <row r="54897" s="2" customFormat="1"/>
    <row r="54898" s="2" customFormat="1"/>
    <row r="54899" s="2" customFormat="1"/>
    <row r="54900" s="2" customFormat="1"/>
    <row r="54901" s="2" customFormat="1"/>
    <row r="54902" s="2" customFormat="1"/>
    <row r="54903" s="2" customFormat="1"/>
    <row r="54904" s="2" customFormat="1"/>
    <row r="54905" s="2" customFormat="1"/>
    <row r="54906" s="2" customFormat="1"/>
    <row r="54907" s="2" customFormat="1"/>
    <row r="54908" s="2" customFormat="1"/>
    <row r="54909" s="2" customFormat="1"/>
    <row r="54910" s="2" customFormat="1"/>
    <row r="54911" s="2" customFormat="1"/>
    <row r="54912" s="2" customFormat="1"/>
    <row r="54913" s="2" customFormat="1"/>
    <row r="54914" s="2" customFormat="1"/>
    <row r="54915" s="2" customFormat="1"/>
    <row r="54916" s="2" customFormat="1"/>
    <row r="54917" s="2" customFormat="1"/>
    <row r="54918" s="2" customFormat="1"/>
    <row r="54919" s="2" customFormat="1"/>
    <row r="54920" s="2" customFormat="1"/>
    <row r="54921" s="2" customFormat="1"/>
    <row r="54922" s="2" customFormat="1"/>
    <row r="54923" s="2" customFormat="1"/>
    <row r="54924" s="2" customFormat="1"/>
    <row r="54925" s="2" customFormat="1"/>
    <row r="54926" s="2" customFormat="1"/>
    <row r="54927" s="2" customFormat="1"/>
    <row r="54928" s="2" customFormat="1"/>
    <row r="54929" s="2" customFormat="1"/>
    <row r="54930" s="2" customFormat="1"/>
    <row r="54931" s="2" customFormat="1"/>
    <row r="54932" s="2" customFormat="1"/>
    <row r="54933" s="2" customFormat="1"/>
    <row r="54934" s="2" customFormat="1"/>
    <row r="54935" s="2" customFormat="1"/>
    <row r="54936" s="2" customFormat="1"/>
    <row r="54937" s="2" customFormat="1"/>
    <row r="54938" s="2" customFormat="1"/>
    <row r="54939" s="2" customFormat="1"/>
    <row r="54940" s="2" customFormat="1"/>
    <row r="54941" s="2" customFormat="1"/>
    <row r="54942" s="2" customFormat="1"/>
    <row r="54943" s="2" customFormat="1"/>
    <row r="54944" s="2" customFormat="1"/>
    <row r="54945" s="2" customFormat="1"/>
    <row r="54946" s="2" customFormat="1"/>
    <row r="54947" s="2" customFormat="1"/>
    <row r="54948" s="2" customFormat="1"/>
    <row r="54949" s="2" customFormat="1"/>
    <row r="54950" s="2" customFormat="1"/>
    <row r="54951" s="2" customFormat="1"/>
    <row r="54952" s="2" customFormat="1"/>
    <row r="54953" s="2" customFormat="1"/>
    <row r="54954" s="2" customFormat="1"/>
    <row r="54955" s="2" customFormat="1"/>
    <row r="54956" s="2" customFormat="1"/>
    <row r="54957" s="2" customFormat="1"/>
    <row r="54958" s="2" customFormat="1"/>
    <row r="54959" s="2" customFormat="1"/>
    <row r="54960" s="2" customFormat="1"/>
    <row r="54961" s="2" customFormat="1"/>
    <row r="54962" s="2" customFormat="1"/>
    <row r="54963" s="2" customFormat="1"/>
    <row r="54964" s="2" customFormat="1"/>
    <row r="54965" s="2" customFormat="1"/>
    <row r="54966" s="2" customFormat="1"/>
    <row r="54967" s="2" customFormat="1"/>
    <row r="54968" s="2" customFormat="1"/>
    <row r="54969" s="2" customFormat="1"/>
    <row r="54970" s="2" customFormat="1"/>
    <row r="54971" s="2" customFormat="1"/>
    <row r="54972" s="2" customFormat="1"/>
    <row r="54973" s="2" customFormat="1"/>
    <row r="54974" s="2" customFormat="1"/>
    <row r="54975" s="2" customFormat="1"/>
    <row r="54976" s="2" customFormat="1"/>
    <row r="54977" s="2" customFormat="1"/>
    <row r="54978" s="2" customFormat="1"/>
    <row r="54979" s="2" customFormat="1"/>
    <row r="54980" s="2" customFormat="1"/>
    <row r="54981" s="2" customFormat="1"/>
    <row r="54982" s="2" customFormat="1"/>
    <row r="54983" s="2" customFormat="1"/>
    <row r="54984" s="2" customFormat="1"/>
    <row r="54985" s="2" customFormat="1"/>
    <row r="54986" s="2" customFormat="1"/>
    <row r="54987" s="2" customFormat="1"/>
    <row r="54988" s="2" customFormat="1"/>
    <row r="54989" s="2" customFormat="1"/>
    <row r="54990" s="2" customFormat="1"/>
    <row r="54991" s="2" customFormat="1"/>
    <row r="54992" s="2" customFormat="1"/>
    <row r="54993" s="2" customFormat="1"/>
    <row r="54994" s="2" customFormat="1"/>
    <row r="54995" s="2" customFormat="1"/>
    <row r="54996" s="2" customFormat="1"/>
    <row r="54997" s="2" customFormat="1"/>
    <row r="54998" s="2" customFormat="1"/>
    <row r="54999" s="2" customFormat="1"/>
    <row r="55000" s="2" customFormat="1"/>
    <row r="55001" s="2" customFormat="1"/>
    <row r="55002" s="2" customFormat="1"/>
    <row r="55003" s="2" customFormat="1"/>
    <row r="55004" s="2" customFormat="1"/>
    <row r="55005" s="2" customFormat="1"/>
    <row r="55006" s="2" customFormat="1"/>
    <row r="55007" s="2" customFormat="1"/>
    <row r="55008" s="2" customFormat="1"/>
    <row r="55009" s="2" customFormat="1"/>
    <row r="55010" s="2" customFormat="1"/>
    <row r="55011" s="2" customFormat="1"/>
    <row r="55012" s="2" customFormat="1"/>
    <row r="55013" s="2" customFormat="1"/>
    <row r="55014" s="2" customFormat="1"/>
    <row r="55015" s="2" customFormat="1"/>
    <row r="55016" s="2" customFormat="1"/>
    <row r="55017" s="2" customFormat="1"/>
    <row r="55018" s="2" customFormat="1"/>
    <row r="55019" s="2" customFormat="1"/>
    <row r="55020" s="2" customFormat="1"/>
    <row r="55021" s="2" customFormat="1"/>
    <row r="55022" s="2" customFormat="1"/>
    <row r="55023" s="2" customFormat="1"/>
    <row r="55024" s="2" customFormat="1"/>
    <row r="55025" s="2" customFormat="1"/>
    <row r="55026" s="2" customFormat="1"/>
    <row r="55027" s="2" customFormat="1"/>
    <row r="55028" s="2" customFormat="1"/>
    <row r="55029" s="2" customFormat="1"/>
    <row r="55030" s="2" customFormat="1"/>
    <row r="55031" s="2" customFormat="1"/>
    <row r="55032" s="2" customFormat="1"/>
    <row r="55033" s="2" customFormat="1"/>
    <row r="55034" s="2" customFormat="1"/>
    <row r="55035" s="2" customFormat="1"/>
    <row r="55036" s="2" customFormat="1"/>
    <row r="55037" s="2" customFormat="1"/>
    <row r="55038" s="2" customFormat="1"/>
    <row r="55039" s="2" customFormat="1"/>
    <row r="55040" s="2" customFormat="1"/>
    <row r="55041" s="2" customFormat="1"/>
    <row r="55042" s="2" customFormat="1"/>
    <row r="55043" s="2" customFormat="1"/>
    <row r="55044" s="2" customFormat="1"/>
    <row r="55045" s="2" customFormat="1"/>
    <row r="55046" s="2" customFormat="1"/>
    <row r="55047" s="2" customFormat="1"/>
    <row r="55048" s="2" customFormat="1"/>
    <row r="55049" s="2" customFormat="1"/>
    <row r="55050" s="2" customFormat="1"/>
    <row r="55051" s="2" customFormat="1"/>
    <row r="55052" s="2" customFormat="1"/>
    <row r="55053" s="2" customFormat="1"/>
    <row r="55054" s="2" customFormat="1"/>
    <row r="55055" s="2" customFormat="1"/>
    <row r="55056" s="2" customFormat="1"/>
    <row r="55057" s="2" customFormat="1"/>
    <row r="55058" s="2" customFormat="1"/>
    <row r="55059" s="2" customFormat="1"/>
    <row r="55060" s="2" customFormat="1"/>
    <row r="55061" s="2" customFormat="1"/>
    <row r="55062" s="2" customFormat="1"/>
    <row r="55063" s="2" customFormat="1"/>
    <row r="55064" s="2" customFormat="1"/>
    <row r="55065" s="2" customFormat="1"/>
    <row r="55066" s="2" customFormat="1"/>
    <row r="55067" s="2" customFormat="1"/>
    <row r="55068" s="2" customFormat="1"/>
    <row r="55069" s="2" customFormat="1"/>
    <row r="55070" s="2" customFormat="1"/>
    <row r="55071" s="2" customFormat="1"/>
    <row r="55072" s="2" customFormat="1"/>
    <row r="55073" s="2" customFormat="1"/>
    <row r="55074" s="2" customFormat="1"/>
    <row r="55075" s="2" customFormat="1"/>
    <row r="55076" s="2" customFormat="1"/>
    <row r="55077" s="2" customFormat="1"/>
    <row r="55078" s="2" customFormat="1"/>
    <row r="55079" s="2" customFormat="1"/>
    <row r="55080" s="2" customFormat="1"/>
    <row r="55081" s="2" customFormat="1"/>
    <row r="55082" s="2" customFormat="1"/>
    <row r="55083" s="2" customFormat="1"/>
    <row r="55084" s="2" customFormat="1"/>
    <row r="55085" s="2" customFormat="1"/>
    <row r="55086" s="2" customFormat="1"/>
    <row r="55087" s="2" customFormat="1"/>
    <row r="55088" s="2" customFormat="1"/>
    <row r="55089" s="2" customFormat="1"/>
    <row r="55090" s="2" customFormat="1"/>
    <row r="55091" s="2" customFormat="1"/>
    <row r="55092" s="2" customFormat="1"/>
    <row r="55093" s="2" customFormat="1"/>
    <row r="55094" s="2" customFormat="1"/>
    <row r="55095" s="2" customFormat="1"/>
    <row r="55096" s="2" customFormat="1"/>
    <row r="55097" s="2" customFormat="1"/>
    <row r="55098" s="2" customFormat="1"/>
    <row r="55099" s="2" customFormat="1"/>
    <row r="55100" s="2" customFormat="1"/>
    <row r="55101" s="2" customFormat="1"/>
    <row r="55102" s="2" customFormat="1"/>
    <row r="55103" s="2" customFormat="1"/>
    <row r="55104" s="2" customFormat="1"/>
    <row r="55105" s="2" customFormat="1"/>
    <row r="55106" s="2" customFormat="1"/>
    <row r="55107" s="2" customFormat="1"/>
    <row r="55108" s="2" customFormat="1"/>
    <row r="55109" s="2" customFormat="1"/>
    <row r="55110" s="2" customFormat="1"/>
    <row r="55111" s="2" customFormat="1"/>
    <row r="55112" s="2" customFormat="1"/>
    <row r="55113" s="2" customFormat="1"/>
    <row r="55114" s="2" customFormat="1"/>
    <row r="55115" s="2" customFormat="1"/>
    <row r="55116" s="2" customFormat="1"/>
    <row r="55117" s="2" customFormat="1"/>
    <row r="55118" s="2" customFormat="1"/>
    <row r="55119" s="2" customFormat="1"/>
    <row r="55120" s="2" customFormat="1"/>
    <row r="55121" s="2" customFormat="1"/>
    <row r="55122" s="2" customFormat="1"/>
    <row r="55123" s="2" customFormat="1"/>
    <row r="55124" s="2" customFormat="1"/>
    <row r="55125" s="2" customFormat="1"/>
    <row r="55126" s="2" customFormat="1"/>
    <row r="55127" s="2" customFormat="1"/>
    <row r="55128" s="2" customFormat="1"/>
    <row r="55129" s="2" customFormat="1"/>
    <row r="55130" s="2" customFormat="1"/>
    <row r="55131" s="2" customFormat="1"/>
    <row r="55132" s="2" customFormat="1"/>
    <row r="55133" s="2" customFormat="1"/>
    <row r="55134" s="2" customFormat="1"/>
    <row r="55135" s="2" customFormat="1"/>
    <row r="55136" s="2" customFormat="1"/>
    <row r="55137" s="2" customFormat="1"/>
    <row r="55138" s="2" customFormat="1"/>
    <row r="55139" s="2" customFormat="1"/>
    <row r="55140" s="2" customFormat="1"/>
    <row r="55141" s="2" customFormat="1"/>
    <row r="55142" s="2" customFormat="1"/>
    <row r="55143" s="2" customFormat="1"/>
    <row r="55144" s="2" customFormat="1"/>
    <row r="55145" s="2" customFormat="1"/>
    <row r="55146" s="2" customFormat="1"/>
    <row r="55147" s="2" customFormat="1"/>
    <row r="55148" s="2" customFormat="1"/>
    <row r="55149" s="2" customFormat="1"/>
    <row r="55150" s="2" customFormat="1"/>
    <row r="55151" s="2" customFormat="1"/>
    <row r="55152" s="2" customFormat="1"/>
    <row r="55153" s="2" customFormat="1"/>
    <row r="55154" s="2" customFormat="1"/>
    <row r="55155" s="2" customFormat="1"/>
    <row r="55156" s="2" customFormat="1"/>
    <row r="55157" s="2" customFormat="1"/>
    <row r="55158" s="2" customFormat="1"/>
    <row r="55159" s="2" customFormat="1"/>
    <row r="55160" s="2" customFormat="1"/>
    <row r="55161" s="2" customFormat="1"/>
    <row r="55162" s="2" customFormat="1"/>
    <row r="55163" s="2" customFormat="1"/>
    <row r="55164" s="2" customFormat="1"/>
    <row r="55165" s="2" customFormat="1"/>
    <row r="55166" s="2" customFormat="1"/>
    <row r="55167" s="2" customFormat="1"/>
    <row r="55168" s="2" customFormat="1"/>
    <row r="55169" s="2" customFormat="1"/>
    <row r="55170" s="2" customFormat="1"/>
    <row r="55171" s="2" customFormat="1"/>
    <row r="55172" s="2" customFormat="1"/>
    <row r="55173" s="2" customFormat="1"/>
    <row r="55174" s="2" customFormat="1"/>
    <row r="55175" s="2" customFormat="1"/>
    <row r="55176" s="2" customFormat="1"/>
    <row r="55177" s="2" customFormat="1"/>
    <row r="55178" s="2" customFormat="1"/>
    <row r="55179" s="2" customFormat="1"/>
    <row r="55180" s="2" customFormat="1"/>
    <row r="55181" s="2" customFormat="1"/>
    <row r="55182" s="2" customFormat="1"/>
    <row r="55183" s="2" customFormat="1"/>
    <row r="55184" s="2" customFormat="1"/>
    <row r="55185" s="2" customFormat="1"/>
    <row r="55186" s="2" customFormat="1"/>
    <row r="55187" s="2" customFormat="1"/>
    <row r="55188" s="2" customFormat="1"/>
    <row r="55189" s="2" customFormat="1"/>
    <row r="55190" s="2" customFormat="1"/>
    <row r="55191" s="2" customFormat="1"/>
    <row r="55192" s="2" customFormat="1"/>
    <row r="55193" s="2" customFormat="1"/>
    <row r="55194" s="2" customFormat="1"/>
    <row r="55195" s="2" customFormat="1"/>
    <row r="55196" s="2" customFormat="1"/>
    <row r="55197" s="2" customFormat="1"/>
    <row r="55198" s="2" customFormat="1"/>
    <row r="55199" s="2" customFormat="1"/>
    <row r="55200" s="2" customFormat="1"/>
    <row r="55201" s="2" customFormat="1"/>
    <row r="55202" s="2" customFormat="1"/>
    <row r="55203" s="2" customFormat="1"/>
    <row r="55204" s="2" customFormat="1"/>
    <row r="55205" s="2" customFormat="1"/>
    <row r="55206" s="2" customFormat="1"/>
    <row r="55207" s="2" customFormat="1"/>
    <row r="55208" s="2" customFormat="1"/>
    <row r="55209" s="2" customFormat="1"/>
    <row r="55210" s="2" customFormat="1"/>
    <row r="55211" s="2" customFormat="1"/>
    <row r="55212" s="2" customFormat="1"/>
    <row r="55213" s="2" customFormat="1"/>
    <row r="55214" s="2" customFormat="1"/>
    <row r="55215" s="2" customFormat="1"/>
    <row r="55216" s="2" customFormat="1"/>
    <row r="55217" s="2" customFormat="1"/>
    <row r="55218" s="2" customFormat="1"/>
    <row r="55219" s="2" customFormat="1"/>
    <row r="55220" s="2" customFormat="1"/>
    <row r="55221" s="2" customFormat="1"/>
    <row r="55222" s="2" customFormat="1"/>
    <row r="55223" s="2" customFormat="1"/>
    <row r="55224" s="2" customFormat="1"/>
    <row r="55225" s="2" customFormat="1"/>
    <row r="55226" s="2" customFormat="1"/>
    <row r="55227" s="2" customFormat="1"/>
    <row r="55228" s="2" customFormat="1"/>
    <row r="55229" s="2" customFormat="1"/>
    <row r="55230" s="2" customFormat="1"/>
    <row r="55231" s="2" customFormat="1"/>
    <row r="55232" s="2" customFormat="1"/>
    <row r="55233" s="2" customFormat="1"/>
    <row r="55234" s="2" customFormat="1"/>
    <row r="55235" s="2" customFormat="1"/>
    <row r="55236" s="2" customFormat="1"/>
    <row r="55237" s="2" customFormat="1"/>
    <row r="55238" s="2" customFormat="1"/>
    <row r="55239" s="2" customFormat="1"/>
    <row r="55240" s="2" customFormat="1"/>
    <row r="55241" s="2" customFormat="1"/>
    <row r="55242" s="2" customFormat="1"/>
    <row r="55243" s="2" customFormat="1"/>
    <row r="55244" s="2" customFormat="1"/>
    <row r="55245" s="2" customFormat="1"/>
    <row r="55246" s="2" customFormat="1"/>
    <row r="55247" s="2" customFormat="1"/>
    <row r="55248" s="2" customFormat="1"/>
    <row r="55249" s="2" customFormat="1"/>
    <row r="55250" s="2" customFormat="1"/>
    <row r="55251" s="2" customFormat="1"/>
    <row r="55252" s="2" customFormat="1"/>
    <row r="55253" s="2" customFormat="1"/>
    <row r="55254" s="2" customFormat="1"/>
    <row r="55255" s="2" customFormat="1"/>
    <row r="55256" s="2" customFormat="1"/>
    <row r="55257" s="2" customFormat="1"/>
    <row r="55258" s="2" customFormat="1"/>
    <row r="55259" s="2" customFormat="1"/>
    <row r="55260" s="2" customFormat="1"/>
    <row r="55261" s="2" customFormat="1"/>
    <row r="55262" s="2" customFormat="1"/>
    <row r="55263" s="2" customFormat="1"/>
    <row r="55264" s="2" customFormat="1"/>
    <row r="55265" s="2" customFormat="1"/>
    <row r="55266" s="2" customFormat="1"/>
    <row r="55267" s="2" customFormat="1"/>
    <row r="55268" s="2" customFormat="1"/>
    <row r="55269" s="2" customFormat="1"/>
    <row r="55270" s="2" customFormat="1"/>
    <row r="55271" s="2" customFormat="1"/>
    <row r="55272" s="2" customFormat="1"/>
    <row r="55273" s="2" customFormat="1"/>
    <row r="55274" s="2" customFormat="1"/>
    <row r="55275" s="2" customFormat="1"/>
    <row r="55276" s="2" customFormat="1"/>
    <row r="55277" s="2" customFormat="1"/>
    <row r="55278" s="2" customFormat="1"/>
    <row r="55279" s="2" customFormat="1"/>
    <row r="55280" s="2" customFormat="1"/>
    <row r="55281" s="2" customFormat="1"/>
    <row r="55282" s="2" customFormat="1"/>
    <row r="55283" s="2" customFormat="1"/>
    <row r="55284" s="2" customFormat="1"/>
    <row r="55285" s="2" customFormat="1"/>
    <row r="55286" s="2" customFormat="1"/>
    <row r="55287" s="2" customFormat="1"/>
    <row r="55288" s="2" customFormat="1"/>
    <row r="55289" s="2" customFormat="1"/>
    <row r="55290" s="2" customFormat="1"/>
    <row r="55291" s="2" customFormat="1"/>
    <row r="55292" s="2" customFormat="1"/>
    <row r="55293" s="2" customFormat="1"/>
    <row r="55294" s="2" customFormat="1"/>
    <row r="55295" s="2" customFormat="1"/>
    <row r="55296" s="2" customFormat="1"/>
    <row r="55297" s="2" customFormat="1"/>
    <row r="55298" s="2" customFormat="1"/>
    <row r="55299" s="2" customFormat="1"/>
    <row r="55300" s="2" customFormat="1"/>
    <row r="55301" s="2" customFormat="1"/>
    <row r="55302" s="2" customFormat="1"/>
    <row r="55303" s="2" customFormat="1"/>
    <row r="55304" s="2" customFormat="1"/>
    <row r="55305" s="2" customFormat="1"/>
    <row r="55306" s="2" customFormat="1"/>
    <row r="55307" s="2" customFormat="1"/>
    <row r="55308" s="2" customFormat="1"/>
    <row r="55309" s="2" customFormat="1"/>
    <row r="55310" s="2" customFormat="1"/>
    <row r="55311" s="2" customFormat="1"/>
    <row r="55312" s="2" customFormat="1"/>
    <row r="55313" s="2" customFormat="1"/>
    <row r="55314" s="2" customFormat="1"/>
    <row r="55315" s="2" customFormat="1"/>
    <row r="55316" s="2" customFormat="1"/>
    <row r="55317" s="2" customFormat="1"/>
    <row r="55318" s="2" customFormat="1"/>
    <row r="55319" s="2" customFormat="1"/>
    <row r="55320" s="2" customFormat="1"/>
    <row r="55321" s="2" customFormat="1"/>
    <row r="55322" s="2" customFormat="1"/>
    <row r="55323" s="2" customFormat="1"/>
    <row r="55324" s="2" customFormat="1"/>
    <row r="55325" s="2" customFormat="1"/>
    <row r="55326" s="2" customFormat="1"/>
    <row r="55327" s="2" customFormat="1"/>
    <row r="55328" s="2" customFormat="1"/>
    <row r="55329" s="2" customFormat="1"/>
    <row r="55330" s="2" customFormat="1"/>
    <row r="55331" s="2" customFormat="1"/>
    <row r="55332" s="2" customFormat="1"/>
    <row r="55333" s="2" customFormat="1"/>
    <row r="55334" s="2" customFormat="1"/>
    <row r="55335" s="2" customFormat="1"/>
    <row r="55336" s="2" customFormat="1"/>
    <row r="55337" s="2" customFormat="1"/>
    <row r="55338" s="2" customFormat="1"/>
    <row r="55339" s="2" customFormat="1"/>
    <row r="55340" s="2" customFormat="1"/>
    <row r="55341" s="2" customFormat="1"/>
    <row r="55342" s="2" customFormat="1"/>
    <row r="55343" s="2" customFormat="1"/>
    <row r="55344" s="2" customFormat="1"/>
    <row r="55345" s="2" customFormat="1"/>
    <row r="55346" s="2" customFormat="1"/>
    <row r="55347" s="2" customFormat="1"/>
    <row r="55348" s="2" customFormat="1"/>
    <row r="55349" s="2" customFormat="1"/>
    <row r="55350" s="2" customFormat="1"/>
    <row r="55351" s="2" customFormat="1"/>
    <row r="55352" s="2" customFormat="1"/>
    <row r="55353" s="2" customFormat="1"/>
    <row r="55354" s="2" customFormat="1"/>
    <row r="55355" s="2" customFormat="1"/>
    <row r="55356" s="2" customFormat="1"/>
    <row r="55357" s="2" customFormat="1"/>
    <row r="55358" s="2" customFormat="1"/>
    <row r="55359" s="2" customFormat="1"/>
    <row r="55360" s="2" customFormat="1"/>
    <row r="55361" s="2" customFormat="1"/>
    <row r="55362" s="2" customFormat="1"/>
    <row r="55363" s="2" customFormat="1"/>
    <row r="55364" s="2" customFormat="1"/>
    <row r="55365" s="2" customFormat="1"/>
    <row r="55366" s="2" customFormat="1"/>
    <row r="55367" s="2" customFormat="1"/>
    <row r="55368" s="2" customFormat="1"/>
    <row r="55369" s="2" customFormat="1"/>
    <row r="55370" s="2" customFormat="1"/>
    <row r="55371" s="2" customFormat="1"/>
    <row r="55372" s="2" customFormat="1"/>
    <row r="55373" s="2" customFormat="1"/>
    <row r="55374" s="2" customFormat="1"/>
    <row r="55375" s="2" customFormat="1"/>
    <row r="55376" s="2" customFormat="1"/>
    <row r="55377" s="2" customFormat="1"/>
    <row r="55378" s="2" customFormat="1"/>
    <row r="55379" s="2" customFormat="1"/>
    <row r="55380" s="2" customFormat="1"/>
    <row r="55381" s="2" customFormat="1"/>
    <row r="55382" s="2" customFormat="1"/>
    <row r="55383" s="2" customFormat="1"/>
    <row r="55384" s="2" customFormat="1"/>
    <row r="55385" s="2" customFormat="1"/>
    <row r="55386" s="2" customFormat="1"/>
    <row r="55387" s="2" customFormat="1"/>
    <row r="55388" s="2" customFormat="1"/>
    <row r="55389" s="2" customFormat="1"/>
    <row r="55390" s="2" customFormat="1"/>
    <row r="55391" s="2" customFormat="1"/>
    <row r="55392" s="2" customFormat="1"/>
    <row r="55393" s="2" customFormat="1"/>
    <row r="55394" s="2" customFormat="1"/>
    <row r="55395" s="2" customFormat="1"/>
    <row r="55396" s="2" customFormat="1"/>
    <row r="55397" s="2" customFormat="1"/>
    <row r="55398" s="2" customFormat="1"/>
    <row r="55399" s="2" customFormat="1"/>
    <row r="55400" s="2" customFormat="1"/>
    <row r="55401" s="2" customFormat="1"/>
    <row r="55402" s="2" customFormat="1"/>
    <row r="55403" s="2" customFormat="1"/>
    <row r="55404" s="2" customFormat="1"/>
    <row r="55405" s="2" customFormat="1"/>
    <row r="55406" s="2" customFormat="1"/>
    <row r="55407" s="2" customFormat="1"/>
    <row r="55408" s="2" customFormat="1"/>
    <row r="55409" s="2" customFormat="1"/>
    <row r="55410" s="2" customFormat="1"/>
    <row r="55411" s="2" customFormat="1"/>
    <row r="55412" s="2" customFormat="1"/>
    <row r="55413" s="2" customFormat="1"/>
    <row r="55414" s="2" customFormat="1"/>
    <row r="55415" s="2" customFormat="1"/>
    <row r="55416" s="2" customFormat="1"/>
    <row r="55417" s="2" customFormat="1"/>
    <row r="55418" s="2" customFormat="1"/>
    <row r="55419" s="2" customFormat="1"/>
    <row r="55420" s="2" customFormat="1"/>
    <row r="55421" s="2" customFormat="1"/>
    <row r="55422" s="2" customFormat="1"/>
    <row r="55423" s="2" customFormat="1"/>
    <row r="55424" s="2" customFormat="1"/>
    <row r="55425" s="2" customFormat="1"/>
    <row r="55426" s="2" customFormat="1"/>
    <row r="55427" s="2" customFormat="1"/>
    <row r="55428" s="2" customFormat="1"/>
    <row r="55429" s="2" customFormat="1"/>
    <row r="55430" s="2" customFormat="1"/>
    <row r="55431" s="2" customFormat="1"/>
    <row r="55432" s="2" customFormat="1"/>
    <row r="55433" s="2" customFormat="1"/>
    <row r="55434" s="2" customFormat="1"/>
    <row r="55435" s="2" customFormat="1"/>
    <row r="55436" s="2" customFormat="1"/>
    <row r="55437" s="2" customFormat="1"/>
    <row r="55438" s="2" customFormat="1"/>
    <row r="55439" s="2" customFormat="1"/>
    <row r="55440" s="2" customFormat="1"/>
    <row r="55441" s="2" customFormat="1"/>
    <row r="55442" s="2" customFormat="1"/>
    <row r="55443" s="2" customFormat="1"/>
    <row r="55444" s="2" customFormat="1"/>
    <row r="55445" s="2" customFormat="1"/>
    <row r="55446" s="2" customFormat="1"/>
    <row r="55447" s="2" customFormat="1"/>
    <row r="55448" s="2" customFormat="1"/>
    <row r="55449" s="2" customFormat="1"/>
    <row r="55450" s="2" customFormat="1"/>
    <row r="55451" s="2" customFormat="1"/>
    <row r="55452" s="2" customFormat="1"/>
    <row r="55453" s="2" customFormat="1"/>
    <row r="55454" s="2" customFormat="1"/>
    <row r="55455" s="2" customFormat="1"/>
    <row r="55456" s="2" customFormat="1"/>
    <row r="55457" s="2" customFormat="1"/>
    <row r="55458" s="2" customFormat="1"/>
    <row r="55459" s="2" customFormat="1"/>
    <row r="55460" s="2" customFormat="1"/>
    <row r="55461" s="2" customFormat="1"/>
    <row r="55462" s="2" customFormat="1"/>
    <row r="55463" s="2" customFormat="1"/>
    <row r="55464" s="2" customFormat="1"/>
    <row r="55465" s="2" customFormat="1"/>
    <row r="55466" s="2" customFormat="1"/>
    <row r="55467" s="2" customFormat="1"/>
    <row r="55468" s="2" customFormat="1"/>
    <row r="55469" s="2" customFormat="1"/>
    <row r="55470" s="2" customFormat="1"/>
    <row r="55471" s="2" customFormat="1"/>
    <row r="55472" s="2" customFormat="1"/>
    <row r="55473" s="2" customFormat="1"/>
    <row r="55474" s="2" customFormat="1"/>
    <row r="55475" s="2" customFormat="1"/>
    <row r="55476" s="2" customFormat="1"/>
    <row r="55477" s="2" customFormat="1"/>
    <row r="55478" s="2" customFormat="1"/>
    <row r="55479" s="2" customFormat="1"/>
    <row r="55480" s="2" customFormat="1"/>
    <row r="55481" s="2" customFormat="1"/>
    <row r="55482" s="2" customFormat="1"/>
    <row r="55483" s="2" customFormat="1"/>
    <row r="55484" s="2" customFormat="1"/>
    <row r="55485" s="2" customFormat="1"/>
    <row r="55486" s="2" customFormat="1"/>
    <row r="55487" s="2" customFormat="1"/>
    <row r="55488" s="2" customFormat="1"/>
    <row r="55489" s="2" customFormat="1"/>
    <row r="55490" s="2" customFormat="1"/>
    <row r="55491" s="2" customFormat="1"/>
    <row r="55492" s="2" customFormat="1"/>
    <row r="55493" s="2" customFormat="1"/>
    <row r="55494" s="2" customFormat="1"/>
    <row r="55495" s="2" customFormat="1"/>
    <row r="55496" s="2" customFormat="1"/>
    <row r="55497" s="2" customFormat="1"/>
    <row r="55498" s="2" customFormat="1"/>
    <row r="55499" s="2" customFormat="1"/>
    <row r="55500" s="2" customFormat="1"/>
    <row r="55501" s="2" customFormat="1"/>
    <row r="55502" s="2" customFormat="1"/>
    <row r="55503" s="2" customFormat="1"/>
    <row r="55504" s="2" customFormat="1"/>
    <row r="55505" s="2" customFormat="1"/>
    <row r="55506" s="2" customFormat="1"/>
    <row r="55507" s="2" customFormat="1"/>
    <row r="55508" s="2" customFormat="1"/>
    <row r="55509" s="2" customFormat="1"/>
    <row r="55510" s="2" customFormat="1"/>
    <row r="55511" s="2" customFormat="1"/>
    <row r="55512" s="2" customFormat="1"/>
    <row r="55513" s="2" customFormat="1"/>
    <row r="55514" s="2" customFormat="1"/>
    <row r="55515" s="2" customFormat="1"/>
    <row r="55516" s="2" customFormat="1"/>
    <row r="55517" s="2" customFormat="1"/>
    <row r="55518" s="2" customFormat="1"/>
    <row r="55519" s="2" customFormat="1"/>
    <row r="55520" s="2" customFormat="1"/>
    <row r="55521" s="2" customFormat="1"/>
    <row r="55522" s="2" customFormat="1"/>
    <row r="55523" s="2" customFormat="1"/>
    <row r="55524" s="2" customFormat="1"/>
    <row r="55525" s="2" customFormat="1"/>
    <row r="55526" s="2" customFormat="1"/>
    <row r="55527" s="2" customFormat="1"/>
    <row r="55528" s="2" customFormat="1"/>
    <row r="55529" s="2" customFormat="1"/>
    <row r="55530" s="2" customFormat="1"/>
    <row r="55531" s="2" customFormat="1"/>
    <row r="55532" s="2" customFormat="1"/>
    <row r="55533" s="2" customFormat="1"/>
    <row r="55534" s="2" customFormat="1"/>
    <row r="55535" s="2" customFormat="1"/>
    <row r="55536" s="2" customFormat="1"/>
    <row r="55537" s="2" customFormat="1"/>
    <row r="55538" s="2" customFormat="1"/>
    <row r="55539" s="2" customFormat="1"/>
    <row r="55540" s="2" customFormat="1"/>
    <row r="55541" s="2" customFormat="1"/>
    <row r="55542" s="2" customFormat="1"/>
    <row r="55543" s="2" customFormat="1"/>
    <row r="55544" s="2" customFormat="1"/>
    <row r="55545" s="2" customFormat="1"/>
    <row r="55546" s="2" customFormat="1"/>
    <row r="55547" s="2" customFormat="1"/>
    <row r="55548" s="2" customFormat="1"/>
    <row r="55549" s="2" customFormat="1"/>
    <row r="55550" s="2" customFormat="1"/>
    <row r="55551" s="2" customFormat="1"/>
    <row r="55552" s="2" customFormat="1"/>
    <row r="55553" s="2" customFormat="1"/>
    <row r="55554" s="2" customFormat="1"/>
    <row r="55555" s="2" customFormat="1"/>
    <row r="55556" s="2" customFormat="1"/>
    <row r="55557" s="2" customFormat="1"/>
    <row r="55558" s="2" customFormat="1"/>
    <row r="55559" s="2" customFormat="1"/>
    <row r="55560" s="2" customFormat="1"/>
    <row r="55561" s="2" customFormat="1"/>
    <row r="55562" s="2" customFormat="1"/>
    <row r="55563" s="2" customFormat="1"/>
    <row r="55564" s="2" customFormat="1"/>
    <row r="55565" s="2" customFormat="1"/>
    <row r="55566" s="2" customFormat="1"/>
    <row r="55567" s="2" customFormat="1"/>
    <row r="55568" s="2" customFormat="1"/>
    <row r="55569" s="2" customFormat="1"/>
    <row r="55570" s="2" customFormat="1"/>
    <row r="55571" s="2" customFormat="1"/>
    <row r="55572" s="2" customFormat="1"/>
    <row r="55573" s="2" customFormat="1"/>
    <row r="55574" s="2" customFormat="1"/>
    <row r="55575" s="2" customFormat="1"/>
    <row r="55576" s="2" customFormat="1"/>
    <row r="55577" s="2" customFormat="1"/>
    <row r="55578" s="2" customFormat="1"/>
    <row r="55579" s="2" customFormat="1"/>
    <row r="55580" s="2" customFormat="1"/>
    <row r="55581" s="2" customFormat="1"/>
    <row r="55582" s="2" customFormat="1"/>
    <row r="55583" s="2" customFormat="1"/>
    <row r="55584" s="2" customFormat="1"/>
    <row r="55585" s="2" customFormat="1"/>
    <row r="55586" s="2" customFormat="1"/>
    <row r="55587" s="2" customFormat="1"/>
    <row r="55588" s="2" customFormat="1"/>
    <row r="55589" s="2" customFormat="1"/>
    <row r="55590" s="2" customFormat="1"/>
    <row r="55591" s="2" customFormat="1"/>
    <row r="55592" s="2" customFormat="1"/>
    <row r="55593" s="2" customFormat="1"/>
    <row r="55594" s="2" customFormat="1"/>
    <row r="55595" s="2" customFormat="1"/>
    <row r="55596" s="2" customFormat="1"/>
    <row r="55597" s="2" customFormat="1"/>
    <row r="55598" s="2" customFormat="1"/>
    <row r="55599" s="2" customFormat="1"/>
    <row r="55600" s="2" customFormat="1"/>
    <row r="55601" s="2" customFormat="1"/>
    <row r="55602" s="2" customFormat="1"/>
    <row r="55603" s="2" customFormat="1"/>
    <row r="55604" s="2" customFormat="1"/>
    <row r="55605" s="2" customFormat="1"/>
    <row r="55606" s="2" customFormat="1"/>
    <row r="55607" s="2" customFormat="1"/>
    <row r="55608" s="2" customFormat="1"/>
    <row r="55609" s="2" customFormat="1"/>
    <row r="55610" s="2" customFormat="1"/>
    <row r="55611" s="2" customFormat="1"/>
    <row r="55612" s="2" customFormat="1"/>
    <row r="55613" s="2" customFormat="1"/>
    <row r="55614" s="2" customFormat="1"/>
    <row r="55615" s="2" customFormat="1"/>
    <row r="55616" s="2" customFormat="1"/>
    <row r="55617" s="2" customFormat="1"/>
    <row r="55618" s="2" customFormat="1"/>
    <row r="55619" s="2" customFormat="1"/>
    <row r="55620" s="2" customFormat="1"/>
    <row r="55621" s="2" customFormat="1"/>
    <row r="55622" s="2" customFormat="1"/>
    <row r="55623" s="2" customFormat="1"/>
    <row r="55624" s="2" customFormat="1"/>
    <row r="55625" s="2" customFormat="1"/>
    <row r="55626" s="2" customFormat="1"/>
    <row r="55627" s="2" customFormat="1"/>
    <row r="55628" s="2" customFormat="1"/>
    <row r="55629" s="2" customFormat="1"/>
    <row r="55630" s="2" customFormat="1"/>
    <row r="55631" s="2" customFormat="1"/>
    <row r="55632" s="2" customFormat="1"/>
    <row r="55633" s="2" customFormat="1"/>
    <row r="55634" s="2" customFormat="1"/>
    <row r="55635" s="2" customFormat="1"/>
    <row r="55636" s="2" customFormat="1"/>
    <row r="55637" s="2" customFormat="1"/>
    <row r="55638" s="2" customFormat="1"/>
    <row r="55639" s="2" customFormat="1"/>
    <row r="55640" s="2" customFormat="1"/>
    <row r="55641" s="2" customFormat="1"/>
    <row r="55642" s="2" customFormat="1"/>
    <row r="55643" s="2" customFormat="1"/>
    <row r="55644" s="2" customFormat="1"/>
    <row r="55645" s="2" customFormat="1"/>
    <row r="55646" s="2" customFormat="1"/>
    <row r="55647" s="2" customFormat="1"/>
    <row r="55648" s="2" customFormat="1"/>
    <row r="55649" s="2" customFormat="1"/>
    <row r="55650" s="2" customFormat="1"/>
    <row r="55651" s="2" customFormat="1"/>
    <row r="55652" s="2" customFormat="1"/>
    <row r="55653" s="2" customFormat="1"/>
    <row r="55654" s="2" customFormat="1"/>
    <row r="55655" s="2" customFormat="1"/>
    <row r="55656" s="2" customFormat="1"/>
    <row r="55657" s="2" customFormat="1"/>
    <row r="55658" s="2" customFormat="1"/>
    <row r="55659" s="2" customFormat="1"/>
    <row r="55660" s="2" customFormat="1"/>
    <row r="55661" s="2" customFormat="1"/>
    <row r="55662" s="2" customFormat="1"/>
    <row r="55663" s="2" customFormat="1"/>
    <row r="55664" s="2" customFormat="1"/>
    <row r="55665" s="2" customFormat="1"/>
    <row r="55666" s="2" customFormat="1"/>
    <row r="55667" s="2" customFormat="1"/>
    <row r="55668" s="2" customFormat="1"/>
    <row r="55669" s="2" customFormat="1"/>
    <row r="55670" s="2" customFormat="1"/>
    <row r="55671" s="2" customFormat="1"/>
    <row r="55672" s="2" customFormat="1"/>
    <row r="55673" s="2" customFormat="1"/>
    <row r="55674" s="2" customFormat="1"/>
    <row r="55675" s="2" customFormat="1"/>
    <row r="55676" s="2" customFormat="1"/>
    <row r="55677" s="2" customFormat="1"/>
    <row r="55678" s="2" customFormat="1"/>
    <row r="55679" s="2" customFormat="1"/>
    <row r="55680" s="2" customFormat="1"/>
    <row r="55681" s="2" customFormat="1"/>
    <row r="55682" s="2" customFormat="1"/>
    <row r="55683" s="2" customFormat="1"/>
    <row r="55684" s="2" customFormat="1"/>
    <row r="55685" s="2" customFormat="1"/>
    <row r="55686" s="2" customFormat="1"/>
    <row r="55687" s="2" customFormat="1"/>
    <row r="55688" s="2" customFormat="1"/>
    <row r="55689" s="2" customFormat="1"/>
    <row r="55690" s="2" customFormat="1"/>
    <row r="55691" s="2" customFormat="1"/>
    <row r="55692" s="2" customFormat="1"/>
    <row r="55693" s="2" customFormat="1"/>
    <row r="55694" s="2" customFormat="1"/>
    <row r="55695" s="2" customFormat="1"/>
    <row r="55696" s="2" customFormat="1"/>
    <row r="55697" s="2" customFormat="1"/>
    <row r="55698" s="2" customFormat="1"/>
    <row r="55699" s="2" customFormat="1"/>
    <row r="55700" s="2" customFormat="1"/>
    <row r="55701" s="2" customFormat="1"/>
    <row r="55702" s="2" customFormat="1"/>
    <row r="55703" s="2" customFormat="1"/>
    <row r="55704" s="2" customFormat="1"/>
    <row r="55705" s="2" customFormat="1"/>
    <row r="55706" s="2" customFormat="1"/>
    <row r="55707" s="2" customFormat="1"/>
    <row r="55708" s="2" customFormat="1"/>
    <row r="55709" s="2" customFormat="1"/>
    <row r="55710" s="2" customFormat="1"/>
    <row r="55711" s="2" customFormat="1"/>
    <row r="55712" s="2" customFormat="1"/>
    <row r="55713" s="2" customFormat="1"/>
    <row r="55714" s="2" customFormat="1"/>
    <row r="55715" s="2" customFormat="1"/>
    <row r="55716" s="2" customFormat="1"/>
    <row r="55717" s="2" customFormat="1"/>
    <row r="55718" s="2" customFormat="1"/>
    <row r="55719" s="2" customFormat="1"/>
    <row r="55720" s="2" customFormat="1"/>
    <row r="55721" s="2" customFormat="1"/>
    <row r="55722" s="2" customFormat="1"/>
    <row r="55723" s="2" customFormat="1"/>
    <row r="55724" s="2" customFormat="1"/>
    <row r="55725" s="2" customFormat="1"/>
    <row r="55726" s="2" customFormat="1"/>
    <row r="55727" s="2" customFormat="1"/>
    <row r="55728" s="2" customFormat="1"/>
    <row r="55729" s="2" customFormat="1"/>
    <row r="55730" s="2" customFormat="1"/>
    <row r="55731" s="2" customFormat="1"/>
    <row r="55732" s="2" customFormat="1"/>
    <row r="55733" s="2" customFormat="1"/>
    <row r="55734" s="2" customFormat="1"/>
    <row r="55735" s="2" customFormat="1"/>
    <row r="55736" s="2" customFormat="1"/>
    <row r="55737" s="2" customFormat="1"/>
    <row r="55738" s="2" customFormat="1"/>
    <row r="55739" s="2" customFormat="1"/>
    <row r="55740" s="2" customFormat="1"/>
    <row r="55741" s="2" customFormat="1"/>
    <row r="55742" s="2" customFormat="1"/>
    <row r="55743" s="2" customFormat="1"/>
    <row r="55744" s="2" customFormat="1"/>
    <row r="55745" s="2" customFormat="1"/>
    <row r="55746" s="2" customFormat="1"/>
    <row r="55747" s="2" customFormat="1"/>
    <row r="55748" s="2" customFormat="1"/>
    <row r="55749" s="2" customFormat="1"/>
    <row r="55750" s="2" customFormat="1"/>
    <row r="55751" s="2" customFormat="1"/>
    <row r="55752" s="2" customFormat="1"/>
    <row r="55753" s="2" customFormat="1"/>
    <row r="55754" s="2" customFormat="1"/>
    <row r="55755" s="2" customFormat="1"/>
    <row r="55756" s="2" customFormat="1"/>
    <row r="55757" s="2" customFormat="1"/>
    <row r="55758" s="2" customFormat="1"/>
    <row r="55759" s="2" customFormat="1"/>
    <row r="55760" s="2" customFormat="1"/>
    <row r="55761" s="2" customFormat="1"/>
    <row r="55762" s="2" customFormat="1"/>
    <row r="55763" s="2" customFormat="1"/>
    <row r="55764" s="2" customFormat="1"/>
    <row r="55765" s="2" customFormat="1"/>
    <row r="55766" s="2" customFormat="1"/>
    <row r="55767" s="2" customFormat="1"/>
    <row r="55768" s="2" customFormat="1"/>
    <row r="55769" s="2" customFormat="1"/>
    <row r="55770" s="2" customFormat="1"/>
    <row r="55771" s="2" customFormat="1"/>
    <row r="55772" s="2" customFormat="1"/>
    <row r="55773" s="2" customFormat="1"/>
    <row r="55774" s="2" customFormat="1"/>
    <row r="55775" s="2" customFormat="1"/>
    <row r="55776" s="2" customFormat="1"/>
    <row r="55777" s="2" customFormat="1"/>
    <row r="55778" s="2" customFormat="1"/>
    <row r="55779" s="2" customFormat="1"/>
    <row r="55780" s="2" customFormat="1"/>
    <row r="55781" s="2" customFormat="1"/>
    <row r="55782" s="2" customFormat="1"/>
    <row r="55783" s="2" customFormat="1"/>
    <row r="55784" s="2" customFormat="1"/>
    <row r="55785" s="2" customFormat="1"/>
    <row r="55786" s="2" customFormat="1"/>
    <row r="55787" s="2" customFormat="1"/>
    <row r="55788" s="2" customFormat="1"/>
    <row r="55789" s="2" customFormat="1"/>
    <row r="55790" s="2" customFormat="1"/>
    <row r="55791" s="2" customFormat="1"/>
    <row r="55792" s="2" customFormat="1"/>
    <row r="55793" s="2" customFormat="1"/>
    <row r="55794" s="2" customFormat="1"/>
    <row r="55795" s="2" customFormat="1"/>
    <row r="55796" s="2" customFormat="1"/>
    <row r="55797" s="2" customFormat="1"/>
    <row r="55798" s="2" customFormat="1"/>
    <row r="55799" s="2" customFormat="1"/>
    <row r="55800" s="2" customFormat="1"/>
    <row r="55801" s="2" customFormat="1"/>
    <row r="55802" s="2" customFormat="1"/>
    <row r="55803" s="2" customFormat="1"/>
    <row r="55804" s="2" customFormat="1"/>
    <row r="55805" s="2" customFormat="1"/>
    <row r="55806" s="2" customFormat="1"/>
    <row r="55807" s="2" customFormat="1"/>
    <row r="55808" s="2" customFormat="1"/>
    <row r="55809" s="2" customFormat="1"/>
    <row r="55810" s="2" customFormat="1"/>
    <row r="55811" s="2" customFormat="1"/>
    <row r="55812" s="2" customFormat="1"/>
    <row r="55813" s="2" customFormat="1"/>
    <row r="55814" s="2" customFormat="1"/>
    <row r="55815" s="2" customFormat="1"/>
    <row r="55816" s="2" customFormat="1"/>
    <row r="55817" s="2" customFormat="1"/>
    <row r="55818" s="2" customFormat="1"/>
    <row r="55819" s="2" customFormat="1"/>
    <row r="55820" s="2" customFormat="1"/>
    <row r="55821" s="2" customFormat="1"/>
    <row r="55822" s="2" customFormat="1"/>
    <row r="55823" s="2" customFormat="1"/>
    <row r="55824" s="2" customFormat="1"/>
    <row r="55825" s="2" customFormat="1"/>
    <row r="55826" s="2" customFormat="1"/>
    <row r="55827" s="2" customFormat="1"/>
    <row r="55828" s="2" customFormat="1"/>
    <row r="55829" s="2" customFormat="1"/>
    <row r="55830" s="2" customFormat="1"/>
    <row r="55831" s="2" customFormat="1"/>
    <row r="55832" s="2" customFormat="1"/>
    <row r="55833" s="2" customFormat="1"/>
    <row r="55834" s="2" customFormat="1"/>
    <row r="55835" s="2" customFormat="1"/>
    <row r="55836" s="2" customFormat="1"/>
    <row r="55837" s="2" customFormat="1"/>
    <row r="55838" s="2" customFormat="1"/>
    <row r="55839" s="2" customFormat="1"/>
    <row r="55840" s="2" customFormat="1"/>
    <row r="55841" s="2" customFormat="1"/>
    <row r="55842" s="2" customFormat="1"/>
    <row r="55843" s="2" customFormat="1"/>
    <row r="55844" s="2" customFormat="1"/>
    <row r="55845" s="2" customFormat="1"/>
    <row r="55846" s="2" customFormat="1"/>
    <row r="55847" s="2" customFormat="1"/>
    <row r="55848" s="2" customFormat="1"/>
    <row r="55849" s="2" customFormat="1"/>
    <row r="55850" s="2" customFormat="1"/>
    <row r="55851" s="2" customFormat="1"/>
    <row r="55852" s="2" customFormat="1"/>
    <row r="55853" s="2" customFormat="1"/>
    <row r="55854" s="2" customFormat="1"/>
    <row r="55855" s="2" customFormat="1"/>
    <row r="55856" s="2" customFormat="1"/>
    <row r="55857" s="2" customFormat="1"/>
    <row r="55858" s="2" customFormat="1"/>
    <row r="55859" s="2" customFormat="1"/>
    <row r="55860" s="2" customFormat="1"/>
    <row r="55861" s="2" customFormat="1"/>
    <row r="55862" s="2" customFormat="1"/>
    <row r="55863" s="2" customFormat="1"/>
    <row r="55864" s="2" customFormat="1"/>
    <row r="55865" s="2" customFormat="1"/>
    <row r="55866" s="2" customFormat="1"/>
    <row r="55867" s="2" customFormat="1"/>
    <row r="55868" s="2" customFormat="1"/>
    <row r="55869" s="2" customFormat="1"/>
    <row r="55870" s="2" customFormat="1"/>
    <row r="55871" s="2" customFormat="1"/>
    <row r="55872" s="2" customFormat="1"/>
    <row r="55873" s="2" customFormat="1"/>
    <row r="55874" s="2" customFormat="1"/>
    <row r="55875" s="2" customFormat="1"/>
    <row r="55876" s="2" customFormat="1"/>
    <row r="55877" s="2" customFormat="1"/>
    <row r="55878" s="2" customFormat="1"/>
    <row r="55879" s="2" customFormat="1"/>
    <row r="55880" s="2" customFormat="1"/>
    <row r="55881" s="2" customFormat="1"/>
    <row r="55882" s="2" customFormat="1"/>
    <row r="55883" s="2" customFormat="1"/>
    <row r="55884" s="2" customFormat="1"/>
    <row r="55885" s="2" customFormat="1"/>
    <row r="55886" s="2" customFormat="1"/>
    <row r="55887" s="2" customFormat="1"/>
    <row r="55888" s="2" customFormat="1"/>
    <row r="55889" s="2" customFormat="1"/>
    <row r="55890" s="2" customFormat="1"/>
    <row r="55891" s="2" customFormat="1"/>
    <row r="55892" s="2" customFormat="1"/>
    <row r="55893" s="2" customFormat="1"/>
    <row r="55894" s="2" customFormat="1"/>
    <row r="55895" s="2" customFormat="1"/>
    <row r="55896" s="2" customFormat="1"/>
    <row r="55897" s="2" customFormat="1"/>
    <row r="55898" s="2" customFormat="1"/>
    <row r="55899" s="2" customFormat="1"/>
    <row r="55900" s="2" customFormat="1"/>
    <row r="55901" s="2" customFormat="1"/>
    <row r="55902" s="2" customFormat="1"/>
    <row r="55903" s="2" customFormat="1"/>
    <row r="55904" s="2" customFormat="1"/>
    <row r="55905" s="2" customFormat="1"/>
    <row r="55906" s="2" customFormat="1"/>
    <row r="55907" s="2" customFormat="1"/>
    <row r="55908" s="2" customFormat="1"/>
    <row r="55909" s="2" customFormat="1"/>
    <row r="55910" s="2" customFormat="1"/>
    <row r="55911" s="2" customFormat="1"/>
    <row r="55912" s="2" customFormat="1"/>
    <row r="55913" s="2" customFormat="1"/>
    <row r="55914" s="2" customFormat="1"/>
    <row r="55915" s="2" customFormat="1"/>
    <row r="55916" s="2" customFormat="1"/>
    <row r="55917" s="2" customFormat="1"/>
    <row r="55918" s="2" customFormat="1"/>
    <row r="55919" s="2" customFormat="1"/>
    <row r="55920" s="2" customFormat="1"/>
    <row r="55921" s="2" customFormat="1"/>
    <row r="55922" s="2" customFormat="1"/>
    <row r="55923" s="2" customFormat="1"/>
    <row r="55924" s="2" customFormat="1"/>
    <row r="55925" s="2" customFormat="1"/>
    <row r="55926" s="2" customFormat="1"/>
    <row r="55927" s="2" customFormat="1"/>
    <row r="55928" s="2" customFormat="1"/>
    <row r="55929" s="2" customFormat="1"/>
    <row r="55930" s="2" customFormat="1"/>
    <row r="55931" s="2" customFormat="1"/>
    <row r="55932" s="2" customFormat="1"/>
    <row r="55933" s="2" customFormat="1"/>
    <row r="55934" s="2" customFormat="1"/>
    <row r="55935" s="2" customFormat="1"/>
    <row r="55936" s="2" customFormat="1"/>
    <row r="55937" s="2" customFormat="1"/>
    <row r="55938" s="2" customFormat="1"/>
    <row r="55939" s="2" customFormat="1"/>
    <row r="55940" s="2" customFormat="1"/>
    <row r="55941" s="2" customFormat="1"/>
    <row r="55942" s="2" customFormat="1"/>
    <row r="55943" s="2" customFormat="1"/>
    <row r="55944" s="2" customFormat="1"/>
    <row r="55945" s="2" customFormat="1"/>
    <row r="55946" s="2" customFormat="1"/>
    <row r="55947" s="2" customFormat="1"/>
    <row r="55948" s="2" customFormat="1"/>
    <row r="55949" s="2" customFormat="1"/>
    <row r="55950" s="2" customFormat="1"/>
    <row r="55951" s="2" customFormat="1"/>
    <row r="55952" s="2" customFormat="1"/>
    <row r="55953" s="2" customFormat="1"/>
    <row r="55954" s="2" customFormat="1"/>
    <row r="55955" s="2" customFormat="1"/>
    <row r="55956" s="2" customFormat="1"/>
    <row r="55957" s="2" customFormat="1"/>
    <row r="55958" s="2" customFormat="1"/>
    <row r="55959" s="2" customFormat="1"/>
    <row r="55960" s="2" customFormat="1"/>
    <row r="55961" s="2" customFormat="1"/>
    <row r="55962" s="2" customFormat="1"/>
    <row r="55963" s="2" customFormat="1"/>
    <row r="55964" s="2" customFormat="1"/>
    <row r="55965" s="2" customFormat="1"/>
    <row r="55966" s="2" customFormat="1"/>
    <row r="55967" s="2" customFormat="1"/>
    <row r="55968" s="2" customFormat="1"/>
    <row r="55969" s="2" customFormat="1"/>
    <row r="55970" s="2" customFormat="1"/>
    <row r="55971" s="2" customFormat="1"/>
    <row r="55972" s="2" customFormat="1"/>
    <row r="55973" s="2" customFormat="1"/>
    <row r="55974" s="2" customFormat="1"/>
    <row r="55975" s="2" customFormat="1"/>
    <row r="55976" s="2" customFormat="1"/>
    <row r="55977" s="2" customFormat="1"/>
    <row r="55978" s="2" customFormat="1"/>
    <row r="55979" s="2" customFormat="1"/>
    <row r="55980" s="2" customFormat="1"/>
    <row r="55981" s="2" customFormat="1"/>
    <row r="55982" s="2" customFormat="1"/>
    <row r="55983" s="2" customFormat="1"/>
    <row r="55984" s="2" customFormat="1"/>
    <row r="55985" s="2" customFormat="1"/>
    <row r="55986" s="2" customFormat="1"/>
    <row r="55987" s="2" customFormat="1"/>
    <row r="55988" s="2" customFormat="1"/>
    <row r="55989" s="2" customFormat="1"/>
    <row r="55990" s="2" customFormat="1"/>
    <row r="55991" s="2" customFormat="1"/>
    <row r="55992" s="2" customFormat="1"/>
    <row r="55993" s="2" customFormat="1"/>
    <row r="55994" s="2" customFormat="1"/>
    <row r="55995" s="2" customFormat="1"/>
    <row r="55996" s="2" customFormat="1"/>
    <row r="55997" s="2" customFormat="1"/>
    <row r="55998" s="2" customFormat="1"/>
    <row r="55999" s="2" customFormat="1"/>
    <row r="56000" s="2" customFormat="1"/>
    <row r="56001" s="2" customFormat="1"/>
    <row r="56002" s="2" customFormat="1"/>
    <row r="56003" s="2" customFormat="1"/>
    <row r="56004" s="2" customFormat="1"/>
    <row r="56005" s="2" customFormat="1"/>
    <row r="56006" s="2" customFormat="1"/>
    <row r="56007" s="2" customFormat="1"/>
    <row r="56008" s="2" customFormat="1"/>
    <row r="56009" s="2" customFormat="1"/>
    <row r="56010" s="2" customFormat="1"/>
    <row r="56011" s="2" customFormat="1"/>
    <row r="56012" s="2" customFormat="1"/>
    <row r="56013" s="2" customFormat="1"/>
    <row r="56014" s="2" customFormat="1"/>
    <row r="56015" s="2" customFormat="1"/>
    <row r="56016" s="2" customFormat="1"/>
    <row r="56017" s="2" customFormat="1"/>
    <row r="56018" s="2" customFormat="1"/>
    <row r="56019" s="2" customFormat="1"/>
    <row r="56020" s="2" customFormat="1"/>
    <row r="56021" s="2" customFormat="1"/>
    <row r="56022" s="2" customFormat="1"/>
    <row r="56023" s="2" customFormat="1"/>
    <row r="56024" s="2" customFormat="1"/>
    <row r="56025" s="2" customFormat="1"/>
    <row r="56026" s="2" customFormat="1"/>
    <row r="56027" s="2" customFormat="1"/>
    <row r="56028" s="2" customFormat="1"/>
    <row r="56029" s="2" customFormat="1"/>
    <row r="56030" s="2" customFormat="1"/>
    <row r="56031" s="2" customFormat="1"/>
    <row r="56032" s="2" customFormat="1"/>
    <row r="56033" s="2" customFormat="1"/>
    <row r="56034" s="2" customFormat="1"/>
    <row r="56035" s="2" customFormat="1"/>
    <row r="56036" s="2" customFormat="1"/>
    <row r="56037" s="2" customFormat="1"/>
    <row r="56038" s="2" customFormat="1"/>
    <row r="56039" s="2" customFormat="1"/>
    <row r="56040" s="2" customFormat="1"/>
    <row r="56041" s="2" customFormat="1"/>
    <row r="56042" s="2" customFormat="1"/>
    <row r="56043" s="2" customFormat="1"/>
    <row r="56044" s="2" customFormat="1"/>
    <row r="56045" s="2" customFormat="1"/>
    <row r="56046" s="2" customFormat="1"/>
    <row r="56047" s="2" customFormat="1"/>
    <row r="56048" s="2" customFormat="1"/>
    <row r="56049" s="2" customFormat="1"/>
    <row r="56050" s="2" customFormat="1"/>
    <row r="56051" s="2" customFormat="1"/>
    <row r="56052" s="2" customFormat="1"/>
    <row r="56053" s="2" customFormat="1"/>
    <row r="56054" s="2" customFormat="1"/>
    <row r="56055" s="2" customFormat="1"/>
    <row r="56056" s="2" customFormat="1"/>
    <row r="56057" s="2" customFormat="1"/>
    <row r="56058" s="2" customFormat="1"/>
    <row r="56059" s="2" customFormat="1"/>
    <row r="56060" s="2" customFormat="1"/>
    <row r="56061" s="2" customFormat="1"/>
    <row r="56062" s="2" customFormat="1"/>
    <row r="56063" s="2" customFormat="1"/>
    <row r="56064" s="2" customFormat="1"/>
    <row r="56065" s="2" customFormat="1"/>
    <row r="56066" s="2" customFormat="1"/>
    <row r="56067" s="2" customFormat="1"/>
    <row r="56068" s="2" customFormat="1"/>
    <row r="56069" s="2" customFormat="1"/>
    <row r="56070" s="2" customFormat="1"/>
    <row r="56071" s="2" customFormat="1"/>
    <row r="56072" s="2" customFormat="1"/>
    <row r="56073" s="2" customFormat="1"/>
    <row r="56074" s="2" customFormat="1"/>
    <row r="56075" s="2" customFormat="1"/>
    <row r="56076" s="2" customFormat="1"/>
    <row r="56077" s="2" customFormat="1"/>
    <row r="56078" s="2" customFormat="1"/>
    <row r="56079" s="2" customFormat="1"/>
    <row r="56080" s="2" customFormat="1"/>
    <row r="56081" s="2" customFormat="1"/>
    <row r="56082" s="2" customFormat="1"/>
    <row r="56083" s="2" customFormat="1"/>
    <row r="56084" s="2" customFormat="1"/>
    <row r="56085" s="2" customFormat="1"/>
    <row r="56086" s="2" customFormat="1"/>
    <row r="56087" s="2" customFormat="1"/>
    <row r="56088" s="2" customFormat="1"/>
    <row r="56089" s="2" customFormat="1"/>
    <row r="56090" s="2" customFormat="1"/>
    <row r="56091" s="2" customFormat="1"/>
    <row r="56092" s="2" customFormat="1"/>
    <row r="56093" s="2" customFormat="1"/>
    <row r="56094" s="2" customFormat="1"/>
    <row r="56095" s="2" customFormat="1"/>
    <row r="56096" s="2" customFormat="1"/>
    <row r="56097" s="2" customFormat="1"/>
    <row r="56098" s="2" customFormat="1"/>
    <row r="56099" s="2" customFormat="1"/>
    <row r="56100" s="2" customFormat="1"/>
    <row r="56101" s="2" customFormat="1"/>
    <row r="56102" s="2" customFormat="1"/>
    <row r="56103" s="2" customFormat="1"/>
    <row r="56104" s="2" customFormat="1"/>
    <row r="56105" s="2" customFormat="1"/>
    <row r="56106" s="2" customFormat="1"/>
    <row r="56107" s="2" customFormat="1"/>
    <row r="56108" s="2" customFormat="1"/>
    <row r="56109" s="2" customFormat="1"/>
    <row r="56110" s="2" customFormat="1"/>
    <row r="56111" s="2" customFormat="1"/>
    <row r="56112" s="2" customFormat="1"/>
    <row r="56113" s="2" customFormat="1"/>
    <row r="56114" s="2" customFormat="1"/>
    <row r="56115" s="2" customFormat="1"/>
    <row r="56116" s="2" customFormat="1"/>
    <row r="56117" s="2" customFormat="1"/>
    <row r="56118" s="2" customFormat="1"/>
    <row r="56119" s="2" customFormat="1"/>
    <row r="56120" s="2" customFormat="1"/>
    <row r="56121" s="2" customFormat="1"/>
    <row r="56122" s="2" customFormat="1"/>
    <row r="56123" s="2" customFormat="1"/>
    <row r="56124" s="2" customFormat="1"/>
    <row r="56125" s="2" customFormat="1"/>
    <row r="56126" s="2" customFormat="1"/>
    <row r="56127" s="2" customFormat="1"/>
    <row r="56128" s="2" customFormat="1"/>
    <row r="56129" s="2" customFormat="1"/>
    <row r="56130" s="2" customFormat="1"/>
    <row r="56131" s="2" customFormat="1"/>
    <row r="56132" s="2" customFormat="1"/>
    <row r="56133" s="2" customFormat="1"/>
    <row r="56134" s="2" customFormat="1"/>
    <row r="56135" s="2" customFormat="1"/>
    <row r="56136" s="2" customFormat="1"/>
    <row r="56137" s="2" customFormat="1"/>
    <row r="56138" s="2" customFormat="1"/>
    <row r="56139" s="2" customFormat="1"/>
    <row r="56140" s="2" customFormat="1"/>
    <row r="56141" s="2" customFormat="1"/>
    <row r="56142" s="2" customFormat="1"/>
    <row r="56143" s="2" customFormat="1"/>
    <row r="56144" s="2" customFormat="1"/>
    <row r="56145" s="2" customFormat="1"/>
    <row r="56146" s="2" customFormat="1"/>
    <row r="56147" s="2" customFormat="1"/>
    <row r="56148" s="2" customFormat="1"/>
    <row r="56149" s="2" customFormat="1"/>
    <row r="56150" s="2" customFormat="1"/>
    <row r="56151" s="2" customFormat="1"/>
    <row r="56152" s="2" customFormat="1"/>
    <row r="56153" s="2" customFormat="1"/>
    <row r="56154" s="2" customFormat="1"/>
    <row r="56155" s="2" customFormat="1"/>
    <row r="56156" s="2" customFormat="1"/>
    <row r="56157" s="2" customFormat="1"/>
    <row r="56158" s="2" customFormat="1"/>
    <row r="56159" s="2" customFormat="1"/>
    <row r="56160" s="2" customFormat="1"/>
    <row r="56161" s="2" customFormat="1"/>
    <row r="56162" s="2" customFormat="1"/>
    <row r="56163" s="2" customFormat="1"/>
    <row r="56164" s="2" customFormat="1"/>
    <row r="56165" s="2" customFormat="1"/>
    <row r="56166" s="2" customFormat="1"/>
    <row r="56167" s="2" customFormat="1"/>
    <row r="56168" s="2" customFormat="1"/>
    <row r="56169" s="2" customFormat="1"/>
    <row r="56170" s="2" customFormat="1"/>
    <row r="56171" s="2" customFormat="1"/>
    <row r="56172" s="2" customFormat="1"/>
    <row r="56173" s="2" customFormat="1"/>
    <row r="56174" s="2" customFormat="1"/>
    <row r="56175" s="2" customFormat="1"/>
    <row r="56176" s="2" customFormat="1"/>
    <row r="56177" s="2" customFormat="1"/>
    <row r="56178" s="2" customFormat="1"/>
    <row r="56179" s="2" customFormat="1"/>
    <row r="56180" s="2" customFormat="1"/>
    <row r="56181" s="2" customFormat="1"/>
    <row r="56182" s="2" customFormat="1"/>
    <row r="56183" s="2" customFormat="1"/>
    <row r="56184" s="2" customFormat="1"/>
    <row r="56185" s="2" customFormat="1"/>
    <row r="56186" s="2" customFormat="1"/>
    <row r="56187" s="2" customFormat="1"/>
    <row r="56188" s="2" customFormat="1"/>
    <row r="56189" s="2" customFormat="1"/>
    <row r="56190" s="2" customFormat="1"/>
    <row r="56191" s="2" customFormat="1"/>
    <row r="56192" s="2" customFormat="1"/>
    <row r="56193" s="2" customFormat="1"/>
    <row r="56194" s="2" customFormat="1"/>
    <row r="56195" s="2" customFormat="1"/>
    <row r="56196" s="2" customFormat="1"/>
    <row r="56197" s="2" customFormat="1"/>
    <row r="56198" s="2" customFormat="1"/>
    <row r="56199" s="2" customFormat="1"/>
    <row r="56200" s="2" customFormat="1"/>
    <row r="56201" s="2" customFormat="1"/>
    <row r="56202" s="2" customFormat="1"/>
    <row r="56203" s="2" customFormat="1"/>
    <row r="56204" s="2" customFormat="1"/>
    <row r="56205" s="2" customFormat="1"/>
    <row r="56206" s="2" customFormat="1"/>
    <row r="56207" s="2" customFormat="1"/>
    <row r="56208" s="2" customFormat="1"/>
    <row r="56209" s="2" customFormat="1"/>
    <row r="56210" s="2" customFormat="1"/>
    <row r="56211" s="2" customFormat="1"/>
    <row r="56212" s="2" customFormat="1"/>
    <row r="56213" s="2" customFormat="1"/>
    <row r="56214" s="2" customFormat="1"/>
    <row r="56215" s="2" customFormat="1"/>
    <row r="56216" s="2" customFormat="1"/>
    <row r="56217" s="2" customFormat="1"/>
    <row r="56218" s="2" customFormat="1"/>
    <row r="56219" s="2" customFormat="1"/>
    <row r="56220" s="2" customFormat="1"/>
    <row r="56221" s="2" customFormat="1"/>
    <row r="56222" s="2" customFormat="1"/>
    <row r="56223" s="2" customFormat="1"/>
    <row r="56224" s="2" customFormat="1"/>
    <row r="56225" s="2" customFormat="1"/>
    <row r="56226" s="2" customFormat="1"/>
    <row r="56227" s="2" customFormat="1"/>
    <row r="56228" s="2" customFormat="1"/>
    <row r="56229" s="2" customFormat="1"/>
    <row r="56230" s="2" customFormat="1"/>
    <row r="56231" s="2" customFormat="1"/>
    <row r="56232" s="2" customFormat="1"/>
    <row r="56233" s="2" customFormat="1"/>
    <row r="56234" s="2" customFormat="1"/>
    <row r="56235" s="2" customFormat="1"/>
    <row r="56236" s="2" customFormat="1"/>
    <row r="56237" s="2" customFormat="1"/>
    <row r="56238" s="2" customFormat="1"/>
    <row r="56239" s="2" customFormat="1"/>
    <row r="56240" s="2" customFormat="1"/>
    <row r="56241" s="2" customFormat="1"/>
    <row r="56242" s="2" customFormat="1"/>
    <row r="56243" s="2" customFormat="1"/>
    <row r="56244" s="2" customFormat="1"/>
    <row r="56245" s="2" customFormat="1"/>
    <row r="56246" s="2" customFormat="1"/>
    <row r="56247" s="2" customFormat="1"/>
    <row r="56248" s="2" customFormat="1"/>
    <row r="56249" s="2" customFormat="1"/>
    <row r="56250" s="2" customFormat="1"/>
    <row r="56251" s="2" customFormat="1"/>
    <row r="56252" s="2" customFormat="1"/>
    <row r="56253" s="2" customFormat="1"/>
    <row r="56254" s="2" customFormat="1"/>
    <row r="56255" s="2" customFormat="1"/>
    <row r="56256" s="2" customFormat="1"/>
    <row r="56257" s="2" customFormat="1"/>
    <row r="56258" s="2" customFormat="1"/>
    <row r="56259" s="2" customFormat="1"/>
    <row r="56260" s="2" customFormat="1"/>
    <row r="56261" s="2" customFormat="1"/>
    <row r="56262" s="2" customFormat="1"/>
    <row r="56263" s="2" customFormat="1"/>
    <row r="56264" s="2" customFormat="1"/>
    <row r="56265" s="2" customFormat="1"/>
    <row r="56266" s="2" customFormat="1"/>
    <row r="56267" s="2" customFormat="1"/>
    <row r="56268" s="2" customFormat="1"/>
    <row r="56269" s="2" customFormat="1"/>
    <row r="56270" s="2" customFormat="1"/>
    <row r="56271" s="2" customFormat="1"/>
    <row r="56272" s="2" customFormat="1"/>
    <row r="56273" s="2" customFormat="1"/>
    <row r="56274" s="2" customFormat="1"/>
    <row r="56275" s="2" customFormat="1"/>
    <row r="56276" s="2" customFormat="1"/>
    <row r="56277" s="2" customFormat="1"/>
    <row r="56278" s="2" customFormat="1"/>
    <row r="56279" s="2" customFormat="1"/>
    <row r="56280" s="2" customFormat="1"/>
    <row r="56281" s="2" customFormat="1"/>
    <row r="56282" s="2" customFormat="1"/>
    <row r="56283" s="2" customFormat="1"/>
    <row r="56284" s="2" customFormat="1"/>
    <row r="56285" s="2" customFormat="1"/>
    <row r="56286" s="2" customFormat="1"/>
    <row r="56287" s="2" customFormat="1"/>
    <row r="56288" s="2" customFormat="1"/>
    <row r="56289" s="2" customFormat="1"/>
    <row r="56290" s="2" customFormat="1"/>
    <row r="56291" s="2" customFormat="1"/>
    <row r="56292" s="2" customFormat="1"/>
    <row r="56293" s="2" customFormat="1"/>
    <row r="56294" s="2" customFormat="1"/>
    <row r="56295" s="2" customFormat="1"/>
    <row r="56296" s="2" customFormat="1"/>
    <row r="56297" s="2" customFormat="1"/>
    <row r="56298" s="2" customFormat="1"/>
    <row r="56299" s="2" customFormat="1"/>
    <row r="56300" s="2" customFormat="1"/>
    <row r="56301" s="2" customFormat="1"/>
    <row r="56302" s="2" customFormat="1"/>
    <row r="56303" s="2" customFormat="1"/>
    <row r="56304" s="2" customFormat="1"/>
    <row r="56305" s="2" customFormat="1"/>
    <row r="56306" s="2" customFormat="1"/>
    <row r="56307" s="2" customFormat="1"/>
    <row r="56308" s="2" customFormat="1"/>
    <row r="56309" s="2" customFormat="1"/>
    <row r="56310" s="2" customFormat="1"/>
    <row r="56311" s="2" customFormat="1"/>
    <row r="56312" s="2" customFormat="1"/>
    <row r="56313" s="2" customFormat="1"/>
    <row r="56314" s="2" customFormat="1"/>
    <row r="56315" s="2" customFormat="1"/>
    <row r="56316" s="2" customFormat="1"/>
    <row r="56317" s="2" customFormat="1"/>
    <row r="56318" s="2" customFormat="1"/>
    <row r="56319" s="2" customFormat="1"/>
    <row r="56320" s="2" customFormat="1"/>
    <row r="56321" s="2" customFormat="1"/>
    <row r="56322" s="2" customFormat="1"/>
    <row r="56323" s="2" customFormat="1"/>
    <row r="56324" s="2" customFormat="1"/>
    <row r="56325" s="2" customFormat="1"/>
    <row r="56326" s="2" customFormat="1"/>
    <row r="56327" s="2" customFormat="1"/>
    <row r="56328" s="2" customFormat="1"/>
    <row r="56329" s="2" customFormat="1"/>
    <row r="56330" s="2" customFormat="1"/>
    <row r="56331" s="2" customFormat="1"/>
    <row r="56332" s="2" customFormat="1"/>
    <row r="56333" s="2" customFormat="1"/>
    <row r="56334" s="2" customFormat="1"/>
    <row r="56335" s="2" customFormat="1"/>
    <row r="56336" s="2" customFormat="1"/>
    <row r="56337" s="2" customFormat="1"/>
    <row r="56338" s="2" customFormat="1"/>
    <row r="56339" s="2" customFormat="1"/>
    <row r="56340" s="2" customFormat="1"/>
    <row r="56341" s="2" customFormat="1"/>
    <row r="56342" s="2" customFormat="1"/>
    <row r="56343" s="2" customFormat="1"/>
    <row r="56344" s="2" customFormat="1"/>
    <row r="56345" s="2" customFormat="1"/>
    <row r="56346" s="2" customFormat="1"/>
    <row r="56347" s="2" customFormat="1"/>
    <row r="56348" s="2" customFormat="1"/>
    <row r="56349" s="2" customFormat="1"/>
    <row r="56350" s="2" customFormat="1"/>
    <row r="56351" s="2" customFormat="1"/>
    <row r="56352" s="2" customFormat="1"/>
    <row r="56353" s="2" customFormat="1"/>
    <row r="56354" s="2" customFormat="1"/>
    <row r="56355" s="2" customFormat="1"/>
    <row r="56356" s="2" customFormat="1"/>
    <row r="56357" s="2" customFormat="1"/>
    <row r="56358" s="2" customFormat="1"/>
    <row r="56359" s="2" customFormat="1"/>
    <row r="56360" s="2" customFormat="1"/>
    <row r="56361" s="2" customFormat="1"/>
    <row r="56362" s="2" customFormat="1"/>
    <row r="56363" s="2" customFormat="1"/>
    <row r="56364" s="2" customFormat="1"/>
    <row r="56365" s="2" customFormat="1"/>
    <row r="56366" s="2" customFormat="1"/>
    <row r="56367" s="2" customFormat="1"/>
    <row r="56368" s="2" customFormat="1"/>
    <row r="56369" s="2" customFormat="1"/>
    <row r="56370" s="2" customFormat="1"/>
    <row r="56371" s="2" customFormat="1"/>
    <row r="56372" s="2" customFormat="1"/>
    <row r="56373" s="2" customFormat="1"/>
    <row r="56374" s="2" customFormat="1"/>
    <row r="56375" s="2" customFormat="1"/>
    <row r="56376" s="2" customFormat="1"/>
    <row r="56377" s="2" customFormat="1"/>
    <row r="56378" s="2" customFormat="1"/>
    <row r="56379" s="2" customFormat="1"/>
    <row r="56380" s="2" customFormat="1"/>
    <row r="56381" s="2" customFormat="1"/>
    <row r="56382" s="2" customFormat="1"/>
    <row r="56383" s="2" customFormat="1"/>
    <row r="56384" s="2" customFormat="1"/>
    <row r="56385" s="2" customFormat="1"/>
    <row r="56386" s="2" customFormat="1"/>
    <row r="56387" s="2" customFormat="1"/>
    <row r="56388" s="2" customFormat="1"/>
    <row r="56389" s="2" customFormat="1"/>
    <row r="56390" s="2" customFormat="1"/>
    <row r="56391" s="2" customFormat="1"/>
    <row r="56392" s="2" customFormat="1"/>
    <row r="56393" s="2" customFormat="1"/>
    <row r="56394" s="2" customFormat="1"/>
    <row r="56395" s="2" customFormat="1"/>
    <row r="56396" s="2" customFormat="1"/>
    <row r="56397" s="2" customFormat="1"/>
    <row r="56398" s="2" customFormat="1"/>
    <row r="56399" s="2" customFormat="1"/>
    <row r="56400" s="2" customFormat="1"/>
    <row r="56401" s="2" customFormat="1"/>
    <row r="56402" s="2" customFormat="1"/>
    <row r="56403" s="2" customFormat="1"/>
    <row r="56404" s="2" customFormat="1"/>
    <row r="56405" s="2" customFormat="1"/>
    <row r="56406" s="2" customFormat="1"/>
    <row r="56407" s="2" customFormat="1"/>
    <row r="56408" s="2" customFormat="1"/>
    <row r="56409" s="2" customFormat="1"/>
    <row r="56410" s="2" customFormat="1"/>
    <row r="56411" s="2" customFormat="1"/>
    <row r="56412" s="2" customFormat="1"/>
    <row r="56413" s="2" customFormat="1"/>
    <row r="56414" s="2" customFormat="1"/>
    <row r="56415" s="2" customFormat="1"/>
    <row r="56416" s="2" customFormat="1"/>
    <row r="56417" s="2" customFormat="1"/>
    <row r="56418" s="2" customFormat="1"/>
    <row r="56419" s="2" customFormat="1"/>
    <row r="56420" s="2" customFormat="1"/>
    <row r="56421" s="2" customFormat="1"/>
    <row r="56422" s="2" customFormat="1"/>
    <row r="56423" s="2" customFormat="1"/>
    <row r="56424" s="2" customFormat="1"/>
    <row r="56425" s="2" customFormat="1"/>
    <row r="56426" s="2" customFormat="1"/>
    <row r="56427" s="2" customFormat="1"/>
    <row r="56428" s="2" customFormat="1"/>
    <row r="56429" s="2" customFormat="1"/>
    <row r="56430" s="2" customFormat="1"/>
    <row r="56431" s="2" customFormat="1"/>
    <row r="56432" s="2" customFormat="1"/>
    <row r="56433" s="2" customFormat="1"/>
    <row r="56434" s="2" customFormat="1"/>
    <row r="56435" s="2" customFormat="1"/>
    <row r="56436" s="2" customFormat="1"/>
    <row r="56437" s="2" customFormat="1"/>
    <row r="56438" s="2" customFormat="1"/>
    <row r="56439" s="2" customFormat="1"/>
    <row r="56440" s="2" customFormat="1"/>
    <row r="56441" s="2" customFormat="1"/>
    <row r="56442" s="2" customFormat="1"/>
    <row r="56443" s="2" customFormat="1"/>
    <row r="56444" s="2" customFormat="1"/>
    <row r="56445" s="2" customFormat="1"/>
    <row r="56446" s="2" customFormat="1"/>
    <row r="56447" s="2" customFormat="1"/>
    <row r="56448" s="2" customFormat="1"/>
    <row r="56449" s="2" customFormat="1"/>
    <row r="56450" s="2" customFormat="1"/>
    <row r="56451" s="2" customFormat="1"/>
    <row r="56452" s="2" customFormat="1"/>
    <row r="56453" s="2" customFormat="1"/>
    <row r="56454" s="2" customFormat="1"/>
    <row r="56455" s="2" customFormat="1"/>
    <row r="56456" s="2" customFormat="1"/>
    <row r="56457" s="2" customFormat="1"/>
    <row r="56458" s="2" customFormat="1"/>
    <row r="56459" s="2" customFormat="1"/>
    <row r="56460" s="2" customFormat="1"/>
    <row r="56461" s="2" customFormat="1"/>
    <row r="56462" s="2" customFormat="1"/>
    <row r="56463" s="2" customFormat="1"/>
    <row r="56464" s="2" customFormat="1"/>
    <row r="56465" s="2" customFormat="1"/>
    <row r="56466" s="2" customFormat="1"/>
    <row r="56467" s="2" customFormat="1"/>
    <row r="56468" s="2" customFormat="1"/>
    <row r="56469" s="2" customFormat="1"/>
    <row r="56470" s="2" customFormat="1"/>
    <row r="56471" s="2" customFormat="1"/>
    <row r="56472" s="2" customFormat="1"/>
    <row r="56473" s="2" customFormat="1"/>
    <row r="56474" s="2" customFormat="1"/>
    <row r="56475" s="2" customFormat="1"/>
    <row r="56476" s="2" customFormat="1"/>
    <row r="56477" s="2" customFormat="1"/>
    <row r="56478" s="2" customFormat="1"/>
    <row r="56479" s="2" customFormat="1"/>
    <row r="56480" s="2" customFormat="1"/>
    <row r="56481" s="2" customFormat="1"/>
    <row r="56482" s="2" customFormat="1"/>
    <row r="56483" s="2" customFormat="1"/>
    <row r="56484" s="2" customFormat="1"/>
    <row r="56485" s="2" customFormat="1"/>
    <row r="56486" s="2" customFormat="1"/>
    <row r="56487" s="2" customFormat="1"/>
    <row r="56488" s="2" customFormat="1"/>
    <row r="56489" s="2" customFormat="1"/>
    <row r="56490" s="2" customFormat="1"/>
    <row r="56491" s="2" customFormat="1"/>
    <row r="56492" s="2" customFormat="1"/>
    <row r="56493" s="2" customFormat="1"/>
    <row r="56494" s="2" customFormat="1"/>
    <row r="56495" s="2" customFormat="1"/>
    <row r="56496" s="2" customFormat="1"/>
    <row r="56497" s="2" customFormat="1"/>
    <row r="56498" s="2" customFormat="1"/>
    <row r="56499" s="2" customFormat="1"/>
    <row r="56500" s="2" customFormat="1"/>
    <row r="56501" s="2" customFormat="1"/>
    <row r="56502" s="2" customFormat="1"/>
    <row r="56503" s="2" customFormat="1"/>
    <row r="56504" s="2" customFormat="1"/>
    <row r="56505" s="2" customFormat="1"/>
    <row r="56506" s="2" customFormat="1"/>
    <row r="56507" s="2" customFormat="1"/>
    <row r="56508" s="2" customFormat="1"/>
    <row r="56509" s="2" customFormat="1"/>
    <row r="56510" s="2" customFormat="1"/>
    <row r="56511" s="2" customFormat="1"/>
    <row r="56512" s="2" customFormat="1"/>
    <row r="56513" s="2" customFormat="1"/>
    <row r="56514" s="2" customFormat="1"/>
    <row r="56515" s="2" customFormat="1"/>
    <row r="56516" s="2" customFormat="1"/>
    <row r="56517" s="2" customFormat="1"/>
    <row r="56518" s="2" customFormat="1"/>
    <row r="56519" s="2" customFormat="1"/>
    <row r="56520" s="2" customFormat="1"/>
    <row r="56521" s="2" customFormat="1"/>
    <row r="56522" s="2" customFormat="1"/>
    <row r="56523" s="2" customFormat="1"/>
    <row r="56524" s="2" customFormat="1"/>
    <row r="56525" s="2" customFormat="1"/>
    <row r="56526" s="2" customFormat="1"/>
    <row r="56527" s="2" customFormat="1"/>
    <row r="56528" s="2" customFormat="1"/>
    <row r="56529" s="2" customFormat="1"/>
    <row r="56530" s="2" customFormat="1"/>
    <row r="56531" s="2" customFormat="1"/>
    <row r="56532" s="2" customFormat="1"/>
    <row r="56533" s="2" customFormat="1"/>
    <row r="56534" s="2" customFormat="1"/>
    <row r="56535" s="2" customFormat="1"/>
    <row r="56536" s="2" customFormat="1"/>
    <row r="56537" s="2" customFormat="1"/>
    <row r="56538" s="2" customFormat="1"/>
    <row r="56539" s="2" customFormat="1"/>
    <row r="56540" s="2" customFormat="1"/>
    <row r="56541" s="2" customFormat="1"/>
    <row r="56542" s="2" customFormat="1"/>
    <row r="56543" s="2" customFormat="1"/>
    <row r="56544" s="2" customFormat="1"/>
    <row r="56545" s="2" customFormat="1"/>
    <row r="56546" s="2" customFormat="1"/>
    <row r="56547" s="2" customFormat="1"/>
    <row r="56548" s="2" customFormat="1"/>
    <row r="56549" s="2" customFormat="1"/>
    <row r="56550" s="2" customFormat="1"/>
    <row r="56551" s="2" customFormat="1"/>
    <row r="56552" s="2" customFormat="1"/>
    <row r="56553" s="2" customFormat="1"/>
    <row r="56554" s="2" customFormat="1"/>
    <row r="56555" s="2" customFormat="1"/>
    <row r="56556" s="2" customFormat="1"/>
    <row r="56557" s="2" customFormat="1"/>
    <row r="56558" s="2" customFormat="1"/>
    <row r="56559" s="2" customFormat="1"/>
    <row r="56560" s="2" customFormat="1"/>
    <row r="56561" s="2" customFormat="1"/>
    <row r="56562" s="2" customFormat="1"/>
    <row r="56563" s="2" customFormat="1"/>
    <row r="56564" s="2" customFormat="1"/>
    <row r="56565" s="2" customFormat="1"/>
    <row r="56566" s="2" customFormat="1"/>
    <row r="56567" s="2" customFormat="1"/>
    <row r="56568" s="2" customFormat="1"/>
    <row r="56569" s="2" customFormat="1"/>
    <row r="56570" s="2" customFormat="1"/>
    <row r="56571" s="2" customFormat="1"/>
    <row r="56572" s="2" customFormat="1"/>
    <row r="56573" s="2" customFormat="1"/>
    <row r="56574" s="2" customFormat="1"/>
    <row r="56575" s="2" customFormat="1"/>
    <row r="56576" s="2" customFormat="1"/>
    <row r="56577" s="2" customFormat="1"/>
    <row r="56578" s="2" customFormat="1"/>
    <row r="56579" s="2" customFormat="1"/>
    <row r="56580" s="2" customFormat="1"/>
    <row r="56581" s="2" customFormat="1"/>
    <row r="56582" s="2" customFormat="1"/>
    <row r="56583" s="2" customFormat="1"/>
    <row r="56584" s="2" customFormat="1"/>
    <row r="56585" s="2" customFormat="1"/>
    <row r="56586" s="2" customFormat="1"/>
    <row r="56587" s="2" customFormat="1"/>
    <row r="56588" s="2" customFormat="1"/>
    <row r="56589" s="2" customFormat="1"/>
    <row r="56590" s="2" customFormat="1"/>
    <row r="56591" s="2" customFormat="1"/>
    <row r="56592" s="2" customFormat="1"/>
    <row r="56593" s="2" customFormat="1"/>
    <row r="56594" s="2" customFormat="1"/>
    <row r="56595" s="2" customFormat="1"/>
    <row r="56596" s="2" customFormat="1"/>
    <row r="56597" s="2" customFormat="1"/>
    <row r="56598" s="2" customFormat="1"/>
    <row r="56599" s="2" customFormat="1"/>
    <row r="56600" s="2" customFormat="1"/>
    <row r="56601" s="2" customFormat="1"/>
    <row r="56602" s="2" customFormat="1"/>
    <row r="56603" s="2" customFormat="1"/>
    <row r="56604" s="2" customFormat="1"/>
    <row r="56605" s="2" customFormat="1"/>
    <row r="56606" s="2" customFormat="1"/>
    <row r="56607" s="2" customFormat="1"/>
    <row r="56608" s="2" customFormat="1"/>
    <row r="56609" s="2" customFormat="1"/>
    <row r="56610" s="2" customFormat="1"/>
    <row r="56611" s="2" customFormat="1"/>
    <row r="56612" s="2" customFormat="1"/>
    <row r="56613" s="2" customFormat="1"/>
    <row r="56614" s="2" customFormat="1"/>
    <row r="56615" s="2" customFormat="1"/>
    <row r="56616" s="2" customFormat="1"/>
    <row r="56617" s="2" customFormat="1"/>
    <row r="56618" s="2" customFormat="1"/>
    <row r="56619" s="2" customFormat="1"/>
    <row r="56620" s="2" customFormat="1"/>
    <row r="56621" s="2" customFormat="1"/>
    <row r="56622" s="2" customFormat="1"/>
    <row r="56623" s="2" customFormat="1"/>
    <row r="56624" s="2" customFormat="1"/>
    <row r="56625" s="2" customFormat="1"/>
    <row r="56626" s="2" customFormat="1"/>
    <row r="56627" s="2" customFormat="1"/>
    <row r="56628" s="2" customFormat="1"/>
    <row r="56629" s="2" customFormat="1"/>
    <row r="56630" s="2" customFormat="1"/>
    <row r="56631" s="2" customFormat="1"/>
    <row r="56632" s="2" customFormat="1"/>
    <row r="56633" s="2" customFormat="1"/>
    <row r="56634" s="2" customFormat="1"/>
    <row r="56635" s="2" customFormat="1"/>
    <row r="56636" s="2" customFormat="1"/>
    <row r="56637" s="2" customFormat="1"/>
    <row r="56638" s="2" customFormat="1"/>
    <row r="56639" s="2" customFormat="1"/>
    <row r="56640" s="2" customFormat="1"/>
    <row r="56641" s="2" customFormat="1"/>
    <row r="56642" s="2" customFormat="1"/>
    <row r="56643" s="2" customFormat="1"/>
    <row r="56644" s="2" customFormat="1"/>
    <row r="56645" s="2" customFormat="1"/>
    <row r="56646" s="2" customFormat="1"/>
    <row r="56647" s="2" customFormat="1"/>
    <row r="56648" s="2" customFormat="1"/>
    <row r="56649" s="2" customFormat="1"/>
    <row r="56650" s="2" customFormat="1"/>
    <row r="56651" s="2" customFormat="1"/>
    <row r="56652" s="2" customFormat="1"/>
    <row r="56653" s="2" customFormat="1"/>
    <row r="56654" s="2" customFormat="1"/>
    <row r="56655" s="2" customFormat="1"/>
    <row r="56656" s="2" customFormat="1"/>
    <row r="56657" s="2" customFormat="1"/>
    <row r="56658" s="2" customFormat="1"/>
    <row r="56659" s="2" customFormat="1"/>
    <row r="56660" s="2" customFormat="1"/>
    <row r="56661" s="2" customFormat="1"/>
    <row r="56662" s="2" customFormat="1"/>
    <row r="56663" s="2" customFormat="1"/>
    <row r="56664" s="2" customFormat="1"/>
    <row r="56665" s="2" customFormat="1"/>
    <row r="56666" s="2" customFormat="1"/>
    <row r="56667" s="2" customFormat="1"/>
    <row r="56668" s="2" customFormat="1"/>
    <row r="56669" s="2" customFormat="1"/>
    <row r="56670" s="2" customFormat="1"/>
    <row r="56671" s="2" customFormat="1"/>
    <row r="56672" s="2" customFormat="1"/>
    <row r="56673" s="2" customFormat="1"/>
    <row r="56674" s="2" customFormat="1"/>
    <row r="56675" s="2" customFormat="1"/>
    <row r="56676" s="2" customFormat="1"/>
    <row r="56677" s="2" customFormat="1"/>
    <row r="56678" s="2" customFormat="1"/>
    <row r="56679" s="2" customFormat="1"/>
    <row r="56680" s="2" customFormat="1"/>
    <row r="56681" s="2" customFormat="1"/>
    <row r="56682" s="2" customFormat="1"/>
    <row r="56683" s="2" customFormat="1"/>
    <row r="56684" s="2" customFormat="1"/>
    <row r="56685" s="2" customFormat="1"/>
    <row r="56686" s="2" customFormat="1"/>
    <row r="56687" s="2" customFormat="1"/>
    <row r="56688" s="2" customFormat="1"/>
    <row r="56689" s="2" customFormat="1"/>
    <row r="56690" s="2" customFormat="1"/>
    <row r="56691" s="2" customFormat="1"/>
    <row r="56692" s="2" customFormat="1"/>
    <row r="56693" s="2" customFormat="1"/>
    <row r="56694" s="2" customFormat="1"/>
    <row r="56695" s="2" customFormat="1"/>
    <row r="56696" s="2" customFormat="1"/>
    <row r="56697" s="2" customFormat="1"/>
    <row r="56698" s="2" customFormat="1"/>
    <row r="56699" s="2" customFormat="1"/>
    <row r="56700" s="2" customFormat="1"/>
    <row r="56701" s="2" customFormat="1"/>
    <row r="56702" s="2" customFormat="1"/>
    <row r="56703" s="2" customFormat="1"/>
    <row r="56704" s="2" customFormat="1"/>
    <row r="56705" s="2" customFormat="1"/>
    <row r="56706" s="2" customFormat="1"/>
    <row r="56707" s="2" customFormat="1"/>
    <row r="56708" s="2" customFormat="1"/>
    <row r="56709" s="2" customFormat="1"/>
    <row r="56710" s="2" customFormat="1"/>
    <row r="56711" s="2" customFormat="1"/>
    <row r="56712" s="2" customFormat="1"/>
    <row r="56713" s="2" customFormat="1"/>
    <row r="56714" s="2" customFormat="1"/>
    <row r="56715" s="2" customFormat="1"/>
    <row r="56716" s="2" customFormat="1"/>
    <row r="56717" s="2" customFormat="1"/>
    <row r="56718" s="2" customFormat="1"/>
    <row r="56719" s="2" customFormat="1"/>
    <row r="56720" s="2" customFormat="1"/>
    <row r="56721" s="2" customFormat="1"/>
    <row r="56722" s="2" customFormat="1"/>
    <row r="56723" s="2" customFormat="1"/>
    <row r="56724" s="2" customFormat="1"/>
    <row r="56725" s="2" customFormat="1"/>
    <row r="56726" s="2" customFormat="1"/>
    <row r="56727" s="2" customFormat="1"/>
    <row r="56728" s="2" customFormat="1"/>
    <row r="56729" s="2" customFormat="1"/>
    <row r="56730" s="2" customFormat="1"/>
    <row r="56731" s="2" customFormat="1"/>
    <row r="56732" s="2" customFormat="1"/>
    <row r="56733" s="2" customFormat="1"/>
    <row r="56734" s="2" customFormat="1"/>
    <row r="56735" s="2" customFormat="1"/>
    <row r="56736" s="2" customFormat="1"/>
    <row r="56737" s="2" customFormat="1"/>
    <row r="56738" s="2" customFormat="1"/>
    <row r="56739" s="2" customFormat="1"/>
    <row r="56740" s="2" customFormat="1"/>
    <row r="56741" s="2" customFormat="1"/>
    <row r="56742" s="2" customFormat="1"/>
    <row r="56743" s="2" customFormat="1"/>
    <row r="56744" s="2" customFormat="1"/>
    <row r="56745" s="2" customFormat="1"/>
    <row r="56746" s="2" customFormat="1"/>
    <row r="56747" s="2" customFormat="1"/>
    <row r="56748" s="2" customFormat="1"/>
    <row r="56749" s="2" customFormat="1"/>
    <row r="56750" s="2" customFormat="1"/>
    <row r="56751" s="2" customFormat="1"/>
    <row r="56752" s="2" customFormat="1"/>
    <row r="56753" s="2" customFormat="1"/>
    <row r="56754" s="2" customFormat="1"/>
    <row r="56755" s="2" customFormat="1"/>
    <row r="56756" s="2" customFormat="1"/>
    <row r="56757" s="2" customFormat="1"/>
    <row r="56758" s="2" customFormat="1"/>
    <row r="56759" s="2" customFormat="1"/>
    <row r="56760" s="2" customFormat="1"/>
    <row r="56761" s="2" customFormat="1"/>
    <row r="56762" s="2" customFormat="1"/>
    <row r="56763" s="2" customFormat="1"/>
    <row r="56764" s="2" customFormat="1"/>
    <row r="56765" s="2" customFormat="1"/>
    <row r="56766" s="2" customFormat="1"/>
    <row r="56767" s="2" customFormat="1"/>
    <row r="56768" s="2" customFormat="1"/>
    <row r="56769" s="2" customFormat="1"/>
    <row r="56770" s="2" customFormat="1"/>
    <row r="56771" s="2" customFormat="1"/>
    <row r="56772" s="2" customFormat="1"/>
    <row r="56773" s="2" customFormat="1"/>
    <row r="56774" s="2" customFormat="1"/>
    <row r="56775" s="2" customFormat="1"/>
    <row r="56776" s="2" customFormat="1"/>
    <row r="56777" s="2" customFormat="1"/>
    <row r="56778" s="2" customFormat="1"/>
    <row r="56779" s="2" customFormat="1"/>
    <row r="56780" s="2" customFormat="1"/>
    <row r="56781" s="2" customFormat="1"/>
    <row r="56782" s="2" customFormat="1"/>
    <row r="56783" s="2" customFormat="1"/>
    <row r="56784" s="2" customFormat="1"/>
    <row r="56785" s="2" customFormat="1"/>
    <row r="56786" s="2" customFormat="1"/>
    <row r="56787" s="2" customFormat="1"/>
    <row r="56788" s="2" customFormat="1"/>
    <row r="56789" s="2" customFormat="1"/>
    <row r="56790" s="2" customFormat="1"/>
    <row r="56791" s="2" customFormat="1"/>
    <row r="56792" s="2" customFormat="1"/>
    <row r="56793" s="2" customFormat="1"/>
    <row r="56794" s="2" customFormat="1"/>
    <row r="56795" s="2" customFormat="1"/>
    <row r="56796" s="2" customFormat="1"/>
    <row r="56797" s="2" customFormat="1"/>
    <row r="56798" s="2" customFormat="1"/>
    <row r="56799" s="2" customFormat="1"/>
    <row r="56800" s="2" customFormat="1"/>
    <row r="56801" s="2" customFormat="1"/>
    <row r="56802" s="2" customFormat="1"/>
    <row r="56803" s="2" customFormat="1"/>
    <row r="56804" s="2" customFormat="1"/>
    <row r="56805" s="2" customFormat="1"/>
    <row r="56806" s="2" customFormat="1"/>
    <row r="56807" s="2" customFormat="1"/>
    <row r="56808" s="2" customFormat="1"/>
    <row r="56809" s="2" customFormat="1"/>
    <row r="56810" s="2" customFormat="1"/>
    <row r="56811" s="2" customFormat="1"/>
    <row r="56812" s="2" customFormat="1"/>
    <row r="56813" s="2" customFormat="1"/>
    <row r="56814" s="2" customFormat="1"/>
    <row r="56815" s="2" customFormat="1"/>
    <row r="56816" s="2" customFormat="1"/>
    <row r="56817" s="2" customFormat="1"/>
    <row r="56818" s="2" customFormat="1"/>
    <row r="56819" s="2" customFormat="1"/>
    <row r="56820" s="2" customFormat="1"/>
    <row r="56821" s="2" customFormat="1"/>
    <row r="56822" s="2" customFormat="1"/>
    <row r="56823" s="2" customFormat="1"/>
    <row r="56824" s="2" customFormat="1"/>
    <row r="56825" s="2" customFormat="1"/>
    <row r="56826" s="2" customFormat="1"/>
    <row r="56827" s="2" customFormat="1"/>
    <row r="56828" s="2" customFormat="1"/>
    <row r="56829" s="2" customFormat="1"/>
    <row r="56830" s="2" customFormat="1"/>
    <row r="56831" s="2" customFormat="1"/>
    <row r="56832" s="2" customFormat="1"/>
    <row r="56833" s="2" customFormat="1"/>
    <row r="56834" s="2" customFormat="1"/>
    <row r="56835" s="2" customFormat="1"/>
    <row r="56836" s="2" customFormat="1"/>
    <row r="56837" s="2" customFormat="1"/>
    <row r="56838" s="2" customFormat="1"/>
    <row r="56839" s="2" customFormat="1"/>
    <row r="56840" s="2" customFormat="1"/>
    <row r="56841" s="2" customFormat="1"/>
    <row r="56842" s="2" customFormat="1"/>
    <row r="56843" s="2" customFormat="1"/>
    <row r="56844" s="2" customFormat="1"/>
    <row r="56845" s="2" customFormat="1"/>
    <row r="56846" s="2" customFormat="1"/>
    <row r="56847" s="2" customFormat="1"/>
    <row r="56848" s="2" customFormat="1"/>
    <row r="56849" s="2" customFormat="1"/>
    <row r="56850" s="2" customFormat="1"/>
    <row r="56851" s="2" customFormat="1"/>
    <row r="56852" s="2" customFormat="1"/>
    <row r="56853" s="2" customFormat="1"/>
    <row r="56854" s="2" customFormat="1"/>
    <row r="56855" s="2" customFormat="1"/>
    <row r="56856" s="2" customFormat="1"/>
    <row r="56857" s="2" customFormat="1"/>
    <row r="56858" s="2" customFormat="1"/>
    <row r="56859" s="2" customFormat="1"/>
    <row r="56860" s="2" customFormat="1"/>
    <row r="56861" s="2" customFormat="1"/>
    <row r="56862" s="2" customFormat="1"/>
    <row r="56863" s="2" customFormat="1"/>
    <row r="56864" s="2" customFormat="1"/>
    <row r="56865" s="2" customFormat="1"/>
    <row r="56866" s="2" customFormat="1"/>
    <row r="56867" s="2" customFormat="1"/>
    <row r="56868" s="2" customFormat="1"/>
    <row r="56869" s="2" customFormat="1"/>
    <row r="56870" s="2" customFormat="1"/>
    <row r="56871" s="2" customFormat="1"/>
    <row r="56872" s="2" customFormat="1"/>
    <row r="56873" s="2" customFormat="1"/>
    <row r="56874" s="2" customFormat="1"/>
    <row r="56875" s="2" customFormat="1"/>
    <row r="56876" s="2" customFormat="1"/>
    <row r="56877" s="2" customFormat="1"/>
    <row r="56878" s="2" customFormat="1"/>
    <row r="56879" s="2" customFormat="1"/>
    <row r="56880" s="2" customFormat="1"/>
    <row r="56881" s="2" customFormat="1"/>
    <row r="56882" s="2" customFormat="1"/>
    <row r="56883" s="2" customFormat="1"/>
    <row r="56884" s="2" customFormat="1"/>
    <row r="56885" s="2" customFormat="1"/>
    <row r="56886" s="2" customFormat="1"/>
    <row r="56887" s="2" customFormat="1"/>
    <row r="56888" s="2" customFormat="1"/>
    <row r="56889" s="2" customFormat="1"/>
    <row r="56890" s="2" customFormat="1"/>
    <row r="56891" s="2" customFormat="1"/>
    <row r="56892" s="2" customFormat="1"/>
    <row r="56893" s="2" customFormat="1"/>
    <row r="56894" s="2" customFormat="1"/>
    <row r="56895" s="2" customFormat="1"/>
    <row r="56896" s="2" customFormat="1"/>
    <row r="56897" s="2" customFormat="1"/>
    <row r="56898" s="2" customFormat="1"/>
    <row r="56899" s="2" customFormat="1"/>
    <row r="56900" s="2" customFormat="1"/>
    <row r="56901" s="2" customFormat="1"/>
    <row r="56902" s="2" customFormat="1"/>
    <row r="56903" s="2" customFormat="1"/>
    <row r="56904" s="2" customFormat="1"/>
    <row r="56905" s="2" customFormat="1"/>
    <row r="56906" s="2" customFormat="1"/>
    <row r="56907" s="2" customFormat="1"/>
    <row r="56908" s="2" customFormat="1"/>
    <row r="56909" s="2" customFormat="1"/>
    <row r="56910" s="2" customFormat="1"/>
    <row r="56911" s="2" customFormat="1"/>
    <row r="56912" s="2" customFormat="1"/>
    <row r="56913" s="2" customFormat="1"/>
    <row r="56914" s="2" customFormat="1"/>
    <row r="56915" s="2" customFormat="1"/>
    <row r="56916" s="2" customFormat="1"/>
    <row r="56917" s="2" customFormat="1"/>
    <row r="56918" s="2" customFormat="1"/>
    <row r="56919" s="2" customFormat="1"/>
    <row r="56920" s="2" customFormat="1"/>
    <row r="56921" s="2" customFormat="1"/>
    <row r="56922" s="2" customFormat="1"/>
    <row r="56923" s="2" customFormat="1"/>
    <row r="56924" s="2" customFormat="1"/>
    <row r="56925" s="2" customFormat="1"/>
    <row r="56926" s="2" customFormat="1"/>
    <row r="56927" s="2" customFormat="1"/>
    <row r="56928" s="2" customFormat="1"/>
    <row r="56929" s="2" customFormat="1"/>
    <row r="56930" s="2" customFormat="1"/>
    <row r="56931" s="2" customFormat="1"/>
    <row r="56932" s="2" customFormat="1"/>
    <row r="56933" s="2" customFormat="1"/>
    <row r="56934" s="2" customFormat="1"/>
    <row r="56935" s="2" customFormat="1"/>
    <row r="56936" s="2" customFormat="1"/>
    <row r="56937" s="2" customFormat="1"/>
    <row r="56938" s="2" customFormat="1"/>
    <row r="56939" s="2" customFormat="1"/>
    <row r="56940" s="2" customFormat="1"/>
    <row r="56941" s="2" customFormat="1"/>
    <row r="56942" s="2" customFormat="1"/>
    <row r="56943" s="2" customFormat="1"/>
    <row r="56944" s="2" customFormat="1"/>
    <row r="56945" s="2" customFormat="1"/>
    <row r="56946" s="2" customFormat="1"/>
    <row r="56947" s="2" customFormat="1"/>
    <row r="56948" s="2" customFormat="1"/>
    <row r="56949" s="2" customFormat="1"/>
    <row r="56950" s="2" customFormat="1"/>
    <row r="56951" s="2" customFormat="1"/>
    <row r="56952" s="2" customFormat="1"/>
    <row r="56953" s="2" customFormat="1"/>
    <row r="56954" s="2" customFormat="1"/>
    <row r="56955" s="2" customFormat="1"/>
    <row r="56956" s="2" customFormat="1"/>
    <row r="56957" s="2" customFormat="1"/>
    <row r="56958" s="2" customFormat="1"/>
    <row r="56959" s="2" customFormat="1"/>
    <row r="56960" s="2" customFormat="1"/>
    <row r="56961" s="2" customFormat="1"/>
    <row r="56962" s="2" customFormat="1"/>
    <row r="56963" s="2" customFormat="1"/>
    <row r="56964" s="2" customFormat="1"/>
    <row r="56965" s="2" customFormat="1"/>
    <row r="56966" s="2" customFormat="1"/>
    <row r="56967" s="2" customFormat="1"/>
    <row r="56968" s="2" customFormat="1"/>
    <row r="56969" s="2" customFormat="1"/>
    <row r="56970" s="2" customFormat="1"/>
    <row r="56971" s="2" customFormat="1"/>
    <row r="56972" s="2" customFormat="1"/>
    <row r="56973" s="2" customFormat="1"/>
    <row r="56974" s="2" customFormat="1"/>
    <row r="56975" s="2" customFormat="1"/>
    <row r="56976" s="2" customFormat="1"/>
    <row r="56977" s="2" customFormat="1"/>
    <row r="56978" s="2" customFormat="1"/>
    <row r="56979" s="2" customFormat="1"/>
    <row r="56980" s="2" customFormat="1"/>
    <row r="56981" s="2" customFormat="1"/>
    <row r="56982" s="2" customFormat="1"/>
    <row r="56983" s="2" customFormat="1"/>
    <row r="56984" s="2" customFormat="1"/>
    <row r="56985" s="2" customFormat="1"/>
    <row r="56986" s="2" customFormat="1"/>
    <row r="56987" s="2" customFormat="1"/>
    <row r="56988" s="2" customFormat="1"/>
    <row r="56989" s="2" customFormat="1"/>
    <row r="56990" s="2" customFormat="1"/>
    <row r="56991" s="2" customFormat="1"/>
    <row r="56992" s="2" customFormat="1"/>
    <row r="56993" s="2" customFormat="1"/>
    <row r="56994" s="2" customFormat="1"/>
    <row r="56995" s="2" customFormat="1"/>
    <row r="56996" s="2" customFormat="1"/>
    <row r="56997" s="2" customFormat="1"/>
    <row r="56998" s="2" customFormat="1"/>
    <row r="56999" s="2" customFormat="1"/>
    <row r="57000" s="2" customFormat="1"/>
    <row r="57001" s="2" customFormat="1"/>
    <row r="57002" s="2" customFormat="1"/>
    <row r="57003" s="2" customFormat="1"/>
    <row r="57004" s="2" customFormat="1"/>
    <row r="57005" s="2" customFormat="1"/>
    <row r="57006" s="2" customFormat="1"/>
    <row r="57007" s="2" customFormat="1"/>
    <row r="57008" s="2" customFormat="1"/>
    <row r="57009" s="2" customFormat="1"/>
    <row r="57010" s="2" customFormat="1"/>
    <row r="57011" s="2" customFormat="1"/>
    <row r="57012" s="2" customFormat="1"/>
    <row r="57013" s="2" customFormat="1"/>
    <row r="57014" s="2" customFormat="1"/>
    <row r="57015" s="2" customFormat="1"/>
    <row r="57016" s="2" customFormat="1"/>
    <row r="57017" s="2" customFormat="1"/>
    <row r="57018" s="2" customFormat="1"/>
    <row r="57019" s="2" customFormat="1"/>
    <row r="57020" s="2" customFormat="1"/>
    <row r="57021" s="2" customFormat="1"/>
    <row r="57022" s="2" customFormat="1"/>
    <row r="57023" s="2" customFormat="1"/>
    <row r="57024" s="2" customFormat="1"/>
    <row r="57025" s="2" customFormat="1"/>
    <row r="57026" s="2" customFormat="1"/>
    <row r="57027" s="2" customFormat="1"/>
    <row r="57028" s="2" customFormat="1"/>
    <row r="57029" s="2" customFormat="1"/>
    <row r="57030" s="2" customFormat="1"/>
    <row r="57031" s="2" customFormat="1"/>
    <row r="57032" s="2" customFormat="1"/>
    <row r="57033" s="2" customFormat="1"/>
    <row r="57034" s="2" customFormat="1"/>
    <row r="57035" s="2" customFormat="1"/>
    <row r="57036" s="2" customFormat="1"/>
    <row r="57037" s="2" customFormat="1"/>
    <row r="57038" s="2" customFormat="1"/>
    <row r="57039" s="2" customFormat="1"/>
    <row r="57040" s="2" customFormat="1"/>
    <row r="57041" s="2" customFormat="1"/>
    <row r="57042" s="2" customFormat="1"/>
    <row r="57043" s="2" customFormat="1"/>
    <row r="57044" s="2" customFormat="1"/>
    <row r="57045" s="2" customFormat="1"/>
    <row r="57046" s="2" customFormat="1"/>
    <row r="57047" s="2" customFormat="1"/>
    <row r="57048" s="2" customFormat="1"/>
    <row r="57049" s="2" customFormat="1"/>
    <row r="57050" s="2" customFormat="1"/>
    <row r="57051" s="2" customFormat="1"/>
    <row r="57052" s="2" customFormat="1"/>
    <row r="57053" s="2" customFormat="1"/>
    <row r="57054" s="2" customFormat="1"/>
    <row r="57055" s="2" customFormat="1"/>
    <row r="57056" s="2" customFormat="1"/>
    <row r="57057" s="2" customFormat="1"/>
    <row r="57058" s="2" customFormat="1"/>
    <row r="57059" s="2" customFormat="1"/>
    <row r="57060" s="2" customFormat="1"/>
    <row r="57061" s="2" customFormat="1"/>
    <row r="57062" s="2" customFormat="1"/>
    <row r="57063" s="2" customFormat="1"/>
    <row r="57064" s="2" customFormat="1"/>
    <row r="57065" s="2" customFormat="1"/>
    <row r="57066" s="2" customFormat="1"/>
    <row r="57067" s="2" customFormat="1"/>
    <row r="57068" s="2" customFormat="1"/>
    <row r="57069" s="2" customFormat="1"/>
    <row r="57070" s="2" customFormat="1"/>
    <row r="57071" s="2" customFormat="1"/>
    <row r="57072" s="2" customFormat="1"/>
    <row r="57073" s="2" customFormat="1"/>
    <row r="57074" s="2" customFormat="1"/>
    <row r="57075" s="2" customFormat="1"/>
    <row r="57076" s="2" customFormat="1"/>
    <row r="57077" s="2" customFormat="1"/>
    <row r="57078" s="2" customFormat="1"/>
    <row r="57079" s="2" customFormat="1"/>
    <row r="57080" s="2" customFormat="1"/>
    <row r="57081" s="2" customFormat="1"/>
    <row r="57082" s="2" customFormat="1"/>
    <row r="57083" s="2" customFormat="1"/>
    <row r="57084" s="2" customFormat="1"/>
    <row r="57085" s="2" customFormat="1"/>
    <row r="57086" s="2" customFormat="1"/>
    <row r="57087" s="2" customFormat="1"/>
    <row r="57088" s="2" customFormat="1"/>
    <row r="57089" s="2" customFormat="1"/>
    <row r="57090" s="2" customFormat="1"/>
    <row r="57091" s="2" customFormat="1"/>
    <row r="57092" s="2" customFormat="1"/>
    <row r="57093" s="2" customFormat="1"/>
    <row r="57094" s="2" customFormat="1"/>
    <row r="57095" s="2" customFormat="1"/>
    <row r="57096" s="2" customFormat="1"/>
    <row r="57097" s="2" customFormat="1"/>
    <row r="57098" s="2" customFormat="1"/>
    <row r="57099" s="2" customFormat="1"/>
    <row r="57100" s="2" customFormat="1"/>
    <row r="57101" s="2" customFormat="1"/>
    <row r="57102" s="2" customFormat="1"/>
    <row r="57103" s="2" customFormat="1"/>
    <row r="57104" s="2" customFormat="1"/>
    <row r="57105" s="2" customFormat="1"/>
    <row r="57106" s="2" customFormat="1"/>
    <row r="57107" s="2" customFormat="1"/>
    <row r="57108" s="2" customFormat="1"/>
    <row r="57109" s="2" customFormat="1"/>
    <row r="57110" s="2" customFormat="1"/>
    <row r="57111" s="2" customFormat="1"/>
    <row r="57112" s="2" customFormat="1"/>
    <row r="57113" s="2" customFormat="1"/>
    <row r="57114" s="2" customFormat="1"/>
    <row r="57115" s="2" customFormat="1"/>
    <row r="57116" s="2" customFormat="1"/>
    <row r="57117" s="2" customFormat="1"/>
    <row r="57118" s="2" customFormat="1"/>
    <row r="57119" s="2" customFormat="1"/>
    <row r="57120" s="2" customFormat="1"/>
    <row r="57121" s="2" customFormat="1"/>
    <row r="57122" s="2" customFormat="1"/>
    <row r="57123" s="2" customFormat="1"/>
    <row r="57124" s="2" customFormat="1"/>
    <row r="57125" s="2" customFormat="1"/>
    <row r="57126" s="2" customFormat="1"/>
    <row r="57127" s="2" customFormat="1"/>
    <row r="57128" s="2" customFormat="1"/>
    <row r="57129" s="2" customFormat="1"/>
    <row r="57130" s="2" customFormat="1"/>
    <row r="57131" s="2" customFormat="1"/>
    <row r="57132" s="2" customFormat="1"/>
    <row r="57133" s="2" customFormat="1"/>
    <row r="57134" s="2" customFormat="1"/>
    <row r="57135" s="2" customFormat="1"/>
    <row r="57136" s="2" customFormat="1"/>
    <row r="57137" s="2" customFormat="1"/>
    <row r="57138" s="2" customFormat="1"/>
    <row r="57139" s="2" customFormat="1"/>
    <row r="57140" s="2" customFormat="1"/>
    <row r="57141" s="2" customFormat="1"/>
    <row r="57142" s="2" customFormat="1"/>
    <row r="57143" s="2" customFormat="1"/>
    <row r="57144" s="2" customFormat="1"/>
    <row r="57145" s="2" customFormat="1"/>
    <row r="57146" s="2" customFormat="1"/>
    <row r="57147" s="2" customFormat="1"/>
    <row r="57148" s="2" customFormat="1"/>
    <row r="57149" s="2" customFormat="1"/>
    <row r="57150" s="2" customFormat="1"/>
    <row r="57151" s="2" customFormat="1"/>
    <row r="57152" s="2" customFormat="1"/>
    <row r="57153" s="2" customFormat="1"/>
    <row r="57154" s="2" customFormat="1"/>
    <row r="57155" s="2" customFormat="1"/>
    <row r="57156" s="2" customFormat="1"/>
    <row r="57157" s="2" customFormat="1"/>
    <row r="57158" s="2" customFormat="1"/>
    <row r="57159" s="2" customFormat="1"/>
    <row r="57160" s="2" customFormat="1"/>
    <row r="57161" s="2" customFormat="1"/>
    <row r="57162" s="2" customFormat="1"/>
    <row r="57163" s="2" customFormat="1"/>
    <row r="57164" s="2" customFormat="1"/>
    <row r="57165" s="2" customFormat="1"/>
    <row r="57166" s="2" customFormat="1"/>
    <row r="57167" s="2" customFormat="1"/>
    <row r="57168" s="2" customFormat="1"/>
    <row r="57169" s="2" customFormat="1"/>
    <row r="57170" s="2" customFormat="1"/>
    <row r="57171" s="2" customFormat="1"/>
    <row r="57172" s="2" customFormat="1"/>
    <row r="57173" s="2" customFormat="1"/>
    <row r="57174" s="2" customFormat="1"/>
    <row r="57175" s="2" customFormat="1"/>
    <row r="57176" s="2" customFormat="1"/>
    <row r="57177" s="2" customFormat="1"/>
    <row r="57178" s="2" customFormat="1"/>
    <row r="57179" s="2" customFormat="1"/>
    <row r="57180" s="2" customFormat="1"/>
    <row r="57181" s="2" customFormat="1"/>
    <row r="57182" s="2" customFormat="1"/>
    <row r="57183" s="2" customFormat="1"/>
    <row r="57184" s="2" customFormat="1"/>
    <row r="57185" s="2" customFormat="1"/>
    <row r="57186" s="2" customFormat="1"/>
    <row r="57187" s="2" customFormat="1"/>
    <row r="57188" s="2" customFormat="1"/>
    <row r="57189" s="2" customFormat="1"/>
    <row r="57190" s="2" customFormat="1"/>
    <row r="57191" s="2" customFormat="1"/>
    <row r="57192" s="2" customFormat="1"/>
    <row r="57193" s="2" customFormat="1"/>
    <row r="57194" s="2" customFormat="1"/>
    <row r="57195" s="2" customFormat="1"/>
    <row r="57196" s="2" customFormat="1"/>
    <row r="57197" s="2" customFormat="1"/>
    <row r="57198" s="2" customFormat="1"/>
    <row r="57199" s="2" customFormat="1"/>
    <row r="57200" s="2" customFormat="1"/>
    <row r="57201" s="2" customFormat="1"/>
    <row r="57202" s="2" customFormat="1"/>
    <row r="57203" s="2" customFormat="1"/>
    <row r="57204" s="2" customFormat="1"/>
    <row r="57205" s="2" customFormat="1"/>
    <row r="57206" s="2" customFormat="1"/>
    <row r="57207" s="2" customFormat="1"/>
    <row r="57208" s="2" customFormat="1"/>
    <row r="57209" s="2" customFormat="1"/>
    <row r="57210" s="2" customFormat="1"/>
    <row r="57211" s="2" customFormat="1"/>
    <row r="57212" s="2" customFormat="1"/>
    <row r="57213" s="2" customFormat="1"/>
    <row r="57214" s="2" customFormat="1"/>
    <row r="57215" s="2" customFormat="1"/>
    <row r="57216" s="2" customFormat="1"/>
    <row r="57217" s="2" customFormat="1"/>
    <row r="57218" s="2" customFormat="1"/>
    <row r="57219" s="2" customFormat="1"/>
    <row r="57220" s="2" customFormat="1"/>
    <row r="57221" s="2" customFormat="1"/>
    <row r="57222" s="2" customFormat="1"/>
    <row r="57223" s="2" customFormat="1"/>
    <row r="57224" s="2" customFormat="1"/>
    <row r="57225" s="2" customFormat="1"/>
    <row r="57226" s="2" customFormat="1"/>
    <row r="57227" s="2" customFormat="1"/>
    <row r="57228" s="2" customFormat="1"/>
    <row r="57229" s="2" customFormat="1"/>
    <row r="57230" s="2" customFormat="1"/>
    <row r="57231" s="2" customFormat="1"/>
    <row r="57232" s="2" customFormat="1"/>
    <row r="57233" s="2" customFormat="1"/>
    <row r="57234" s="2" customFormat="1"/>
    <row r="57235" s="2" customFormat="1"/>
    <row r="57236" s="2" customFormat="1"/>
    <row r="57237" s="2" customFormat="1"/>
    <row r="57238" s="2" customFormat="1"/>
    <row r="57239" s="2" customFormat="1"/>
    <row r="57240" s="2" customFormat="1"/>
    <row r="57241" s="2" customFormat="1"/>
    <row r="57242" s="2" customFormat="1"/>
    <row r="57243" s="2" customFormat="1"/>
    <row r="57244" s="2" customFormat="1"/>
    <row r="57245" s="2" customFormat="1"/>
    <row r="57246" s="2" customFormat="1"/>
    <row r="57247" s="2" customFormat="1"/>
    <row r="57248" s="2" customFormat="1"/>
    <row r="57249" s="2" customFormat="1"/>
    <row r="57250" s="2" customFormat="1"/>
    <row r="57251" s="2" customFormat="1"/>
    <row r="57252" s="2" customFormat="1"/>
    <row r="57253" s="2" customFormat="1"/>
    <row r="57254" s="2" customFormat="1"/>
    <row r="57255" s="2" customFormat="1"/>
    <row r="57256" s="2" customFormat="1"/>
    <row r="57257" s="2" customFormat="1"/>
    <row r="57258" s="2" customFormat="1"/>
    <row r="57259" s="2" customFormat="1"/>
    <row r="57260" s="2" customFormat="1"/>
    <row r="57261" s="2" customFormat="1"/>
    <row r="57262" s="2" customFormat="1"/>
    <row r="57263" s="2" customFormat="1"/>
    <row r="57264" s="2" customFormat="1"/>
    <row r="57265" s="2" customFormat="1"/>
    <row r="57266" s="2" customFormat="1"/>
    <row r="57267" s="2" customFormat="1"/>
    <row r="57268" s="2" customFormat="1"/>
    <row r="57269" s="2" customFormat="1"/>
    <row r="57270" s="2" customFormat="1"/>
    <row r="57271" s="2" customFormat="1"/>
    <row r="57272" s="2" customFormat="1"/>
    <row r="57273" s="2" customFormat="1"/>
    <row r="57274" s="2" customFormat="1"/>
    <row r="57275" s="2" customFormat="1"/>
    <row r="57276" s="2" customFormat="1"/>
    <row r="57277" s="2" customFormat="1"/>
    <row r="57278" s="2" customFormat="1"/>
    <row r="57279" s="2" customFormat="1"/>
    <row r="57280" s="2" customFormat="1"/>
    <row r="57281" s="2" customFormat="1"/>
    <row r="57282" s="2" customFormat="1"/>
    <row r="57283" s="2" customFormat="1"/>
    <row r="57284" s="2" customFormat="1"/>
    <row r="57285" s="2" customFormat="1"/>
    <row r="57286" s="2" customFormat="1"/>
    <row r="57287" s="2" customFormat="1"/>
    <row r="57288" s="2" customFormat="1"/>
    <row r="57289" s="2" customFormat="1"/>
    <row r="57290" s="2" customFormat="1"/>
    <row r="57291" s="2" customFormat="1"/>
    <row r="57292" s="2" customFormat="1"/>
    <row r="57293" s="2" customFormat="1"/>
    <row r="57294" s="2" customFormat="1"/>
    <row r="57295" s="2" customFormat="1"/>
    <row r="57296" s="2" customFormat="1"/>
    <row r="57297" s="2" customFormat="1"/>
    <row r="57298" s="2" customFormat="1"/>
    <row r="57299" s="2" customFormat="1"/>
    <row r="57300" s="2" customFormat="1"/>
    <row r="57301" s="2" customFormat="1"/>
    <row r="57302" s="2" customFormat="1"/>
    <row r="57303" s="2" customFormat="1"/>
    <row r="57304" s="2" customFormat="1"/>
    <row r="57305" s="2" customFormat="1"/>
    <row r="57306" s="2" customFormat="1"/>
    <row r="57307" s="2" customFormat="1"/>
    <row r="57308" s="2" customFormat="1"/>
    <row r="57309" s="2" customFormat="1"/>
    <row r="57310" s="2" customFormat="1"/>
    <row r="57311" s="2" customFormat="1"/>
    <row r="57312" s="2" customFormat="1"/>
    <row r="57313" s="2" customFormat="1"/>
    <row r="57314" s="2" customFormat="1"/>
    <row r="57315" s="2" customFormat="1"/>
    <row r="57316" s="2" customFormat="1"/>
    <row r="57317" s="2" customFormat="1"/>
    <row r="57318" s="2" customFormat="1"/>
    <row r="57319" s="2" customFormat="1"/>
    <row r="57320" s="2" customFormat="1"/>
    <row r="57321" s="2" customFormat="1"/>
    <row r="57322" s="2" customFormat="1"/>
    <row r="57323" s="2" customFormat="1"/>
    <row r="57324" s="2" customFormat="1"/>
    <row r="57325" s="2" customFormat="1"/>
    <row r="57326" s="2" customFormat="1"/>
    <row r="57327" s="2" customFormat="1"/>
    <row r="57328" s="2" customFormat="1"/>
    <row r="57329" s="2" customFormat="1"/>
    <row r="57330" s="2" customFormat="1"/>
    <row r="57331" s="2" customFormat="1"/>
    <row r="57332" s="2" customFormat="1"/>
    <row r="57333" s="2" customFormat="1"/>
    <row r="57334" s="2" customFormat="1"/>
    <row r="57335" s="2" customFormat="1"/>
    <row r="57336" s="2" customFormat="1"/>
    <row r="57337" s="2" customFormat="1"/>
    <row r="57338" s="2" customFormat="1"/>
    <row r="57339" s="2" customFormat="1"/>
    <row r="57340" s="2" customFormat="1"/>
    <row r="57341" s="2" customFormat="1"/>
    <row r="57342" s="2" customFormat="1"/>
    <row r="57343" s="2" customFormat="1"/>
    <row r="57344" s="2" customFormat="1"/>
    <row r="57345" s="2" customFormat="1"/>
    <row r="57346" s="2" customFormat="1"/>
    <row r="57347" s="2" customFormat="1"/>
    <row r="57348" s="2" customFormat="1"/>
    <row r="57349" s="2" customFormat="1"/>
    <row r="57350" s="2" customFormat="1"/>
    <row r="57351" s="2" customFormat="1"/>
    <row r="57352" s="2" customFormat="1"/>
    <row r="57353" s="2" customFormat="1"/>
    <row r="57354" s="2" customFormat="1"/>
    <row r="57355" s="2" customFormat="1"/>
    <row r="57356" s="2" customFormat="1"/>
    <row r="57357" s="2" customFormat="1"/>
    <row r="57358" s="2" customFormat="1"/>
    <row r="57359" s="2" customFormat="1"/>
    <row r="57360" s="2" customFormat="1"/>
    <row r="57361" s="2" customFormat="1"/>
    <row r="57362" s="2" customFormat="1"/>
    <row r="57363" s="2" customFormat="1"/>
    <row r="57364" s="2" customFormat="1"/>
    <row r="57365" s="2" customFormat="1"/>
    <row r="57366" s="2" customFormat="1"/>
    <row r="57367" s="2" customFormat="1"/>
    <row r="57368" s="2" customFormat="1"/>
    <row r="57369" s="2" customFormat="1"/>
    <row r="57370" s="2" customFormat="1"/>
    <row r="57371" s="2" customFormat="1"/>
    <row r="57372" s="2" customFormat="1"/>
    <row r="57373" s="2" customFormat="1"/>
    <row r="57374" s="2" customFormat="1"/>
    <row r="57375" s="2" customFormat="1"/>
    <row r="57376" s="2" customFormat="1"/>
    <row r="57377" s="2" customFormat="1"/>
    <row r="57378" s="2" customFormat="1"/>
    <row r="57379" s="2" customFormat="1"/>
    <row r="57380" s="2" customFormat="1"/>
    <row r="57381" s="2" customFormat="1"/>
    <row r="57382" s="2" customFormat="1"/>
    <row r="57383" s="2" customFormat="1"/>
    <row r="57384" s="2" customFormat="1"/>
    <row r="57385" s="2" customFormat="1"/>
    <row r="57386" s="2" customFormat="1"/>
    <row r="57387" s="2" customFormat="1"/>
    <row r="57388" s="2" customFormat="1"/>
    <row r="57389" s="2" customFormat="1"/>
    <row r="57390" s="2" customFormat="1"/>
    <row r="57391" s="2" customFormat="1"/>
    <row r="57392" s="2" customFormat="1"/>
    <row r="57393" s="2" customFormat="1"/>
    <row r="57394" s="2" customFormat="1"/>
    <row r="57395" s="2" customFormat="1"/>
    <row r="57396" s="2" customFormat="1"/>
    <row r="57397" s="2" customFormat="1"/>
    <row r="57398" s="2" customFormat="1"/>
    <row r="57399" s="2" customFormat="1"/>
    <row r="57400" s="2" customFormat="1"/>
    <row r="57401" s="2" customFormat="1"/>
    <row r="57402" s="2" customFormat="1"/>
    <row r="57403" s="2" customFormat="1"/>
    <row r="57404" s="2" customFormat="1"/>
    <row r="57405" s="2" customFormat="1"/>
    <row r="57406" s="2" customFormat="1"/>
    <row r="57407" s="2" customFormat="1"/>
    <row r="57408" s="2" customFormat="1"/>
    <row r="57409" s="2" customFormat="1"/>
    <row r="57410" s="2" customFormat="1"/>
    <row r="57411" s="2" customFormat="1"/>
    <row r="57412" s="2" customFormat="1"/>
    <row r="57413" s="2" customFormat="1"/>
    <row r="57414" s="2" customFormat="1"/>
    <row r="57415" s="2" customFormat="1"/>
    <row r="57416" s="2" customFormat="1"/>
    <row r="57417" s="2" customFormat="1"/>
    <row r="57418" s="2" customFormat="1"/>
    <row r="57419" s="2" customFormat="1"/>
    <row r="57420" s="2" customFormat="1"/>
    <row r="57421" s="2" customFormat="1"/>
    <row r="57422" s="2" customFormat="1"/>
    <row r="57423" s="2" customFormat="1"/>
    <row r="57424" s="2" customFormat="1"/>
    <row r="57425" s="2" customFormat="1"/>
    <row r="57426" s="2" customFormat="1"/>
    <row r="57427" s="2" customFormat="1"/>
    <row r="57428" s="2" customFormat="1"/>
    <row r="57429" s="2" customFormat="1"/>
    <row r="57430" s="2" customFormat="1"/>
    <row r="57431" s="2" customFormat="1"/>
    <row r="57432" s="2" customFormat="1"/>
    <row r="57433" s="2" customFormat="1"/>
    <row r="57434" s="2" customFormat="1"/>
    <row r="57435" s="2" customFormat="1"/>
    <row r="57436" s="2" customFormat="1"/>
    <row r="57437" s="2" customFormat="1"/>
    <row r="57438" s="2" customFormat="1"/>
    <row r="57439" s="2" customFormat="1"/>
    <row r="57440" s="2" customFormat="1"/>
    <row r="57441" s="2" customFormat="1"/>
    <row r="57442" s="2" customFormat="1"/>
    <row r="57443" s="2" customFormat="1"/>
    <row r="57444" s="2" customFormat="1"/>
    <row r="57445" s="2" customFormat="1"/>
    <row r="57446" s="2" customFormat="1"/>
    <row r="57447" s="2" customFormat="1"/>
    <row r="57448" s="2" customFormat="1"/>
    <row r="57449" s="2" customFormat="1"/>
    <row r="57450" s="2" customFormat="1"/>
    <row r="57451" s="2" customFormat="1"/>
    <row r="57452" s="2" customFormat="1"/>
    <row r="57453" s="2" customFormat="1"/>
    <row r="57454" s="2" customFormat="1"/>
    <row r="57455" s="2" customFormat="1"/>
    <row r="57456" s="2" customFormat="1"/>
    <row r="57457" s="2" customFormat="1"/>
    <row r="57458" s="2" customFormat="1"/>
    <row r="57459" s="2" customFormat="1"/>
    <row r="57460" s="2" customFormat="1"/>
    <row r="57461" s="2" customFormat="1"/>
    <row r="57462" s="2" customFormat="1"/>
    <row r="57463" s="2" customFormat="1"/>
    <row r="57464" s="2" customFormat="1"/>
    <row r="57465" s="2" customFormat="1"/>
    <row r="57466" s="2" customFormat="1"/>
    <row r="57467" s="2" customFormat="1"/>
    <row r="57468" s="2" customFormat="1"/>
    <row r="57469" s="2" customFormat="1"/>
    <row r="57470" s="2" customFormat="1"/>
    <row r="57471" s="2" customFormat="1"/>
    <row r="57472" s="2" customFormat="1"/>
    <row r="57473" s="2" customFormat="1"/>
    <row r="57474" s="2" customFormat="1"/>
    <row r="57475" s="2" customFormat="1"/>
    <row r="57476" s="2" customFormat="1"/>
    <row r="57477" s="2" customFormat="1"/>
    <row r="57478" s="2" customFormat="1"/>
    <row r="57479" s="2" customFormat="1"/>
    <row r="57480" s="2" customFormat="1"/>
    <row r="57481" s="2" customFormat="1"/>
    <row r="57482" s="2" customFormat="1"/>
    <row r="57483" s="2" customFormat="1"/>
    <row r="57484" s="2" customFormat="1"/>
    <row r="57485" s="2" customFormat="1"/>
    <row r="57486" s="2" customFormat="1"/>
    <row r="57487" s="2" customFormat="1"/>
    <row r="57488" s="2" customFormat="1"/>
    <row r="57489" s="2" customFormat="1"/>
    <row r="57490" s="2" customFormat="1"/>
    <row r="57491" s="2" customFormat="1"/>
    <row r="57492" s="2" customFormat="1"/>
    <row r="57493" s="2" customFormat="1"/>
    <row r="57494" s="2" customFormat="1"/>
    <row r="57495" s="2" customFormat="1"/>
    <row r="57496" s="2" customFormat="1"/>
    <row r="57497" s="2" customFormat="1"/>
    <row r="57498" s="2" customFormat="1"/>
    <row r="57499" s="2" customFormat="1"/>
    <row r="57500" s="2" customFormat="1"/>
    <row r="57501" s="2" customFormat="1"/>
    <row r="57502" s="2" customFormat="1"/>
    <row r="57503" s="2" customFormat="1"/>
    <row r="57504" s="2" customFormat="1"/>
    <row r="57505" s="2" customFormat="1"/>
    <row r="57506" s="2" customFormat="1"/>
    <row r="57507" s="2" customFormat="1"/>
    <row r="57508" s="2" customFormat="1"/>
    <row r="57509" s="2" customFormat="1"/>
    <row r="57510" s="2" customFormat="1"/>
    <row r="57511" s="2" customFormat="1"/>
    <row r="57512" s="2" customFormat="1"/>
    <row r="57513" s="2" customFormat="1"/>
    <row r="57514" s="2" customFormat="1"/>
    <row r="57515" s="2" customFormat="1"/>
    <row r="57516" s="2" customFormat="1"/>
    <row r="57517" s="2" customFormat="1"/>
    <row r="57518" s="2" customFormat="1"/>
    <row r="57519" s="2" customFormat="1"/>
    <row r="57520" s="2" customFormat="1"/>
    <row r="57521" s="2" customFormat="1"/>
    <row r="57522" s="2" customFormat="1"/>
    <row r="57523" s="2" customFormat="1"/>
    <row r="57524" s="2" customFormat="1"/>
    <row r="57525" s="2" customFormat="1"/>
    <row r="57526" s="2" customFormat="1"/>
    <row r="57527" s="2" customFormat="1"/>
    <row r="57528" s="2" customFormat="1"/>
    <row r="57529" s="2" customFormat="1"/>
    <row r="57530" s="2" customFormat="1"/>
    <row r="57531" s="2" customFormat="1"/>
    <row r="57532" s="2" customFormat="1"/>
    <row r="57533" s="2" customFormat="1"/>
    <row r="57534" s="2" customFormat="1"/>
    <row r="57535" s="2" customFormat="1"/>
    <row r="57536" s="2" customFormat="1"/>
    <row r="57537" s="2" customFormat="1"/>
    <row r="57538" s="2" customFormat="1"/>
    <row r="57539" s="2" customFormat="1"/>
    <row r="57540" s="2" customFormat="1"/>
    <row r="57541" s="2" customFormat="1"/>
    <row r="57542" s="2" customFormat="1"/>
    <row r="57543" s="2" customFormat="1"/>
    <row r="57544" s="2" customFormat="1"/>
    <row r="57545" s="2" customFormat="1"/>
    <row r="57546" s="2" customFormat="1"/>
    <row r="57547" s="2" customFormat="1"/>
    <row r="57548" s="2" customFormat="1"/>
    <row r="57549" s="2" customFormat="1"/>
    <row r="57550" s="2" customFormat="1"/>
    <row r="57551" s="2" customFormat="1"/>
    <row r="57552" s="2" customFormat="1"/>
    <row r="57553" s="2" customFormat="1"/>
    <row r="57554" s="2" customFormat="1"/>
    <row r="57555" s="2" customFormat="1"/>
    <row r="57556" s="2" customFormat="1"/>
    <row r="57557" s="2" customFormat="1"/>
    <row r="57558" s="2" customFormat="1"/>
    <row r="57559" s="2" customFormat="1"/>
    <row r="57560" s="2" customFormat="1"/>
    <row r="57561" s="2" customFormat="1"/>
    <row r="57562" s="2" customFormat="1"/>
    <row r="57563" s="2" customFormat="1"/>
    <row r="57564" s="2" customFormat="1"/>
    <row r="57565" s="2" customFormat="1"/>
    <row r="57566" s="2" customFormat="1"/>
    <row r="57567" s="2" customFormat="1"/>
    <row r="57568" s="2" customFormat="1"/>
    <row r="57569" s="2" customFormat="1"/>
    <row r="57570" s="2" customFormat="1"/>
    <row r="57571" s="2" customFormat="1"/>
    <row r="57572" s="2" customFormat="1"/>
    <row r="57573" s="2" customFormat="1"/>
    <row r="57574" s="2" customFormat="1"/>
    <row r="57575" s="2" customFormat="1"/>
    <row r="57576" s="2" customFormat="1"/>
    <row r="57577" s="2" customFormat="1"/>
    <row r="57578" s="2" customFormat="1"/>
    <row r="57579" s="2" customFormat="1"/>
    <row r="57580" s="2" customFormat="1"/>
    <row r="57581" s="2" customFormat="1"/>
    <row r="57582" s="2" customFormat="1"/>
    <row r="57583" s="2" customFormat="1"/>
    <row r="57584" s="2" customFormat="1"/>
    <row r="57585" s="2" customFormat="1"/>
    <row r="57586" s="2" customFormat="1"/>
    <row r="57587" s="2" customFormat="1"/>
    <row r="57588" s="2" customFormat="1"/>
    <row r="57589" s="2" customFormat="1"/>
    <row r="57590" s="2" customFormat="1"/>
    <row r="57591" s="2" customFormat="1"/>
    <row r="57592" s="2" customFormat="1"/>
    <row r="57593" s="2" customFormat="1"/>
    <row r="57594" s="2" customFormat="1"/>
    <row r="57595" s="2" customFormat="1"/>
    <row r="57596" s="2" customFormat="1"/>
    <row r="57597" s="2" customFormat="1"/>
    <row r="57598" s="2" customFormat="1"/>
    <row r="57599" s="2" customFormat="1"/>
    <row r="57600" s="2" customFormat="1"/>
    <row r="57601" s="2" customFormat="1"/>
    <row r="57602" s="2" customFormat="1"/>
    <row r="57603" s="2" customFormat="1"/>
    <row r="57604" s="2" customFormat="1"/>
    <row r="57605" s="2" customFormat="1"/>
    <row r="57606" s="2" customFormat="1"/>
    <row r="57607" s="2" customFormat="1"/>
    <row r="57608" s="2" customFormat="1"/>
    <row r="57609" s="2" customFormat="1"/>
    <row r="57610" s="2" customFormat="1"/>
    <row r="57611" s="2" customFormat="1"/>
    <row r="57612" s="2" customFormat="1"/>
    <row r="57613" s="2" customFormat="1"/>
    <row r="57614" s="2" customFormat="1"/>
    <row r="57615" s="2" customFormat="1"/>
    <row r="57616" s="2" customFormat="1"/>
    <row r="57617" s="2" customFormat="1"/>
    <row r="57618" s="2" customFormat="1"/>
    <row r="57619" s="2" customFormat="1"/>
    <row r="57620" s="2" customFormat="1"/>
    <row r="57621" s="2" customFormat="1"/>
    <row r="57622" s="2" customFormat="1"/>
    <row r="57623" s="2" customFormat="1"/>
    <row r="57624" s="2" customFormat="1"/>
    <row r="57625" s="2" customFormat="1"/>
    <row r="57626" s="2" customFormat="1"/>
    <row r="57627" s="2" customFormat="1"/>
    <row r="57628" s="2" customFormat="1"/>
    <row r="57629" s="2" customFormat="1"/>
    <row r="57630" s="2" customFormat="1"/>
    <row r="57631" s="2" customFormat="1"/>
    <row r="57632" s="2" customFormat="1"/>
    <row r="57633" s="2" customFormat="1"/>
    <row r="57634" s="2" customFormat="1"/>
    <row r="57635" s="2" customFormat="1"/>
    <row r="57636" s="2" customFormat="1"/>
    <row r="57637" s="2" customFormat="1"/>
    <row r="57638" s="2" customFormat="1"/>
    <row r="57639" s="2" customFormat="1"/>
    <row r="57640" s="2" customFormat="1"/>
    <row r="57641" s="2" customFormat="1"/>
    <row r="57642" s="2" customFormat="1"/>
    <row r="57643" s="2" customFormat="1"/>
    <row r="57644" s="2" customFormat="1"/>
    <row r="57645" s="2" customFormat="1"/>
    <row r="57646" s="2" customFormat="1"/>
    <row r="57647" s="2" customFormat="1"/>
    <row r="57648" s="2" customFormat="1"/>
    <row r="57649" s="2" customFormat="1"/>
    <row r="57650" s="2" customFormat="1"/>
    <row r="57651" s="2" customFormat="1"/>
    <row r="57652" s="2" customFormat="1"/>
    <row r="57653" s="2" customFormat="1"/>
    <row r="57654" s="2" customFormat="1"/>
    <row r="57655" s="2" customFormat="1"/>
    <row r="57656" s="2" customFormat="1"/>
    <row r="57657" s="2" customFormat="1"/>
    <row r="57658" s="2" customFormat="1"/>
    <row r="57659" s="2" customFormat="1"/>
    <row r="57660" s="2" customFormat="1"/>
    <row r="57661" s="2" customFormat="1"/>
    <row r="57662" s="2" customFormat="1"/>
    <row r="57663" s="2" customFormat="1"/>
    <row r="57664" s="2" customFormat="1"/>
    <row r="57665" s="2" customFormat="1"/>
    <row r="57666" s="2" customFormat="1"/>
    <row r="57667" s="2" customFormat="1"/>
    <row r="57668" s="2" customFormat="1"/>
    <row r="57669" s="2" customFormat="1"/>
    <row r="57670" s="2" customFormat="1"/>
    <row r="57671" s="2" customFormat="1"/>
    <row r="57672" s="2" customFormat="1"/>
    <row r="57673" s="2" customFormat="1"/>
    <row r="57674" s="2" customFormat="1"/>
    <row r="57675" s="2" customFormat="1"/>
    <row r="57676" s="2" customFormat="1"/>
    <row r="57677" s="2" customFormat="1"/>
    <row r="57678" s="2" customFormat="1"/>
    <row r="57679" s="2" customFormat="1"/>
    <row r="57680" s="2" customFormat="1"/>
    <row r="57681" s="2" customFormat="1"/>
    <row r="57682" s="2" customFormat="1"/>
    <row r="57683" s="2" customFormat="1"/>
    <row r="57684" s="2" customFormat="1"/>
    <row r="57685" s="2" customFormat="1"/>
    <row r="57686" s="2" customFormat="1"/>
    <row r="57687" s="2" customFormat="1"/>
    <row r="57688" s="2" customFormat="1"/>
    <row r="57689" s="2" customFormat="1"/>
    <row r="57690" s="2" customFormat="1"/>
    <row r="57691" s="2" customFormat="1"/>
    <row r="57692" s="2" customFormat="1"/>
    <row r="57693" s="2" customFormat="1"/>
    <row r="57694" s="2" customFormat="1"/>
    <row r="57695" s="2" customFormat="1"/>
    <row r="57696" s="2" customFormat="1"/>
    <row r="57697" s="2" customFormat="1"/>
    <row r="57698" s="2" customFormat="1"/>
    <row r="57699" s="2" customFormat="1"/>
    <row r="57700" s="2" customFormat="1"/>
    <row r="57701" s="2" customFormat="1"/>
    <row r="57702" s="2" customFormat="1"/>
    <row r="57703" s="2" customFormat="1"/>
    <row r="57704" s="2" customFormat="1"/>
    <row r="57705" s="2" customFormat="1"/>
    <row r="57706" s="2" customFormat="1"/>
    <row r="57707" s="2" customFormat="1"/>
    <row r="57708" s="2" customFormat="1"/>
    <row r="57709" s="2" customFormat="1"/>
    <row r="57710" s="2" customFormat="1"/>
    <row r="57711" s="2" customFormat="1"/>
    <row r="57712" s="2" customFormat="1"/>
    <row r="57713" s="2" customFormat="1"/>
    <row r="57714" s="2" customFormat="1"/>
    <row r="57715" s="2" customFormat="1"/>
    <row r="57716" s="2" customFormat="1"/>
    <row r="57717" s="2" customFormat="1"/>
    <row r="57718" s="2" customFormat="1"/>
    <row r="57719" s="2" customFormat="1"/>
    <row r="57720" s="2" customFormat="1"/>
    <row r="57721" s="2" customFormat="1"/>
    <row r="57722" s="2" customFormat="1"/>
    <row r="57723" s="2" customFormat="1"/>
    <row r="57724" s="2" customFormat="1"/>
    <row r="57725" s="2" customFormat="1"/>
    <row r="57726" s="2" customFormat="1"/>
    <row r="57727" s="2" customFormat="1"/>
    <row r="57728" s="2" customFormat="1"/>
    <row r="57729" s="2" customFormat="1"/>
    <row r="57730" s="2" customFormat="1"/>
    <row r="57731" s="2" customFormat="1"/>
    <row r="57732" s="2" customFormat="1"/>
    <row r="57733" s="2" customFormat="1"/>
    <row r="57734" s="2" customFormat="1"/>
    <row r="57735" s="2" customFormat="1"/>
    <row r="57736" s="2" customFormat="1"/>
    <row r="57737" s="2" customFormat="1"/>
    <row r="57738" s="2" customFormat="1"/>
    <row r="57739" s="2" customFormat="1"/>
    <row r="57740" s="2" customFormat="1"/>
    <row r="57741" s="2" customFormat="1"/>
    <row r="57742" s="2" customFormat="1"/>
    <row r="57743" s="2" customFormat="1"/>
    <row r="57744" s="2" customFormat="1"/>
    <row r="57745" s="2" customFormat="1"/>
    <row r="57746" s="2" customFormat="1"/>
    <row r="57747" s="2" customFormat="1"/>
    <row r="57748" s="2" customFormat="1"/>
    <row r="57749" s="2" customFormat="1"/>
    <row r="57750" s="2" customFormat="1"/>
    <row r="57751" s="2" customFormat="1"/>
    <row r="57752" s="2" customFormat="1"/>
    <row r="57753" s="2" customFormat="1"/>
    <row r="57754" s="2" customFormat="1"/>
    <row r="57755" s="2" customFormat="1"/>
    <row r="57756" s="2" customFormat="1"/>
    <row r="57757" s="2" customFormat="1"/>
    <row r="57758" s="2" customFormat="1"/>
    <row r="57759" s="2" customFormat="1"/>
    <row r="57760" s="2" customFormat="1"/>
    <row r="57761" s="2" customFormat="1"/>
    <row r="57762" s="2" customFormat="1"/>
    <row r="57763" s="2" customFormat="1"/>
    <row r="57764" s="2" customFormat="1"/>
    <row r="57765" s="2" customFormat="1"/>
    <row r="57766" s="2" customFormat="1"/>
    <row r="57767" s="2" customFormat="1"/>
    <row r="57768" s="2" customFormat="1"/>
    <row r="57769" s="2" customFormat="1"/>
    <row r="57770" s="2" customFormat="1"/>
    <row r="57771" s="2" customFormat="1"/>
    <row r="57772" s="2" customFormat="1"/>
    <row r="57773" s="2" customFormat="1"/>
    <row r="57774" s="2" customFormat="1"/>
    <row r="57775" s="2" customFormat="1"/>
    <row r="57776" s="2" customFormat="1"/>
    <row r="57777" s="2" customFormat="1"/>
    <row r="57778" s="2" customFormat="1"/>
    <row r="57779" s="2" customFormat="1"/>
    <row r="57780" s="2" customFormat="1"/>
    <row r="57781" s="2" customFormat="1"/>
    <row r="57782" s="2" customFormat="1"/>
    <row r="57783" s="2" customFormat="1"/>
    <row r="57784" s="2" customFormat="1"/>
    <row r="57785" s="2" customFormat="1"/>
    <row r="57786" s="2" customFormat="1"/>
    <row r="57787" s="2" customFormat="1"/>
    <row r="57788" s="2" customFormat="1"/>
    <row r="57789" s="2" customFormat="1"/>
    <row r="57790" s="2" customFormat="1"/>
    <row r="57791" s="2" customFormat="1"/>
    <row r="57792" s="2" customFormat="1"/>
    <row r="57793" s="2" customFormat="1"/>
    <row r="57794" s="2" customFormat="1"/>
    <row r="57795" s="2" customFormat="1"/>
    <row r="57796" s="2" customFormat="1"/>
    <row r="57797" s="2" customFormat="1"/>
    <row r="57798" s="2" customFormat="1"/>
    <row r="57799" s="2" customFormat="1"/>
    <row r="57800" s="2" customFormat="1"/>
    <row r="57801" s="2" customFormat="1"/>
    <row r="57802" s="2" customFormat="1"/>
    <row r="57803" s="2" customFormat="1"/>
    <row r="57804" s="2" customFormat="1"/>
    <row r="57805" s="2" customFormat="1"/>
    <row r="57806" s="2" customFormat="1"/>
    <row r="57807" s="2" customFormat="1"/>
    <row r="57808" s="2" customFormat="1"/>
    <row r="57809" s="2" customFormat="1"/>
    <row r="57810" s="2" customFormat="1"/>
    <row r="57811" s="2" customFormat="1"/>
    <row r="57812" s="2" customFormat="1"/>
    <row r="57813" s="2" customFormat="1"/>
    <row r="57814" s="2" customFormat="1"/>
    <row r="57815" s="2" customFormat="1"/>
    <row r="57816" s="2" customFormat="1"/>
    <row r="57817" s="2" customFormat="1"/>
    <row r="57818" s="2" customFormat="1"/>
    <row r="57819" s="2" customFormat="1"/>
    <row r="57820" s="2" customFormat="1"/>
    <row r="57821" s="2" customFormat="1"/>
    <row r="57822" s="2" customFormat="1"/>
    <row r="57823" s="2" customFormat="1"/>
    <row r="57824" s="2" customFormat="1"/>
    <row r="57825" s="2" customFormat="1"/>
    <row r="57826" s="2" customFormat="1"/>
    <row r="57827" s="2" customFormat="1"/>
    <row r="57828" s="2" customFormat="1"/>
    <row r="57829" s="2" customFormat="1"/>
    <row r="57830" s="2" customFormat="1"/>
    <row r="57831" s="2" customFormat="1"/>
    <row r="57832" s="2" customFormat="1"/>
    <row r="57833" s="2" customFormat="1"/>
    <row r="57834" s="2" customFormat="1"/>
    <row r="57835" s="2" customFormat="1"/>
    <row r="57836" s="2" customFormat="1"/>
    <row r="57837" s="2" customFormat="1"/>
    <row r="57838" s="2" customFormat="1"/>
    <row r="57839" s="2" customFormat="1"/>
    <row r="57840" s="2" customFormat="1"/>
    <row r="57841" s="2" customFormat="1"/>
    <row r="57842" s="2" customFormat="1"/>
    <row r="57843" s="2" customFormat="1"/>
    <row r="57844" s="2" customFormat="1"/>
    <row r="57845" s="2" customFormat="1"/>
    <row r="57846" s="2" customFormat="1"/>
    <row r="57847" s="2" customFormat="1"/>
    <row r="57848" s="2" customFormat="1"/>
    <row r="57849" s="2" customFormat="1"/>
    <row r="57850" s="2" customFormat="1"/>
    <row r="57851" s="2" customFormat="1"/>
    <row r="57852" s="2" customFormat="1"/>
    <row r="57853" s="2" customFormat="1"/>
    <row r="57854" s="2" customFormat="1"/>
    <row r="57855" s="2" customFormat="1"/>
    <row r="57856" s="2" customFormat="1"/>
    <row r="57857" s="2" customFormat="1"/>
    <row r="57858" s="2" customFormat="1"/>
    <row r="57859" s="2" customFormat="1"/>
    <row r="57860" s="2" customFormat="1"/>
    <row r="57861" s="2" customFormat="1"/>
    <row r="57862" s="2" customFormat="1"/>
    <row r="57863" s="2" customFormat="1"/>
    <row r="57864" s="2" customFormat="1"/>
    <row r="57865" s="2" customFormat="1"/>
    <row r="57866" s="2" customFormat="1"/>
    <row r="57867" s="2" customFormat="1"/>
    <row r="57868" s="2" customFormat="1"/>
    <row r="57869" s="2" customFormat="1"/>
    <row r="57870" s="2" customFormat="1"/>
    <row r="57871" s="2" customFormat="1"/>
    <row r="57872" s="2" customFormat="1"/>
    <row r="57873" s="2" customFormat="1"/>
    <row r="57874" s="2" customFormat="1"/>
    <row r="57875" s="2" customFormat="1"/>
    <row r="57876" s="2" customFormat="1"/>
    <row r="57877" s="2" customFormat="1"/>
    <row r="57878" s="2" customFormat="1"/>
    <row r="57879" s="2" customFormat="1"/>
    <row r="57880" s="2" customFormat="1"/>
    <row r="57881" s="2" customFormat="1"/>
    <row r="57882" s="2" customFormat="1"/>
    <row r="57883" s="2" customFormat="1"/>
    <row r="57884" s="2" customFormat="1"/>
    <row r="57885" s="2" customFormat="1"/>
    <row r="57886" s="2" customFormat="1"/>
    <row r="57887" s="2" customFormat="1"/>
    <row r="57888" s="2" customFormat="1"/>
    <row r="57889" s="2" customFormat="1"/>
    <row r="57890" s="2" customFormat="1"/>
    <row r="57891" s="2" customFormat="1"/>
    <row r="57892" s="2" customFormat="1"/>
    <row r="57893" s="2" customFormat="1"/>
    <row r="57894" s="2" customFormat="1"/>
    <row r="57895" s="2" customFormat="1"/>
    <row r="57896" s="2" customFormat="1"/>
    <row r="57897" s="2" customFormat="1"/>
    <row r="57898" s="2" customFormat="1"/>
    <row r="57899" s="2" customFormat="1"/>
    <row r="57900" s="2" customFormat="1"/>
    <row r="57901" s="2" customFormat="1"/>
    <row r="57902" s="2" customFormat="1"/>
    <row r="57903" s="2" customFormat="1"/>
    <row r="57904" s="2" customFormat="1"/>
    <row r="57905" s="2" customFormat="1"/>
    <row r="57906" s="2" customFormat="1"/>
    <row r="57907" s="2" customFormat="1"/>
    <row r="57908" s="2" customFormat="1"/>
    <row r="57909" s="2" customFormat="1"/>
    <row r="57910" s="2" customFormat="1"/>
    <row r="57911" s="2" customFormat="1"/>
    <row r="57912" s="2" customFormat="1"/>
    <row r="57913" s="2" customFormat="1"/>
    <row r="57914" s="2" customFormat="1"/>
    <row r="57915" s="2" customFormat="1"/>
    <row r="57916" s="2" customFormat="1"/>
    <row r="57917" s="2" customFormat="1"/>
    <row r="57918" s="2" customFormat="1"/>
    <row r="57919" s="2" customFormat="1"/>
    <row r="57920" s="2" customFormat="1"/>
    <row r="57921" s="2" customFormat="1"/>
    <row r="57922" s="2" customFormat="1"/>
    <row r="57923" s="2" customFormat="1"/>
    <row r="57924" s="2" customFormat="1"/>
    <row r="57925" s="2" customFormat="1"/>
    <row r="57926" s="2" customFormat="1"/>
    <row r="57927" s="2" customFormat="1"/>
    <row r="57928" s="2" customFormat="1"/>
    <row r="57929" s="2" customFormat="1"/>
    <row r="57930" s="2" customFormat="1"/>
    <row r="57931" s="2" customFormat="1"/>
    <row r="57932" s="2" customFormat="1"/>
    <row r="57933" s="2" customFormat="1"/>
    <row r="57934" s="2" customFormat="1"/>
    <row r="57935" s="2" customFormat="1"/>
    <row r="57936" s="2" customFormat="1"/>
    <row r="57937" s="2" customFormat="1"/>
    <row r="57938" s="2" customFormat="1"/>
    <row r="57939" s="2" customFormat="1"/>
    <row r="57940" s="2" customFormat="1"/>
    <row r="57941" s="2" customFormat="1"/>
    <row r="57942" s="2" customFormat="1"/>
    <row r="57943" s="2" customFormat="1"/>
    <row r="57944" s="2" customFormat="1"/>
    <row r="57945" s="2" customFormat="1"/>
    <row r="57946" s="2" customFormat="1"/>
    <row r="57947" s="2" customFormat="1"/>
    <row r="57948" s="2" customFormat="1"/>
    <row r="57949" s="2" customFormat="1"/>
    <row r="57950" s="2" customFormat="1"/>
    <row r="57951" s="2" customFormat="1"/>
    <row r="57952" s="2" customFormat="1"/>
    <row r="57953" s="2" customFormat="1"/>
    <row r="57954" s="2" customFormat="1"/>
    <row r="57955" s="2" customFormat="1"/>
    <row r="57956" s="2" customFormat="1"/>
    <row r="57957" s="2" customFormat="1"/>
    <row r="57958" s="2" customFormat="1"/>
    <row r="57959" s="2" customFormat="1"/>
    <row r="57960" s="2" customFormat="1"/>
    <row r="57961" s="2" customFormat="1"/>
    <row r="57962" s="2" customFormat="1"/>
    <row r="57963" s="2" customFormat="1"/>
    <row r="57964" s="2" customFormat="1"/>
    <row r="57965" s="2" customFormat="1"/>
    <row r="57966" s="2" customFormat="1"/>
    <row r="57967" s="2" customFormat="1"/>
    <row r="57968" s="2" customFormat="1"/>
    <row r="57969" s="2" customFormat="1"/>
    <row r="57970" s="2" customFormat="1"/>
    <row r="57971" s="2" customFormat="1"/>
    <row r="57972" s="2" customFormat="1"/>
    <row r="57973" s="2" customFormat="1"/>
    <row r="57974" s="2" customFormat="1"/>
    <row r="57975" s="2" customFormat="1"/>
    <row r="57976" s="2" customFormat="1"/>
    <row r="57977" s="2" customFormat="1"/>
    <row r="57978" s="2" customFormat="1"/>
    <row r="57979" s="2" customFormat="1"/>
    <row r="57980" s="2" customFormat="1"/>
    <row r="57981" s="2" customFormat="1"/>
    <row r="57982" s="2" customFormat="1"/>
    <row r="57983" s="2" customFormat="1"/>
    <row r="57984" s="2" customFormat="1"/>
    <row r="57985" s="2" customFormat="1"/>
    <row r="57986" s="2" customFormat="1"/>
    <row r="57987" s="2" customFormat="1"/>
    <row r="57988" s="2" customFormat="1"/>
    <row r="57989" s="2" customFormat="1"/>
    <row r="57990" s="2" customFormat="1"/>
    <row r="57991" s="2" customFormat="1"/>
    <row r="57992" s="2" customFormat="1"/>
    <row r="57993" s="2" customFormat="1"/>
    <row r="57994" s="2" customFormat="1"/>
    <row r="57995" s="2" customFormat="1"/>
    <row r="57996" s="2" customFormat="1"/>
    <row r="57997" s="2" customFormat="1"/>
    <row r="57998" s="2" customFormat="1"/>
    <row r="57999" s="2" customFormat="1"/>
    <row r="58000" s="2" customFormat="1"/>
    <row r="58001" s="2" customFormat="1"/>
    <row r="58002" s="2" customFormat="1"/>
    <row r="58003" s="2" customFormat="1"/>
    <row r="58004" s="2" customFormat="1"/>
    <row r="58005" s="2" customFormat="1"/>
    <row r="58006" s="2" customFormat="1"/>
    <row r="58007" s="2" customFormat="1"/>
    <row r="58008" s="2" customFormat="1"/>
    <row r="58009" s="2" customFormat="1"/>
    <row r="58010" s="2" customFormat="1"/>
    <row r="58011" s="2" customFormat="1"/>
    <row r="58012" s="2" customFormat="1"/>
    <row r="58013" s="2" customFormat="1"/>
    <row r="58014" s="2" customFormat="1"/>
    <row r="58015" s="2" customFormat="1"/>
    <row r="58016" s="2" customFormat="1"/>
    <row r="58017" s="2" customFormat="1"/>
    <row r="58018" s="2" customFormat="1"/>
    <row r="58019" s="2" customFormat="1"/>
    <row r="58020" s="2" customFormat="1"/>
    <row r="58021" s="2" customFormat="1"/>
    <row r="58022" s="2" customFormat="1"/>
    <row r="58023" s="2" customFormat="1"/>
    <row r="58024" s="2" customFormat="1"/>
    <row r="58025" s="2" customFormat="1"/>
    <row r="58026" s="2" customFormat="1"/>
    <row r="58027" s="2" customFormat="1"/>
    <row r="58028" s="2" customFormat="1"/>
    <row r="58029" s="2" customFormat="1"/>
    <row r="58030" s="2" customFormat="1"/>
    <row r="58031" s="2" customFormat="1"/>
    <row r="58032" s="2" customFormat="1"/>
    <row r="58033" s="2" customFormat="1"/>
    <row r="58034" s="2" customFormat="1"/>
    <row r="58035" s="2" customFormat="1"/>
    <row r="58036" s="2" customFormat="1"/>
    <row r="58037" s="2" customFormat="1"/>
    <row r="58038" s="2" customFormat="1"/>
    <row r="58039" s="2" customFormat="1"/>
    <row r="58040" s="2" customFormat="1"/>
    <row r="58041" s="2" customFormat="1"/>
    <row r="58042" s="2" customFormat="1"/>
    <row r="58043" s="2" customFormat="1"/>
    <row r="58044" s="2" customFormat="1"/>
    <row r="58045" s="2" customFormat="1"/>
    <row r="58046" s="2" customFormat="1"/>
    <row r="58047" s="2" customFormat="1"/>
    <row r="58048" s="2" customFormat="1"/>
    <row r="58049" s="2" customFormat="1"/>
    <row r="58050" s="2" customFormat="1"/>
    <row r="58051" s="2" customFormat="1"/>
    <row r="58052" s="2" customFormat="1"/>
    <row r="58053" s="2" customFormat="1"/>
    <row r="58054" s="2" customFormat="1"/>
    <row r="58055" s="2" customFormat="1"/>
    <row r="58056" s="2" customFormat="1"/>
    <row r="58057" s="2" customFormat="1"/>
    <row r="58058" s="2" customFormat="1"/>
    <row r="58059" s="2" customFormat="1"/>
    <row r="58060" s="2" customFormat="1"/>
    <row r="58061" s="2" customFormat="1"/>
    <row r="58062" s="2" customFormat="1"/>
    <row r="58063" s="2" customFormat="1"/>
    <row r="58064" s="2" customFormat="1"/>
    <row r="58065" s="2" customFormat="1"/>
    <row r="58066" s="2" customFormat="1"/>
    <row r="58067" s="2" customFormat="1"/>
    <row r="58068" s="2" customFormat="1"/>
    <row r="58069" s="2" customFormat="1"/>
    <row r="58070" s="2" customFormat="1"/>
    <row r="58071" s="2" customFormat="1"/>
    <row r="58072" s="2" customFormat="1"/>
    <row r="58073" s="2" customFormat="1"/>
    <row r="58074" s="2" customFormat="1"/>
    <row r="58075" s="2" customFormat="1"/>
    <row r="58076" s="2" customFormat="1"/>
    <row r="58077" s="2" customFormat="1"/>
    <row r="58078" s="2" customFormat="1"/>
    <row r="58079" s="2" customFormat="1"/>
    <row r="58080" s="2" customFormat="1"/>
    <row r="58081" s="2" customFormat="1"/>
    <row r="58082" s="2" customFormat="1"/>
    <row r="58083" s="2" customFormat="1"/>
    <row r="58084" s="2" customFormat="1"/>
    <row r="58085" s="2" customFormat="1"/>
    <row r="58086" s="2" customFormat="1"/>
    <row r="58087" s="2" customFormat="1"/>
    <row r="58088" s="2" customFormat="1"/>
    <row r="58089" s="2" customFormat="1"/>
    <row r="58090" s="2" customFormat="1"/>
    <row r="58091" s="2" customFormat="1"/>
    <row r="58092" s="2" customFormat="1"/>
    <row r="58093" s="2" customFormat="1"/>
    <row r="58094" s="2" customFormat="1"/>
    <row r="58095" s="2" customFormat="1"/>
    <row r="58096" s="2" customFormat="1"/>
    <row r="58097" s="2" customFormat="1"/>
    <row r="58098" s="2" customFormat="1"/>
    <row r="58099" s="2" customFormat="1"/>
    <row r="58100" s="2" customFormat="1"/>
    <row r="58101" s="2" customFormat="1"/>
    <row r="58102" s="2" customFormat="1"/>
    <row r="58103" s="2" customFormat="1"/>
    <row r="58104" s="2" customFormat="1"/>
    <row r="58105" s="2" customFormat="1"/>
    <row r="58106" s="2" customFormat="1"/>
    <row r="58107" s="2" customFormat="1"/>
    <row r="58108" s="2" customFormat="1"/>
    <row r="58109" s="2" customFormat="1"/>
    <row r="58110" s="2" customFormat="1"/>
    <row r="58111" s="2" customFormat="1"/>
    <row r="58112" s="2" customFormat="1"/>
    <row r="58113" s="2" customFormat="1"/>
    <row r="58114" s="2" customFormat="1"/>
    <row r="58115" s="2" customFormat="1"/>
    <row r="58116" s="2" customFormat="1"/>
    <row r="58117" s="2" customFormat="1"/>
    <row r="58118" s="2" customFormat="1"/>
    <row r="58119" s="2" customFormat="1"/>
    <row r="58120" s="2" customFormat="1"/>
    <row r="58121" s="2" customFormat="1"/>
    <row r="58122" s="2" customFormat="1"/>
    <row r="58123" s="2" customFormat="1"/>
    <row r="58124" s="2" customFormat="1"/>
    <row r="58125" s="2" customFormat="1"/>
    <row r="58126" s="2" customFormat="1"/>
    <row r="58127" s="2" customFormat="1"/>
    <row r="58128" s="2" customFormat="1"/>
    <row r="58129" s="2" customFormat="1"/>
    <row r="58130" s="2" customFormat="1"/>
    <row r="58131" s="2" customFormat="1"/>
    <row r="58132" s="2" customFormat="1"/>
    <row r="58133" s="2" customFormat="1"/>
    <row r="58134" s="2" customFormat="1"/>
    <row r="58135" s="2" customFormat="1"/>
    <row r="58136" s="2" customFormat="1"/>
    <row r="58137" s="2" customFormat="1"/>
    <row r="58138" s="2" customFormat="1"/>
    <row r="58139" s="2" customFormat="1"/>
    <row r="58140" s="2" customFormat="1"/>
    <row r="58141" s="2" customFormat="1"/>
    <row r="58142" s="2" customFormat="1"/>
    <row r="58143" s="2" customFormat="1"/>
    <row r="58144" s="2" customFormat="1"/>
    <row r="58145" s="2" customFormat="1"/>
    <row r="58146" s="2" customFormat="1"/>
    <row r="58147" s="2" customFormat="1"/>
    <row r="58148" s="2" customFormat="1"/>
    <row r="58149" s="2" customFormat="1"/>
    <row r="58150" s="2" customFormat="1"/>
    <row r="58151" s="2" customFormat="1"/>
    <row r="58152" s="2" customFormat="1"/>
    <row r="58153" s="2" customFormat="1"/>
    <row r="58154" s="2" customFormat="1"/>
    <row r="58155" s="2" customFormat="1"/>
    <row r="58156" s="2" customFormat="1"/>
    <row r="58157" s="2" customFormat="1"/>
    <row r="58158" s="2" customFormat="1"/>
    <row r="58159" s="2" customFormat="1"/>
    <row r="58160" s="2" customFormat="1"/>
    <row r="58161" s="2" customFormat="1"/>
    <row r="58162" s="2" customFormat="1"/>
    <row r="58163" s="2" customFormat="1"/>
    <row r="58164" s="2" customFormat="1"/>
    <row r="58165" s="2" customFormat="1"/>
    <row r="58166" s="2" customFormat="1"/>
    <row r="58167" s="2" customFormat="1"/>
    <row r="58168" s="2" customFormat="1"/>
    <row r="58169" s="2" customFormat="1"/>
    <row r="58170" s="2" customFormat="1"/>
    <row r="58171" s="2" customFormat="1"/>
    <row r="58172" s="2" customFormat="1"/>
    <row r="58173" s="2" customFormat="1"/>
    <row r="58174" s="2" customFormat="1"/>
    <row r="58175" s="2" customFormat="1"/>
    <row r="58176" s="2" customFormat="1"/>
    <row r="58177" s="2" customFormat="1"/>
    <row r="58178" s="2" customFormat="1"/>
    <row r="58179" s="2" customFormat="1"/>
    <row r="58180" s="2" customFormat="1"/>
    <row r="58181" s="2" customFormat="1"/>
    <row r="58182" s="2" customFormat="1"/>
    <row r="58183" s="2" customFormat="1"/>
    <row r="58184" s="2" customFormat="1"/>
    <row r="58185" s="2" customFormat="1"/>
    <row r="58186" s="2" customFormat="1"/>
    <row r="58187" s="2" customFormat="1"/>
    <row r="58188" s="2" customFormat="1"/>
    <row r="58189" s="2" customFormat="1"/>
    <row r="58190" s="2" customFormat="1"/>
    <row r="58191" s="2" customFormat="1"/>
    <row r="58192" s="2" customFormat="1"/>
    <row r="58193" s="2" customFormat="1"/>
    <row r="58194" s="2" customFormat="1"/>
    <row r="58195" s="2" customFormat="1"/>
    <row r="58196" s="2" customFormat="1"/>
    <row r="58197" s="2" customFormat="1"/>
    <row r="58198" s="2" customFormat="1"/>
    <row r="58199" s="2" customFormat="1"/>
    <row r="58200" s="2" customFormat="1"/>
    <row r="58201" s="2" customFormat="1"/>
    <row r="58202" s="2" customFormat="1"/>
    <row r="58203" s="2" customFormat="1"/>
    <row r="58204" s="2" customFormat="1"/>
    <row r="58205" s="2" customFormat="1"/>
    <row r="58206" s="2" customFormat="1"/>
    <row r="58207" s="2" customFormat="1"/>
    <row r="58208" s="2" customFormat="1"/>
    <row r="58209" s="2" customFormat="1"/>
    <row r="58210" s="2" customFormat="1"/>
    <row r="58211" s="2" customFormat="1"/>
    <row r="58212" s="2" customFormat="1"/>
    <row r="58213" s="2" customFormat="1"/>
    <row r="58214" s="2" customFormat="1"/>
    <row r="58215" s="2" customFormat="1"/>
    <row r="58216" s="2" customFormat="1"/>
    <row r="58217" s="2" customFormat="1"/>
    <row r="58218" s="2" customFormat="1"/>
    <row r="58219" s="2" customFormat="1"/>
    <row r="58220" s="2" customFormat="1"/>
    <row r="58221" s="2" customFormat="1"/>
    <row r="58222" s="2" customFormat="1"/>
    <row r="58223" s="2" customFormat="1"/>
    <row r="58224" s="2" customFormat="1"/>
    <row r="58225" s="2" customFormat="1"/>
    <row r="58226" s="2" customFormat="1"/>
    <row r="58227" s="2" customFormat="1"/>
    <row r="58228" s="2" customFormat="1"/>
    <row r="58229" s="2" customFormat="1"/>
    <row r="58230" s="2" customFormat="1"/>
    <row r="58231" s="2" customFormat="1"/>
    <row r="58232" s="2" customFormat="1"/>
    <row r="58233" s="2" customFormat="1"/>
    <row r="58234" s="2" customFormat="1"/>
    <row r="58235" s="2" customFormat="1"/>
    <row r="58236" s="2" customFormat="1"/>
    <row r="58237" s="2" customFormat="1"/>
    <row r="58238" s="2" customFormat="1"/>
    <row r="58239" s="2" customFormat="1"/>
    <row r="58240" s="2" customFormat="1"/>
    <row r="58241" s="2" customFormat="1"/>
    <row r="58242" s="2" customFormat="1"/>
    <row r="58243" s="2" customFormat="1"/>
    <row r="58244" s="2" customFormat="1"/>
    <row r="58245" s="2" customFormat="1"/>
    <row r="58246" s="2" customFormat="1"/>
    <row r="58247" s="2" customFormat="1"/>
    <row r="58248" s="2" customFormat="1"/>
    <row r="58249" s="2" customFormat="1"/>
    <row r="58250" s="2" customFormat="1"/>
    <row r="58251" s="2" customFormat="1"/>
    <row r="58252" s="2" customFormat="1"/>
    <row r="58253" s="2" customFormat="1"/>
    <row r="58254" s="2" customFormat="1"/>
    <row r="58255" s="2" customFormat="1"/>
    <row r="58256" s="2" customFormat="1"/>
    <row r="58257" s="2" customFormat="1"/>
    <row r="58258" s="2" customFormat="1"/>
    <row r="58259" s="2" customFormat="1"/>
    <row r="58260" s="2" customFormat="1"/>
    <row r="58261" s="2" customFormat="1"/>
    <row r="58262" s="2" customFormat="1"/>
    <row r="58263" s="2" customFormat="1"/>
    <row r="58264" s="2" customFormat="1"/>
    <row r="58265" s="2" customFormat="1"/>
    <row r="58266" s="2" customFormat="1"/>
    <row r="58267" s="2" customFormat="1"/>
    <row r="58268" s="2" customFormat="1"/>
    <row r="58269" s="2" customFormat="1"/>
    <row r="58270" s="2" customFormat="1"/>
    <row r="58271" s="2" customFormat="1"/>
    <row r="58272" s="2" customFormat="1"/>
    <row r="58273" s="2" customFormat="1"/>
    <row r="58274" s="2" customFormat="1"/>
    <row r="58275" s="2" customFormat="1"/>
    <row r="58276" s="2" customFormat="1"/>
    <row r="58277" s="2" customFormat="1"/>
    <row r="58278" s="2" customFormat="1"/>
    <row r="58279" s="2" customFormat="1"/>
    <row r="58280" s="2" customFormat="1"/>
    <row r="58281" s="2" customFormat="1"/>
    <row r="58282" s="2" customFormat="1"/>
    <row r="58283" s="2" customFormat="1"/>
    <row r="58284" s="2" customFormat="1"/>
    <row r="58285" s="2" customFormat="1"/>
    <row r="58286" s="2" customFormat="1"/>
    <row r="58287" s="2" customFormat="1"/>
    <row r="58288" s="2" customFormat="1"/>
    <row r="58289" s="2" customFormat="1"/>
    <row r="58290" s="2" customFormat="1"/>
    <row r="58291" s="2" customFormat="1"/>
    <row r="58292" s="2" customFormat="1"/>
    <row r="58293" s="2" customFormat="1"/>
    <row r="58294" s="2" customFormat="1"/>
    <row r="58295" s="2" customFormat="1"/>
    <row r="58296" s="2" customFormat="1"/>
    <row r="58297" s="2" customFormat="1"/>
    <row r="58298" s="2" customFormat="1"/>
    <row r="58299" s="2" customFormat="1"/>
    <row r="58300" s="2" customFormat="1"/>
    <row r="58301" s="2" customFormat="1"/>
    <row r="58302" s="2" customFormat="1"/>
    <row r="58303" s="2" customFormat="1"/>
    <row r="58304" s="2" customFormat="1"/>
    <row r="58305" s="2" customFormat="1"/>
    <row r="58306" s="2" customFormat="1"/>
    <row r="58307" s="2" customFormat="1"/>
    <row r="58308" s="2" customFormat="1"/>
    <row r="58309" s="2" customFormat="1"/>
    <row r="58310" s="2" customFormat="1"/>
    <row r="58311" s="2" customFormat="1"/>
    <row r="58312" s="2" customFormat="1"/>
    <row r="58313" s="2" customFormat="1"/>
    <row r="58314" s="2" customFormat="1"/>
    <row r="58315" s="2" customFormat="1"/>
    <row r="58316" s="2" customFormat="1"/>
    <row r="58317" s="2" customFormat="1"/>
    <row r="58318" s="2" customFormat="1"/>
    <row r="58319" s="2" customFormat="1"/>
    <row r="58320" s="2" customFormat="1"/>
    <row r="58321" s="2" customFormat="1"/>
    <row r="58322" s="2" customFormat="1"/>
    <row r="58323" s="2" customFormat="1"/>
    <row r="58324" s="2" customFormat="1"/>
    <row r="58325" s="2" customFormat="1"/>
    <row r="58326" s="2" customFormat="1"/>
    <row r="58327" s="2" customFormat="1"/>
    <row r="58328" s="2" customFormat="1"/>
    <row r="58329" s="2" customFormat="1"/>
    <row r="58330" s="2" customFormat="1"/>
    <row r="58331" s="2" customFormat="1"/>
    <row r="58332" s="2" customFormat="1"/>
    <row r="58333" s="2" customFormat="1"/>
    <row r="58334" s="2" customFormat="1"/>
    <row r="58335" s="2" customFormat="1"/>
    <row r="58336" s="2" customFormat="1"/>
    <row r="58337" s="2" customFormat="1"/>
    <row r="58338" s="2" customFormat="1"/>
    <row r="58339" s="2" customFormat="1"/>
    <row r="58340" s="2" customFormat="1"/>
    <row r="58341" s="2" customFormat="1"/>
    <row r="58342" s="2" customFormat="1"/>
    <row r="58343" s="2" customFormat="1"/>
    <row r="58344" s="2" customFormat="1"/>
    <row r="58345" s="2" customFormat="1"/>
    <row r="58346" s="2" customFormat="1"/>
    <row r="58347" s="2" customFormat="1"/>
    <row r="58348" s="2" customFormat="1"/>
    <row r="58349" s="2" customFormat="1"/>
    <row r="58350" s="2" customFormat="1"/>
    <row r="58351" s="2" customFormat="1"/>
    <row r="58352" s="2" customFormat="1"/>
    <row r="58353" s="2" customFormat="1"/>
    <row r="58354" s="2" customFormat="1"/>
    <row r="58355" s="2" customFormat="1"/>
    <row r="58356" s="2" customFormat="1"/>
    <row r="58357" s="2" customFormat="1"/>
    <row r="58358" s="2" customFormat="1"/>
    <row r="58359" s="2" customFormat="1"/>
    <row r="58360" s="2" customFormat="1"/>
    <row r="58361" s="2" customFormat="1"/>
    <row r="58362" s="2" customFormat="1"/>
    <row r="58363" s="2" customFormat="1"/>
    <row r="58364" s="2" customFormat="1"/>
    <row r="58365" s="2" customFormat="1"/>
    <row r="58366" s="2" customFormat="1"/>
    <row r="58367" s="2" customFormat="1"/>
    <row r="58368" s="2" customFormat="1"/>
    <row r="58369" s="2" customFormat="1"/>
    <row r="58370" s="2" customFormat="1"/>
    <row r="58371" s="2" customFormat="1"/>
    <row r="58372" s="2" customFormat="1"/>
    <row r="58373" s="2" customFormat="1"/>
    <row r="58374" s="2" customFormat="1"/>
    <row r="58375" s="2" customFormat="1"/>
    <row r="58376" s="2" customFormat="1"/>
    <row r="58377" s="2" customFormat="1"/>
    <row r="58378" s="2" customFormat="1"/>
    <row r="58379" s="2" customFormat="1"/>
    <row r="58380" s="2" customFormat="1"/>
    <row r="58381" s="2" customFormat="1"/>
    <row r="58382" s="2" customFormat="1"/>
    <row r="58383" s="2" customFormat="1"/>
    <row r="58384" s="2" customFormat="1"/>
    <row r="58385" s="2" customFormat="1"/>
    <row r="58386" s="2" customFormat="1"/>
    <row r="58387" s="2" customFormat="1"/>
    <row r="58388" s="2" customFormat="1"/>
    <row r="58389" s="2" customFormat="1"/>
    <row r="58390" s="2" customFormat="1"/>
    <row r="58391" s="2" customFormat="1"/>
    <row r="58392" s="2" customFormat="1"/>
    <row r="58393" s="2" customFormat="1"/>
    <row r="58394" s="2" customFormat="1"/>
    <row r="58395" s="2" customFormat="1"/>
    <row r="58396" s="2" customFormat="1"/>
    <row r="58397" s="2" customFormat="1"/>
    <row r="58398" s="2" customFormat="1"/>
    <row r="58399" s="2" customFormat="1"/>
    <row r="58400" s="2" customFormat="1"/>
    <row r="58401" s="2" customFormat="1"/>
    <row r="58402" s="2" customFormat="1"/>
    <row r="58403" s="2" customFormat="1"/>
    <row r="58404" s="2" customFormat="1"/>
    <row r="58405" s="2" customFormat="1"/>
    <row r="58406" s="2" customFormat="1"/>
    <row r="58407" s="2" customFormat="1"/>
    <row r="58408" s="2" customFormat="1"/>
    <row r="58409" s="2" customFormat="1"/>
    <row r="58410" s="2" customFormat="1"/>
    <row r="58411" s="2" customFormat="1"/>
    <row r="58412" s="2" customFormat="1"/>
    <row r="58413" s="2" customFormat="1"/>
    <row r="58414" s="2" customFormat="1"/>
    <row r="58415" s="2" customFormat="1"/>
    <row r="58416" s="2" customFormat="1"/>
    <row r="58417" s="2" customFormat="1"/>
    <row r="58418" s="2" customFormat="1"/>
    <row r="58419" s="2" customFormat="1"/>
    <row r="58420" s="2" customFormat="1"/>
    <row r="58421" s="2" customFormat="1"/>
    <row r="58422" s="2" customFormat="1"/>
    <row r="58423" s="2" customFormat="1"/>
    <row r="58424" s="2" customFormat="1"/>
    <row r="58425" s="2" customFormat="1"/>
    <row r="58426" s="2" customFormat="1"/>
    <row r="58427" s="2" customFormat="1"/>
    <row r="58428" s="2" customFormat="1"/>
    <row r="58429" s="2" customFormat="1"/>
    <row r="58430" s="2" customFormat="1"/>
    <row r="58431" s="2" customFormat="1"/>
    <row r="58432" s="2" customFormat="1"/>
    <row r="58433" s="2" customFormat="1"/>
    <row r="58434" s="2" customFormat="1"/>
    <row r="58435" s="2" customFormat="1"/>
    <row r="58436" s="2" customFormat="1"/>
    <row r="58437" s="2" customFormat="1"/>
    <row r="58438" s="2" customFormat="1"/>
    <row r="58439" s="2" customFormat="1"/>
    <row r="58440" s="2" customFormat="1"/>
    <row r="58441" s="2" customFormat="1"/>
    <row r="58442" s="2" customFormat="1"/>
    <row r="58443" s="2" customFormat="1"/>
    <row r="58444" s="2" customFormat="1"/>
    <row r="58445" s="2" customFormat="1"/>
    <row r="58446" s="2" customFormat="1"/>
    <row r="58447" s="2" customFormat="1"/>
    <row r="58448" s="2" customFormat="1"/>
    <row r="58449" s="2" customFormat="1"/>
    <row r="58450" s="2" customFormat="1"/>
    <row r="58451" s="2" customFormat="1"/>
    <row r="58452" s="2" customFormat="1"/>
    <row r="58453" s="2" customFormat="1"/>
    <row r="58454" s="2" customFormat="1"/>
    <row r="58455" s="2" customFormat="1"/>
    <row r="58456" s="2" customFormat="1"/>
    <row r="58457" s="2" customFormat="1"/>
    <row r="58458" s="2" customFormat="1"/>
    <row r="58459" s="2" customFormat="1"/>
    <row r="58460" s="2" customFormat="1"/>
    <row r="58461" s="2" customFormat="1"/>
    <row r="58462" s="2" customFormat="1"/>
    <row r="58463" s="2" customFormat="1"/>
    <row r="58464" s="2" customFormat="1"/>
    <row r="58465" s="2" customFormat="1"/>
    <row r="58466" s="2" customFormat="1"/>
    <row r="58467" s="2" customFormat="1"/>
    <row r="58468" s="2" customFormat="1"/>
    <row r="58469" s="2" customFormat="1"/>
    <row r="58470" s="2" customFormat="1"/>
    <row r="58471" s="2" customFormat="1"/>
    <row r="58472" s="2" customFormat="1"/>
    <row r="58473" s="2" customFormat="1"/>
    <row r="58474" s="2" customFormat="1"/>
    <row r="58475" s="2" customFormat="1"/>
    <row r="58476" s="2" customFormat="1"/>
    <row r="58477" s="2" customFormat="1"/>
    <row r="58478" s="2" customFormat="1"/>
    <row r="58479" s="2" customFormat="1"/>
    <row r="58480" s="2" customFormat="1"/>
    <row r="58481" s="2" customFormat="1"/>
    <row r="58482" s="2" customFormat="1"/>
    <row r="58483" s="2" customFormat="1"/>
    <row r="58484" s="2" customFormat="1"/>
    <row r="58485" s="2" customFormat="1"/>
    <row r="58486" s="2" customFormat="1"/>
    <row r="58487" s="2" customFormat="1"/>
    <row r="58488" s="2" customFormat="1"/>
    <row r="58489" s="2" customFormat="1"/>
    <row r="58490" s="2" customFormat="1"/>
    <row r="58491" s="2" customFormat="1"/>
    <row r="58492" s="2" customFormat="1"/>
    <row r="58493" s="2" customFormat="1"/>
    <row r="58494" s="2" customFormat="1"/>
    <row r="58495" s="2" customFormat="1"/>
    <row r="58496" s="2" customFormat="1"/>
    <row r="58497" s="2" customFormat="1"/>
    <row r="58498" s="2" customFormat="1"/>
    <row r="58499" s="2" customFormat="1"/>
    <row r="58500" s="2" customFormat="1"/>
    <row r="58501" s="2" customFormat="1"/>
    <row r="58502" s="2" customFormat="1"/>
    <row r="58503" s="2" customFormat="1"/>
    <row r="58504" s="2" customFormat="1"/>
    <row r="58505" s="2" customFormat="1"/>
    <row r="58506" s="2" customFormat="1"/>
    <row r="58507" s="2" customFormat="1"/>
    <row r="58508" s="2" customFormat="1"/>
    <row r="58509" s="2" customFormat="1"/>
    <row r="58510" s="2" customFormat="1"/>
    <row r="58511" s="2" customFormat="1"/>
    <row r="58512" s="2" customFormat="1"/>
    <row r="58513" s="2" customFormat="1"/>
    <row r="58514" s="2" customFormat="1"/>
    <row r="58515" s="2" customFormat="1"/>
    <row r="58516" s="2" customFormat="1"/>
    <row r="58517" s="2" customFormat="1"/>
    <row r="58518" s="2" customFormat="1"/>
    <row r="58519" s="2" customFormat="1"/>
    <row r="58520" s="2" customFormat="1"/>
    <row r="58521" s="2" customFormat="1"/>
    <row r="58522" s="2" customFormat="1"/>
    <row r="58523" s="2" customFormat="1"/>
    <row r="58524" s="2" customFormat="1"/>
    <row r="58525" s="2" customFormat="1"/>
    <row r="58526" s="2" customFormat="1"/>
    <row r="58527" s="2" customFormat="1"/>
    <row r="58528" s="2" customFormat="1"/>
    <row r="58529" s="2" customFormat="1"/>
    <row r="58530" s="2" customFormat="1"/>
    <row r="58531" s="2" customFormat="1"/>
    <row r="58532" s="2" customFormat="1"/>
    <row r="58533" s="2" customFormat="1"/>
    <row r="58534" s="2" customFormat="1"/>
    <row r="58535" s="2" customFormat="1"/>
    <row r="58536" s="2" customFormat="1"/>
    <row r="58537" s="2" customFormat="1"/>
    <row r="58538" s="2" customFormat="1"/>
    <row r="58539" s="2" customFormat="1"/>
    <row r="58540" s="2" customFormat="1"/>
    <row r="58541" s="2" customFormat="1"/>
    <row r="58542" s="2" customFormat="1"/>
    <row r="58543" s="2" customFormat="1"/>
    <row r="58544" s="2" customFormat="1"/>
    <row r="58545" s="2" customFormat="1"/>
    <row r="58546" s="2" customFormat="1"/>
    <row r="58547" s="2" customFormat="1"/>
    <row r="58548" s="2" customFormat="1"/>
    <row r="58549" s="2" customFormat="1"/>
    <row r="58550" s="2" customFormat="1"/>
    <row r="58551" s="2" customFormat="1"/>
    <row r="58552" s="2" customFormat="1"/>
    <row r="58553" s="2" customFormat="1"/>
    <row r="58554" s="2" customFormat="1"/>
    <row r="58555" s="2" customFormat="1"/>
    <row r="58556" s="2" customFormat="1"/>
    <row r="58557" s="2" customFormat="1"/>
    <row r="58558" s="2" customFormat="1"/>
    <row r="58559" s="2" customFormat="1"/>
    <row r="58560" s="2" customFormat="1"/>
    <row r="58561" s="2" customFormat="1"/>
    <row r="58562" s="2" customFormat="1"/>
    <row r="58563" s="2" customFormat="1"/>
    <row r="58564" s="2" customFormat="1"/>
    <row r="58565" s="2" customFormat="1"/>
    <row r="58566" s="2" customFormat="1"/>
    <row r="58567" s="2" customFormat="1"/>
    <row r="58568" s="2" customFormat="1"/>
    <row r="58569" s="2" customFormat="1"/>
    <row r="58570" s="2" customFormat="1"/>
    <row r="58571" s="2" customFormat="1"/>
    <row r="58572" s="2" customFormat="1"/>
    <row r="58573" s="2" customFormat="1"/>
    <row r="58574" s="2" customFormat="1"/>
    <row r="58575" s="2" customFormat="1"/>
    <row r="58576" s="2" customFormat="1"/>
    <row r="58577" s="2" customFormat="1"/>
    <row r="58578" s="2" customFormat="1"/>
    <row r="58579" s="2" customFormat="1"/>
    <row r="58580" s="2" customFormat="1"/>
    <row r="58581" s="2" customFormat="1"/>
    <row r="58582" s="2" customFormat="1"/>
    <row r="58583" s="2" customFormat="1"/>
    <row r="58584" s="2" customFormat="1"/>
    <row r="58585" s="2" customFormat="1"/>
    <row r="58586" s="2" customFormat="1"/>
    <row r="58587" s="2" customFormat="1"/>
    <row r="58588" s="2" customFormat="1"/>
    <row r="58589" s="2" customFormat="1"/>
    <row r="58590" s="2" customFormat="1"/>
    <row r="58591" s="2" customFormat="1"/>
    <row r="58592" s="2" customFormat="1"/>
    <row r="58593" s="2" customFormat="1"/>
    <row r="58594" s="2" customFormat="1"/>
    <row r="58595" s="2" customFormat="1"/>
    <row r="58596" s="2" customFormat="1"/>
    <row r="58597" s="2" customFormat="1"/>
    <row r="58598" s="2" customFormat="1"/>
    <row r="58599" s="2" customFormat="1"/>
    <row r="58600" s="2" customFormat="1"/>
    <row r="58601" s="2" customFormat="1"/>
    <row r="58602" s="2" customFormat="1"/>
    <row r="58603" s="2" customFormat="1"/>
    <row r="58604" s="2" customFormat="1"/>
    <row r="58605" s="2" customFormat="1"/>
    <row r="58606" s="2" customFormat="1"/>
    <row r="58607" s="2" customFormat="1"/>
    <row r="58608" s="2" customFormat="1"/>
    <row r="58609" s="2" customFormat="1"/>
    <row r="58610" s="2" customFormat="1"/>
    <row r="58611" s="2" customFormat="1"/>
    <row r="58612" s="2" customFormat="1"/>
    <row r="58613" s="2" customFormat="1"/>
    <row r="58614" s="2" customFormat="1"/>
    <row r="58615" s="2" customFormat="1"/>
    <row r="58616" s="2" customFormat="1"/>
    <row r="58617" s="2" customFormat="1"/>
    <row r="58618" s="2" customFormat="1"/>
    <row r="58619" s="2" customFormat="1"/>
    <row r="58620" s="2" customFormat="1"/>
    <row r="58621" s="2" customFormat="1"/>
    <row r="58622" s="2" customFormat="1"/>
    <row r="58623" s="2" customFormat="1"/>
    <row r="58624" s="2" customFormat="1"/>
    <row r="58625" s="2" customFormat="1"/>
    <row r="58626" s="2" customFormat="1"/>
    <row r="58627" s="2" customFormat="1"/>
    <row r="58628" s="2" customFormat="1"/>
    <row r="58629" s="2" customFormat="1"/>
    <row r="58630" s="2" customFormat="1"/>
    <row r="58631" s="2" customFormat="1"/>
    <row r="58632" s="2" customFormat="1"/>
    <row r="58633" s="2" customFormat="1"/>
    <row r="58634" s="2" customFormat="1"/>
    <row r="58635" s="2" customFormat="1"/>
    <row r="58636" s="2" customFormat="1"/>
    <row r="58637" s="2" customFormat="1"/>
    <row r="58638" s="2" customFormat="1"/>
    <row r="58639" s="2" customFormat="1"/>
    <row r="58640" s="2" customFormat="1"/>
    <row r="58641" s="2" customFormat="1"/>
    <row r="58642" s="2" customFormat="1"/>
    <row r="58643" s="2" customFormat="1"/>
    <row r="58644" s="2" customFormat="1"/>
    <row r="58645" s="2" customFormat="1"/>
    <row r="58646" s="2" customFormat="1"/>
    <row r="58647" s="2" customFormat="1"/>
    <row r="58648" s="2" customFormat="1"/>
    <row r="58649" s="2" customFormat="1"/>
    <row r="58650" s="2" customFormat="1"/>
    <row r="58651" s="2" customFormat="1"/>
    <row r="58652" s="2" customFormat="1"/>
    <row r="58653" s="2" customFormat="1"/>
    <row r="58654" s="2" customFormat="1"/>
    <row r="58655" s="2" customFormat="1"/>
    <row r="58656" s="2" customFormat="1"/>
    <row r="58657" s="2" customFormat="1"/>
    <row r="58658" s="2" customFormat="1"/>
    <row r="58659" s="2" customFormat="1"/>
    <row r="58660" s="2" customFormat="1"/>
    <row r="58661" s="2" customFormat="1"/>
    <row r="58662" s="2" customFormat="1"/>
    <row r="58663" s="2" customFormat="1"/>
    <row r="58664" s="2" customFormat="1"/>
    <row r="58665" s="2" customFormat="1"/>
    <row r="58666" s="2" customFormat="1"/>
    <row r="58667" s="2" customFormat="1"/>
    <row r="58668" s="2" customFormat="1"/>
    <row r="58669" s="2" customFormat="1"/>
    <row r="58670" s="2" customFormat="1"/>
    <row r="58671" s="2" customFormat="1"/>
    <row r="58672" s="2" customFormat="1"/>
    <row r="58673" s="2" customFormat="1"/>
    <row r="58674" s="2" customFormat="1"/>
    <row r="58675" s="2" customFormat="1"/>
    <row r="58676" s="2" customFormat="1"/>
    <row r="58677" s="2" customFormat="1"/>
    <row r="58678" s="2" customFormat="1"/>
    <row r="58679" s="2" customFormat="1"/>
    <row r="58680" s="2" customFormat="1"/>
    <row r="58681" s="2" customFormat="1"/>
    <row r="58682" s="2" customFormat="1"/>
    <row r="58683" s="2" customFormat="1"/>
    <row r="58684" s="2" customFormat="1"/>
    <row r="58685" s="2" customFormat="1"/>
    <row r="58686" s="2" customFormat="1"/>
    <row r="58687" s="2" customFormat="1"/>
    <row r="58688" s="2" customFormat="1"/>
    <row r="58689" s="2" customFormat="1"/>
    <row r="58690" s="2" customFormat="1"/>
    <row r="58691" s="2" customFormat="1"/>
    <row r="58692" s="2" customFormat="1"/>
    <row r="58693" s="2" customFormat="1"/>
    <row r="58694" s="2" customFormat="1"/>
    <row r="58695" s="2" customFormat="1"/>
    <row r="58696" s="2" customFormat="1"/>
    <row r="58697" s="2" customFormat="1"/>
    <row r="58698" s="2" customFormat="1"/>
    <row r="58699" s="2" customFormat="1"/>
    <row r="58700" s="2" customFormat="1"/>
    <row r="58701" s="2" customFormat="1"/>
    <row r="58702" s="2" customFormat="1"/>
    <row r="58703" s="2" customFormat="1"/>
    <row r="58704" s="2" customFormat="1"/>
    <row r="58705" s="2" customFormat="1"/>
    <row r="58706" s="2" customFormat="1"/>
    <row r="58707" s="2" customFormat="1"/>
    <row r="58708" s="2" customFormat="1"/>
    <row r="58709" s="2" customFormat="1"/>
    <row r="58710" s="2" customFormat="1"/>
    <row r="58711" s="2" customFormat="1"/>
    <row r="58712" s="2" customFormat="1"/>
    <row r="58713" s="2" customFormat="1"/>
    <row r="58714" s="2" customFormat="1"/>
    <row r="58715" s="2" customFormat="1"/>
    <row r="58716" s="2" customFormat="1"/>
    <row r="58717" s="2" customFormat="1"/>
    <row r="58718" s="2" customFormat="1"/>
    <row r="58719" s="2" customFormat="1"/>
    <row r="58720" s="2" customFormat="1"/>
    <row r="58721" s="2" customFormat="1"/>
    <row r="58722" s="2" customFormat="1"/>
    <row r="58723" s="2" customFormat="1"/>
    <row r="58724" s="2" customFormat="1"/>
    <row r="58725" s="2" customFormat="1"/>
    <row r="58726" s="2" customFormat="1"/>
    <row r="58727" s="2" customFormat="1"/>
    <row r="58728" s="2" customFormat="1"/>
    <row r="58729" s="2" customFormat="1"/>
    <row r="58730" s="2" customFormat="1"/>
    <row r="58731" s="2" customFormat="1"/>
    <row r="58732" s="2" customFormat="1"/>
    <row r="58733" s="2" customFormat="1"/>
    <row r="58734" s="2" customFormat="1"/>
    <row r="58735" s="2" customFormat="1"/>
    <row r="58736" s="2" customFormat="1"/>
    <row r="58737" s="2" customFormat="1"/>
    <row r="58738" s="2" customFormat="1"/>
    <row r="58739" s="2" customFormat="1"/>
    <row r="58740" s="2" customFormat="1"/>
    <row r="58741" s="2" customFormat="1"/>
    <row r="58742" s="2" customFormat="1"/>
    <row r="58743" s="2" customFormat="1"/>
    <row r="58744" s="2" customFormat="1"/>
    <row r="58745" s="2" customFormat="1"/>
    <row r="58746" s="2" customFormat="1"/>
    <row r="58747" s="2" customFormat="1"/>
    <row r="58748" s="2" customFormat="1"/>
    <row r="58749" s="2" customFormat="1"/>
    <row r="58750" s="2" customFormat="1"/>
    <row r="58751" s="2" customFormat="1"/>
    <row r="58752" s="2" customFormat="1"/>
    <row r="58753" s="2" customFormat="1"/>
    <row r="58754" s="2" customFormat="1"/>
    <row r="58755" s="2" customFormat="1"/>
    <row r="58756" s="2" customFormat="1"/>
    <row r="58757" s="2" customFormat="1"/>
    <row r="58758" s="2" customFormat="1"/>
    <row r="58759" s="2" customFormat="1"/>
    <row r="58760" s="2" customFormat="1"/>
    <row r="58761" s="2" customFormat="1"/>
    <row r="58762" s="2" customFormat="1"/>
    <row r="58763" s="2" customFormat="1"/>
    <row r="58764" s="2" customFormat="1"/>
    <row r="58765" s="2" customFormat="1"/>
    <row r="58766" s="2" customFormat="1"/>
    <row r="58767" s="2" customFormat="1"/>
    <row r="58768" s="2" customFormat="1"/>
    <row r="58769" s="2" customFormat="1"/>
    <row r="58770" s="2" customFormat="1"/>
    <row r="58771" s="2" customFormat="1"/>
    <row r="58772" s="2" customFormat="1"/>
    <row r="58773" s="2" customFormat="1"/>
    <row r="58774" s="2" customFormat="1"/>
    <row r="58775" s="2" customFormat="1"/>
    <row r="58776" s="2" customFormat="1"/>
    <row r="58777" s="2" customFormat="1"/>
    <row r="58778" s="2" customFormat="1"/>
    <row r="58779" s="2" customFormat="1"/>
    <row r="58780" s="2" customFormat="1"/>
    <row r="58781" s="2" customFormat="1"/>
    <row r="58782" s="2" customFormat="1"/>
    <row r="58783" s="2" customFormat="1"/>
    <row r="58784" s="2" customFormat="1"/>
    <row r="58785" s="2" customFormat="1"/>
    <row r="58786" s="2" customFormat="1"/>
    <row r="58787" s="2" customFormat="1"/>
    <row r="58788" s="2" customFormat="1"/>
    <row r="58789" s="2" customFormat="1"/>
    <row r="58790" s="2" customFormat="1"/>
    <row r="58791" s="2" customFormat="1"/>
    <row r="58792" s="2" customFormat="1"/>
    <row r="58793" s="2" customFormat="1"/>
    <row r="58794" s="2" customFormat="1"/>
    <row r="58795" s="2" customFormat="1"/>
    <row r="58796" s="2" customFormat="1"/>
    <row r="58797" s="2" customFormat="1"/>
    <row r="58798" s="2" customFormat="1"/>
    <row r="58799" s="2" customFormat="1"/>
    <row r="58800" s="2" customFormat="1"/>
    <row r="58801" s="2" customFormat="1"/>
    <row r="58802" s="2" customFormat="1"/>
    <row r="58803" s="2" customFormat="1"/>
    <row r="58804" s="2" customFormat="1"/>
    <row r="58805" s="2" customFormat="1"/>
    <row r="58806" s="2" customFormat="1"/>
    <row r="58807" s="2" customFormat="1"/>
    <row r="58808" s="2" customFormat="1"/>
    <row r="58809" s="2" customFormat="1"/>
    <row r="58810" s="2" customFormat="1"/>
    <row r="58811" s="2" customFormat="1"/>
    <row r="58812" s="2" customFormat="1"/>
    <row r="58813" s="2" customFormat="1"/>
    <row r="58814" s="2" customFormat="1"/>
    <row r="58815" s="2" customFormat="1"/>
    <row r="58816" s="2" customFormat="1"/>
    <row r="58817" s="2" customFormat="1"/>
    <row r="58818" s="2" customFormat="1"/>
    <row r="58819" s="2" customFormat="1"/>
    <row r="58820" s="2" customFormat="1"/>
    <row r="58821" s="2" customFormat="1"/>
    <row r="58822" s="2" customFormat="1"/>
    <row r="58823" s="2" customFormat="1"/>
    <row r="58824" s="2" customFormat="1"/>
    <row r="58825" s="2" customFormat="1"/>
    <row r="58826" s="2" customFormat="1"/>
    <row r="58827" s="2" customFormat="1"/>
    <row r="58828" s="2" customFormat="1"/>
    <row r="58829" s="2" customFormat="1"/>
    <row r="58830" s="2" customFormat="1"/>
    <row r="58831" s="2" customFormat="1"/>
    <row r="58832" s="2" customFormat="1"/>
    <row r="58833" s="2" customFormat="1"/>
    <row r="58834" s="2" customFormat="1"/>
    <row r="58835" s="2" customFormat="1"/>
    <row r="58836" s="2" customFormat="1"/>
    <row r="58837" s="2" customFormat="1"/>
    <row r="58838" s="2" customFormat="1"/>
    <row r="58839" s="2" customFormat="1"/>
    <row r="58840" s="2" customFormat="1"/>
    <row r="58841" s="2" customFormat="1"/>
    <row r="58842" s="2" customFormat="1"/>
    <row r="58843" s="2" customFormat="1"/>
    <row r="58844" s="2" customFormat="1"/>
    <row r="58845" s="2" customFormat="1"/>
    <row r="58846" s="2" customFormat="1"/>
    <row r="58847" s="2" customFormat="1"/>
    <row r="58848" s="2" customFormat="1"/>
    <row r="58849" s="2" customFormat="1"/>
    <row r="58850" s="2" customFormat="1"/>
    <row r="58851" s="2" customFormat="1"/>
    <row r="58852" s="2" customFormat="1"/>
    <row r="58853" s="2" customFormat="1"/>
    <row r="58854" s="2" customFormat="1"/>
    <row r="58855" s="2" customFormat="1"/>
    <row r="58856" s="2" customFormat="1"/>
    <row r="58857" s="2" customFormat="1"/>
    <row r="58858" s="2" customFormat="1"/>
    <row r="58859" s="2" customFormat="1"/>
    <row r="58860" s="2" customFormat="1"/>
    <row r="58861" s="2" customFormat="1"/>
    <row r="58862" s="2" customFormat="1"/>
    <row r="58863" s="2" customFormat="1"/>
    <row r="58864" s="2" customFormat="1"/>
    <row r="58865" s="2" customFormat="1"/>
    <row r="58866" s="2" customFormat="1"/>
    <row r="58867" s="2" customFormat="1"/>
    <row r="58868" s="2" customFormat="1"/>
    <row r="58869" s="2" customFormat="1"/>
    <row r="58870" s="2" customFormat="1"/>
    <row r="58871" s="2" customFormat="1"/>
    <row r="58872" s="2" customFormat="1"/>
    <row r="58873" s="2" customFormat="1"/>
    <row r="58874" s="2" customFormat="1"/>
    <row r="58875" s="2" customFormat="1"/>
    <row r="58876" s="2" customFormat="1"/>
    <row r="58877" s="2" customFormat="1"/>
    <row r="58878" s="2" customFormat="1"/>
    <row r="58879" s="2" customFormat="1"/>
    <row r="58880" s="2" customFormat="1"/>
    <row r="58881" s="2" customFormat="1"/>
    <row r="58882" s="2" customFormat="1"/>
    <row r="58883" s="2" customFormat="1"/>
    <row r="58884" s="2" customFormat="1"/>
    <row r="58885" s="2" customFormat="1"/>
    <row r="58886" s="2" customFormat="1"/>
    <row r="58887" s="2" customFormat="1"/>
    <row r="58888" s="2" customFormat="1"/>
    <row r="58889" s="2" customFormat="1"/>
    <row r="58890" s="2" customFormat="1"/>
    <row r="58891" s="2" customFormat="1"/>
    <row r="58892" s="2" customFormat="1"/>
    <row r="58893" s="2" customFormat="1"/>
    <row r="58894" s="2" customFormat="1"/>
    <row r="58895" s="2" customFormat="1"/>
    <row r="58896" s="2" customFormat="1"/>
    <row r="58897" s="2" customFormat="1"/>
    <row r="58898" s="2" customFormat="1"/>
    <row r="58899" s="2" customFormat="1"/>
    <row r="58900" s="2" customFormat="1"/>
    <row r="58901" s="2" customFormat="1"/>
    <row r="58902" s="2" customFormat="1"/>
    <row r="58903" s="2" customFormat="1"/>
    <row r="58904" s="2" customFormat="1"/>
    <row r="58905" s="2" customFormat="1"/>
    <row r="58906" s="2" customFormat="1"/>
    <row r="58907" s="2" customFormat="1"/>
    <row r="58908" s="2" customFormat="1"/>
    <row r="58909" s="2" customFormat="1"/>
    <row r="58910" s="2" customFormat="1"/>
    <row r="58911" s="2" customFormat="1"/>
    <row r="58912" s="2" customFormat="1"/>
    <row r="58913" s="2" customFormat="1"/>
    <row r="58914" s="2" customFormat="1"/>
    <row r="58915" s="2" customFormat="1"/>
    <row r="58916" s="2" customFormat="1"/>
    <row r="58917" s="2" customFormat="1"/>
    <row r="58918" s="2" customFormat="1"/>
    <row r="58919" s="2" customFormat="1"/>
    <row r="58920" s="2" customFormat="1"/>
    <row r="58921" s="2" customFormat="1"/>
    <row r="58922" s="2" customFormat="1"/>
    <row r="58923" s="2" customFormat="1"/>
    <row r="58924" s="2" customFormat="1"/>
    <row r="58925" s="2" customFormat="1"/>
    <row r="58926" s="2" customFormat="1"/>
    <row r="58927" s="2" customFormat="1"/>
    <row r="58928" s="2" customFormat="1"/>
    <row r="58929" s="2" customFormat="1"/>
    <row r="58930" s="2" customFormat="1"/>
    <row r="58931" s="2" customFormat="1"/>
    <row r="58932" s="2" customFormat="1"/>
    <row r="58933" s="2" customFormat="1"/>
    <row r="58934" s="2" customFormat="1"/>
    <row r="58935" s="2" customFormat="1"/>
    <row r="58936" s="2" customFormat="1"/>
    <row r="58937" s="2" customFormat="1"/>
    <row r="58938" s="2" customFormat="1"/>
    <row r="58939" s="2" customFormat="1"/>
    <row r="58940" s="2" customFormat="1"/>
    <row r="58941" s="2" customFormat="1"/>
    <row r="58942" s="2" customFormat="1"/>
    <row r="58943" s="2" customFormat="1"/>
    <row r="58944" s="2" customFormat="1"/>
    <row r="58945" s="2" customFormat="1"/>
    <row r="58946" s="2" customFormat="1"/>
    <row r="58947" s="2" customFormat="1"/>
    <row r="58948" s="2" customFormat="1"/>
    <row r="58949" s="2" customFormat="1"/>
    <row r="58950" s="2" customFormat="1"/>
    <row r="58951" s="2" customFormat="1"/>
    <row r="58952" s="2" customFormat="1"/>
    <row r="58953" s="2" customFormat="1"/>
    <row r="58954" s="2" customFormat="1"/>
    <row r="58955" s="2" customFormat="1"/>
    <row r="58956" s="2" customFormat="1"/>
    <row r="58957" s="2" customFormat="1"/>
    <row r="58958" s="2" customFormat="1"/>
    <row r="58959" s="2" customFormat="1"/>
    <row r="58960" s="2" customFormat="1"/>
    <row r="58961" s="2" customFormat="1"/>
    <row r="58962" s="2" customFormat="1"/>
    <row r="58963" s="2" customFormat="1"/>
    <row r="58964" s="2" customFormat="1"/>
    <row r="58965" s="2" customFormat="1"/>
    <row r="58966" s="2" customFormat="1"/>
    <row r="58967" s="2" customFormat="1"/>
    <row r="58968" s="2" customFormat="1"/>
    <row r="58969" s="2" customFormat="1"/>
    <row r="58970" s="2" customFormat="1"/>
    <row r="58971" s="2" customFormat="1"/>
    <row r="58972" s="2" customFormat="1"/>
    <row r="58973" s="2" customFormat="1"/>
    <row r="58974" s="2" customFormat="1"/>
    <row r="58975" s="2" customFormat="1"/>
    <row r="58976" s="2" customFormat="1"/>
    <row r="58977" s="2" customFormat="1"/>
    <row r="58978" s="2" customFormat="1"/>
    <row r="58979" s="2" customFormat="1"/>
    <row r="58980" s="2" customFormat="1"/>
    <row r="58981" s="2" customFormat="1"/>
    <row r="58982" s="2" customFormat="1"/>
    <row r="58983" s="2" customFormat="1"/>
    <row r="58984" s="2" customFormat="1"/>
    <row r="58985" s="2" customFormat="1"/>
    <row r="58986" s="2" customFormat="1"/>
    <row r="58987" s="2" customFormat="1"/>
    <row r="58988" s="2" customFormat="1"/>
    <row r="58989" s="2" customFormat="1"/>
    <row r="58990" s="2" customFormat="1"/>
    <row r="58991" s="2" customFormat="1"/>
    <row r="58992" s="2" customFormat="1"/>
    <row r="58993" s="2" customFormat="1"/>
    <row r="58994" s="2" customFormat="1"/>
    <row r="58995" s="2" customFormat="1"/>
    <row r="58996" s="2" customFormat="1"/>
    <row r="58997" s="2" customFormat="1"/>
    <row r="58998" s="2" customFormat="1"/>
    <row r="58999" s="2" customFormat="1"/>
    <row r="59000" s="2" customFormat="1"/>
    <row r="59001" s="2" customFormat="1"/>
    <row r="59002" s="2" customFormat="1"/>
    <row r="59003" s="2" customFormat="1"/>
    <row r="59004" s="2" customFormat="1"/>
    <row r="59005" s="2" customFormat="1"/>
    <row r="59006" s="2" customFormat="1"/>
    <row r="59007" s="2" customFormat="1"/>
    <row r="59008" s="2" customFormat="1"/>
    <row r="59009" s="2" customFormat="1"/>
    <row r="59010" s="2" customFormat="1"/>
    <row r="59011" s="2" customFormat="1"/>
    <row r="59012" s="2" customFormat="1"/>
    <row r="59013" s="2" customFormat="1"/>
    <row r="59014" s="2" customFormat="1"/>
    <row r="59015" s="2" customFormat="1"/>
    <row r="59016" s="2" customFormat="1"/>
    <row r="59017" s="2" customFormat="1"/>
    <row r="59018" s="2" customFormat="1"/>
    <row r="59019" s="2" customFormat="1"/>
    <row r="59020" s="2" customFormat="1"/>
    <row r="59021" s="2" customFormat="1"/>
    <row r="59022" s="2" customFormat="1"/>
    <row r="59023" s="2" customFormat="1"/>
    <row r="59024" s="2" customFormat="1"/>
    <row r="59025" s="2" customFormat="1"/>
    <row r="59026" s="2" customFormat="1"/>
    <row r="59027" s="2" customFormat="1"/>
    <row r="59028" s="2" customFormat="1"/>
    <row r="59029" s="2" customFormat="1"/>
    <row r="59030" s="2" customFormat="1"/>
    <row r="59031" s="2" customFormat="1"/>
    <row r="59032" s="2" customFormat="1"/>
    <row r="59033" s="2" customFormat="1"/>
    <row r="59034" s="2" customFormat="1"/>
    <row r="59035" s="2" customFormat="1"/>
    <row r="59036" s="2" customFormat="1"/>
    <row r="59037" s="2" customFormat="1"/>
    <row r="59038" s="2" customFormat="1"/>
    <row r="59039" s="2" customFormat="1"/>
    <row r="59040" s="2" customFormat="1"/>
    <row r="59041" s="2" customFormat="1"/>
    <row r="59042" s="2" customFormat="1"/>
    <row r="59043" s="2" customFormat="1"/>
    <row r="59044" s="2" customFormat="1"/>
    <row r="59045" s="2" customFormat="1"/>
    <row r="59046" s="2" customFormat="1"/>
    <row r="59047" s="2" customFormat="1"/>
    <row r="59048" s="2" customFormat="1"/>
    <row r="59049" s="2" customFormat="1"/>
    <row r="59050" s="2" customFormat="1"/>
    <row r="59051" s="2" customFormat="1"/>
    <row r="59052" s="2" customFormat="1"/>
    <row r="59053" s="2" customFormat="1"/>
    <row r="59054" s="2" customFormat="1"/>
    <row r="59055" s="2" customFormat="1"/>
    <row r="59056" s="2" customFormat="1"/>
    <row r="59057" s="2" customFormat="1"/>
    <row r="59058" s="2" customFormat="1"/>
    <row r="59059" s="2" customFormat="1"/>
    <row r="59060" s="2" customFormat="1"/>
    <row r="59061" s="2" customFormat="1"/>
    <row r="59062" s="2" customFormat="1"/>
    <row r="59063" s="2" customFormat="1"/>
    <row r="59064" s="2" customFormat="1"/>
    <row r="59065" s="2" customFormat="1"/>
    <row r="59066" s="2" customFormat="1"/>
    <row r="59067" s="2" customFormat="1"/>
    <row r="59068" s="2" customFormat="1"/>
    <row r="59069" s="2" customFormat="1"/>
    <row r="59070" s="2" customFormat="1"/>
    <row r="59071" s="2" customFormat="1"/>
    <row r="59072" s="2" customFormat="1"/>
    <row r="59073" s="2" customFormat="1"/>
    <row r="59074" s="2" customFormat="1"/>
    <row r="59075" s="2" customFormat="1"/>
    <row r="59076" s="2" customFormat="1"/>
    <row r="59077" s="2" customFormat="1"/>
    <row r="59078" s="2" customFormat="1"/>
    <row r="59079" s="2" customFormat="1"/>
    <row r="59080" s="2" customFormat="1"/>
    <row r="59081" s="2" customFormat="1"/>
    <row r="59082" s="2" customFormat="1"/>
    <row r="59083" s="2" customFormat="1"/>
    <row r="59084" s="2" customFormat="1"/>
    <row r="59085" s="2" customFormat="1"/>
    <row r="59086" s="2" customFormat="1"/>
    <row r="59087" s="2" customFormat="1"/>
    <row r="59088" s="2" customFormat="1"/>
    <row r="59089" s="2" customFormat="1"/>
    <row r="59090" s="2" customFormat="1"/>
    <row r="59091" s="2" customFormat="1"/>
    <row r="59092" s="2" customFormat="1"/>
    <row r="59093" s="2" customFormat="1"/>
    <row r="59094" s="2" customFormat="1"/>
    <row r="59095" s="2" customFormat="1"/>
    <row r="59096" s="2" customFormat="1"/>
    <row r="59097" s="2" customFormat="1"/>
    <row r="59098" s="2" customFormat="1"/>
    <row r="59099" s="2" customFormat="1"/>
    <row r="59100" s="2" customFormat="1"/>
    <row r="59101" s="2" customFormat="1"/>
    <row r="59102" s="2" customFormat="1"/>
    <row r="59103" s="2" customFormat="1"/>
    <row r="59104" s="2" customFormat="1"/>
    <row r="59105" s="2" customFormat="1"/>
    <row r="59106" s="2" customFormat="1"/>
    <row r="59107" s="2" customFormat="1"/>
    <row r="59108" s="2" customFormat="1"/>
    <row r="59109" s="2" customFormat="1"/>
    <row r="59110" s="2" customFormat="1"/>
    <row r="59111" s="2" customFormat="1"/>
    <row r="59112" s="2" customFormat="1"/>
    <row r="59113" s="2" customFormat="1"/>
    <row r="59114" s="2" customFormat="1"/>
    <row r="59115" s="2" customFormat="1"/>
    <row r="59116" s="2" customFormat="1"/>
    <row r="59117" s="2" customFormat="1"/>
    <row r="59118" s="2" customFormat="1"/>
    <row r="59119" s="2" customFormat="1"/>
    <row r="59120" s="2" customFormat="1"/>
    <row r="59121" s="2" customFormat="1"/>
    <row r="59122" s="2" customFormat="1"/>
    <row r="59123" s="2" customFormat="1"/>
    <row r="59124" s="2" customFormat="1"/>
    <row r="59125" s="2" customFormat="1"/>
    <row r="59126" s="2" customFormat="1"/>
    <row r="59127" s="2" customFormat="1"/>
    <row r="59128" s="2" customFormat="1"/>
    <row r="59129" s="2" customFormat="1"/>
    <row r="59130" s="2" customFormat="1"/>
    <row r="59131" s="2" customFormat="1"/>
    <row r="59132" s="2" customFormat="1"/>
    <row r="59133" s="2" customFormat="1"/>
    <row r="59134" s="2" customFormat="1"/>
    <row r="59135" s="2" customFormat="1"/>
    <row r="59136" s="2" customFormat="1"/>
    <row r="59137" s="2" customFormat="1"/>
    <row r="59138" s="2" customFormat="1"/>
    <row r="59139" s="2" customFormat="1"/>
    <row r="59140" s="2" customFormat="1"/>
    <row r="59141" s="2" customFormat="1"/>
    <row r="59142" s="2" customFormat="1"/>
    <row r="59143" s="2" customFormat="1"/>
    <row r="59144" s="2" customFormat="1"/>
    <row r="59145" s="2" customFormat="1"/>
    <row r="59146" s="2" customFormat="1"/>
    <row r="59147" s="2" customFormat="1"/>
    <row r="59148" s="2" customFormat="1"/>
    <row r="59149" s="2" customFormat="1"/>
    <row r="59150" s="2" customFormat="1"/>
    <row r="59151" s="2" customFormat="1"/>
    <row r="59152" s="2" customFormat="1"/>
    <row r="59153" s="2" customFormat="1"/>
    <row r="59154" s="2" customFormat="1"/>
    <row r="59155" s="2" customFormat="1"/>
    <row r="59156" s="2" customFormat="1"/>
    <row r="59157" s="2" customFormat="1"/>
    <row r="59158" s="2" customFormat="1"/>
    <row r="59159" s="2" customFormat="1"/>
    <row r="59160" s="2" customFormat="1"/>
    <row r="59161" s="2" customFormat="1"/>
    <row r="59162" s="2" customFormat="1"/>
    <row r="59163" s="2" customFormat="1"/>
    <row r="59164" s="2" customFormat="1"/>
    <row r="59165" s="2" customFormat="1"/>
    <row r="59166" s="2" customFormat="1"/>
    <row r="59167" s="2" customFormat="1"/>
    <row r="59168" s="2" customFormat="1"/>
    <row r="59169" s="2" customFormat="1"/>
    <row r="59170" s="2" customFormat="1"/>
    <row r="59171" s="2" customFormat="1"/>
    <row r="59172" s="2" customFormat="1"/>
    <row r="59173" s="2" customFormat="1"/>
    <row r="59174" s="2" customFormat="1"/>
    <row r="59175" s="2" customFormat="1"/>
    <row r="59176" s="2" customFormat="1"/>
    <row r="59177" s="2" customFormat="1"/>
    <row r="59178" s="2" customFormat="1"/>
    <row r="59179" s="2" customFormat="1"/>
    <row r="59180" s="2" customFormat="1"/>
    <row r="59181" s="2" customFormat="1"/>
    <row r="59182" s="2" customFormat="1"/>
    <row r="59183" s="2" customFormat="1"/>
    <row r="59184" s="2" customFormat="1"/>
    <row r="59185" s="2" customFormat="1"/>
    <row r="59186" s="2" customFormat="1"/>
    <row r="59187" s="2" customFormat="1"/>
    <row r="59188" s="2" customFormat="1"/>
    <row r="59189" s="2" customFormat="1"/>
    <row r="59190" s="2" customFormat="1"/>
    <row r="59191" s="2" customFormat="1"/>
    <row r="59192" s="2" customFormat="1"/>
    <row r="59193" s="2" customFormat="1"/>
    <row r="59194" s="2" customFormat="1"/>
    <row r="59195" s="2" customFormat="1"/>
    <row r="59196" s="2" customFormat="1"/>
    <row r="59197" s="2" customFormat="1"/>
    <row r="59198" s="2" customFormat="1"/>
    <row r="59199" s="2" customFormat="1"/>
    <row r="59200" s="2" customFormat="1"/>
    <row r="59201" s="2" customFormat="1"/>
    <row r="59202" s="2" customFormat="1"/>
    <row r="59203" s="2" customFormat="1"/>
    <row r="59204" s="2" customFormat="1"/>
    <row r="59205" s="2" customFormat="1"/>
    <row r="59206" s="2" customFormat="1"/>
    <row r="59207" s="2" customFormat="1"/>
    <row r="59208" s="2" customFormat="1"/>
    <row r="59209" s="2" customFormat="1"/>
    <row r="59210" s="2" customFormat="1"/>
    <row r="59211" s="2" customFormat="1"/>
    <row r="59212" s="2" customFormat="1"/>
    <row r="59213" s="2" customFormat="1"/>
    <row r="59214" s="2" customFormat="1"/>
    <row r="59215" s="2" customFormat="1"/>
    <row r="59216" s="2" customFormat="1"/>
    <row r="59217" s="2" customFormat="1"/>
    <row r="59218" s="2" customFormat="1"/>
    <row r="59219" s="2" customFormat="1"/>
    <row r="59220" s="2" customFormat="1"/>
    <row r="59221" s="2" customFormat="1"/>
    <row r="59222" s="2" customFormat="1"/>
    <row r="59223" s="2" customFormat="1"/>
    <row r="59224" s="2" customFormat="1"/>
    <row r="59225" s="2" customFormat="1"/>
    <row r="59226" s="2" customFormat="1"/>
    <row r="59227" s="2" customFormat="1"/>
    <row r="59228" s="2" customFormat="1"/>
    <row r="59229" s="2" customFormat="1"/>
    <row r="59230" s="2" customFormat="1"/>
    <row r="59231" s="2" customFormat="1"/>
    <row r="59232" s="2" customFormat="1"/>
    <row r="59233" s="2" customFormat="1"/>
    <row r="59234" s="2" customFormat="1"/>
    <row r="59235" s="2" customFormat="1"/>
    <row r="59236" s="2" customFormat="1"/>
    <row r="59237" s="2" customFormat="1"/>
    <row r="59238" s="2" customFormat="1"/>
    <row r="59239" s="2" customFormat="1"/>
    <row r="59240" s="2" customFormat="1"/>
    <row r="59241" s="2" customFormat="1"/>
    <row r="59242" s="2" customFormat="1"/>
    <row r="59243" s="2" customFormat="1"/>
    <row r="59244" s="2" customFormat="1"/>
    <row r="59245" s="2" customFormat="1"/>
    <row r="59246" s="2" customFormat="1"/>
    <row r="59247" s="2" customFormat="1"/>
    <row r="59248" s="2" customFormat="1"/>
    <row r="59249" s="2" customFormat="1"/>
    <row r="59250" s="2" customFormat="1"/>
    <row r="59251" s="2" customFormat="1"/>
    <row r="59252" s="2" customFormat="1"/>
    <row r="59253" s="2" customFormat="1"/>
    <row r="59254" s="2" customFormat="1"/>
    <row r="59255" s="2" customFormat="1"/>
    <row r="59256" s="2" customFormat="1"/>
    <row r="59257" s="2" customFormat="1"/>
    <row r="59258" s="2" customFormat="1"/>
    <row r="59259" s="2" customFormat="1"/>
    <row r="59260" s="2" customFormat="1"/>
    <row r="59261" s="2" customFormat="1"/>
    <row r="59262" s="2" customFormat="1"/>
    <row r="59263" s="2" customFormat="1"/>
    <row r="59264" s="2" customFormat="1"/>
    <row r="59265" s="2" customFormat="1"/>
    <row r="59266" s="2" customFormat="1"/>
    <row r="59267" s="2" customFormat="1"/>
    <row r="59268" s="2" customFormat="1"/>
    <row r="59269" s="2" customFormat="1"/>
    <row r="59270" s="2" customFormat="1"/>
    <row r="59271" s="2" customFormat="1"/>
    <row r="59272" s="2" customFormat="1"/>
    <row r="59273" s="2" customFormat="1"/>
    <row r="59274" s="2" customFormat="1"/>
    <row r="59275" s="2" customFormat="1"/>
    <row r="59276" s="2" customFormat="1"/>
    <row r="59277" s="2" customFormat="1"/>
    <row r="59278" s="2" customFormat="1"/>
    <row r="59279" s="2" customFormat="1"/>
    <row r="59280" s="2" customFormat="1"/>
    <row r="59281" s="2" customFormat="1"/>
    <row r="59282" s="2" customFormat="1"/>
    <row r="59283" s="2" customFormat="1"/>
    <row r="59284" s="2" customFormat="1"/>
    <row r="59285" s="2" customFormat="1"/>
    <row r="59286" s="2" customFormat="1"/>
    <row r="59287" s="2" customFormat="1"/>
    <row r="59288" s="2" customFormat="1"/>
    <row r="59289" s="2" customFormat="1"/>
    <row r="59290" s="2" customFormat="1"/>
    <row r="59291" s="2" customFormat="1"/>
    <row r="59292" s="2" customFormat="1"/>
    <row r="59293" s="2" customFormat="1"/>
    <row r="59294" s="2" customFormat="1"/>
    <row r="59295" s="2" customFormat="1"/>
    <row r="59296" s="2" customFormat="1"/>
    <row r="59297" s="2" customFormat="1"/>
    <row r="59298" s="2" customFormat="1"/>
    <row r="59299" s="2" customFormat="1"/>
    <row r="59300" s="2" customFormat="1"/>
    <row r="59301" s="2" customFormat="1"/>
    <row r="59302" s="2" customFormat="1"/>
    <row r="59303" s="2" customFormat="1"/>
    <row r="59304" s="2" customFormat="1"/>
    <row r="59305" s="2" customFormat="1"/>
    <row r="59306" s="2" customFormat="1"/>
    <row r="59307" s="2" customFormat="1"/>
    <row r="59308" s="2" customFormat="1"/>
    <row r="59309" s="2" customFormat="1"/>
    <row r="59310" s="2" customFormat="1"/>
    <row r="59311" s="2" customFormat="1"/>
    <row r="59312" s="2" customFormat="1"/>
    <row r="59313" s="2" customFormat="1"/>
    <row r="59314" s="2" customFormat="1"/>
    <row r="59315" s="2" customFormat="1"/>
    <row r="59316" s="2" customFormat="1"/>
    <row r="59317" s="2" customFormat="1"/>
    <row r="59318" s="2" customFormat="1"/>
    <row r="59319" s="2" customFormat="1"/>
    <row r="59320" s="2" customFormat="1"/>
    <row r="59321" s="2" customFormat="1"/>
    <row r="59322" s="2" customFormat="1"/>
    <row r="59323" s="2" customFormat="1"/>
    <row r="59324" s="2" customFormat="1"/>
    <row r="59325" s="2" customFormat="1"/>
    <row r="59326" s="2" customFormat="1"/>
    <row r="59327" s="2" customFormat="1"/>
    <row r="59328" s="2" customFormat="1"/>
    <row r="59329" s="2" customFormat="1"/>
    <row r="59330" s="2" customFormat="1"/>
    <row r="59331" s="2" customFormat="1"/>
    <row r="59332" s="2" customFormat="1"/>
    <row r="59333" s="2" customFormat="1"/>
    <row r="59334" s="2" customFormat="1"/>
    <row r="59335" s="2" customFormat="1"/>
    <row r="59336" s="2" customFormat="1"/>
    <row r="59337" s="2" customFormat="1"/>
    <row r="59338" s="2" customFormat="1"/>
    <row r="59339" s="2" customFormat="1"/>
    <row r="59340" s="2" customFormat="1"/>
    <row r="59341" s="2" customFormat="1"/>
    <row r="59342" s="2" customFormat="1"/>
    <row r="59343" s="2" customFormat="1"/>
    <row r="59344" s="2" customFormat="1"/>
    <row r="59345" s="2" customFormat="1"/>
    <row r="59346" s="2" customFormat="1"/>
    <row r="59347" s="2" customFormat="1"/>
    <row r="59348" s="2" customFormat="1"/>
    <row r="59349" s="2" customFormat="1"/>
    <row r="59350" s="2" customFormat="1"/>
    <row r="59351" s="2" customFormat="1"/>
    <row r="59352" s="2" customFormat="1"/>
    <row r="59353" s="2" customFormat="1"/>
    <row r="59354" s="2" customFormat="1"/>
    <row r="59355" s="2" customFormat="1"/>
    <row r="59356" s="2" customFormat="1"/>
    <row r="59357" s="2" customFormat="1"/>
    <row r="59358" s="2" customFormat="1"/>
    <row r="59359" s="2" customFormat="1"/>
    <row r="59360" s="2" customFormat="1"/>
    <row r="59361" s="2" customFormat="1"/>
    <row r="59362" s="2" customFormat="1"/>
    <row r="59363" s="2" customFormat="1"/>
    <row r="59364" s="2" customFormat="1"/>
    <row r="59365" s="2" customFormat="1"/>
    <row r="59366" s="2" customFormat="1"/>
    <row r="59367" s="2" customFormat="1"/>
    <row r="59368" s="2" customFormat="1"/>
    <row r="59369" s="2" customFormat="1"/>
    <row r="59370" s="2" customFormat="1"/>
    <row r="59371" s="2" customFormat="1"/>
    <row r="59372" s="2" customFormat="1"/>
    <row r="59373" s="2" customFormat="1"/>
    <row r="59374" s="2" customFormat="1"/>
    <row r="59375" s="2" customFormat="1"/>
    <row r="59376" s="2" customFormat="1"/>
    <row r="59377" s="2" customFormat="1"/>
    <row r="59378" s="2" customFormat="1"/>
    <row r="59379" s="2" customFormat="1"/>
    <row r="59380" s="2" customFormat="1"/>
    <row r="59381" s="2" customFormat="1"/>
    <row r="59382" s="2" customFormat="1"/>
    <row r="59383" s="2" customFormat="1"/>
    <row r="59384" s="2" customFormat="1"/>
    <row r="59385" s="2" customFormat="1"/>
    <row r="59386" s="2" customFormat="1"/>
    <row r="59387" s="2" customFormat="1"/>
    <row r="59388" s="2" customFormat="1"/>
    <row r="59389" s="2" customFormat="1"/>
    <row r="59390" s="2" customFormat="1"/>
    <row r="59391" s="2" customFormat="1"/>
    <row r="59392" s="2" customFormat="1"/>
    <row r="59393" s="2" customFormat="1"/>
    <row r="59394" s="2" customFormat="1"/>
    <row r="59395" s="2" customFormat="1"/>
    <row r="59396" s="2" customFormat="1"/>
    <row r="59397" s="2" customFormat="1"/>
    <row r="59398" s="2" customFormat="1"/>
    <row r="59399" s="2" customFormat="1"/>
    <row r="59400" s="2" customFormat="1"/>
    <row r="59401" s="2" customFormat="1"/>
    <row r="59402" s="2" customFormat="1"/>
    <row r="59403" s="2" customFormat="1"/>
    <row r="59404" s="2" customFormat="1"/>
    <row r="59405" s="2" customFormat="1"/>
    <row r="59406" s="2" customFormat="1"/>
    <row r="59407" s="2" customFormat="1"/>
    <row r="59408" s="2" customFormat="1"/>
    <row r="59409" s="2" customFormat="1"/>
    <row r="59410" s="2" customFormat="1"/>
    <row r="59411" s="2" customFormat="1"/>
    <row r="59412" s="2" customFormat="1"/>
    <row r="59413" s="2" customFormat="1"/>
    <row r="59414" s="2" customFormat="1"/>
    <row r="59415" s="2" customFormat="1"/>
    <row r="59416" s="2" customFormat="1"/>
    <row r="59417" s="2" customFormat="1"/>
    <row r="59418" s="2" customFormat="1"/>
    <row r="59419" s="2" customFormat="1"/>
    <row r="59420" s="2" customFormat="1"/>
    <row r="59421" s="2" customFormat="1"/>
    <row r="59422" s="2" customFormat="1"/>
    <row r="59423" s="2" customFormat="1"/>
    <row r="59424" s="2" customFormat="1"/>
    <row r="59425" s="2" customFormat="1"/>
    <row r="59426" s="2" customFormat="1"/>
    <row r="59427" s="2" customFormat="1"/>
    <row r="59428" s="2" customFormat="1"/>
    <row r="59429" s="2" customFormat="1"/>
    <row r="59430" s="2" customFormat="1"/>
    <row r="59431" s="2" customFormat="1"/>
    <row r="59432" s="2" customFormat="1"/>
    <row r="59433" s="2" customFormat="1"/>
    <row r="59434" s="2" customFormat="1"/>
    <row r="59435" s="2" customFormat="1"/>
    <row r="59436" s="2" customFormat="1"/>
    <row r="59437" s="2" customFormat="1"/>
    <row r="59438" s="2" customFormat="1"/>
    <row r="59439" s="2" customFormat="1"/>
    <row r="59440" s="2" customFormat="1"/>
    <row r="59441" s="2" customFormat="1"/>
    <row r="59442" s="2" customFormat="1"/>
    <row r="59443" s="2" customFormat="1"/>
    <row r="59444" s="2" customFormat="1"/>
    <row r="59445" s="2" customFormat="1"/>
    <row r="59446" s="2" customFormat="1"/>
    <row r="59447" s="2" customFormat="1"/>
    <row r="59448" s="2" customFormat="1"/>
    <row r="59449" s="2" customFormat="1"/>
    <row r="59450" s="2" customFormat="1"/>
    <row r="59451" s="2" customFormat="1"/>
    <row r="59452" s="2" customFormat="1"/>
    <row r="59453" s="2" customFormat="1"/>
    <row r="59454" s="2" customFormat="1"/>
    <row r="59455" s="2" customFormat="1"/>
    <row r="59456" s="2" customFormat="1"/>
    <row r="59457" s="2" customFormat="1"/>
    <row r="59458" s="2" customFormat="1"/>
    <row r="59459" s="2" customFormat="1"/>
    <row r="59460" s="2" customFormat="1"/>
    <row r="59461" s="2" customFormat="1"/>
    <row r="59462" s="2" customFormat="1"/>
    <row r="59463" s="2" customFormat="1"/>
    <row r="59464" s="2" customFormat="1"/>
    <row r="59465" s="2" customFormat="1"/>
    <row r="59466" s="2" customFormat="1"/>
    <row r="59467" s="2" customFormat="1"/>
    <row r="59468" s="2" customFormat="1"/>
    <row r="59469" s="2" customFormat="1"/>
    <row r="59470" s="2" customFormat="1"/>
    <row r="59471" s="2" customFormat="1"/>
    <row r="59472" s="2" customFormat="1"/>
    <row r="59473" s="2" customFormat="1"/>
    <row r="59474" s="2" customFormat="1"/>
    <row r="59475" s="2" customFormat="1"/>
    <row r="59476" s="2" customFormat="1"/>
    <row r="59477" s="2" customFormat="1"/>
    <row r="59478" s="2" customFormat="1"/>
    <row r="59479" s="2" customFormat="1"/>
    <row r="59480" s="2" customFormat="1"/>
    <row r="59481" s="2" customFormat="1"/>
    <row r="59482" s="2" customFormat="1"/>
    <row r="59483" s="2" customFormat="1"/>
    <row r="59484" s="2" customFormat="1"/>
    <row r="59485" s="2" customFormat="1"/>
    <row r="59486" s="2" customFormat="1"/>
    <row r="59487" s="2" customFormat="1"/>
    <row r="59488" s="2" customFormat="1"/>
    <row r="59489" s="2" customFormat="1"/>
    <row r="59490" s="2" customFormat="1"/>
    <row r="59491" s="2" customFormat="1"/>
    <row r="59492" s="2" customFormat="1"/>
    <row r="59493" s="2" customFormat="1"/>
    <row r="59494" s="2" customFormat="1"/>
    <row r="59495" s="2" customFormat="1"/>
    <row r="59496" s="2" customFormat="1"/>
    <row r="59497" s="2" customFormat="1"/>
    <row r="59498" s="2" customFormat="1"/>
    <row r="59499" s="2" customFormat="1"/>
    <row r="59500" s="2" customFormat="1"/>
    <row r="59501" s="2" customFormat="1"/>
    <row r="59502" s="2" customFormat="1"/>
    <row r="59503" s="2" customFormat="1"/>
    <row r="59504" s="2" customFormat="1"/>
    <row r="59505" s="2" customFormat="1"/>
    <row r="59506" s="2" customFormat="1"/>
    <row r="59507" s="2" customFormat="1"/>
    <row r="59508" s="2" customFormat="1"/>
    <row r="59509" s="2" customFormat="1"/>
    <row r="59510" s="2" customFormat="1"/>
    <row r="59511" s="2" customFormat="1"/>
    <row r="59512" s="2" customFormat="1"/>
    <row r="59513" s="2" customFormat="1"/>
    <row r="59514" s="2" customFormat="1"/>
    <row r="59515" s="2" customFormat="1"/>
    <row r="59516" s="2" customFormat="1"/>
    <row r="59517" s="2" customFormat="1"/>
    <row r="59518" s="2" customFormat="1"/>
    <row r="59519" s="2" customFormat="1"/>
    <row r="59520" s="2" customFormat="1"/>
    <row r="59521" s="2" customFormat="1"/>
    <row r="59522" s="2" customFormat="1"/>
    <row r="59523" s="2" customFormat="1"/>
    <row r="59524" s="2" customFormat="1"/>
    <row r="59525" s="2" customFormat="1"/>
    <row r="59526" s="2" customFormat="1"/>
    <row r="59527" s="2" customFormat="1"/>
    <row r="59528" s="2" customFormat="1"/>
    <row r="59529" s="2" customFormat="1"/>
    <row r="59530" s="2" customFormat="1"/>
    <row r="59531" s="2" customFormat="1"/>
    <row r="59532" s="2" customFormat="1"/>
    <row r="59533" s="2" customFormat="1"/>
    <row r="59534" s="2" customFormat="1"/>
    <row r="59535" s="2" customFormat="1"/>
    <row r="59536" s="2" customFormat="1"/>
    <row r="59537" s="2" customFormat="1"/>
    <row r="59538" s="2" customFormat="1"/>
    <row r="59539" s="2" customFormat="1"/>
    <row r="59540" s="2" customFormat="1"/>
    <row r="59541" s="2" customFormat="1"/>
    <row r="59542" s="2" customFormat="1"/>
    <row r="59543" s="2" customFormat="1"/>
    <row r="59544" s="2" customFormat="1"/>
    <row r="59545" s="2" customFormat="1"/>
    <row r="59546" s="2" customFormat="1"/>
    <row r="59547" s="2" customFormat="1"/>
    <row r="59548" s="2" customFormat="1"/>
    <row r="59549" s="2" customFormat="1"/>
    <row r="59550" s="2" customFormat="1"/>
    <row r="59551" s="2" customFormat="1"/>
    <row r="59552" s="2" customFormat="1"/>
    <row r="59553" s="2" customFormat="1"/>
    <row r="59554" s="2" customFormat="1"/>
    <row r="59555" s="2" customFormat="1"/>
    <row r="59556" s="2" customFormat="1"/>
    <row r="59557" s="2" customFormat="1"/>
    <row r="59558" s="2" customFormat="1"/>
    <row r="59559" s="2" customFormat="1"/>
    <row r="59560" s="2" customFormat="1"/>
    <row r="59561" s="2" customFormat="1"/>
    <row r="59562" s="2" customFormat="1"/>
    <row r="59563" s="2" customFormat="1"/>
    <row r="59564" s="2" customFormat="1"/>
    <row r="59565" s="2" customFormat="1"/>
    <row r="59566" s="2" customFormat="1"/>
    <row r="59567" s="2" customFormat="1"/>
    <row r="59568" s="2" customFormat="1"/>
    <row r="59569" s="2" customFormat="1"/>
    <row r="59570" s="2" customFormat="1"/>
    <row r="59571" s="2" customFormat="1"/>
    <row r="59572" s="2" customFormat="1"/>
    <row r="59573" s="2" customFormat="1"/>
    <row r="59574" s="2" customFormat="1"/>
    <row r="59575" s="2" customFormat="1"/>
    <row r="59576" s="2" customFormat="1"/>
    <row r="59577" s="2" customFormat="1"/>
    <row r="59578" s="2" customFormat="1"/>
    <row r="59579" s="2" customFormat="1"/>
    <row r="59580" s="2" customFormat="1"/>
    <row r="59581" s="2" customFormat="1"/>
    <row r="59582" s="2" customFormat="1"/>
    <row r="59583" s="2" customFormat="1"/>
    <row r="59584" s="2" customFormat="1"/>
    <row r="59585" s="2" customFormat="1"/>
    <row r="59586" s="2" customFormat="1"/>
    <row r="59587" s="2" customFormat="1"/>
    <row r="59588" s="2" customFormat="1"/>
    <row r="59589" s="2" customFormat="1"/>
    <row r="59590" s="2" customFormat="1"/>
    <row r="59591" s="2" customFormat="1"/>
    <row r="59592" s="2" customFormat="1"/>
    <row r="59593" s="2" customFormat="1"/>
    <row r="59594" s="2" customFormat="1"/>
    <row r="59595" s="2" customFormat="1"/>
    <row r="59596" s="2" customFormat="1"/>
    <row r="59597" s="2" customFormat="1"/>
    <row r="59598" s="2" customFormat="1"/>
    <row r="59599" s="2" customFormat="1"/>
    <row r="59600" s="2" customFormat="1"/>
    <row r="59601" s="2" customFormat="1"/>
    <row r="59602" s="2" customFormat="1"/>
    <row r="59603" s="2" customFormat="1"/>
    <row r="59604" s="2" customFormat="1"/>
    <row r="59605" s="2" customFormat="1"/>
    <row r="59606" s="2" customFormat="1"/>
    <row r="59607" s="2" customFormat="1"/>
    <row r="59608" s="2" customFormat="1"/>
    <row r="59609" s="2" customFormat="1"/>
    <row r="59610" s="2" customFormat="1"/>
    <row r="59611" s="2" customFormat="1"/>
    <row r="59612" s="2" customFormat="1"/>
    <row r="59613" s="2" customFormat="1"/>
    <row r="59614" s="2" customFormat="1"/>
    <row r="59615" s="2" customFormat="1"/>
    <row r="59616" s="2" customFormat="1"/>
    <row r="59617" s="2" customFormat="1"/>
    <row r="59618" s="2" customFormat="1"/>
    <row r="59619" s="2" customFormat="1"/>
    <row r="59620" s="2" customFormat="1"/>
    <row r="59621" s="2" customFormat="1"/>
    <row r="59622" s="2" customFormat="1"/>
    <row r="59623" s="2" customFormat="1"/>
    <row r="59624" s="2" customFormat="1"/>
    <row r="59625" s="2" customFormat="1"/>
    <row r="59626" s="2" customFormat="1"/>
    <row r="59627" s="2" customFormat="1"/>
    <row r="59628" s="2" customFormat="1"/>
    <row r="59629" s="2" customFormat="1"/>
    <row r="59630" s="2" customFormat="1"/>
    <row r="59631" s="2" customFormat="1"/>
    <row r="59632" s="2" customFormat="1"/>
    <row r="59633" s="2" customFormat="1"/>
    <row r="59634" s="2" customFormat="1"/>
    <row r="59635" s="2" customFormat="1"/>
    <row r="59636" s="2" customFormat="1"/>
    <row r="59637" s="2" customFormat="1"/>
    <row r="59638" s="2" customFormat="1"/>
    <row r="59639" s="2" customFormat="1"/>
    <row r="59640" s="2" customFormat="1"/>
    <row r="59641" s="2" customFormat="1"/>
    <row r="59642" s="2" customFormat="1"/>
    <row r="59643" s="2" customFormat="1"/>
    <row r="59644" s="2" customFormat="1"/>
    <row r="59645" s="2" customFormat="1"/>
    <row r="59646" s="2" customFormat="1"/>
    <row r="59647" s="2" customFormat="1"/>
    <row r="59648" s="2" customFormat="1"/>
    <row r="59649" s="2" customFormat="1"/>
    <row r="59650" s="2" customFormat="1"/>
    <row r="59651" s="2" customFormat="1"/>
    <row r="59652" s="2" customFormat="1"/>
    <row r="59653" s="2" customFormat="1"/>
    <row r="59654" s="2" customFormat="1"/>
    <row r="59655" s="2" customFormat="1"/>
    <row r="59656" s="2" customFormat="1"/>
    <row r="59657" s="2" customFormat="1"/>
    <row r="59658" s="2" customFormat="1"/>
    <row r="59659" s="2" customFormat="1"/>
    <row r="59660" s="2" customFormat="1"/>
    <row r="59661" s="2" customFormat="1"/>
    <row r="59662" s="2" customFormat="1"/>
    <row r="59663" s="2" customFormat="1"/>
    <row r="59664" s="2" customFormat="1"/>
    <row r="59665" s="2" customFormat="1"/>
    <row r="59666" s="2" customFormat="1"/>
    <row r="59667" s="2" customFormat="1"/>
    <row r="59668" s="2" customFormat="1"/>
    <row r="59669" s="2" customFormat="1"/>
    <row r="59670" s="2" customFormat="1"/>
    <row r="59671" s="2" customFormat="1"/>
    <row r="59672" s="2" customFormat="1"/>
    <row r="59673" s="2" customFormat="1"/>
    <row r="59674" s="2" customFormat="1"/>
    <row r="59675" s="2" customFormat="1"/>
    <row r="59676" s="2" customFormat="1"/>
    <row r="59677" s="2" customFormat="1"/>
    <row r="59678" s="2" customFormat="1"/>
    <row r="59679" s="2" customFormat="1"/>
    <row r="59680" s="2" customFormat="1"/>
    <row r="59681" s="2" customFormat="1"/>
    <row r="59682" s="2" customFormat="1"/>
    <row r="59683" s="2" customFormat="1"/>
    <row r="59684" s="2" customFormat="1"/>
    <row r="59685" s="2" customFormat="1"/>
    <row r="59686" s="2" customFormat="1"/>
    <row r="59687" s="2" customFormat="1"/>
    <row r="59688" s="2" customFormat="1"/>
    <row r="59689" s="2" customFormat="1"/>
    <row r="59690" s="2" customFormat="1"/>
    <row r="59691" s="2" customFormat="1"/>
    <row r="59692" s="2" customFormat="1"/>
    <row r="59693" s="2" customFormat="1"/>
    <row r="59694" s="2" customFormat="1"/>
    <row r="59695" s="2" customFormat="1"/>
    <row r="59696" s="2" customFormat="1"/>
    <row r="59697" s="2" customFormat="1"/>
    <row r="59698" s="2" customFormat="1"/>
    <row r="59699" s="2" customFormat="1"/>
    <row r="59700" s="2" customFormat="1"/>
    <row r="59701" s="2" customFormat="1"/>
    <row r="59702" s="2" customFormat="1"/>
    <row r="59703" s="2" customFormat="1"/>
    <row r="59704" s="2" customFormat="1"/>
    <row r="59705" s="2" customFormat="1"/>
    <row r="59706" s="2" customFormat="1"/>
    <row r="59707" s="2" customFormat="1"/>
    <row r="59708" s="2" customFormat="1"/>
    <row r="59709" s="2" customFormat="1"/>
    <row r="59710" s="2" customFormat="1"/>
    <row r="59711" s="2" customFormat="1"/>
    <row r="59712" s="2" customFormat="1"/>
    <row r="59713" s="2" customFormat="1"/>
    <row r="59714" s="2" customFormat="1"/>
    <row r="59715" s="2" customFormat="1"/>
    <row r="59716" s="2" customFormat="1"/>
    <row r="59717" s="2" customFormat="1"/>
    <row r="59718" s="2" customFormat="1"/>
    <row r="59719" s="2" customFormat="1"/>
    <row r="59720" s="2" customFormat="1"/>
    <row r="59721" s="2" customFormat="1"/>
    <row r="59722" s="2" customFormat="1"/>
    <row r="59723" s="2" customFormat="1"/>
    <row r="59724" s="2" customFormat="1"/>
    <row r="59725" s="2" customFormat="1"/>
    <row r="59726" s="2" customFormat="1"/>
    <row r="59727" s="2" customFormat="1"/>
    <row r="59728" s="2" customFormat="1"/>
    <row r="59729" s="2" customFormat="1"/>
    <row r="59730" s="2" customFormat="1"/>
    <row r="59731" s="2" customFormat="1"/>
    <row r="59732" s="2" customFormat="1"/>
    <row r="59733" s="2" customFormat="1"/>
    <row r="59734" s="2" customFormat="1"/>
    <row r="59735" s="2" customFormat="1"/>
    <row r="59736" s="2" customFormat="1"/>
    <row r="59737" s="2" customFormat="1"/>
    <row r="59738" s="2" customFormat="1"/>
    <row r="59739" s="2" customFormat="1"/>
    <row r="59740" s="2" customFormat="1"/>
    <row r="59741" s="2" customFormat="1"/>
    <row r="59742" s="2" customFormat="1"/>
    <row r="59743" s="2" customFormat="1"/>
    <row r="59744" s="2" customFormat="1"/>
    <row r="59745" s="2" customFormat="1"/>
    <row r="59746" s="2" customFormat="1"/>
    <row r="59747" s="2" customFormat="1"/>
    <row r="59748" s="2" customFormat="1"/>
    <row r="59749" s="2" customFormat="1"/>
    <row r="59750" s="2" customFormat="1"/>
    <row r="59751" s="2" customFormat="1"/>
    <row r="59752" s="2" customFormat="1"/>
    <row r="59753" s="2" customFormat="1"/>
    <row r="59754" s="2" customFormat="1"/>
    <row r="59755" s="2" customFormat="1"/>
    <row r="59756" s="2" customFormat="1"/>
    <row r="59757" s="2" customFormat="1"/>
    <row r="59758" s="2" customFormat="1"/>
    <row r="59759" s="2" customFormat="1"/>
    <row r="59760" s="2" customFormat="1"/>
    <row r="59761" s="2" customFormat="1"/>
    <row r="59762" s="2" customFormat="1"/>
    <row r="59763" s="2" customFormat="1"/>
    <row r="59764" s="2" customFormat="1"/>
    <row r="59765" s="2" customFormat="1"/>
    <row r="59766" s="2" customFormat="1"/>
    <row r="59767" s="2" customFormat="1"/>
    <row r="59768" s="2" customFormat="1"/>
    <row r="59769" s="2" customFormat="1"/>
    <row r="59770" s="2" customFormat="1"/>
    <row r="59771" s="2" customFormat="1"/>
    <row r="59772" s="2" customFormat="1"/>
    <row r="59773" s="2" customFormat="1"/>
    <row r="59774" s="2" customFormat="1"/>
    <row r="59775" s="2" customFormat="1"/>
    <row r="59776" s="2" customFormat="1"/>
    <row r="59777" s="2" customFormat="1"/>
    <row r="59778" s="2" customFormat="1"/>
    <row r="59779" s="2" customFormat="1"/>
    <row r="59780" s="2" customFormat="1"/>
    <row r="59781" s="2" customFormat="1"/>
    <row r="59782" s="2" customFormat="1"/>
    <row r="59783" s="2" customFormat="1"/>
    <row r="59784" s="2" customFormat="1"/>
    <row r="59785" s="2" customFormat="1"/>
    <row r="59786" s="2" customFormat="1"/>
    <row r="59787" s="2" customFormat="1"/>
    <row r="59788" s="2" customFormat="1"/>
    <row r="59789" s="2" customFormat="1"/>
    <row r="59790" s="2" customFormat="1"/>
    <row r="59791" s="2" customFormat="1"/>
    <row r="59792" s="2" customFormat="1"/>
    <row r="59793" s="2" customFormat="1"/>
    <row r="59794" s="2" customFormat="1"/>
    <row r="59795" s="2" customFormat="1"/>
    <row r="59796" s="2" customFormat="1"/>
    <row r="59797" s="2" customFormat="1"/>
    <row r="59798" s="2" customFormat="1"/>
    <row r="59799" s="2" customFormat="1"/>
    <row r="59800" s="2" customFormat="1"/>
    <row r="59801" s="2" customFormat="1"/>
    <row r="59802" s="2" customFormat="1"/>
    <row r="59803" s="2" customFormat="1"/>
    <row r="59804" s="2" customFormat="1"/>
    <row r="59805" s="2" customFormat="1"/>
    <row r="59806" s="2" customFormat="1"/>
    <row r="59807" s="2" customFormat="1"/>
    <row r="59808" s="2" customFormat="1"/>
    <row r="59809" s="2" customFormat="1"/>
    <row r="59810" s="2" customFormat="1"/>
    <row r="59811" s="2" customFormat="1"/>
    <row r="59812" s="2" customFormat="1"/>
    <row r="59813" s="2" customFormat="1"/>
    <row r="59814" s="2" customFormat="1"/>
    <row r="59815" s="2" customFormat="1"/>
    <row r="59816" s="2" customFormat="1"/>
    <row r="59817" s="2" customFormat="1"/>
    <row r="59818" s="2" customFormat="1"/>
    <row r="59819" s="2" customFormat="1"/>
    <row r="59820" s="2" customFormat="1"/>
    <row r="59821" s="2" customFormat="1"/>
    <row r="59822" s="2" customFormat="1"/>
    <row r="59823" s="2" customFormat="1"/>
    <row r="59824" s="2" customFormat="1"/>
    <row r="59825" s="2" customFormat="1"/>
    <row r="59826" s="2" customFormat="1"/>
    <row r="59827" s="2" customFormat="1"/>
    <row r="59828" s="2" customFormat="1"/>
    <row r="59829" s="2" customFormat="1"/>
    <row r="59830" s="2" customFormat="1"/>
    <row r="59831" s="2" customFormat="1"/>
    <row r="59832" s="2" customFormat="1"/>
    <row r="59833" s="2" customFormat="1"/>
    <row r="59834" s="2" customFormat="1"/>
    <row r="59835" s="2" customFormat="1"/>
    <row r="59836" s="2" customFormat="1"/>
    <row r="59837" s="2" customFormat="1"/>
    <row r="59838" s="2" customFormat="1"/>
    <row r="59839" s="2" customFormat="1"/>
    <row r="59840" s="2" customFormat="1"/>
    <row r="59841" s="2" customFormat="1"/>
    <row r="59842" s="2" customFormat="1"/>
    <row r="59843" s="2" customFormat="1"/>
    <row r="59844" s="2" customFormat="1"/>
    <row r="59845" s="2" customFormat="1"/>
    <row r="59846" s="2" customFormat="1"/>
    <row r="59847" s="2" customFormat="1"/>
    <row r="59848" s="2" customFormat="1"/>
    <row r="59849" s="2" customFormat="1"/>
    <row r="59850" s="2" customFormat="1"/>
    <row r="59851" s="2" customFormat="1"/>
    <row r="59852" s="2" customFormat="1"/>
    <row r="59853" s="2" customFormat="1"/>
    <row r="59854" s="2" customFormat="1"/>
    <row r="59855" s="2" customFormat="1"/>
    <row r="59856" s="2" customFormat="1"/>
    <row r="59857" s="2" customFormat="1"/>
    <row r="59858" s="2" customFormat="1"/>
    <row r="59859" s="2" customFormat="1"/>
    <row r="59860" s="2" customFormat="1"/>
    <row r="59861" s="2" customFormat="1"/>
    <row r="59862" s="2" customFormat="1"/>
    <row r="59863" s="2" customFormat="1"/>
    <row r="59864" s="2" customFormat="1"/>
    <row r="59865" s="2" customFormat="1"/>
    <row r="59866" s="2" customFormat="1"/>
    <row r="59867" s="2" customFormat="1"/>
    <row r="59868" s="2" customFormat="1"/>
    <row r="59869" s="2" customFormat="1"/>
    <row r="59870" s="2" customFormat="1"/>
    <row r="59871" s="2" customFormat="1"/>
    <row r="59872" s="2" customFormat="1"/>
    <row r="59873" s="2" customFormat="1"/>
    <row r="59874" s="2" customFormat="1"/>
    <row r="59875" s="2" customFormat="1"/>
    <row r="59876" s="2" customFormat="1"/>
    <row r="59877" s="2" customFormat="1"/>
    <row r="59878" s="2" customFormat="1"/>
    <row r="59879" s="2" customFormat="1"/>
    <row r="59880" s="2" customFormat="1"/>
    <row r="59881" s="2" customFormat="1"/>
    <row r="59882" s="2" customFormat="1"/>
    <row r="59883" s="2" customFormat="1"/>
    <row r="59884" s="2" customFormat="1"/>
    <row r="59885" s="2" customFormat="1"/>
    <row r="59886" s="2" customFormat="1"/>
    <row r="59887" s="2" customFormat="1"/>
    <row r="59888" s="2" customFormat="1"/>
    <row r="59889" s="2" customFormat="1"/>
    <row r="59890" s="2" customFormat="1"/>
    <row r="59891" s="2" customFormat="1"/>
    <row r="59892" s="2" customFormat="1"/>
    <row r="59893" s="2" customFormat="1"/>
    <row r="59894" s="2" customFormat="1"/>
    <row r="59895" s="2" customFormat="1"/>
    <row r="59896" s="2" customFormat="1"/>
    <row r="59897" s="2" customFormat="1"/>
    <row r="59898" s="2" customFormat="1"/>
    <row r="59899" s="2" customFormat="1"/>
    <row r="59900" s="2" customFormat="1"/>
    <row r="59901" s="2" customFormat="1"/>
    <row r="59902" s="2" customFormat="1"/>
    <row r="59903" s="2" customFormat="1"/>
    <row r="59904" s="2" customFormat="1"/>
    <row r="59905" s="2" customFormat="1"/>
    <row r="59906" s="2" customFormat="1"/>
    <row r="59907" s="2" customFormat="1"/>
    <row r="59908" s="2" customFormat="1"/>
    <row r="59909" s="2" customFormat="1"/>
    <row r="59910" s="2" customFormat="1"/>
    <row r="59911" s="2" customFormat="1"/>
    <row r="59912" s="2" customFormat="1"/>
    <row r="59913" s="2" customFormat="1"/>
    <row r="59914" s="2" customFormat="1"/>
    <row r="59915" s="2" customFormat="1"/>
    <row r="59916" s="2" customFormat="1"/>
    <row r="59917" s="2" customFormat="1"/>
    <row r="59918" s="2" customFormat="1"/>
    <row r="59919" s="2" customFormat="1"/>
    <row r="59920" s="2" customFormat="1"/>
    <row r="59921" s="2" customFormat="1"/>
    <row r="59922" s="2" customFormat="1"/>
    <row r="59923" s="2" customFormat="1"/>
    <row r="59924" s="2" customFormat="1"/>
    <row r="59925" s="2" customFormat="1"/>
    <row r="59926" s="2" customFormat="1"/>
    <row r="59927" s="2" customFormat="1"/>
    <row r="59928" s="2" customFormat="1"/>
    <row r="59929" s="2" customFormat="1"/>
    <row r="59930" s="2" customFormat="1"/>
    <row r="59931" s="2" customFormat="1"/>
    <row r="59932" s="2" customFormat="1"/>
    <row r="59933" s="2" customFormat="1"/>
    <row r="59934" s="2" customFormat="1"/>
    <row r="59935" s="2" customFormat="1"/>
    <row r="59936" s="2" customFormat="1"/>
    <row r="59937" s="2" customFormat="1"/>
    <row r="59938" s="2" customFormat="1"/>
    <row r="59939" s="2" customFormat="1"/>
    <row r="59940" s="2" customFormat="1"/>
    <row r="59941" s="2" customFormat="1"/>
    <row r="59942" s="2" customFormat="1"/>
    <row r="59943" s="2" customFormat="1"/>
    <row r="59944" s="2" customFormat="1"/>
    <row r="59945" s="2" customFormat="1"/>
    <row r="59946" s="2" customFormat="1"/>
    <row r="59947" s="2" customFormat="1"/>
    <row r="59948" s="2" customFormat="1"/>
    <row r="59949" s="2" customFormat="1"/>
    <row r="59950" s="2" customFormat="1"/>
    <row r="59951" s="2" customFormat="1"/>
    <row r="59952" s="2" customFormat="1"/>
    <row r="59953" s="2" customFormat="1"/>
    <row r="59954" s="2" customFormat="1"/>
    <row r="59955" s="2" customFormat="1"/>
    <row r="59956" s="2" customFormat="1"/>
    <row r="59957" s="2" customFormat="1"/>
    <row r="59958" s="2" customFormat="1"/>
    <row r="59959" s="2" customFormat="1"/>
    <row r="59960" s="2" customFormat="1"/>
    <row r="59961" s="2" customFormat="1"/>
    <row r="59962" s="2" customFormat="1"/>
    <row r="59963" s="2" customFormat="1"/>
    <row r="59964" s="2" customFormat="1"/>
    <row r="59965" s="2" customFormat="1"/>
    <row r="59966" s="2" customFormat="1"/>
    <row r="59967" s="2" customFormat="1"/>
    <row r="59968" s="2" customFormat="1"/>
    <row r="59969" s="2" customFormat="1"/>
    <row r="59970" s="2" customFormat="1"/>
    <row r="59971" s="2" customFormat="1"/>
    <row r="59972" s="2" customFormat="1"/>
    <row r="59973" s="2" customFormat="1"/>
    <row r="59974" s="2" customFormat="1"/>
    <row r="59975" s="2" customFormat="1"/>
    <row r="59976" s="2" customFormat="1"/>
    <row r="59977" s="2" customFormat="1"/>
    <row r="59978" s="2" customFormat="1"/>
    <row r="59979" s="2" customFormat="1"/>
    <row r="59980" s="2" customFormat="1"/>
    <row r="59981" s="2" customFormat="1"/>
    <row r="59982" s="2" customFormat="1"/>
    <row r="59983" s="2" customFormat="1"/>
    <row r="59984" s="2" customFormat="1"/>
    <row r="59985" s="2" customFormat="1"/>
    <row r="59986" s="2" customFormat="1"/>
    <row r="59987" s="2" customFormat="1"/>
    <row r="59988" s="2" customFormat="1"/>
    <row r="59989" s="2" customFormat="1"/>
    <row r="59990" s="2" customFormat="1"/>
    <row r="59991" s="2" customFormat="1"/>
    <row r="59992" s="2" customFormat="1"/>
    <row r="59993" s="2" customFormat="1"/>
    <row r="59994" s="2" customFormat="1"/>
    <row r="59995" s="2" customFormat="1"/>
    <row r="59996" s="2" customFormat="1"/>
    <row r="59997" s="2" customFormat="1"/>
    <row r="59998" s="2" customFormat="1"/>
    <row r="59999" s="2" customFormat="1"/>
    <row r="60000" s="2" customFormat="1"/>
    <row r="60001" s="2" customFormat="1"/>
    <row r="60002" s="2" customFormat="1"/>
    <row r="60003" s="2" customFormat="1"/>
    <row r="60004" s="2" customFormat="1"/>
    <row r="60005" s="2" customFormat="1"/>
    <row r="60006" s="2" customFormat="1"/>
    <row r="60007" s="2" customFormat="1"/>
    <row r="60008" s="2" customFormat="1"/>
    <row r="60009" s="2" customFormat="1"/>
    <row r="60010" s="2" customFormat="1"/>
    <row r="60011" s="2" customFormat="1"/>
    <row r="60012" s="2" customFormat="1"/>
    <row r="60013" s="2" customFormat="1"/>
    <row r="60014" s="2" customFormat="1"/>
    <row r="60015" s="2" customFormat="1"/>
    <row r="60016" s="2" customFormat="1"/>
    <row r="60017" s="2" customFormat="1"/>
    <row r="60018" s="2" customFormat="1"/>
    <row r="60019" s="2" customFormat="1"/>
    <row r="60020" s="2" customFormat="1"/>
    <row r="60021" s="2" customFormat="1"/>
    <row r="60022" s="2" customFormat="1"/>
    <row r="60023" s="2" customFormat="1"/>
    <row r="60024" s="2" customFormat="1"/>
    <row r="60025" s="2" customFormat="1"/>
    <row r="60026" s="2" customFormat="1"/>
    <row r="60027" s="2" customFormat="1"/>
    <row r="60028" s="2" customFormat="1"/>
    <row r="60029" s="2" customFormat="1"/>
    <row r="60030" s="2" customFormat="1"/>
    <row r="60031" s="2" customFormat="1"/>
    <row r="60032" s="2" customFormat="1"/>
    <row r="60033" s="2" customFormat="1"/>
    <row r="60034" s="2" customFormat="1"/>
    <row r="60035" s="2" customFormat="1"/>
    <row r="60036" s="2" customFormat="1"/>
    <row r="60037" s="2" customFormat="1"/>
    <row r="60038" s="2" customFormat="1"/>
    <row r="60039" s="2" customFormat="1"/>
    <row r="60040" s="2" customFormat="1"/>
    <row r="60041" s="2" customFormat="1"/>
    <row r="60042" s="2" customFormat="1"/>
    <row r="60043" s="2" customFormat="1"/>
    <row r="60044" s="2" customFormat="1"/>
    <row r="60045" s="2" customFormat="1"/>
    <row r="60046" s="2" customFormat="1"/>
    <row r="60047" s="2" customFormat="1"/>
    <row r="60048" s="2" customFormat="1"/>
    <row r="60049" s="2" customFormat="1"/>
    <row r="60050" s="2" customFormat="1"/>
    <row r="60051" s="2" customFormat="1"/>
    <row r="60052" s="2" customFormat="1"/>
    <row r="60053" s="2" customFormat="1"/>
    <row r="60054" s="2" customFormat="1"/>
    <row r="60055" s="2" customFormat="1"/>
    <row r="60056" s="2" customFormat="1"/>
    <row r="60057" s="2" customFormat="1"/>
    <row r="60058" s="2" customFormat="1"/>
    <row r="60059" s="2" customFormat="1"/>
    <row r="60060" s="2" customFormat="1"/>
    <row r="60061" s="2" customFormat="1"/>
    <row r="60062" s="2" customFormat="1"/>
    <row r="60063" s="2" customFormat="1"/>
    <row r="60064" s="2" customFormat="1"/>
    <row r="60065" s="2" customFormat="1"/>
    <row r="60066" s="2" customFormat="1"/>
    <row r="60067" s="2" customFormat="1"/>
    <row r="60068" s="2" customFormat="1"/>
    <row r="60069" s="2" customFormat="1"/>
    <row r="60070" s="2" customFormat="1"/>
    <row r="60071" s="2" customFormat="1"/>
    <row r="60072" s="2" customFormat="1"/>
    <row r="60073" s="2" customFormat="1"/>
    <row r="60074" s="2" customFormat="1"/>
    <row r="60075" s="2" customFormat="1"/>
    <row r="60076" s="2" customFormat="1"/>
    <row r="60077" s="2" customFormat="1"/>
    <row r="60078" s="2" customFormat="1"/>
    <row r="60079" s="2" customFormat="1"/>
    <row r="60080" s="2" customFormat="1"/>
    <row r="60081" s="2" customFormat="1"/>
    <row r="60082" s="2" customFormat="1"/>
    <row r="60083" s="2" customFormat="1"/>
    <row r="60084" s="2" customFormat="1"/>
    <row r="60085" s="2" customFormat="1"/>
    <row r="60086" s="2" customFormat="1"/>
    <row r="60087" s="2" customFormat="1"/>
    <row r="60088" s="2" customFormat="1"/>
    <row r="60089" s="2" customFormat="1"/>
    <row r="60090" s="2" customFormat="1"/>
    <row r="60091" s="2" customFormat="1"/>
    <row r="60092" s="2" customFormat="1"/>
    <row r="60093" s="2" customFormat="1"/>
    <row r="60094" s="2" customFormat="1"/>
    <row r="60095" s="2" customFormat="1"/>
    <row r="60096" s="2" customFormat="1"/>
    <row r="60097" s="2" customFormat="1"/>
    <row r="60098" s="2" customFormat="1"/>
    <row r="60099" s="2" customFormat="1"/>
    <row r="60100" s="2" customFormat="1"/>
    <row r="60101" s="2" customFormat="1"/>
    <row r="60102" s="2" customFormat="1"/>
    <row r="60103" s="2" customFormat="1"/>
    <row r="60104" s="2" customFormat="1"/>
    <row r="60105" s="2" customFormat="1"/>
    <row r="60106" s="2" customFormat="1"/>
    <row r="60107" s="2" customFormat="1"/>
    <row r="60108" s="2" customFormat="1"/>
    <row r="60109" s="2" customFormat="1"/>
    <row r="60110" s="2" customFormat="1"/>
    <row r="60111" s="2" customFormat="1"/>
    <row r="60112" s="2" customFormat="1"/>
    <row r="60113" s="2" customFormat="1"/>
    <row r="60114" s="2" customFormat="1"/>
    <row r="60115" s="2" customFormat="1"/>
    <row r="60116" s="2" customFormat="1"/>
    <row r="60117" s="2" customFormat="1"/>
    <row r="60118" s="2" customFormat="1"/>
    <row r="60119" s="2" customFormat="1"/>
    <row r="60120" s="2" customFormat="1"/>
    <row r="60121" s="2" customFormat="1"/>
    <row r="60122" s="2" customFormat="1"/>
    <row r="60123" s="2" customFormat="1"/>
    <row r="60124" s="2" customFormat="1"/>
    <row r="60125" s="2" customFormat="1"/>
    <row r="60126" s="2" customFormat="1"/>
    <row r="60127" s="2" customFormat="1"/>
    <row r="60128" s="2" customFormat="1"/>
    <row r="60129" s="2" customFormat="1"/>
    <row r="60130" s="2" customFormat="1"/>
    <row r="60131" s="2" customFormat="1"/>
    <row r="60132" s="2" customFormat="1"/>
    <row r="60133" s="2" customFormat="1"/>
    <row r="60134" s="2" customFormat="1"/>
    <row r="60135" s="2" customFormat="1"/>
    <row r="60136" s="2" customFormat="1"/>
    <row r="60137" s="2" customFormat="1"/>
    <row r="60138" s="2" customFormat="1"/>
    <row r="60139" s="2" customFormat="1"/>
    <row r="60140" s="2" customFormat="1"/>
    <row r="60141" s="2" customFormat="1"/>
    <row r="60142" s="2" customFormat="1"/>
    <row r="60143" s="2" customFormat="1"/>
    <row r="60144" s="2" customFormat="1"/>
    <row r="60145" s="2" customFormat="1"/>
    <row r="60146" s="2" customFormat="1"/>
    <row r="60147" s="2" customFormat="1"/>
    <row r="60148" s="2" customFormat="1"/>
    <row r="60149" s="2" customFormat="1"/>
    <row r="60150" s="2" customFormat="1"/>
    <row r="60151" s="2" customFormat="1"/>
    <row r="60152" s="2" customFormat="1"/>
    <row r="60153" s="2" customFormat="1"/>
    <row r="60154" s="2" customFormat="1"/>
    <row r="60155" s="2" customFormat="1"/>
    <row r="60156" s="2" customFormat="1"/>
    <row r="60157" s="2" customFormat="1"/>
    <row r="60158" s="2" customFormat="1"/>
    <row r="60159" s="2" customFormat="1"/>
    <row r="60160" s="2" customFormat="1"/>
    <row r="60161" s="2" customFormat="1"/>
    <row r="60162" s="2" customFormat="1"/>
    <row r="60163" s="2" customFormat="1"/>
    <row r="60164" s="2" customFormat="1"/>
    <row r="60165" s="2" customFormat="1"/>
    <row r="60166" s="2" customFormat="1"/>
    <row r="60167" s="2" customFormat="1"/>
    <row r="60168" s="2" customFormat="1"/>
    <row r="60169" s="2" customFormat="1"/>
    <row r="60170" s="2" customFormat="1"/>
    <row r="60171" s="2" customFormat="1"/>
    <row r="60172" s="2" customFormat="1"/>
    <row r="60173" s="2" customFormat="1"/>
    <row r="60174" s="2" customFormat="1"/>
    <row r="60175" s="2" customFormat="1"/>
    <row r="60176" s="2" customFormat="1"/>
    <row r="60177" s="2" customFormat="1"/>
    <row r="60178" s="2" customFormat="1"/>
    <row r="60179" s="2" customFormat="1"/>
    <row r="60180" s="2" customFormat="1"/>
    <row r="60181" s="2" customFormat="1"/>
    <row r="60182" s="2" customFormat="1"/>
    <row r="60183" s="2" customFormat="1"/>
    <row r="60184" s="2" customFormat="1"/>
    <row r="60185" s="2" customFormat="1"/>
    <row r="60186" s="2" customFormat="1"/>
    <row r="60187" s="2" customFormat="1"/>
    <row r="60188" s="2" customFormat="1"/>
    <row r="60189" s="2" customFormat="1"/>
    <row r="60190" s="2" customFormat="1"/>
    <row r="60191" s="2" customFormat="1"/>
    <row r="60192" s="2" customFormat="1"/>
    <row r="60193" s="2" customFormat="1"/>
    <row r="60194" s="2" customFormat="1"/>
    <row r="60195" s="2" customFormat="1"/>
    <row r="60196" s="2" customFormat="1"/>
    <row r="60197" s="2" customFormat="1"/>
    <row r="60198" s="2" customFormat="1"/>
    <row r="60199" s="2" customFormat="1"/>
    <row r="60200" s="2" customFormat="1"/>
    <row r="60201" s="2" customFormat="1"/>
    <row r="60202" s="2" customFormat="1"/>
    <row r="60203" s="2" customFormat="1"/>
    <row r="60204" s="2" customFormat="1"/>
    <row r="60205" s="2" customFormat="1"/>
    <row r="60206" s="2" customFormat="1"/>
    <row r="60207" s="2" customFormat="1"/>
    <row r="60208" s="2" customFormat="1"/>
    <row r="60209" s="2" customFormat="1"/>
    <row r="60210" s="2" customFormat="1"/>
    <row r="60211" s="2" customFormat="1"/>
    <row r="60212" s="2" customFormat="1"/>
    <row r="60213" s="2" customFormat="1"/>
    <row r="60214" s="2" customFormat="1"/>
    <row r="60215" s="2" customFormat="1"/>
    <row r="60216" s="2" customFormat="1"/>
    <row r="60217" s="2" customFormat="1"/>
    <row r="60218" s="2" customFormat="1"/>
    <row r="60219" s="2" customFormat="1"/>
    <row r="60220" s="2" customFormat="1"/>
    <row r="60221" s="2" customFormat="1"/>
    <row r="60222" s="2" customFormat="1"/>
    <row r="60223" s="2" customFormat="1"/>
    <row r="60224" s="2" customFormat="1"/>
    <row r="60225" s="2" customFormat="1"/>
    <row r="60226" s="2" customFormat="1"/>
    <row r="60227" s="2" customFormat="1"/>
    <row r="60228" s="2" customFormat="1"/>
    <row r="60229" s="2" customFormat="1"/>
    <row r="60230" s="2" customFormat="1"/>
    <row r="60231" s="2" customFormat="1"/>
    <row r="60232" s="2" customFormat="1"/>
    <row r="60233" s="2" customFormat="1"/>
    <row r="60234" s="2" customFormat="1"/>
    <row r="60235" s="2" customFormat="1"/>
    <row r="60236" s="2" customFormat="1"/>
    <row r="60237" s="2" customFormat="1"/>
    <row r="60238" s="2" customFormat="1"/>
    <row r="60239" s="2" customFormat="1"/>
    <row r="60240" s="2" customFormat="1"/>
    <row r="60241" s="2" customFormat="1"/>
    <row r="60242" s="2" customFormat="1"/>
    <row r="60243" s="2" customFormat="1"/>
    <row r="60244" s="2" customFormat="1"/>
    <row r="60245" s="2" customFormat="1"/>
    <row r="60246" s="2" customFormat="1"/>
    <row r="60247" s="2" customFormat="1"/>
    <row r="60248" s="2" customFormat="1"/>
    <row r="60249" s="2" customFormat="1"/>
    <row r="60250" s="2" customFormat="1"/>
    <row r="60251" s="2" customFormat="1"/>
    <row r="60252" s="2" customFormat="1"/>
    <row r="60253" s="2" customFormat="1"/>
    <row r="60254" s="2" customFormat="1"/>
    <row r="60255" s="2" customFormat="1"/>
    <row r="60256" s="2" customFormat="1"/>
    <row r="60257" s="2" customFormat="1"/>
    <row r="60258" s="2" customFormat="1"/>
    <row r="60259" s="2" customFormat="1"/>
    <row r="60260" s="2" customFormat="1"/>
    <row r="60261" s="2" customFormat="1"/>
    <row r="60262" s="2" customFormat="1"/>
    <row r="60263" s="2" customFormat="1"/>
    <row r="60264" s="2" customFormat="1"/>
    <row r="60265" s="2" customFormat="1"/>
    <row r="60266" s="2" customFormat="1"/>
    <row r="60267" s="2" customFormat="1"/>
    <row r="60268" s="2" customFormat="1"/>
    <row r="60269" s="2" customFormat="1"/>
    <row r="60270" s="2" customFormat="1"/>
    <row r="60271" s="2" customFormat="1"/>
    <row r="60272" s="2" customFormat="1"/>
    <row r="60273" s="2" customFormat="1"/>
    <row r="60274" s="2" customFormat="1"/>
    <row r="60275" s="2" customFormat="1"/>
    <row r="60276" s="2" customFormat="1"/>
    <row r="60277" s="2" customFormat="1"/>
    <row r="60278" s="2" customFormat="1"/>
    <row r="60279" s="2" customFormat="1"/>
    <row r="60280" s="2" customFormat="1"/>
    <row r="60281" s="2" customFormat="1"/>
    <row r="60282" s="2" customFormat="1"/>
    <row r="60283" s="2" customFormat="1"/>
    <row r="60284" s="2" customFormat="1"/>
    <row r="60285" s="2" customFormat="1"/>
    <row r="60286" s="2" customFormat="1"/>
    <row r="60287" s="2" customFormat="1"/>
    <row r="60288" s="2" customFormat="1"/>
    <row r="60289" s="2" customFormat="1"/>
    <row r="60290" s="2" customFormat="1"/>
    <row r="60291" s="2" customFormat="1"/>
    <row r="60292" s="2" customFormat="1"/>
    <row r="60293" s="2" customFormat="1"/>
    <row r="60294" s="2" customFormat="1"/>
    <row r="60295" s="2" customFormat="1"/>
    <row r="60296" s="2" customFormat="1"/>
    <row r="60297" s="2" customFormat="1"/>
    <row r="60298" s="2" customFormat="1"/>
    <row r="60299" s="2" customFormat="1"/>
    <row r="60300" s="2" customFormat="1"/>
    <row r="60301" s="2" customFormat="1"/>
    <row r="60302" s="2" customFormat="1"/>
    <row r="60303" s="2" customFormat="1"/>
    <row r="60304" s="2" customFormat="1"/>
    <row r="60305" s="2" customFormat="1"/>
    <row r="60306" s="2" customFormat="1"/>
    <row r="60307" s="2" customFormat="1"/>
    <row r="60308" s="2" customFormat="1"/>
    <row r="60309" s="2" customFormat="1"/>
    <row r="60310" s="2" customFormat="1"/>
    <row r="60311" s="2" customFormat="1"/>
    <row r="60312" s="2" customFormat="1"/>
    <row r="60313" s="2" customFormat="1"/>
    <row r="60314" s="2" customFormat="1"/>
    <row r="60315" s="2" customFormat="1"/>
    <row r="60316" s="2" customFormat="1"/>
    <row r="60317" s="2" customFormat="1"/>
    <row r="60318" s="2" customFormat="1"/>
    <row r="60319" s="2" customFormat="1"/>
    <row r="60320" s="2" customFormat="1"/>
    <row r="60321" s="2" customFormat="1"/>
    <row r="60322" s="2" customFormat="1"/>
    <row r="60323" s="2" customFormat="1"/>
    <row r="60324" s="2" customFormat="1"/>
    <row r="60325" s="2" customFormat="1"/>
    <row r="60326" s="2" customFormat="1"/>
    <row r="60327" s="2" customFormat="1"/>
    <row r="60328" s="2" customFormat="1"/>
    <row r="60329" s="2" customFormat="1"/>
    <row r="60330" s="2" customFormat="1"/>
    <row r="60331" s="2" customFormat="1"/>
    <row r="60332" s="2" customFormat="1"/>
    <row r="60333" s="2" customFormat="1"/>
    <row r="60334" s="2" customFormat="1"/>
    <row r="60335" s="2" customFormat="1"/>
    <row r="60336" s="2" customFormat="1"/>
    <row r="60337" s="2" customFormat="1"/>
    <row r="60338" s="2" customFormat="1"/>
    <row r="60339" s="2" customFormat="1"/>
    <row r="60340" s="2" customFormat="1"/>
    <row r="60341" s="2" customFormat="1"/>
    <row r="60342" s="2" customFormat="1"/>
    <row r="60343" s="2" customFormat="1"/>
    <row r="60344" s="2" customFormat="1"/>
    <row r="60345" s="2" customFormat="1"/>
    <row r="60346" s="2" customFormat="1"/>
    <row r="60347" s="2" customFormat="1"/>
    <row r="60348" s="2" customFormat="1"/>
    <row r="60349" s="2" customFormat="1"/>
    <row r="60350" s="2" customFormat="1"/>
    <row r="60351" s="2" customFormat="1"/>
    <row r="60352" s="2" customFormat="1"/>
    <row r="60353" s="2" customFormat="1"/>
    <row r="60354" s="2" customFormat="1"/>
    <row r="60355" s="2" customFormat="1"/>
    <row r="60356" s="2" customFormat="1"/>
    <row r="60357" s="2" customFormat="1"/>
    <row r="60358" s="2" customFormat="1"/>
    <row r="60359" s="2" customFormat="1"/>
    <row r="60360" s="2" customFormat="1"/>
    <row r="60361" s="2" customFormat="1"/>
    <row r="60362" s="2" customFormat="1"/>
    <row r="60363" s="2" customFormat="1"/>
    <row r="60364" s="2" customFormat="1"/>
    <row r="60365" s="2" customFormat="1"/>
    <row r="60366" s="2" customFormat="1"/>
    <row r="60367" s="2" customFormat="1"/>
    <row r="60368" s="2" customFormat="1"/>
    <row r="60369" s="2" customFormat="1"/>
    <row r="60370" s="2" customFormat="1"/>
    <row r="60371" s="2" customFormat="1"/>
    <row r="60372" s="2" customFormat="1"/>
    <row r="60373" s="2" customFormat="1"/>
    <row r="60374" s="2" customFormat="1"/>
    <row r="60375" s="2" customFormat="1"/>
    <row r="60376" s="2" customFormat="1"/>
    <row r="60377" s="2" customFormat="1"/>
    <row r="60378" s="2" customFormat="1"/>
    <row r="60379" s="2" customFormat="1"/>
    <row r="60380" s="2" customFormat="1"/>
    <row r="60381" s="2" customFormat="1"/>
    <row r="60382" s="2" customFormat="1"/>
    <row r="60383" s="2" customFormat="1"/>
    <row r="60384" s="2" customFormat="1"/>
    <row r="60385" s="2" customFormat="1"/>
    <row r="60386" s="2" customFormat="1"/>
    <row r="60387" s="2" customFormat="1"/>
    <row r="60388" s="2" customFormat="1"/>
    <row r="60389" s="2" customFormat="1"/>
    <row r="60390" s="2" customFormat="1"/>
    <row r="60391" s="2" customFormat="1"/>
    <row r="60392" s="2" customFormat="1"/>
    <row r="60393" s="2" customFormat="1"/>
    <row r="60394" s="2" customFormat="1"/>
    <row r="60395" s="2" customFormat="1"/>
    <row r="60396" s="2" customFormat="1"/>
    <row r="60397" s="2" customFormat="1"/>
    <row r="60398" s="2" customFormat="1"/>
    <row r="60399" s="2" customFormat="1"/>
    <row r="60400" s="2" customFormat="1"/>
    <row r="60401" s="2" customFormat="1"/>
    <row r="60402" s="2" customFormat="1"/>
    <row r="60403" s="2" customFormat="1"/>
    <row r="60404" s="2" customFormat="1"/>
    <row r="60405" s="2" customFormat="1"/>
    <row r="60406" s="2" customFormat="1"/>
    <row r="60407" s="2" customFormat="1"/>
    <row r="60408" s="2" customFormat="1"/>
    <row r="60409" s="2" customFormat="1"/>
    <row r="60410" s="2" customFormat="1"/>
    <row r="60411" s="2" customFormat="1"/>
    <row r="60412" s="2" customFormat="1"/>
    <row r="60413" s="2" customFormat="1"/>
    <row r="60414" s="2" customFormat="1"/>
    <row r="60415" s="2" customFormat="1"/>
    <row r="60416" s="2" customFormat="1"/>
    <row r="60417" s="2" customFormat="1"/>
    <row r="60418" s="2" customFormat="1"/>
    <row r="60419" s="2" customFormat="1"/>
    <row r="60420" s="2" customFormat="1"/>
    <row r="60421" s="2" customFormat="1"/>
    <row r="60422" s="2" customFormat="1"/>
    <row r="60423" s="2" customFormat="1"/>
    <row r="60424" s="2" customFormat="1"/>
    <row r="60425" s="2" customFormat="1"/>
    <row r="60426" s="2" customFormat="1"/>
    <row r="60427" s="2" customFormat="1"/>
    <row r="60428" s="2" customFormat="1"/>
    <row r="60429" s="2" customFormat="1"/>
    <row r="60430" s="2" customFormat="1"/>
    <row r="60431" s="2" customFormat="1"/>
    <row r="60432" s="2" customFormat="1"/>
    <row r="60433" s="2" customFormat="1"/>
    <row r="60434" s="2" customFormat="1"/>
    <row r="60435" s="2" customFormat="1"/>
    <row r="60436" s="2" customFormat="1"/>
    <row r="60437" s="2" customFormat="1"/>
    <row r="60438" s="2" customFormat="1"/>
    <row r="60439" s="2" customFormat="1"/>
    <row r="60440" s="2" customFormat="1"/>
    <row r="60441" s="2" customFormat="1"/>
    <row r="60442" s="2" customFormat="1"/>
    <row r="60443" s="2" customFormat="1"/>
    <row r="60444" s="2" customFormat="1"/>
    <row r="60445" s="2" customFormat="1"/>
    <row r="60446" s="2" customFormat="1"/>
    <row r="60447" s="2" customFormat="1"/>
    <row r="60448" s="2" customFormat="1"/>
    <row r="60449" s="2" customFormat="1"/>
    <row r="60450" s="2" customFormat="1"/>
    <row r="60451" s="2" customFormat="1"/>
    <row r="60452" s="2" customFormat="1"/>
    <row r="60453" s="2" customFormat="1"/>
    <row r="60454" s="2" customFormat="1"/>
    <row r="60455" s="2" customFormat="1"/>
    <row r="60456" s="2" customFormat="1"/>
    <row r="60457" s="2" customFormat="1"/>
    <row r="60458" s="2" customFormat="1"/>
    <row r="60459" s="2" customFormat="1"/>
    <row r="60460" s="2" customFormat="1"/>
    <row r="60461" s="2" customFormat="1"/>
    <row r="60462" s="2" customFormat="1"/>
    <row r="60463" s="2" customFormat="1"/>
    <row r="60464" s="2" customFormat="1"/>
    <row r="60465" s="2" customFormat="1"/>
    <row r="60466" s="2" customFormat="1"/>
    <row r="60467" s="2" customFormat="1"/>
    <row r="60468" s="2" customFormat="1"/>
    <row r="60469" s="2" customFormat="1"/>
    <row r="60470" s="2" customFormat="1"/>
    <row r="60471" s="2" customFormat="1"/>
    <row r="60472" s="2" customFormat="1"/>
    <row r="60473" s="2" customFormat="1"/>
    <row r="60474" s="2" customFormat="1"/>
    <row r="60475" s="2" customFormat="1"/>
    <row r="60476" s="2" customFormat="1"/>
    <row r="60477" s="2" customFormat="1"/>
    <row r="60478" s="2" customFormat="1"/>
    <row r="60479" s="2" customFormat="1"/>
    <row r="60480" s="2" customFormat="1"/>
    <row r="60481" s="2" customFormat="1"/>
    <row r="60482" s="2" customFormat="1"/>
    <row r="60483" s="2" customFormat="1"/>
    <row r="60484" s="2" customFormat="1"/>
    <row r="60485" s="2" customFormat="1"/>
    <row r="60486" s="2" customFormat="1"/>
    <row r="60487" s="2" customFormat="1"/>
    <row r="60488" s="2" customFormat="1"/>
    <row r="60489" s="2" customFormat="1"/>
    <row r="60490" s="2" customFormat="1"/>
    <row r="60491" s="2" customFormat="1"/>
    <row r="60492" s="2" customFormat="1"/>
    <row r="60493" s="2" customFormat="1"/>
    <row r="60494" s="2" customFormat="1"/>
    <row r="60495" s="2" customFormat="1"/>
    <row r="60496" s="2" customFormat="1"/>
    <row r="60497" s="2" customFormat="1"/>
    <row r="60498" s="2" customFormat="1"/>
    <row r="60499" s="2" customFormat="1"/>
    <row r="60500" s="2" customFormat="1"/>
    <row r="60501" s="2" customFormat="1"/>
    <row r="60502" s="2" customFormat="1"/>
    <row r="60503" s="2" customFormat="1"/>
    <row r="60504" s="2" customFormat="1"/>
    <row r="60505" s="2" customFormat="1"/>
    <row r="60506" s="2" customFormat="1"/>
    <row r="60507" s="2" customFormat="1"/>
    <row r="60508" s="2" customFormat="1"/>
    <row r="60509" s="2" customFormat="1"/>
    <row r="60510" s="2" customFormat="1"/>
    <row r="60511" s="2" customFormat="1"/>
    <row r="60512" s="2" customFormat="1"/>
    <row r="60513" s="2" customFormat="1"/>
    <row r="60514" s="2" customFormat="1"/>
    <row r="60515" s="2" customFormat="1"/>
    <row r="60516" s="2" customFormat="1"/>
    <row r="60517" s="2" customFormat="1"/>
    <row r="60518" s="2" customFormat="1"/>
    <row r="60519" s="2" customFormat="1"/>
    <row r="60520" s="2" customFormat="1"/>
    <row r="60521" s="2" customFormat="1"/>
    <row r="60522" s="2" customFormat="1"/>
    <row r="60523" s="2" customFormat="1"/>
    <row r="60524" s="2" customFormat="1"/>
    <row r="60525" s="2" customFormat="1"/>
    <row r="60526" s="2" customFormat="1"/>
    <row r="60527" s="2" customFormat="1"/>
    <row r="60528" s="2" customFormat="1"/>
    <row r="60529" s="2" customFormat="1"/>
    <row r="60530" s="2" customFormat="1"/>
    <row r="60531" s="2" customFormat="1"/>
    <row r="60532" s="2" customFormat="1"/>
    <row r="60533" s="2" customFormat="1"/>
    <row r="60534" s="2" customFormat="1"/>
    <row r="60535" s="2" customFormat="1"/>
    <row r="60536" s="2" customFormat="1"/>
    <row r="60537" s="2" customFormat="1"/>
    <row r="60538" s="2" customFormat="1"/>
    <row r="60539" s="2" customFormat="1"/>
    <row r="60540" s="2" customFormat="1"/>
    <row r="60541" s="2" customFormat="1"/>
    <row r="60542" s="2" customFormat="1"/>
    <row r="60543" s="2" customFormat="1"/>
    <row r="60544" s="2" customFormat="1"/>
    <row r="60545" s="2" customFormat="1"/>
    <row r="60546" s="2" customFormat="1"/>
    <row r="60547" s="2" customFormat="1"/>
    <row r="60548" s="2" customFormat="1"/>
    <row r="60549" s="2" customFormat="1"/>
    <row r="60550" s="2" customFormat="1"/>
    <row r="60551" s="2" customFormat="1"/>
    <row r="60552" s="2" customFormat="1"/>
    <row r="60553" s="2" customFormat="1"/>
    <row r="60554" s="2" customFormat="1"/>
    <row r="60555" s="2" customFormat="1"/>
    <row r="60556" s="2" customFormat="1"/>
    <row r="60557" s="2" customFormat="1"/>
    <row r="60558" s="2" customFormat="1"/>
    <row r="60559" s="2" customFormat="1"/>
    <row r="60560" s="2" customFormat="1"/>
    <row r="60561" s="2" customFormat="1"/>
    <row r="60562" s="2" customFormat="1"/>
    <row r="60563" s="2" customFormat="1"/>
    <row r="60564" s="2" customFormat="1"/>
    <row r="60565" s="2" customFormat="1"/>
    <row r="60566" s="2" customFormat="1"/>
    <row r="60567" s="2" customFormat="1"/>
    <row r="60568" s="2" customFormat="1"/>
    <row r="60569" s="2" customFormat="1"/>
    <row r="60570" s="2" customFormat="1"/>
    <row r="60571" s="2" customFormat="1"/>
    <row r="60572" s="2" customFormat="1"/>
    <row r="60573" s="2" customFormat="1"/>
    <row r="60574" s="2" customFormat="1"/>
    <row r="60575" s="2" customFormat="1"/>
    <row r="60576" s="2" customFormat="1"/>
    <row r="60577" s="2" customFormat="1"/>
    <row r="60578" s="2" customFormat="1"/>
    <row r="60579" s="2" customFormat="1"/>
    <row r="60580" s="2" customFormat="1"/>
    <row r="60581" s="2" customFormat="1"/>
    <row r="60582" s="2" customFormat="1"/>
    <row r="60583" s="2" customFormat="1"/>
    <row r="60584" s="2" customFormat="1"/>
    <row r="60585" s="2" customFormat="1"/>
    <row r="60586" s="2" customFormat="1"/>
    <row r="60587" s="2" customFormat="1"/>
    <row r="60588" s="2" customFormat="1"/>
    <row r="60589" s="2" customFormat="1"/>
    <row r="60590" s="2" customFormat="1"/>
    <row r="60591" s="2" customFormat="1"/>
    <row r="60592" s="2" customFormat="1"/>
    <row r="60593" s="2" customFormat="1"/>
    <row r="60594" s="2" customFormat="1"/>
    <row r="60595" s="2" customFormat="1"/>
    <row r="60596" s="2" customFormat="1"/>
    <row r="60597" s="2" customFormat="1"/>
    <row r="60598" s="2" customFormat="1"/>
    <row r="60599" s="2" customFormat="1"/>
    <row r="60600" s="2" customFormat="1"/>
    <row r="60601" s="2" customFormat="1"/>
    <row r="60602" s="2" customFormat="1"/>
    <row r="60603" s="2" customFormat="1"/>
    <row r="60604" s="2" customFormat="1"/>
    <row r="60605" s="2" customFormat="1"/>
    <row r="60606" s="2" customFormat="1"/>
    <row r="60607" s="2" customFormat="1"/>
    <row r="60608" s="2" customFormat="1"/>
    <row r="60609" s="2" customFormat="1"/>
    <row r="60610" s="2" customFormat="1"/>
    <row r="60611" s="2" customFormat="1"/>
    <row r="60612" s="2" customFormat="1"/>
    <row r="60613" s="2" customFormat="1"/>
    <row r="60614" s="2" customFormat="1"/>
    <row r="60615" s="2" customFormat="1"/>
    <row r="60616" s="2" customFormat="1"/>
    <row r="60617" s="2" customFormat="1"/>
    <row r="60618" s="2" customFormat="1"/>
    <row r="60619" s="2" customFormat="1"/>
    <row r="60620" s="2" customFormat="1"/>
    <row r="60621" s="2" customFormat="1"/>
    <row r="60622" s="2" customFormat="1"/>
    <row r="60623" s="2" customFormat="1"/>
    <row r="60624" s="2" customFormat="1"/>
    <row r="60625" s="2" customFormat="1"/>
    <row r="60626" s="2" customFormat="1"/>
    <row r="60627" s="2" customFormat="1"/>
    <row r="60628" s="2" customFormat="1"/>
    <row r="60629" s="2" customFormat="1"/>
    <row r="60630" s="2" customFormat="1"/>
    <row r="60631" s="2" customFormat="1"/>
    <row r="60632" s="2" customFormat="1"/>
    <row r="60633" s="2" customFormat="1"/>
    <row r="60634" s="2" customFormat="1"/>
    <row r="60635" s="2" customFormat="1"/>
    <row r="60636" s="2" customFormat="1"/>
    <row r="60637" s="2" customFormat="1"/>
    <row r="60638" s="2" customFormat="1"/>
    <row r="60639" s="2" customFormat="1"/>
    <row r="60640" s="2" customFormat="1"/>
    <row r="60641" s="2" customFormat="1"/>
    <row r="60642" s="2" customFormat="1"/>
    <row r="60643" s="2" customFormat="1"/>
    <row r="60644" s="2" customFormat="1"/>
    <row r="60645" s="2" customFormat="1"/>
    <row r="60646" s="2" customFormat="1"/>
    <row r="60647" s="2" customFormat="1"/>
    <row r="60648" s="2" customFormat="1"/>
    <row r="60649" s="2" customFormat="1"/>
    <row r="60650" s="2" customFormat="1"/>
    <row r="60651" s="2" customFormat="1"/>
    <row r="60652" s="2" customFormat="1"/>
    <row r="60653" s="2" customFormat="1"/>
    <row r="60654" s="2" customFormat="1"/>
    <row r="60655" s="2" customFormat="1"/>
    <row r="60656" s="2" customFormat="1"/>
    <row r="60657" s="2" customFormat="1"/>
    <row r="60658" s="2" customFormat="1"/>
    <row r="60659" s="2" customFormat="1"/>
    <row r="60660" s="2" customFormat="1"/>
    <row r="60661" s="2" customFormat="1"/>
    <row r="60662" s="2" customFormat="1"/>
    <row r="60663" s="2" customFormat="1"/>
    <row r="60664" s="2" customFormat="1"/>
    <row r="60665" s="2" customFormat="1"/>
    <row r="60666" s="2" customFormat="1"/>
    <row r="60667" s="2" customFormat="1"/>
    <row r="60668" s="2" customFormat="1"/>
    <row r="60669" s="2" customFormat="1"/>
    <row r="60670" s="2" customFormat="1"/>
    <row r="60671" s="2" customFormat="1"/>
    <row r="60672" s="2" customFormat="1"/>
    <row r="60673" s="2" customFormat="1"/>
    <row r="60674" s="2" customFormat="1"/>
    <row r="60675" s="2" customFormat="1"/>
    <row r="60676" s="2" customFormat="1"/>
    <row r="60677" s="2" customFormat="1"/>
    <row r="60678" s="2" customFormat="1"/>
    <row r="60679" s="2" customFormat="1"/>
    <row r="60680" s="2" customFormat="1"/>
    <row r="60681" s="2" customFormat="1"/>
    <row r="60682" s="2" customFormat="1"/>
    <row r="60683" s="2" customFormat="1"/>
    <row r="60684" s="2" customFormat="1"/>
    <row r="60685" s="2" customFormat="1"/>
    <row r="60686" s="2" customFormat="1"/>
    <row r="60687" s="2" customFormat="1"/>
    <row r="60688" s="2" customFormat="1"/>
    <row r="60689" s="2" customFormat="1"/>
    <row r="60690" s="2" customFormat="1"/>
    <row r="60691" s="2" customFormat="1"/>
    <row r="60692" s="2" customFormat="1"/>
    <row r="60693" s="2" customFormat="1"/>
    <row r="60694" s="2" customFormat="1"/>
    <row r="60695" s="2" customFormat="1"/>
    <row r="60696" s="2" customFormat="1"/>
    <row r="60697" s="2" customFormat="1"/>
    <row r="60698" s="2" customFormat="1"/>
    <row r="60699" s="2" customFormat="1"/>
    <row r="60700" s="2" customFormat="1"/>
    <row r="60701" s="2" customFormat="1"/>
    <row r="60702" s="2" customFormat="1"/>
    <row r="60703" s="2" customFormat="1"/>
    <row r="60704" s="2" customFormat="1"/>
    <row r="60705" s="2" customFormat="1"/>
    <row r="60706" s="2" customFormat="1"/>
    <row r="60707" s="2" customFormat="1"/>
    <row r="60708" s="2" customFormat="1"/>
    <row r="60709" s="2" customFormat="1"/>
    <row r="60710" s="2" customFormat="1"/>
    <row r="60711" s="2" customFormat="1"/>
    <row r="60712" s="2" customFormat="1"/>
    <row r="60713" s="2" customFormat="1"/>
    <row r="60714" s="2" customFormat="1"/>
    <row r="60715" s="2" customFormat="1"/>
    <row r="60716" s="2" customFormat="1"/>
    <row r="60717" s="2" customFormat="1"/>
    <row r="60718" s="2" customFormat="1"/>
    <row r="60719" s="2" customFormat="1"/>
    <row r="60720" s="2" customFormat="1"/>
    <row r="60721" s="2" customFormat="1"/>
    <row r="60722" s="2" customFormat="1"/>
    <row r="60723" s="2" customFormat="1"/>
    <row r="60724" s="2" customFormat="1"/>
    <row r="60725" s="2" customFormat="1"/>
    <row r="60726" s="2" customFormat="1"/>
    <row r="60727" s="2" customFormat="1"/>
    <row r="60728" s="2" customFormat="1"/>
    <row r="60729" s="2" customFormat="1"/>
    <row r="60730" s="2" customFormat="1"/>
    <row r="60731" s="2" customFormat="1"/>
    <row r="60732" s="2" customFormat="1"/>
    <row r="60733" s="2" customFormat="1"/>
    <row r="60734" s="2" customFormat="1"/>
    <row r="60735" s="2" customFormat="1"/>
    <row r="60736" s="2" customFormat="1"/>
    <row r="60737" s="2" customFormat="1"/>
    <row r="60738" s="2" customFormat="1"/>
    <row r="60739" s="2" customFormat="1"/>
    <row r="60740" s="2" customFormat="1"/>
    <row r="60741" s="2" customFormat="1"/>
    <row r="60742" s="2" customFormat="1"/>
    <row r="60743" s="2" customFormat="1"/>
    <row r="60744" s="2" customFormat="1"/>
    <row r="60745" s="2" customFormat="1"/>
    <row r="60746" s="2" customFormat="1"/>
    <row r="60747" s="2" customFormat="1"/>
    <row r="60748" s="2" customFormat="1"/>
    <row r="60749" s="2" customFormat="1"/>
    <row r="60750" s="2" customFormat="1"/>
    <row r="60751" s="2" customFormat="1"/>
    <row r="60752" s="2" customFormat="1"/>
    <row r="60753" s="2" customFormat="1"/>
    <row r="60754" s="2" customFormat="1"/>
    <row r="60755" s="2" customFormat="1"/>
    <row r="60756" s="2" customFormat="1"/>
    <row r="60757" s="2" customFormat="1"/>
    <row r="60758" s="2" customFormat="1"/>
    <row r="60759" s="2" customFormat="1"/>
    <row r="60760" s="2" customFormat="1"/>
    <row r="60761" s="2" customFormat="1"/>
    <row r="60762" s="2" customFormat="1"/>
    <row r="60763" s="2" customFormat="1"/>
    <row r="60764" s="2" customFormat="1"/>
    <row r="60765" s="2" customFormat="1"/>
    <row r="60766" s="2" customFormat="1"/>
    <row r="60767" s="2" customFormat="1"/>
    <row r="60768" s="2" customFormat="1"/>
    <row r="60769" s="2" customFormat="1"/>
    <row r="60770" s="2" customFormat="1"/>
    <row r="60771" s="2" customFormat="1"/>
    <row r="60772" s="2" customFormat="1"/>
    <row r="60773" s="2" customFormat="1"/>
    <row r="60774" s="2" customFormat="1"/>
    <row r="60775" s="2" customFormat="1"/>
    <row r="60776" s="2" customFormat="1"/>
    <row r="60777" s="2" customFormat="1"/>
    <row r="60778" s="2" customFormat="1"/>
    <row r="60779" s="2" customFormat="1"/>
    <row r="60780" s="2" customFormat="1"/>
    <row r="60781" s="2" customFormat="1"/>
    <row r="60782" s="2" customFormat="1"/>
    <row r="60783" s="2" customFormat="1"/>
    <row r="60784" s="2" customFormat="1"/>
    <row r="60785" s="2" customFormat="1"/>
    <row r="60786" s="2" customFormat="1"/>
    <row r="60787" s="2" customFormat="1"/>
    <row r="60788" s="2" customFormat="1"/>
    <row r="60789" s="2" customFormat="1"/>
    <row r="60790" s="2" customFormat="1"/>
    <row r="60791" s="2" customFormat="1"/>
    <row r="60792" s="2" customFormat="1"/>
    <row r="60793" s="2" customFormat="1"/>
    <row r="60794" s="2" customFormat="1"/>
    <row r="60795" s="2" customFormat="1"/>
    <row r="60796" s="2" customFormat="1"/>
    <row r="60797" s="2" customFormat="1"/>
    <row r="60798" s="2" customFormat="1"/>
    <row r="60799" s="2" customFormat="1"/>
    <row r="60800" s="2" customFormat="1"/>
    <row r="60801" s="2" customFormat="1"/>
    <row r="60802" s="2" customFormat="1"/>
    <row r="60803" s="2" customFormat="1"/>
    <row r="60804" s="2" customFormat="1"/>
    <row r="60805" s="2" customFormat="1"/>
    <row r="60806" s="2" customFormat="1"/>
    <row r="60807" s="2" customFormat="1"/>
    <row r="60808" s="2" customFormat="1"/>
    <row r="60809" s="2" customFormat="1"/>
    <row r="60810" s="2" customFormat="1"/>
    <row r="60811" s="2" customFormat="1"/>
    <row r="60812" s="2" customFormat="1"/>
    <row r="60813" s="2" customFormat="1"/>
    <row r="60814" s="2" customFormat="1"/>
    <row r="60815" s="2" customFormat="1"/>
    <row r="60816" s="2" customFormat="1"/>
    <row r="60817" s="2" customFormat="1"/>
    <row r="60818" s="2" customFormat="1"/>
    <row r="60819" s="2" customFormat="1"/>
    <row r="60820" s="2" customFormat="1"/>
    <row r="60821" s="2" customFormat="1"/>
    <row r="60822" s="2" customFormat="1"/>
    <row r="60823" s="2" customFormat="1"/>
    <row r="60824" s="2" customFormat="1"/>
    <row r="60825" s="2" customFormat="1"/>
    <row r="60826" s="2" customFormat="1"/>
    <row r="60827" s="2" customFormat="1"/>
    <row r="60828" s="2" customFormat="1"/>
    <row r="60829" s="2" customFormat="1"/>
    <row r="60830" s="2" customFormat="1"/>
    <row r="60831" s="2" customFormat="1"/>
    <row r="60832" s="2" customFormat="1"/>
    <row r="60833" s="2" customFormat="1"/>
    <row r="60834" s="2" customFormat="1"/>
    <row r="60835" s="2" customFormat="1"/>
    <row r="60836" s="2" customFormat="1"/>
    <row r="60837" s="2" customFormat="1"/>
    <row r="60838" s="2" customFormat="1"/>
    <row r="60839" s="2" customFormat="1"/>
    <row r="60840" s="2" customFormat="1"/>
    <row r="60841" s="2" customFormat="1"/>
    <row r="60842" s="2" customFormat="1"/>
    <row r="60843" s="2" customFormat="1"/>
    <row r="60844" s="2" customFormat="1"/>
    <row r="60845" s="2" customFormat="1"/>
    <row r="60846" s="2" customFormat="1"/>
    <row r="60847" s="2" customFormat="1"/>
    <row r="60848" s="2" customFormat="1"/>
    <row r="60849" s="2" customFormat="1"/>
    <row r="60850" s="2" customFormat="1"/>
    <row r="60851" s="2" customFormat="1"/>
    <row r="60852" s="2" customFormat="1"/>
    <row r="60853" s="2" customFormat="1"/>
    <row r="60854" s="2" customFormat="1"/>
    <row r="60855" s="2" customFormat="1"/>
    <row r="60856" s="2" customFormat="1"/>
    <row r="60857" s="2" customFormat="1"/>
    <row r="60858" s="2" customFormat="1"/>
    <row r="60859" s="2" customFormat="1"/>
    <row r="60860" s="2" customFormat="1"/>
    <row r="60861" s="2" customFormat="1"/>
    <row r="60862" s="2" customFormat="1"/>
    <row r="60863" s="2" customFormat="1"/>
    <row r="60864" s="2" customFormat="1"/>
    <row r="60865" s="2" customFormat="1"/>
    <row r="60866" s="2" customFormat="1"/>
    <row r="60867" s="2" customFormat="1"/>
    <row r="60868" s="2" customFormat="1"/>
    <row r="60869" s="2" customFormat="1"/>
    <row r="60870" s="2" customFormat="1"/>
    <row r="60871" s="2" customFormat="1"/>
    <row r="60872" s="2" customFormat="1"/>
    <row r="60873" s="2" customFormat="1"/>
    <row r="60874" s="2" customFormat="1"/>
    <row r="60875" s="2" customFormat="1"/>
    <row r="60876" s="2" customFormat="1"/>
    <row r="60877" s="2" customFormat="1"/>
    <row r="60878" s="2" customFormat="1"/>
    <row r="60879" s="2" customFormat="1"/>
    <row r="60880" s="2" customFormat="1"/>
    <row r="60881" s="2" customFormat="1"/>
    <row r="60882" s="2" customFormat="1"/>
    <row r="60883" s="2" customFormat="1"/>
    <row r="60884" s="2" customFormat="1"/>
    <row r="60885" s="2" customFormat="1"/>
    <row r="60886" s="2" customFormat="1"/>
    <row r="60887" s="2" customFormat="1"/>
    <row r="60888" s="2" customFormat="1"/>
    <row r="60889" s="2" customFormat="1"/>
    <row r="60890" s="2" customFormat="1"/>
    <row r="60891" s="2" customFormat="1"/>
    <row r="60892" s="2" customFormat="1"/>
    <row r="60893" s="2" customFormat="1"/>
    <row r="60894" s="2" customFormat="1"/>
    <row r="60895" s="2" customFormat="1"/>
    <row r="60896" s="2" customFormat="1"/>
    <row r="60897" s="2" customFormat="1"/>
    <row r="60898" s="2" customFormat="1"/>
    <row r="60899" s="2" customFormat="1"/>
    <row r="60900" s="2" customFormat="1"/>
    <row r="60901" s="2" customFormat="1"/>
    <row r="60902" s="2" customFormat="1"/>
    <row r="60903" s="2" customFormat="1"/>
    <row r="60904" s="2" customFormat="1"/>
    <row r="60905" s="2" customFormat="1"/>
    <row r="60906" s="2" customFormat="1"/>
    <row r="60907" s="2" customFormat="1"/>
    <row r="60908" s="2" customFormat="1"/>
    <row r="60909" s="2" customFormat="1"/>
    <row r="60910" s="2" customFormat="1"/>
    <row r="60911" s="2" customFormat="1"/>
    <row r="60912" s="2" customFormat="1"/>
    <row r="60913" s="2" customFormat="1"/>
    <row r="60914" s="2" customFormat="1"/>
    <row r="60915" s="2" customFormat="1"/>
    <row r="60916" s="2" customFormat="1"/>
    <row r="60917" s="2" customFormat="1"/>
    <row r="60918" s="2" customFormat="1"/>
    <row r="60919" s="2" customFormat="1"/>
    <row r="60920" s="2" customFormat="1"/>
    <row r="60921" s="2" customFormat="1"/>
    <row r="60922" s="2" customFormat="1"/>
    <row r="60923" s="2" customFormat="1"/>
    <row r="60924" s="2" customFormat="1"/>
    <row r="60925" s="2" customFormat="1"/>
    <row r="60926" s="2" customFormat="1"/>
    <row r="60927" s="2" customFormat="1"/>
    <row r="60928" s="2" customFormat="1"/>
    <row r="60929" s="2" customFormat="1"/>
    <row r="60930" s="2" customFormat="1"/>
    <row r="60931" s="2" customFormat="1"/>
    <row r="60932" s="2" customFormat="1"/>
    <row r="60933" s="2" customFormat="1"/>
    <row r="60934" s="2" customFormat="1"/>
    <row r="60935" s="2" customFormat="1"/>
    <row r="60936" s="2" customFormat="1"/>
    <row r="60937" s="2" customFormat="1"/>
    <row r="60938" s="2" customFormat="1"/>
    <row r="60939" s="2" customFormat="1"/>
    <row r="60940" s="2" customFormat="1"/>
    <row r="60941" s="2" customFormat="1"/>
    <row r="60942" s="2" customFormat="1"/>
    <row r="60943" s="2" customFormat="1"/>
    <row r="60944" s="2" customFormat="1"/>
    <row r="60945" s="2" customFormat="1"/>
    <row r="60946" s="2" customFormat="1"/>
    <row r="60947" s="2" customFormat="1"/>
    <row r="60948" s="2" customFormat="1"/>
    <row r="60949" s="2" customFormat="1"/>
    <row r="60950" s="2" customFormat="1"/>
    <row r="60951" s="2" customFormat="1"/>
    <row r="60952" s="2" customFormat="1"/>
    <row r="60953" s="2" customFormat="1"/>
    <row r="60954" s="2" customFormat="1"/>
    <row r="60955" s="2" customFormat="1"/>
    <row r="60956" s="2" customFormat="1"/>
    <row r="60957" s="2" customFormat="1"/>
    <row r="60958" s="2" customFormat="1"/>
    <row r="60959" s="2" customFormat="1"/>
    <row r="60960" s="2" customFormat="1"/>
    <row r="60961" s="2" customFormat="1"/>
    <row r="60962" s="2" customFormat="1"/>
    <row r="60963" s="2" customFormat="1"/>
    <row r="60964" s="2" customFormat="1"/>
    <row r="60965" s="2" customFormat="1"/>
    <row r="60966" s="2" customFormat="1"/>
    <row r="60967" s="2" customFormat="1"/>
    <row r="60968" s="2" customFormat="1"/>
    <row r="60969" s="2" customFormat="1"/>
    <row r="60970" s="2" customFormat="1"/>
    <row r="60971" s="2" customFormat="1"/>
    <row r="60972" s="2" customFormat="1"/>
    <row r="60973" s="2" customFormat="1"/>
    <row r="60974" s="2" customFormat="1"/>
    <row r="60975" s="2" customFormat="1"/>
    <row r="60976" s="2" customFormat="1"/>
    <row r="60977" s="2" customFormat="1"/>
    <row r="60978" s="2" customFormat="1"/>
    <row r="60979" s="2" customFormat="1"/>
    <row r="60980" s="2" customFormat="1"/>
    <row r="60981" s="2" customFormat="1"/>
    <row r="60982" s="2" customFormat="1"/>
    <row r="60983" s="2" customFormat="1"/>
    <row r="60984" s="2" customFormat="1"/>
    <row r="60985" s="2" customFormat="1"/>
    <row r="60986" s="2" customFormat="1"/>
    <row r="60987" s="2" customFormat="1"/>
    <row r="60988" s="2" customFormat="1"/>
    <row r="60989" s="2" customFormat="1"/>
    <row r="60990" s="2" customFormat="1"/>
    <row r="60991" s="2" customFormat="1"/>
    <row r="60992" s="2" customFormat="1"/>
    <row r="60993" s="2" customFormat="1"/>
    <row r="60994" s="2" customFormat="1"/>
    <row r="60995" s="2" customFormat="1"/>
    <row r="60996" s="2" customFormat="1"/>
    <row r="60997" s="2" customFormat="1"/>
    <row r="60998" s="2" customFormat="1"/>
    <row r="60999" s="2" customFormat="1"/>
    <row r="61000" s="2" customFormat="1"/>
    <row r="61001" s="2" customFormat="1"/>
    <row r="61002" s="2" customFormat="1"/>
    <row r="61003" s="2" customFormat="1"/>
    <row r="61004" s="2" customFormat="1"/>
    <row r="61005" s="2" customFormat="1"/>
    <row r="61006" s="2" customFormat="1"/>
    <row r="61007" s="2" customFormat="1"/>
    <row r="61008" s="2" customFormat="1"/>
    <row r="61009" s="2" customFormat="1"/>
    <row r="61010" s="2" customFormat="1"/>
    <row r="61011" s="2" customFormat="1"/>
    <row r="61012" s="2" customFormat="1"/>
    <row r="61013" s="2" customFormat="1"/>
    <row r="61014" s="2" customFormat="1"/>
    <row r="61015" s="2" customFormat="1"/>
    <row r="61016" s="2" customFormat="1"/>
    <row r="61017" s="2" customFormat="1"/>
    <row r="61018" s="2" customFormat="1"/>
    <row r="61019" s="2" customFormat="1"/>
    <row r="61020" s="2" customFormat="1"/>
    <row r="61021" s="2" customFormat="1"/>
    <row r="61022" s="2" customFormat="1"/>
    <row r="61023" s="2" customFormat="1"/>
    <row r="61024" s="2" customFormat="1"/>
    <row r="61025" s="2" customFormat="1"/>
    <row r="61026" s="2" customFormat="1"/>
    <row r="61027" s="2" customFormat="1"/>
    <row r="61028" s="2" customFormat="1"/>
    <row r="61029" s="2" customFormat="1"/>
    <row r="61030" s="2" customFormat="1"/>
    <row r="61031" s="2" customFormat="1"/>
    <row r="61032" s="2" customFormat="1"/>
    <row r="61033" s="2" customFormat="1"/>
    <row r="61034" s="2" customFormat="1"/>
    <row r="61035" s="2" customFormat="1"/>
    <row r="61036" s="2" customFormat="1"/>
    <row r="61037" s="2" customFormat="1"/>
    <row r="61038" s="2" customFormat="1"/>
    <row r="61039" s="2" customFormat="1"/>
    <row r="61040" s="2" customFormat="1"/>
    <row r="61041" s="2" customFormat="1"/>
    <row r="61042" s="2" customFormat="1"/>
    <row r="61043" s="2" customFormat="1"/>
    <row r="61044" s="2" customFormat="1"/>
    <row r="61045" s="2" customFormat="1"/>
    <row r="61046" s="2" customFormat="1"/>
    <row r="61047" s="2" customFormat="1"/>
    <row r="61048" s="2" customFormat="1"/>
    <row r="61049" s="2" customFormat="1"/>
    <row r="61050" s="2" customFormat="1"/>
    <row r="61051" s="2" customFormat="1"/>
    <row r="61052" s="2" customFormat="1"/>
    <row r="61053" s="2" customFormat="1"/>
    <row r="61054" s="2" customFormat="1"/>
    <row r="61055" s="2" customFormat="1"/>
    <row r="61056" s="2" customFormat="1"/>
    <row r="61057" s="2" customFormat="1"/>
    <row r="61058" s="2" customFormat="1"/>
    <row r="61059" s="2" customFormat="1"/>
    <row r="61060" s="2" customFormat="1"/>
    <row r="61061" s="2" customFormat="1"/>
    <row r="61062" s="2" customFormat="1"/>
    <row r="61063" s="2" customFormat="1"/>
    <row r="61064" s="2" customFormat="1"/>
    <row r="61065" s="2" customFormat="1"/>
    <row r="61066" s="2" customFormat="1"/>
    <row r="61067" s="2" customFormat="1"/>
    <row r="61068" s="2" customFormat="1"/>
    <row r="61069" s="2" customFormat="1"/>
    <row r="61070" s="2" customFormat="1"/>
    <row r="61071" s="2" customFormat="1"/>
    <row r="61072" s="2" customFormat="1"/>
    <row r="61073" s="2" customFormat="1"/>
    <row r="61074" s="2" customFormat="1"/>
    <row r="61075" s="2" customFormat="1"/>
    <row r="61076" s="2" customFormat="1"/>
    <row r="61077" s="2" customFormat="1"/>
    <row r="61078" s="2" customFormat="1"/>
    <row r="61079" s="2" customFormat="1"/>
    <row r="61080" s="2" customFormat="1"/>
    <row r="61081" s="2" customFormat="1"/>
    <row r="61082" s="2" customFormat="1"/>
    <row r="61083" s="2" customFormat="1"/>
    <row r="61084" s="2" customFormat="1"/>
    <row r="61085" s="2" customFormat="1"/>
    <row r="61086" s="2" customFormat="1"/>
    <row r="61087" s="2" customFormat="1"/>
    <row r="61088" s="2" customFormat="1"/>
    <row r="61089" s="2" customFormat="1"/>
    <row r="61090" s="2" customFormat="1"/>
    <row r="61091" s="2" customFormat="1"/>
    <row r="61092" s="2" customFormat="1"/>
    <row r="61093" s="2" customFormat="1"/>
    <row r="61094" s="2" customFormat="1"/>
    <row r="61095" s="2" customFormat="1"/>
    <row r="61096" s="2" customFormat="1"/>
    <row r="61097" s="2" customFormat="1"/>
    <row r="61098" s="2" customFormat="1"/>
    <row r="61099" s="2" customFormat="1"/>
    <row r="61100" s="2" customFormat="1"/>
    <row r="61101" s="2" customFormat="1"/>
    <row r="61102" s="2" customFormat="1"/>
    <row r="61103" s="2" customFormat="1"/>
    <row r="61104" s="2" customFormat="1"/>
    <row r="61105" s="2" customFormat="1"/>
    <row r="61106" s="2" customFormat="1"/>
    <row r="61107" s="2" customFormat="1"/>
    <row r="61108" s="2" customFormat="1"/>
    <row r="61109" s="2" customFormat="1"/>
    <row r="61110" s="2" customFormat="1"/>
    <row r="61111" s="2" customFormat="1"/>
    <row r="61112" s="2" customFormat="1"/>
    <row r="61113" s="2" customFormat="1"/>
    <row r="61114" s="2" customFormat="1"/>
    <row r="61115" s="2" customFormat="1"/>
    <row r="61116" s="2" customFormat="1"/>
    <row r="61117" s="2" customFormat="1"/>
    <row r="61118" s="2" customFormat="1"/>
    <row r="61119" s="2" customFormat="1"/>
    <row r="61120" s="2" customFormat="1"/>
    <row r="61121" s="2" customFormat="1"/>
    <row r="61122" s="2" customFormat="1"/>
    <row r="61123" s="2" customFormat="1"/>
    <row r="61124" s="2" customFormat="1"/>
    <row r="61125" s="2" customFormat="1"/>
    <row r="61126" s="2" customFormat="1"/>
    <row r="61127" s="2" customFormat="1"/>
    <row r="61128" s="2" customFormat="1"/>
    <row r="61129" s="2" customFormat="1"/>
    <row r="61130" s="2" customFormat="1"/>
    <row r="61131" s="2" customFormat="1"/>
    <row r="61132" s="2" customFormat="1"/>
    <row r="61133" s="2" customFormat="1"/>
    <row r="61134" s="2" customFormat="1"/>
    <row r="61135" s="2" customFormat="1"/>
    <row r="61136" s="2" customFormat="1"/>
    <row r="61137" s="2" customFormat="1"/>
    <row r="61138" s="2" customFormat="1"/>
    <row r="61139" s="2" customFormat="1"/>
    <row r="61140" s="2" customFormat="1"/>
    <row r="61141" s="2" customFormat="1"/>
    <row r="61142" s="2" customFormat="1"/>
    <row r="61143" s="2" customFormat="1"/>
    <row r="61144" s="2" customFormat="1"/>
    <row r="61145" s="2" customFormat="1"/>
    <row r="61146" s="2" customFormat="1"/>
    <row r="61147" s="2" customFormat="1"/>
    <row r="61148" s="2" customFormat="1"/>
    <row r="61149" s="2" customFormat="1"/>
    <row r="61150" s="2" customFormat="1"/>
    <row r="61151" s="2" customFormat="1"/>
    <row r="61152" s="2" customFormat="1"/>
    <row r="61153" s="2" customFormat="1"/>
    <row r="61154" s="2" customFormat="1"/>
    <row r="61155" s="2" customFormat="1"/>
    <row r="61156" s="2" customFormat="1"/>
    <row r="61157" s="2" customFormat="1"/>
    <row r="61158" s="2" customFormat="1"/>
    <row r="61159" s="2" customFormat="1"/>
    <row r="61160" s="2" customFormat="1"/>
    <row r="61161" s="2" customFormat="1"/>
    <row r="61162" s="2" customFormat="1"/>
    <row r="61163" s="2" customFormat="1"/>
    <row r="61164" s="2" customFormat="1"/>
    <row r="61165" s="2" customFormat="1"/>
    <row r="61166" s="2" customFormat="1"/>
    <row r="61167" s="2" customFormat="1"/>
    <row r="61168" s="2" customFormat="1"/>
    <row r="61169" s="2" customFormat="1"/>
    <row r="61170" s="2" customFormat="1"/>
    <row r="61171" s="2" customFormat="1"/>
    <row r="61172" s="2" customFormat="1"/>
    <row r="61173" s="2" customFormat="1"/>
    <row r="61174" s="2" customFormat="1"/>
    <row r="61175" s="2" customFormat="1"/>
    <row r="61176" s="2" customFormat="1"/>
    <row r="61177" s="2" customFormat="1"/>
    <row r="61178" s="2" customFormat="1"/>
    <row r="61179" s="2" customFormat="1"/>
    <row r="61180" s="2" customFormat="1"/>
    <row r="61181" s="2" customFormat="1"/>
    <row r="61182" s="2" customFormat="1"/>
    <row r="61183" s="2" customFormat="1"/>
    <row r="61184" s="2" customFormat="1"/>
    <row r="61185" s="2" customFormat="1"/>
    <row r="61186" s="2" customFormat="1"/>
    <row r="61187" s="2" customFormat="1"/>
    <row r="61188" s="2" customFormat="1"/>
    <row r="61189" s="2" customFormat="1"/>
    <row r="61190" s="2" customFormat="1"/>
    <row r="61191" s="2" customFormat="1"/>
    <row r="61192" s="2" customFormat="1"/>
    <row r="61193" s="2" customFormat="1"/>
    <row r="61194" s="2" customFormat="1"/>
    <row r="61195" s="2" customFormat="1"/>
    <row r="61196" s="2" customFormat="1"/>
    <row r="61197" s="2" customFormat="1"/>
    <row r="61198" s="2" customFormat="1"/>
    <row r="61199" s="2" customFormat="1"/>
    <row r="61200" s="2" customFormat="1"/>
    <row r="61201" s="2" customFormat="1"/>
    <row r="61202" s="2" customFormat="1"/>
    <row r="61203" s="2" customFormat="1"/>
    <row r="61204" s="2" customFormat="1"/>
    <row r="61205" s="2" customFormat="1"/>
    <row r="61206" s="2" customFormat="1"/>
    <row r="61207" s="2" customFormat="1"/>
    <row r="61208" s="2" customFormat="1"/>
    <row r="61209" s="2" customFormat="1"/>
    <row r="61210" s="2" customFormat="1"/>
    <row r="61211" s="2" customFormat="1"/>
    <row r="61212" s="2" customFormat="1"/>
    <row r="61213" s="2" customFormat="1"/>
    <row r="61214" s="2" customFormat="1"/>
    <row r="61215" s="2" customFormat="1"/>
    <row r="61216" s="2" customFormat="1"/>
    <row r="61217" s="2" customFormat="1"/>
    <row r="61218" s="2" customFormat="1"/>
    <row r="61219" s="2" customFormat="1"/>
    <row r="61220" s="2" customFormat="1"/>
    <row r="61221" s="2" customFormat="1"/>
    <row r="61222" s="2" customFormat="1"/>
    <row r="61223" s="2" customFormat="1"/>
    <row r="61224" s="2" customFormat="1"/>
    <row r="61225" s="2" customFormat="1"/>
    <row r="61226" s="2" customFormat="1"/>
    <row r="61227" s="2" customFormat="1"/>
    <row r="61228" s="2" customFormat="1"/>
    <row r="61229" s="2" customFormat="1"/>
    <row r="61230" s="2" customFormat="1"/>
    <row r="61231" s="2" customFormat="1"/>
    <row r="61232" s="2" customFormat="1"/>
    <row r="61233" s="2" customFormat="1"/>
    <row r="61234" s="2" customFormat="1"/>
    <row r="61235" s="2" customFormat="1"/>
    <row r="61236" s="2" customFormat="1"/>
    <row r="61237" s="2" customFormat="1"/>
    <row r="61238" s="2" customFormat="1"/>
    <row r="61239" s="2" customFormat="1"/>
    <row r="61240" s="2" customFormat="1"/>
    <row r="61241" s="2" customFormat="1"/>
    <row r="61242" s="2" customFormat="1"/>
    <row r="61243" s="2" customFormat="1"/>
    <row r="61244" s="2" customFormat="1"/>
    <row r="61245" s="2" customFormat="1"/>
    <row r="61246" s="2" customFormat="1"/>
    <row r="61247" s="2" customFormat="1"/>
    <row r="61248" s="2" customFormat="1"/>
    <row r="61249" s="2" customFormat="1"/>
    <row r="61250" s="2" customFormat="1"/>
    <row r="61251" s="2" customFormat="1"/>
    <row r="61252" s="2" customFormat="1"/>
    <row r="61253" s="2" customFormat="1"/>
    <row r="61254" s="2" customFormat="1"/>
    <row r="61255" s="2" customFormat="1"/>
    <row r="61256" s="2" customFormat="1"/>
    <row r="61257" s="2" customFormat="1"/>
    <row r="61258" s="2" customFormat="1"/>
    <row r="61259" s="2" customFormat="1"/>
    <row r="61260" s="2" customFormat="1"/>
    <row r="61261" s="2" customFormat="1"/>
    <row r="61262" s="2" customFormat="1"/>
    <row r="61263" s="2" customFormat="1"/>
    <row r="61264" s="2" customFormat="1"/>
    <row r="61265" s="2" customFormat="1"/>
    <row r="61266" s="2" customFormat="1"/>
    <row r="61267" s="2" customFormat="1"/>
    <row r="61268" s="2" customFormat="1"/>
    <row r="61269" s="2" customFormat="1"/>
    <row r="61270" s="2" customFormat="1"/>
    <row r="61271" s="2" customFormat="1"/>
    <row r="61272" s="2" customFormat="1"/>
    <row r="61273" s="2" customFormat="1"/>
    <row r="61274" s="2" customFormat="1"/>
    <row r="61275" s="2" customFormat="1"/>
    <row r="61276" s="2" customFormat="1"/>
    <row r="61277" s="2" customFormat="1"/>
    <row r="61278" s="2" customFormat="1"/>
    <row r="61279" s="2" customFormat="1"/>
    <row r="61280" s="2" customFormat="1"/>
    <row r="61281" s="2" customFormat="1"/>
    <row r="61282" s="2" customFormat="1"/>
    <row r="61283" s="2" customFormat="1"/>
    <row r="61284" s="2" customFormat="1"/>
    <row r="61285" s="2" customFormat="1"/>
    <row r="61286" s="2" customFormat="1"/>
    <row r="61287" s="2" customFormat="1"/>
    <row r="61288" s="2" customFormat="1"/>
    <row r="61289" s="2" customFormat="1"/>
    <row r="61290" s="2" customFormat="1"/>
    <row r="61291" s="2" customFormat="1"/>
    <row r="61292" s="2" customFormat="1"/>
    <row r="61293" s="2" customFormat="1"/>
    <row r="61294" s="2" customFormat="1"/>
    <row r="61295" s="2" customFormat="1"/>
    <row r="61296" s="2" customFormat="1"/>
    <row r="61297" s="2" customFormat="1"/>
    <row r="61298" s="2" customFormat="1"/>
    <row r="61299" s="2" customFormat="1"/>
    <row r="61300" s="2" customFormat="1"/>
    <row r="61301" s="2" customFormat="1"/>
    <row r="61302" s="2" customFormat="1"/>
    <row r="61303" s="2" customFormat="1"/>
    <row r="61304" s="2" customFormat="1"/>
    <row r="61305" s="2" customFormat="1"/>
    <row r="61306" s="2" customFormat="1"/>
    <row r="61307" s="2" customFormat="1"/>
    <row r="61308" s="2" customFormat="1"/>
    <row r="61309" s="2" customFormat="1"/>
    <row r="61310" s="2" customFormat="1"/>
    <row r="61311" s="2" customFormat="1"/>
    <row r="61312" s="2" customFormat="1"/>
    <row r="61313" s="2" customFormat="1"/>
    <row r="61314" s="2" customFormat="1"/>
    <row r="61315" s="2" customFormat="1"/>
    <row r="61316" s="2" customFormat="1"/>
    <row r="61317" s="2" customFormat="1"/>
    <row r="61318" s="2" customFormat="1"/>
    <row r="61319" s="2" customFormat="1"/>
    <row r="61320" s="2" customFormat="1"/>
    <row r="61321" s="2" customFormat="1"/>
    <row r="61322" s="2" customFormat="1"/>
    <row r="61323" s="2" customFormat="1"/>
    <row r="61324" s="2" customFormat="1"/>
    <row r="61325" s="2" customFormat="1"/>
    <row r="61326" s="2" customFormat="1"/>
    <row r="61327" s="2" customFormat="1"/>
    <row r="61328" s="2" customFormat="1"/>
    <row r="61329" s="2" customFormat="1"/>
    <row r="61330" s="2" customFormat="1"/>
    <row r="61331" s="2" customFormat="1"/>
    <row r="61332" s="2" customFormat="1"/>
    <row r="61333" s="2" customFormat="1"/>
    <row r="61334" s="2" customFormat="1"/>
    <row r="61335" s="2" customFormat="1"/>
    <row r="61336" s="2" customFormat="1"/>
    <row r="61337" s="2" customFormat="1"/>
    <row r="61338" s="2" customFormat="1"/>
    <row r="61339" s="2" customFormat="1"/>
    <row r="61340" s="2" customFormat="1"/>
    <row r="61341" s="2" customFormat="1"/>
    <row r="61342" s="2" customFormat="1"/>
    <row r="61343" s="2" customFormat="1"/>
    <row r="61344" s="2" customFormat="1"/>
    <row r="61345" s="2" customFormat="1"/>
    <row r="61346" s="2" customFormat="1"/>
    <row r="61347" s="2" customFormat="1"/>
    <row r="61348" s="2" customFormat="1"/>
    <row r="61349" s="2" customFormat="1"/>
    <row r="61350" s="2" customFormat="1"/>
    <row r="61351" s="2" customFormat="1"/>
    <row r="61352" s="2" customFormat="1"/>
    <row r="61353" s="2" customFormat="1"/>
    <row r="61354" s="2" customFormat="1"/>
    <row r="61355" s="2" customFormat="1"/>
    <row r="61356" s="2" customFormat="1"/>
    <row r="61357" s="2" customFormat="1"/>
    <row r="61358" s="2" customFormat="1"/>
    <row r="61359" s="2" customFormat="1"/>
    <row r="61360" s="2" customFormat="1"/>
    <row r="61361" s="2" customFormat="1"/>
    <row r="61362" s="2" customFormat="1"/>
    <row r="61363" s="2" customFormat="1"/>
    <row r="61364" s="2" customFormat="1"/>
    <row r="61365" s="2" customFormat="1"/>
    <row r="61366" s="2" customFormat="1"/>
    <row r="61367" s="2" customFormat="1"/>
    <row r="61368" s="2" customFormat="1"/>
    <row r="61369" s="2" customFormat="1"/>
    <row r="61370" s="2" customFormat="1"/>
    <row r="61371" s="2" customFormat="1"/>
    <row r="61372" s="2" customFormat="1"/>
    <row r="61373" s="2" customFormat="1"/>
    <row r="61374" s="2" customFormat="1"/>
    <row r="61375" s="2" customFormat="1"/>
    <row r="61376" s="2" customFormat="1"/>
    <row r="61377" s="2" customFormat="1"/>
    <row r="61378" s="2" customFormat="1"/>
    <row r="61379" s="2" customFormat="1"/>
    <row r="61380" s="2" customFormat="1"/>
    <row r="61381" s="2" customFormat="1"/>
    <row r="61382" s="2" customFormat="1"/>
    <row r="61383" s="2" customFormat="1"/>
    <row r="61384" s="2" customFormat="1"/>
    <row r="61385" s="2" customFormat="1"/>
    <row r="61386" s="2" customFormat="1"/>
    <row r="61387" s="2" customFormat="1"/>
    <row r="61388" s="2" customFormat="1"/>
    <row r="61389" s="2" customFormat="1"/>
    <row r="61390" s="2" customFormat="1"/>
    <row r="61391" s="2" customFormat="1"/>
    <row r="61392" s="2" customFormat="1"/>
    <row r="61393" s="2" customFormat="1"/>
    <row r="61394" s="2" customFormat="1"/>
    <row r="61395" s="2" customFormat="1"/>
    <row r="61396" s="2" customFormat="1"/>
    <row r="61397" s="2" customFormat="1"/>
    <row r="61398" s="2" customFormat="1"/>
    <row r="61399" s="2" customFormat="1"/>
    <row r="61400" s="2" customFormat="1"/>
    <row r="61401" s="2" customFormat="1"/>
    <row r="61402" s="2" customFormat="1"/>
    <row r="61403" s="2" customFormat="1"/>
    <row r="61404" s="2" customFormat="1"/>
    <row r="61405" s="2" customFormat="1"/>
    <row r="61406" s="2" customFormat="1"/>
    <row r="61407" s="2" customFormat="1"/>
    <row r="61408" s="2" customFormat="1"/>
    <row r="61409" s="2" customFormat="1"/>
    <row r="61410" s="2" customFormat="1"/>
    <row r="61411" s="2" customFormat="1"/>
    <row r="61412" s="2" customFormat="1"/>
    <row r="61413" s="2" customFormat="1"/>
    <row r="61414" s="2" customFormat="1"/>
    <row r="61415" s="2" customFormat="1"/>
    <row r="61416" s="2" customFormat="1"/>
    <row r="61417" s="2" customFormat="1"/>
    <row r="61418" s="2" customFormat="1"/>
    <row r="61419" s="2" customFormat="1"/>
    <row r="61420" s="2" customFormat="1"/>
    <row r="61421" s="2" customFormat="1"/>
    <row r="61422" s="2" customFormat="1"/>
    <row r="61423" s="2" customFormat="1"/>
    <row r="61424" s="2" customFormat="1"/>
    <row r="61425" s="2" customFormat="1"/>
    <row r="61426" s="2" customFormat="1"/>
    <row r="61427" s="2" customFormat="1"/>
    <row r="61428" s="2" customFormat="1"/>
    <row r="61429" s="2" customFormat="1"/>
    <row r="61430" s="2" customFormat="1"/>
    <row r="61431" s="2" customFormat="1"/>
    <row r="61432" s="2" customFormat="1"/>
    <row r="61433" s="2" customFormat="1"/>
    <row r="61434" s="2" customFormat="1"/>
    <row r="61435" s="2" customFormat="1"/>
    <row r="61436" s="2" customFormat="1"/>
    <row r="61437" s="2" customFormat="1"/>
    <row r="61438" s="2" customFormat="1"/>
    <row r="61439" s="2" customFormat="1"/>
    <row r="61440" s="2" customFormat="1"/>
    <row r="61441" s="2" customFormat="1"/>
    <row r="61442" s="2" customFormat="1"/>
    <row r="61443" s="2" customFormat="1"/>
    <row r="61444" s="2" customFormat="1"/>
    <row r="61445" s="2" customFormat="1"/>
    <row r="61446" s="2" customFormat="1"/>
    <row r="61447" s="2" customFormat="1"/>
    <row r="61448" s="2" customFormat="1"/>
    <row r="61449" s="2" customFormat="1"/>
    <row r="61450" s="2" customFormat="1"/>
    <row r="61451" s="2" customFormat="1"/>
    <row r="61452" s="2" customFormat="1"/>
    <row r="61453" s="2" customFormat="1"/>
    <row r="61454" s="2" customFormat="1"/>
    <row r="61455" s="2" customFormat="1"/>
    <row r="61456" s="2" customFormat="1"/>
    <row r="61457" s="2" customFormat="1"/>
    <row r="61458" s="2" customFormat="1"/>
    <row r="61459" s="2" customFormat="1"/>
    <row r="61460" s="2" customFormat="1"/>
    <row r="61461" s="2" customFormat="1"/>
    <row r="61462" s="2" customFormat="1"/>
    <row r="61463" s="2" customFormat="1"/>
    <row r="61464" s="2" customFormat="1"/>
    <row r="61465" s="2" customFormat="1"/>
    <row r="61466" s="2" customFormat="1"/>
    <row r="61467" s="2" customFormat="1"/>
    <row r="61468" s="2" customFormat="1"/>
    <row r="61469" s="2" customFormat="1"/>
    <row r="61470" s="2" customFormat="1"/>
    <row r="61471" s="2" customFormat="1"/>
    <row r="61472" s="2" customFormat="1"/>
    <row r="61473" s="2" customFormat="1"/>
    <row r="61474" s="2" customFormat="1"/>
    <row r="61475" s="2" customFormat="1"/>
    <row r="61476" s="2" customFormat="1"/>
    <row r="61477" s="2" customFormat="1"/>
    <row r="61478" s="2" customFormat="1"/>
    <row r="61479" s="2" customFormat="1"/>
    <row r="61480" s="2" customFormat="1"/>
    <row r="61481" s="2" customFormat="1"/>
    <row r="61482" s="2" customFormat="1"/>
    <row r="61483" s="2" customFormat="1"/>
    <row r="61484" s="2" customFormat="1"/>
    <row r="61485" s="2" customFormat="1"/>
    <row r="61486" s="2" customFormat="1"/>
    <row r="61487" s="2" customFormat="1"/>
    <row r="61488" s="2" customFormat="1"/>
    <row r="61489" s="2" customFormat="1"/>
    <row r="61490" s="2" customFormat="1"/>
    <row r="61491" s="2" customFormat="1"/>
    <row r="61492" s="2" customFormat="1"/>
    <row r="61493" s="2" customFormat="1"/>
    <row r="61494" s="2" customFormat="1"/>
    <row r="61495" s="2" customFormat="1"/>
    <row r="61496" s="2" customFormat="1"/>
    <row r="61497" s="2" customFormat="1"/>
    <row r="61498" s="2" customFormat="1"/>
    <row r="61499" s="2" customFormat="1"/>
    <row r="61500" s="2" customFormat="1"/>
    <row r="61501" s="2" customFormat="1"/>
    <row r="61502" s="2" customFormat="1"/>
    <row r="61503" s="2" customFormat="1"/>
    <row r="61504" s="2" customFormat="1"/>
    <row r="61505" s="2" customFormat="1"/>
    <row r="61506" s="2" customFormat="1"/>
    <row r="61507" s="2" customFormat="1"/>
    <row r="61508" s="2" customFormat="1"/>
    <row r="61509" s="2" customFormat="1"/>
    <row r="61510" s="2" customFormat="1"/>
    <row r="61511" s="2" customFormat="1"/>
    <row r="61512" s="2" customFormat="1"/>
    <row r="61513" s="2" customFormat="1"/>
    <row r="61514" s="2" customFormat="1"/>
    <row r="61515" s="2" customFormat="1"/>
    <row r="61516" s="2" customFormat="1"/>
    <row r="61517" s="2" customFormat="1"/>
    <row r="61518" s="2" customFormat="1"/>
    <row r="61519" s="2" customFormat="1"/>
    <row r="61520" s="2" customFormat="1"/>
    <row r="61521" s="2" customFormat="1"/>
    <row r="61522" s="2" customFormat="1"/>
    <row r="61523" s="2" customFormat="1"/>
    <row r="61524" s="2" customFormat="1"/>
    <row r="61525" s="2" customFormat="1"/>
    <row r="61526" s="2" customFormat="1"/>
    <row r="61527" s="2" customFormat="1"/>
    <row r="61528" s="2" customFormat="1"/>
    <row r="61529" s="2" customFormat="1"/>
    <row r="61530" s="2" customFormat="1"/>
    <row r="61531" s="2" customFormat="1"/>
    <row r="61532" s="2" customFormat="1"/>
    <row r="61533" s="2" customFormat="1"/>
    <row r="61534" s="2" customFormat="1"/>
    <row r="61535" s="2" customFormat="1"/>
    <row r="61536" s="2" customFormat="1"/>
    <row r="61537" s="2" customFormat="1"/>
    <row r="61538" s="2" customFormat="1"/>
    <row r="61539" s="2" customFormat="1"/>
    <row r="61540" s="2" customFormat="1"/>
    <row r="61541" s="2" customFormat="1"/>
    <row r="61542" s="2" customFormat="1"/>
    <row r="61543" s="2" customFormat="1"/>
    <row r="61544" s="2" customFormat="1"/>
    <row r="61545" s="2" customFormat="1"/>
    <row r="61546" s="2" customFormat="1"/>
    <row r="61547" s="2" customFormat="1"/>
    <row r="61548" s="2" customFormat="1"/>
    <row r="61549" s="2" customFormat="1"/>
    <row r="61550" s="2" customFormat="1"/>
    <row r="61551" s="2" customFormat="1"/>
    <row r="61552" s="2" customFormat="1"/>
    <row r="61553" s="2" customFormat="1"/>
    <row r="61554" s="2" customFormat="1"/>
    <row r="61555" s="2" customFormat="1"/>
    <row r="61556" s="2" customFormat="1"/>
    <row r="61557" s="2" customFormat="1"/>
    <row r="61558" s="2" customFormat="1"/>
    <row r="61559" s="2" customFormat="1"/>
    <row r="61560" s="2" customFormat="1"/>
    <row r="61561" s="2" customFormat="1"/>
    <row r="61562" s="2" customFormat="1"/>
    <row r="61563" s="2" customFormat="1"/>
    <row r="61564" s="2" customFormat="1"/>
    <row r="61565" s="2" customFormat="1"/>
    <row r="61566" s="2" customFormat="1"/>
    <row r="61567" s="2" customFormat="1"/>
    <row r="61568" s="2" customFormat="1"/>
    <row r="61569" s="2" customFormat="1"/>
    <row r="61570" s="2" customFormat="1"/>
    <row r="61571" s="2" customFormat="1"/>
    <row r="61572" s="2" customFormat="1"/>
    <row r="61573" s="2" customFormat="1"/>
    <row r="61574" s="2" customFormat="1"/>
    <row r="61575" s="2" customFormat="1"/>
    <row r="61576" s="2" customFormat="1"/>
    <row r="61577" s="2" customFormat="1"/>
    <row r="61578" s="2" customFormat="1"/>
    <row r="61579" s="2" customFormat="1"/>
    <row r="61580" s="2" customFormat="1"/>
    <row r="61581" s="2" customFormat="1"/>
    <row r="61582" s="2" customFormat="1"/>
    <row r="61583" s="2" customFormat="1"/>
    <row r="61584" s="2" customFormat="1"/>
    <row r="61585" s="2" customFormat="1"/>
    <row r="61586" s="2" customFormat="1"/>
    <row r="61587" s="2" customFormat="1"/>
    <row r="61588" s="2" customFormat="1"/>
    <row r="61589" s="2" customFormat="1"/>
    <row r="61590" s="2" customFormat="1"/>
    <row r="61591" s="2" customFormat="1"/>
    <row r="61592" s="2" customFormat="1"/>
    <row r="61593" s="2" customFormat="1"/>
    <row r="61594" s="2" customFormat="1"/>
    <row r="61595" s="2" customFormat="1"/>
    <row r="61596" s="2" customFormat="1"/>
    <row r="61597" s="2" customFormat="1"/>
    <row r="61598" s="2" customFormat="1"/>
    <row r="61599" s="2" customFormat="1"/>
    <row r="61600" s="2" customFormat="1"/>
    <row r="61601" s="2" customFormat="1"/>
    <row r="61602" s="2" customFormat="1"/>
    <row r="61603" s="2" customFormat="1"/>
    <row r="61604" s="2" customFormat="1"/>
    <row r="61605" s="2" customFormat="1"/>
    <row r="61606" s="2" customFormat="1"/>
    <row r="61607" s="2" customFormat="1"/>
    <row r="61608" s="2" customFormat="1"/>
    <row r="61609" s="2" customFormat="1"/>
    <row r="61610" s="2" customFormat="1"/>
    <row r="61611" s="2" customFormat="1"/>
    <row r="61612" s="2" customFormat="1"/>
    <row r="61613" s="2" customFormat="1"/>
    <row r="61614" s="2" customFormat="1"/>
    <row r="61615" s="2" customFormat="1"/>
    <row r="61616" s="2" customFormat="1"/>
    <row r="61617" s="2" customFormat="1"/>
    <row r="61618" s="2" customFormat="1"/>
    <row r="61619" s="2" customFormat="1"/>
    <row r="61620" s="2" customFormat="1"/>
    <row r="61621" s="2" customFormat="1"/>
    <row r="61622" s="2" customFormat="1"/>
    <row r="61623" s="2" customFormat="1"/>
    <row r="61624" s="2" customFormat="1"/>
    <row r="61625" s="2" customFormat="1"/>
    <row r="61626" s="2" customFormat="1"/>
    <row r="61627" s="2" customFormat="1"/>
    <row r="61628" s="2" customFormat="1"/>
    <row r="61629" s="2" customFormat="1"/>
    <row r="61630" s="2" customFormat="1"/>
    <row r="61631" s="2" customFormat="1"/>
    <row r="61632" s="2" customFormat="1"/>
    <row r="61633" s="2" customFormat="1"/>
    <row r="61634" s="2" customFormat="1"/>
    <row r="61635" s="2" customFormat="1"/>
    <row r="61636" s="2" customFormat="1"/>
    <row r="61637" s="2" customFormat="1"/>
    <row r="61638" s="2" customFormat="1"/>
    <row r="61639" s="2" customFormat="1"/>
    <row r="61640" s="2" customFormat="1"/>
    <row r="61641" s="2" customFormat="1"/>
    <row r="61642" s="2" customFormat="1"/>
    <row r="61643" s="2" customFormat="1"/>
    <row r="61644" s="2" customFormat="1"/>
    <row r="61645" s="2" customFormat="1"/>
    <row r="61646" s="2" customFormat="1"/>
    <row r="61647" s="2" customFormat="1"/>
    <row r="61648" s="2" customFormat="1"/>
    <row r="61649" s="2" customFormat="1"/>
    <row r="61650" s="2" customFormat="1"/>
    <row r="61651" s="2" customFormat="1"/>
    <row r="61652" s="2" customFormat="1"/>
    <row r="61653" s="2" customFormat="1"/>
    <row r="61654" s="2" customFormat="1"/>
    <row r="61655" s="2" customFormat="1"/>
    <row r="61656" s="2" customFormat="1"/>
    <row r="61657" s="2" customFormat="1"/>
    <row r="61658" s="2" customFormat="1"/>
    <row r="61659" s="2" customFormat="1"/>
    <row r="61660" s="2" customFormat="1"/>
    <row r="61661" s="2" customFormat="1"/>
    <row r="61662" s="2" customFormat="1"/>
    <row r="61663" s="2" customFormat="1"/>
    <row r="61664" s="2" customFormat="1"/>
    <row r="61665" s="2" customFormat="1"/>
    <row r="61666" s="2" customFormat="1"/>
    <row r="61667" s="2" customFormat="1"/>
    <row r="61668" s="2" customFormat="1"/>
    <row r="61669" s="2" customFormat="1"/>
    <row r="61670" s="2" customFormat="1"/>
    <row r="61671" s="2" customFormat="1"/>
    <row r="61672" s="2" customFormat="1"/>
    <row r="61673" s="2" customFormat="1"/>
    <row r="61674" s="2" customFormat="1"/>
    <row r="61675" s="2" customFormat="1"/>
    <row r="61676" s="2" customFormat="1"/>
    <row r="61677" s="2" customFormat="1"/>
    <row r="61678" s="2" customFormat="1"/>
    <row r="61679" s="2" customFormat="1"/>
    <row r="61680" s="2" customFormat="1"/>
    <row r="61681" s="2" customFormat="1"/>
    <row r="61682" s="2" customFormat="1"/>
    <row r="61683" s="2" customFormat="1"/>
    <row r="61684" s="2" customFormat="1"/>
    <row r="61685" s="2" customFormat="1"/>
    <row r="61686" s="2" customFormat="1"/>
    <row r="61687" s="2" customFormat="1"/>
    <row r="61688" s="2" customFormat="1"/>
    <row r="61689" s="2" customFormat="1"/>
    <row r="61690" s="2" customFormat="1"/>
    <row r="61691" s="2" customFormat="1"/>
    <row r="61692" s="2" customFormat="1"/>
    <row r="61693" s="2" customFormat="1"/>
    <row r="61694" s="2" customFormat="1"/>
    <row r="61695" s="2" customFormat="1"/>
    <row r="61696" s="2" customFormat="1"/>
    <row r="61697" s="2" customFormat="1"/>
    <row r="61698" s="2" customFormat="1"/>
    <row r="61699" s="2" customFormat="1"/>
    <row r="61700" s="2" customFormat="1"/>
    <row r="61701" s="2" customFormat="1"/>
    <row r="61702" s="2" customFormat="1"/>
    <row r="61703" s="2" customFormat="1"/>
    <row r="61704" s="2" customFormat="1"/>
    <row r="61705" s="2" customFormat="1"/>
    <row r="61706" s="2" customFormat="1"/>
    <row r="61707" s="2" customFormat="1"/>
    <row r="61708" s="2" customFormat="1"/>
    <row r="61709" s="2" customFormat="1"/>
    <row r="61710" s="2" customFormat="1"/>
    <row r="61711" s="2" customFormat="1"/>
    <row r="61712" s="2" customFormat="1"/>
    <row r="61713" s="2" customFormat="1"/>
    <row r="61714" s="2" customFormat="1"/>
    <row r="61715" s="2" customFormat="1"/>
    <row r="61716" s="2" customFormat="1"/>
    <row r="61717" s="2" customFormat="1"/>
    <row r="61718" s="2" customFormat="1"/>
    <row r="61719" s="2" customFormat="1"/>
    <row r="61720" s="2" customFormat="1"/>
    <row r="61721" s="2" customFormat="1"/>
    <row r="61722" s="2" customFormat="1"/>
    <row r="61723" s="2" customFormat="1"/>
    <row r="61724" s="2" customFormat="1"/>
    <row r="61725" s="2" customFormat="1"/>
    <row r="61726" s="2" customFormat="1"/>
    <row r="61727" s="2" customFormat="1"/>
    <row r="61728" s="2" customFormat="1"/>
    <row r="61729" s="2" customFormat="1"/>
    <row r="61730" s="2" customFormat="1"/>
    <row r="61731" s="2" customFormat="1"/>
    <row r="61732" s="2" customFormat="1"/>
    <row r="61733" s="2" customFormat="1"/>
    <row r="61734" s="2" customFormat="1"/>
    <row r="61735" s="2" customFormat="1"/>
    <row r="61736" s="2" customFormat="1"/>
    <row r="61737" s="2" customFormat="1"/>
    <row r="61738" s="2" customFormat="1"/>
    <row r="61739" s="2" customFormat="1"/>
    <row r="61740" s="2" customFormat="1"/>
    <row r="61741" s="2" customFormat="1"/>
    <row r="61742" s="2" customFormat="1"/>
    <row r="61743" s="2" customFormat="1"/>
    <row r="61744" s="2" customFormat="1"/>
    <row r="61745" s="2" customFormat="1"/>
    <row r="61746" s="2" customFormat="1"/>
    <row r="61747" s="2" customFormat="1"/>
    <row r="61748" s="2" customFormat="1"/>
    <row r="61749" s="2" customFormat="1"/>
    <row r="61750" s="2" customFormat="1"/>
    <row r="61751" s="2" customFormat="1"/>
    <row r="61752" s="2" customFormat="1"/>
    <row r="61753" s="2" customFormat="1"/>
    <row r="61754" s="2" customFormat="1"/>
    <row r="61755" s="2" customFormat="1"/>
    <row r="61756" s="2" customFormat="1"/>
    <row r="61757" s="2" customFormat="1"/>
    <row r="61758" s="2" customFormat="1"/>
    <row r="61759" s="2" customFormat="1"/>
    <row r="61760" s="2" customFormat="1"/>
    <row r="61761" s="2" customFormat="1"/>
    <row r="61762" s="2" customFormat="1"/>
    <row r="61763" s="2" customFormat="1"/>
    <row r="61764" s="2" customFormat="1"/>
    <row r="61765" s="2" customFormat="1"/>
    <row r="61766" s="2" customFormat="1"/>
    <row r="61767" s="2" customFormat="1"/>
    <row r="61768" s="2" customFormat="1"/>
    <row r="61769" s="2" customFormat="1"/>
    <row r="61770" s="2" customFormat="1"/>
    <row r="61771" s="2" customFormat="1"/>
    <row r="61772" s="2" customFormat="1"/>
    <row r="61773" s="2" customFormat="1"/>
    <row r="61774" s="2" customFormat="1"/>
    <row r="61775" s="2" customFormat="1"/>
    <row r="61776" s="2" customFormat="1"/>
    <row r="61777" s="2" customFormat="1"/>
    <row r="61778" s="2" customFormat="1"/>
    <row r="61779" s="2" customFormat="1"/>
    <row r="61780" s="2" customFormat="1"/>
    <row r="61781" s="2" customFormat="1"/>
    <row r="61782" s="2" customFormat="1"/>
    <row r="61783" s="2" customFormat="1"/>
    <row r="61784" s="2" customFormat="1"/>
    <row r="61785" s="2" customFormat="1"/>
    <row r="61786" s="2" customFormat="1"/>
    <row r="61787" s="2" customFormat="1"/>
    <row r="61788" s="2" customFormat="1"/>
    <row r="61789" s="2" customFormat="1"/>
    <row r="61790" s="2" customFormat="1"/>
    <row r="61791" s="2" customFormat="1"/>
    <row r="61792" s="2" customFormat="1"/>
    <row r="61793" s="2" customFormat="1"/>
    <row r="61794" s="2" customFormat="1"/>
    <row r="61795" s="2" customFormat="1"/>
    <row r="61796" s="2" customFormat="1"/>
    <row r="61797" s="2" customFormat="1"/>
    <row r="61798" s="2" customFormat="1"/>
    <row r="61799" s="2" customFormat="1"/>
    <row r="61800" s="2" customFormat="1"/>
    <row r="61801" s="2" customFormat="1"/>
    <row r="61802" s="2" customFormat="1"/>
    <row r="61803" s="2" customFormat="1"/>
    <row r="61804" s="2" customFormat="1"/>
    <row r="61805" s="2" customFormat="1"/>
    <row r="61806" s="2" customFormat="1"/>
    <row r="61807" s="2" customFormat="1"/>
    <row r="61808" s="2" customFormat="1"/>
    <row r="61809" s="2" customFormat="1"/>
    <row r="61810" s="2" customFormat="1"/>
    <row r="61811" s="2" customFormat="1"/>
    <row r="61812" s="2" customFormat="1"/>
    <row r="61813" s="2" customFormat="1"/>
    <row r="61814" s="2" customFormat="1"/>
    <row r="61815" s="2" customFormat="1"/>
    <row r="61816" s="2" customFormat="1"/>
    <row r="61817" s="2" customFormat="1"/>
    <row r="61818" s="2" customFormat="1"/>
    <row r="61819" s="2" customFormat="1"/>
    <row r="61820" s="2" customFormat="1"/>
    <row r="61821" s="2" customFormat="1"/>
    <row r="61822" s="2" customFormat="1"/>
    <row r="61823" s="2" customFormat="1"/>
    <row r="61824" s="2" customFormat="1"/>
    <row r="61825" s="2" customFormat="1"/>
    <row r="61826" s="2" customFormat="1"/>
    <row r="61827" s="2" customFormat="1"/>
    <row r="61828" s="2" customFormat="1"/>
    <row r="61829" s="2" customFormat="1"/>
    <row r="61830" s="2" customFormat="1"/>
    <row r="61831" s="2" customFormat="1"/>
    <row r="61832" s="2" customFormat="1"/>
    <row r="61833" s="2" customFormat="1"/>
    <row r="61834" s="2" customFormat="1"/>
    <row r="61835" s="2" customFormat="1"/>
    <row r="61836" s="2" customFormat="1"/>
    <row r="61837" s="2" customFormat="1"/>
    <row r="61838" s="2" customFormat="1"/>
    <row r="61839" s="2" customFormat="1"/>
    <row r="61840" s="2" customFormat="1"/>
    <row r="61841" s="2" customFormat="1"/>
    <row r="61842" s="2" customFormat="1"/>
    <row r="61843" s="2" customFormat="1"/>
    <row r="61844" s="2" customFormat="1"/>
    <row r="61845" s="2" customFormat="1"/>
    <row r="61846" s="2" customFormat="1"/>
    <row r="61847" s="2" customFormat="1"/>
    <row r="61848" s="2" customFormat="1"/>
    <row r="61849" s="2" customFormat="1"/>
    <row r="61850" s="2" customFormat="1"/>
    <row r="61851" s="2" customFormat="1"/>
    <row r="61852" s="2" customFormat="1"/>
    <row r="61853" s="2" customFormat="1"/>
    <row r="61854" s="2" customFormat="1"/>
    <row r="61855" s="2" customFormat="1"/>
    <row r="61856" s="2" customFormat="1"/>
    <row r="61857" s="2" customFormat="1"/>
    <row r="61858" s="2" customFormat="1"/>
    <row r="61859" s="2" customFormat="1"/>
    <row r="61860" s="2" customFormat="1"/>
    <row r="61861" s="2" customFormat="1"/>
    <row r="61862" s="2" customFormat="1"/>
    <row r="61863" s="2" customFormat="1"/>
    <row r="61864" s="2" customFormat="1"/>
    <row r="61865" s="2" customFormat="1"/>
    <row r="61866" s="2" customFormat="1"/>
    <row r="61867" s="2" customFormat="1"/>
    <row r="61868" s="2" customFormat="1"/>
    <row r="61869" s="2" customFormat="1"/>
    <row r="61870" s="2" customFormat="1"/>
    <row r="61871" s="2" customFormat="1"/>
    <row r="61872" s="2" customFormat="1"/>
    <row r="61873" s="2" customFormat="1"/>
    <row r="61874" s="2" customFormat="1"/>
    <row r="61875" s="2" customFormat="1"/>
    <row r="61876" s="2" customFormat="1"/>
    <row r="61877" s="2" customFormat="1"/>
    <row r="61878" s="2" customFormat="1"/>
    <row r="61879" s="2" customFormat="1"/>
    <row r="61880" s="2" customFormat="1"/>
    <row r="61881" s="2" customFormat="1"/>
    <row r="61882" s="2" customFormat="1"/>
    <row r="61883" s="2" customFormat="1"/>
    <row r="61884" s="2" customFormat="1"/>
    <row r="61885" s="2" customFormat="1"/>
    <row r="61886" s="2" customFormat="1"/>
    <row r="61887" s="2" customFormat="1"/>
    <row r="61888" s="2" customFormat="1"/>
    <row r="61889" s="2" customFormat="1"/>
    <row r="61890" s="2" customFormat="1"/>
    <row r="61891" s="2" customFormat="1"/>
    <row r="61892" s="2" customFormat="1"/>
    <row r="61893" s="2" customFormat="1"/>
    <row r="61894" s="2" customFormat="1"/>
    <row r="61895" s="2" customFormat="1"/>
    <row r="61896" s="2" customFormat="1"/>
    <row r="61897" s="2" customFormat="1"/>
    <row r="61898" s="2" customFormat="1"/>
    <row r="61899" s="2" customFormat="1"/>
    <row r="61900" s="2" customFormat="1"/>
    <row r="61901" s="2" customFormat="1"/>
    <row r="61902" s="2" customFormat="1"/>
    <row r="61903" s="2" customFormat="1"/>
    <row r="61904" s="2" customFormat="1"/>
    <row r="61905" s="2" customFormat="1"/>
    <row r="61906" s="2" customFormat="1"/>
    <row r="61907" s="2" customFormat="1"/>
    <row r="61908" s="2" customFormat="1"/>
    <row r="61909" s="2" customFormat="1"/>
    <row r="61910" s="2" customFormat="1"/>
    <row r="61911" s="2" customFormat="1"/>
    <row r="61912" s="2" customFormat="1"/>
    <row r="61913" s="2" customFormat="1"/>
    <row r="61914" s="2" customFormat="1"/>
    <row r="61915" s="2" customFormat="1"/>
    <row r="61916" s="2" customFormat="1"/>
    <row r="61917" s="2" customFormat="1"/>
    <row r="61918" s="2" customFormat="1"/>
    <row r="61919" s="2" customFormat="1"/>
    <row r="61920" s="2" customFormat="1"/>
    <row r="61921" s="2" customFormat="1"/>
    <row r="61922" s="2" customFormat="1"/>
    <row r="61923" s="2" customFormat="1"/>
    <row r="61924" s="2" customFormat="1"/>
    <row r="61925" s="2" customFormat="1"/>
    <row r="61926" s="2" customFormat="1"/>
    <row r="61927" s="2" customFormat="1"/>
    <row r="61928" s="2" customFormat="1"/>
    <row r="61929" s="2" customFormat="1"/>
    <row r="61930" s="2" customFormat="1"/>
    <row r="61931" s="2" customFormat="1"/>
    <row r="61932" s="2" customFormat="1"/>
    <row r="61933" s="2" customFormat="1"/>
    <row r="61934" s="2" customFormat="1"/>
    <row r="61935" s="2" customFormat="1"/>
    <row r="61936" s="2" customFormat="1"/>
    <row r="61937" s="2" customFormat="1"/>
    <row r="61938" s="2" customFormat="1"/>
    <row r="61939" s="2" customFormat="1"/>
    <row r="61940" s="2" customFormat="1"/>
    <row r="61941" s="2" customFormat="1"/>
    <row r="61942" s="2" customFormat="1"/>
    <row r="61943" s="2" customFormat="1"/>
    <row r="61944" s="2" customFormat="1"/>
    <row r="61945" s="2" customFormat="1"/>
    <row r="61946" s="2" customFormat="1"/>
    <row r="61947" s="2" customFormat="1"/>
    <row r="61948" s="2" customFormat="1"/>
    <row r="61949" s="2" customFormat="1"/>
    <row r="61950" s="2" customFormat="1"/>
    <row r="61951" s="2" customFormat="1"/>
    <row r="61952" s="2" customFormat="1"/>
    <row r="61953" s="2" customFormat="1"/>
    <row r="61954" s="2" customFormat="1"/>
    <row r="61955" s="2" customFormat="1"/>
    <row r="61956" s="2" customFormat="1"/>
    <row r="61957" s="2" customFormat="1"/>
    <row r="61958" s="2" customFormat="1"/>
    <row r="61959" s="2" customFormat="1"/>
    <row r="61960" s="2" customFormat="1"/>
    <row r="61961" s="2" customFormat="1"/>
    <row r="61962" s="2" customFormat="1"/>
    <row r="61963" s="2" customFormat="1"/>
    <row r="61964" s="2" customFormat="1"/>
    <row r="61965" s="2" customFormat="1"/>
    <row r="61966" s="2" customFormat="1"/>
    <row r="61967" s="2" customFormat="1"/>
    <row r="61968" s="2" customFormat="1"/>
    <row r="61969" s="2" customFormat="1"/>
    <row r="61970" s="2" customFormat="1"/>
    <row r="61971" s="2" customFormat="1"/>
    <row r="61972" s="2" customFormat="1"/>
    <row r="61973" s="2" customFormat="1"/>
    <row r="61974" s="2" customFormat="1"/>
    <row r="61975" s="2" customFormat="1"/>
    <row r="61976" s="2" customFormat="1"/>
    <row r="61977" s="2" customFormat="1"/>
    <row r="61978" s="2" customFormat="1"/>
    <row r="61979" s="2" customFormat="1"/>
    <row r="61980" s="2" customFormat="1"/>
    <row r="61981" s="2" customFormat="1"/>
    <row r="61982" s="2" customFormat="1"/>
    <row r="61983" s="2" customFormat="1"/>
    <row r="61984" s="2" customFormat="1"/>
    <row r="61985" s="2" customFormat="1"/>
    <row r="61986" s="2" customFormat="1"/>
    <row r="61987" s="2" customFormat="1"/>
    <row r="61988" s="2" customFormat="1"/>
    <row r="61989" s="2" customFormat="1"/>
    <row r="61990" s="2" customFormat="1"/>
    <row r="61991" s="2" customFormat="1"/>
    <row r="61992" s="2" customFormat="1"/>
    <row r="61993" s="2" customFormat="1"/>
    <row r="61994" s="2" customFormat="1"/>
    <row r="61995" s="2" customFormat="1"/>
    <row r="61996" s="2" customFormat="1"/>
    <row r="61997" s="2" customFormat="1"/>
    <row r="61998" s="2" customFormat="1"/>
    <row r="61999" s="2" customFormat="1"/>
    <row r="62000" s="2" customFormat="1"/>
    <row r="62001" s="2" customFormat="1"/>
    <row r="62002" s="2" customFormat="1"/>
    <row r="62003" s="2" customFormat="1"/>
    <row r="62004" s="2" customFormat="1"/>
    <row r="62005" s="2" customFormat="1"/>
    <row r="62006" s="2" customFormat="1"/>
    <row r="62007" s="2" customFormat="1"/>
    <row r="62008" s="2" customFormat="1"/>
    <row r="62009" s="2" customFormat="1"/>
    <row r="62010" s="2" customFormat="1"/>
    <row r="62011" s="2" customFormat="1"/>
    <row r="62012" s="2" customFormat="1"/>
    <row r="62013" s="2" customFormat="1"/>
    <row r="62014" s="2" customFormat="1"/>
    <row r="62015" s="2" customFormat="1"/>
    <row r="62016" s="2" customFormat="1"/>
    <row r="62017" s="2" customFormat="1"/>
    <row r="62018" s="2" customFormat="1"/>
    <row r="62019" s="2" customFormat="1"/>
    <row r="62020" s="2" customFormat="1"/>
    <row r="62021" s="2" customFormat="1"/>
    <row r="62022" s="2" customFormat="1"/>
    <row r="62023" s="2" customFormat="1"/>
    <row r="62024" s="2" customFormat="1"/>
    <row r="62025" s="2" customFormat="1"/>
    <row r="62026" s="2" customFormat="1"/>
    <row r="62027" s="2" customFormat="1"/>
    <row r="62028" s="2" customFormat="1"/>
    <row r="62029" s="2" customFormat="1"/>
    <row r="62030" s="2" customFormat="1"/>
    <row r="62031" s="2" customFormat="1"/>
    <row r="62032" s="2" customFormat="1"/>
    <row r="62033" s="2" customFormat="1"/>
    <row r="62034" s="2" customFormat="1"/>
    <row r="62035" s="2" customFormat="1"/>
    <row r="62036" s="2" customFormat="1"/>
    <row r="62037" s="2" customFormat="1"/>
    <row r="62038" s="2" customFormat="1"/>
    <row r="62039" s="2" customFormat="1"/>
    <row r="62040" s="2" customFormat="1"/>
    <row r="62041" s="2" customFormat="1"/>
    <row r="62042" s="2" customFormat="1"/>
    <row r="62043" s="2" customFormat="1"/>
    <row r="62044" s="2" customFormat="1"/>
    <row r="62045" s="2" customFormat="1"/>
    <row r="62046" s="2" customFormat="1"/>
    <row r="62047" s="2" customFormat="1"/>
    <row r="62048" s="2" customFormat="1"/>
    <row r="62049" s="2" customFormat="1"/>
    <row r="62050" s="2" customFormat="1"/>
    <row r="62051" s="2" customFormat="1"/>
    <row r="62052" s="2" customFormat="1"/>
    <row r="62053" s="2" customFormat="1"/>
    <row r="62054" s="2" customFormat="1"/>
    <row r="62055" s="2" customFormat="1"/>
    <row r="62056" s="2" customFormat="1"/>
    <row r="62057" s="2" customFormat="1"/>
    <row r="62058" s="2" customFormat="1"/>
    <row r="62059" s="2" customFormat="1"/>
    <row r="62060" s="2" customFormat="1"/>
    <row r="62061" s="2" customFormat="1"/>
    <row r="62062" s="2" customFormat="1"/>
    <row r="62063" s="2" customFormat="1"/>
    <row r="62064" s="2" customFormat="1"/>
    <row r="62065" s="2" customFormat="1"/>
    <row r="62066" s="2" customFormat="1"/>
    <row r="62067" s="2" customFormat="1"/>
    <row r="62068" s="2" customFormat="1"/>
    <row r="62069" s="2" customFormat="1"/>
    <row r="62070" s="2" customFormat="1"/>
    <row r="62071" s="2" customFormat="1"/>
    <row r="62072" s="2" customFormat="1"/>
    <row r="62073" s="2" customFormat="1"/>
    <row r="62074" s="2" customFormat="1"/>
    <row r="62075" s="2" customFormat="1"/>
    <row r="62076" s="2" customFormat="1"/>
    <row r="62077" s="2" customFormat="1"/>
    <row r="62078" s="2" customFormat="1"/>
    <row r="62079" s="2" customFormat="1"/>
    <row r="62080" s="2" customFormat="1"/>
    <row r="62081" s="2" customFormat="1"/>
    <row r="62082" s="2" customFormat="1"/>
    <row r="62083" s="2" customFormat="1"/>
    <row r="62084" s="2" customFormat="1"/>
    <row r="62085" s="2" customFormat="1"/>
    <row r="62086" s="2" customFormat="1"/>
    <row r="62087" s="2" customFormat="1"/>
    <row r="62088" s="2" customFormat="1"/>
    <row r="62089" s="2" customFormat="1"/>
    <row r="62090" s="2" customFormat="1"/>
    <row r="62091" s="2" customFormat="1"/>
    <row r="62092" s="2" customFormat="1"/>
    <row r="62093" s="2" customFormat="1"/>
    <row r="62094" s="2" customFormat="1"/>
    <row r="62095" s="2" customFormat="1"/>
    <row r="62096" s="2" customFormat="1"/>
    <row r="62097" s="2" customFormat="1"/>
    <row r="62098" s="2" customFormat="1"/>
    <row r="62099" s="2" customFormat="1"/>
    <row r="62100" s="2" customFormat="1"/>
    <row r="62101" s="2" customFormat="1"/>
    <row r="62102" s="2" customFormat="1"/>
    <row r="62103" s="2" customFormat="1"/>
    <row r="62104" s="2" customFormat="1"/>
    <row r="62105" s="2" customFormat="1"/>
    <row r="62106" s="2" customFormat="1"/>
    <row r="62107" s="2" customFormat="1"/>
    <row r="62108" s="2" customFormat="1"/>
    <row r="62109" s="2" customFormat="1"/>
    <row r="62110" s="2" customFormat="1"/>
    <row r="62111" s="2" customFormat="1"/>
    <row r="62112" s="2" customFormat="1"/>
    <row r="62113" s="2" customFormat="1"/>
    <row r="62114" s="2" customFormat="1"/>
    <row r="62115" s="2" customFormat="1"/>
    <row r="62116" s="2" customFormat="1"/>
    <row r="62117" s="2" customFormat="1"/>
    <row r="62118" s="2" customFormat="1"/>
    <row r="62119" s="2" customFormat="1"/>
    <row r="62120" s="2" customFormat="1"/>
    <row r="62121" s="2" customFormat="1"/>
    <row r="62122" s="2" customFormat="1"/>
    <row r="62123" s="2" customFormat="1"/>
    <row r="62124" s="2" customFormat="1"/>
    <row r="62125" s="2" customFormat="1"/>
    <row r="62126" s="2" customFormat="1"/>
    <row r="62127" s="2" customFormat="1"/>
    <row r="62128" s="2" customFormat="1"/>
    <row r="62129" s="2" customFormat="1"/>
    <row r="62130" s="2" customFormat="1"/>
    <row r="62131" s="2" customFormat="1"/>
    <row r="62132" s="2" customFormat="1"/>
    <row r="62133" s="2" customFormat="1"/>
    <row r="62134" s="2" customFormat="1"/>
    <row r="62135" s="2" customFormat="1"/>
    <row r="62136" s="2" customFormat="1"/>
    <row r="62137" s="2" customFormat="1"/>
    <row r="62138" s="2" customFormat="1"/>
    <row r="62139" s="2" customFormat="1"/>
    <row r="62140" s="2" customFormat="1"/>
    <row r="62141" s="2" customFormat="1"/>
    <row r="62142" s="2" customFormat="1"/>
    <row r="62143" s="2" customFormat="1"/>
    <row r="62144" s="2" customFormat="1"/>
    <row r="62145" s="2" customFormat="1"/>
    <row r="62146" s="2" customFormat="1"/>
    <row r="62147" s="2" customFormat="1"/>
    <row r="62148" s="2" customFormat="1"/>
    <row r="62149" s="2" customFormat="1"/>
    <row r="62150" s="2" customFormat="1"/>
    <row r="62151" s="2" customFormat="1"/>
    <row r="62152" s="2" customFormat="1"/>
    <row r="62153" s="2" customFormat="1"/>
    <row r="62154" s="2" customFormat="1"/>
    <row r="62155" s="2" customFormat="1"/>
    <row r="62156" s="2" customFormat="1"/>
    <row r="62157" s="2" customFormat="1"/>
    <row r="62158" s="2" customFormat="1"/>
    <row r="62159" s="2" customFormat="1"/>
    <row r="62160" s="2" customFormat="1"/>
    <row r="62161" s="2" customFormat="1"/>
    <row r="62162" s="2" customFormat="1"/>
    <row r="62163" s="2" customFormat="1"/>
    <row r="62164" s="2" customFormat="1"/>
    <row r="62165" s="2" customFormat="1"/>
    <row r="62166" s="2" customFormat="1"/>
    <row r="62167" s="2" customFormat="1"/>
    <row r="62168" s="2" customFormat="1"/>
    <row r="62169" s="2" customFormat="1"/>
    <row r="62170" s="2" customFormat="1"/>
    <row r="62171" s="2" customFormat="1"/>
    <row r="62172" s="2" customFormat="1"/>
    <row r="62173" s="2" customFormat="1"/>
    <row r="62174" s="2" customFormat="1"/>
    <row r="62175" s="2" customFormat="1"/>
    <row r="62176" s="2" customFormat="1"/>
    <row r="62177" s="2" customFormat="1"/>
    <row r="62178" s="2" customFormat="1"/>
    <row r="62179" s="2" customFormat="1"/>
    <row r="62180" s="2" customFormat="1"/>
    <row r="62181" s="2" customFormat="1"/>
    <row r="62182" s="2" customFormat="1"/>
    <row r="62183" s="2" customFormat="1"/>
    <row r="62184" s="2" customFormat="1"/>
    <row r="62185" s="2" customFormat="1"/>
    <row r="62186" s="2" customFormat="1"/>
    <row r="62187" s="2" customFormat="1"/>
    <row r="62188" s="2" customFormat="1"/>
    <row r="62189" s="2" customFormat="1"/>
    <row r="62190" s="2" customFormat="1"/>
    <row r="62191" s="2" customFormat="1"/>
    <row r="62192" s="2" customFormat="1"/>
    <row r="62193" s="2" customFormat="1"/>
    <row r="62194" s="2" customFormat="1"/>
    <row r="62195" s="2" customFormat="1"/>
    <row r="62196" s="2" customFormat="1"/>
    <row r="62197" s="2" customFormat="1"/>
    <row r="62198" s="2" customFormat="1"/>
    <row r="62199" s="2" customFormat="1"/>
    <row r="62200" s="2" customFormat="1"/>
    <row r="62201" s="2" customFormat="1"/>
    <row r="62202" s="2" customFormat="1"/>
    <row r="62203" s="2" customFormat="1"/>
    <row r="62204" s="2" customFormat="1"/>
    <row r="62205" s="2" customFormat="1"/>
    <row r="62206" s="2" customFormat="1"/>
    <row r="62207" s="2" customFormat="1"/>
    <row r="62208" s="2" customFormat="1"/>
    <row r="62209" s="2" customFormat="1"/>
    <row r="62210" s="2" customFormat="1"/>
    <row r="62211" s="2" customFormat="1"/>
    <row r="62212" s="2" customFormat="1"/>
    <row r="62213" s="2" customFormat="1"/>
    <row r="62214" s="2" customFormat="1"/>
    <row r="62215" s="2" customFormat="1"/>
    <row r="62216" s="2" customFormat="1"/>
    <row r="62217" s="2" customFormat="1"/>
    <row r="62218" s="2" customFormat="1"/>
    <row r="62219" s="2" customFormat="1"/>
    <row r="62220" s="2" customFormat="1"/>
    <row r="62221" s="2" customFormat="1"/>
    <row r="62222" s="2" customFormat="1"/>
    <row r="62223" s="2" customFormat="1"/>
    <row r="62224" s="2" customFormat="1"/>
    <row r="62225" s="2" customFormat="1"/>
    <row r="62226" s="2" customFormat="1"/>
    <row r="62227" s="2" customFormat="1"/>
    <row r="62228" s="2" customFormat="1"/>
    <row r="62229" s="2" customFormat="1"/>
    <row r="62230" s="2" customFormat="1"/>
    <row r="62231" s="2" customFormat="1"/>
    <row r="62232" s="2" customFormat="1"/>
    <row r="62233" s="2" customFormat="1"/>
    <row r="62234" s="2" customFormat="1"/>
    <row r="62235" s="2" customFormat="1"/>
    <row r="62236" s="2" customFormat="1"/>
    <row r="62237" s="2" customFormat="1"/>
    <row r="62238" s="2" customFormat="1"/>
    <row r="62239" s="2" customFormat="1"/>
    <row r="62240" s="2" customFormat="1"/>
    <row r="62241" s="2" customFormat="1"/>
    <row r="62242" s="2" customFormat="1"/>
    <row r="62243" s="2" customFormat="1"/>
    <row r="62244" s="2" customFormat="1"/>
    <row r="62245" s="2" customFormat="1"/>
    <row r="62246" s="2" customFormat="1"/>
    <row r="62247" s="2" customFormat="1"/>
    <row r="62248" s="2" customFormat="1"/>
    <row r="62249" s="2" customFormat="1"/>
    <row r="62250" s="2" customFormat="1"/>
    <row r="62251" s="2" customFormat="1"/>
    <row r="62252" s="2" customFormat="1"/>
    <row r="62253" s="2" customFormat="1"/>
    <row r="62254" s="2" customFormat="1"/>
    <row r="62255" s="2" customFormat="1"/>
    <row r="62256" s="2" customFormat="1"/>
    <row r="62257" s="2" customFormat="1"/>
    <row r="62258" s="2" customFormat="1"/>
    <row r="62259" s="2" customFormat="1"/>
    <row r="62260" s="2" customFormat="1"/>
    <row r="62261" s="2" customFormat="1"/>
    <row r="62262" s="2" customFormat="1"/>
    <row r="62263" s="2" customFormat="1"/>
    <row r="62264" s="2" customFormat="1"/>
    <row r="62265" s="2" customFormat="1"/>
    <row r="62266" s="2" customFormat="1"/>
    <row r="62267" s="2" customFormat="1"/>
    <row r="62268" s="2" customFormat="1"/>
    <row r="62269" s="2" customFormat="1"/>
    <row r="62270" s="2" customFormat="1"/>
    <row r="62271" s="2" customFormat="1"/>
    <row r="62272" s="2" customFormat="1"/>
    <row r="62273" s="2" customFormat="1"/>
    <row r="62274" s="2" customFormat="1"/>
    <row r="62275" s="2" customFormat="1"/>
    <row r="62276" s="2" customFormat="1"/>
    <row r="62277" s="2" customFormat="1"/>
    <row r="62278" s="2" customFormat="1"/>
    <row r="62279" s="2" customFormat="1"/>
    <row r="62280" s="2" customFormat="1"/>
    <row r="62281" s="2" customFormat="1"/>
    <row r="62282" s="2" customFormat="1"/>
    <row r="62283" s="2" customFormat="1"/>
    <row r="62284" s="2" customFormat="1"/>
    <row r="62285" s="2" customFormat="1"/>
    <row r="62286" s="2" customFormat="1"/>
    <row r="62287" s="2" customFormat="1"/>
    <row r="62288" s="2" customFormat="1"/>
    <row r="62289" s="2" customFormat="1"/>
    <row r="62290" s="2" customFormat="1"/>
    <row r="62291" s="2" customFormat="1"/>
    <row r="62292" s="2" customFormat="1"/>
    <row r="62293" s="2" customFormat="1"/>
    <row r="62294" s="2" customFormat="1"/>
    <row r="62295" s="2" customFormat="1"/>
    <row r="62296" s="2" customFormat="1"/>
    <row r="62297" s="2" customFormat="1"/>
    <row r="62298" s="2" customFormat="1"/>
    <row r="62299" s="2" customFormat="1"/>
    <row r="62300" s="2" customFormat="1"/>
    <row r="62301" s="2" customFormat="1"/>
    <row r="62302" s="2" customFormat="1"/>
    <row r="62303" s="2" customFormat="1"/>
    <row r="62304" s="2" customFormat="1"/>
    <row r="62305" s="2" customFormat="1"/>
    <row r="62306" s="2" customFormat="1"/>
    <row r="62307" s="2" customFormat="1"/>
    <row r="62308" s="2" customFormat="1"/>
    <row r="62309" s="2" customFormat="1"/>
    <row r="62310" s="2" customFormat="1"/>
    <row r="62311" s="2" customFormat="1"/>
    <row r="62312" s="2" customFormat="1"/>
    <row r="62313" s="2" customFormat="1"/>
    <row r="62314" s="2" customFormat="1"/>
    <row r="62315" s="2" customFormat="1"/>
    <row r="62316" s="2" customFormat="1"/>
    <row r="62317" s="2" customFormat="1"/>
    <row r="62318" s="2" customFormat="1"/>
    <row r="62319" s="2" customFormat="1"/>
    <row r="62320" s="2" customFormat="1"/>
    <row r="62321" s="2" customFormat="1"/>
    <row r="62322" s="2" customFormat="1"/>
    <row r="62323" s="2" customFormat="1"/>
    <row r="62324" s="2" customFormat="1"/>
    <row r="62325" s="2" customFormat="1"/>
    <row r="62326" s="2" customFormat="1"/>
    <row r="62327" s="2" customFormat="1"/>
    <row r="62328" s="2" customFormat="1"/>
    <row r="62329" s="2" customFormat="1"/>
    <row r="62330" s="2" customFormat="1"/>
    <row r="62331" s="2" customFormat="1"/>
    <row r="62332" s="2" customFormat="1"/>
    <row r="62333" s="2" customFormat="1"/>
    <row r="62334" s="2" customFormat="1"/>
    <row r="62335" s="2" customFormat="1"/>
    <row r="62336" s="2" customFormat="1"/>
    <row r="62337" s="2" customFormat="1"/>
    <row r="62338" s="2" customFormat="1"/>
    <row r="62339" s="2" customFormat="1"/>
    <row r="62340" s="2" customFormat="1"/>
    <row r="62341" s="2" customFormat="1"/>
    <row r="62342" s="2" customFormat="1"/>
    <row r="62343" s="2" customFormat="1"/>
    <row r="62344" s="2" customFormat="1"/>
    <row r="62345" s="2" customFormat="1"/>
    <row r="62346" s="2" customFormat="1"/>
    <row r="62347" s="2" customFormat="1"/>
    <row r="62348" s="2" customFormat="1"/>
    <row r="62349" s="2" customFormat="1"/>
    <row r="62350" s="2" customFormat="1"/>
    <row r="62351" s="2" customFormat="1"/>
    <row r="62352" s="2" customFormat="1"/>
    <row r="62353" s="2" customFormat="1"/>
    <row r="62354" s="2" customFormat="1"/>
    <row r="62355" s="2" customFormat="1"/>
    <row r="62356" s="2" customFormat="1"/>
    <row r="62357" s="2" customFormat="1"/>
    <row r="62358" s="2" customFormat="1"/>
    <row r="62359" s="2" customFormat="1"/>
    <row r="62360" s="2" customFormat="1"/>
    <row r="62361" s="2" customFormat="1"/>
    <row r="62362" s="2" customFormat="1"/>
    <row r="62363" s="2" customFormat="1"/>
    <row r="62364" s="2" customFormat="1"/>
    <row r="62365" s="2" customFormat="1"/>
    <row r="62366" s="2" customFormat="1"/>
    <row r="62367" s="2" customFormat="1"/>
    <row r="62368" s="2" customFormat="1"/>
    <row r="62369" s="2" customFormat="1"/>
    <row r="62370" s="2" customFormat="1"/>
    <row r="62371" s="2" customFormat="1"/>
    <row r="62372" s="2" customFormat="1"/>
    <row r="62373" s="2" customFormat="1"/>
    <row r="62374" s="2" customFormat="1"/>
    <row r="62375" s="2" customFormat="1"/>
    <row r="62376" s="2" customFormat="1"/>
    <row r="62377" s="2" customFormat="1"/>
    <row r="62378" s="2" customFormat="1"/>
    <row r="62379" s="2" customFormat="1"/>
    <row r="62380" s="2" customFormat="1"/>
    <row r="62381" s="2" customFormat="1"/>
    <row r="62382" s="2" customFormat="1"/>
    <row r="62383" s="2" customFormat="1"/>
    <row r="62384" s="2" customFormat="1"/>
    <row r="62385" s="2" customFormat="1"/>
    <row r="62386" s="2" customFormat="1"/>
    <row r="62387" s="2" customFormat="1"/>
    <row r="62388" s="2" customFormat="1"/>
    <row r="62389" s="2" customFormat="1"/>
    <row r="62390" s="2" customFormat="1"/>
    <row r="62391" s="2" customFormat="1"/>
    <row r="62392" s="2" customFormat="1"/>
    <row r="62393" s="2" customFormat="1"/>
    <row r="62394" s="2" customFormat="1"/>
    <row r="62395" s="2" customFormat="1"/>
    <row r="62396" s="2" customFormat="1"/>
    <row r="62397" s="2" customFormat="1"/>
    <row r="62398" s="2" customFormat="1"/>
    <row r="62399" s="2" customFormat="1"/>
    <row r="62400" s="2" customFormat="1"/>
    <row r="62401" s="2" customFormat="1"/>
    <row r="62402" s="2" customFormat="1"/>
    <row r="62403" s="2" customFormat="1"/>
    <row r="62404" s="2" customFormat="1"/>
    <row r="62405" s="2" customFormat="1"/>
    <row r="62406" s="2" customFormat="1"/>
    <row r="62407" s="2" customFormat="1"/>
    <row r="62408" s="2" customFormat="1"/>
    <row r="62409" s="2" customFormat="1"/>
    <row r="62410" s="2" customFormat="1"/>
    <row r="62411" s="2" customFormat="1"/>
    <row r="62412" s="2" customFormat="1"/>
    <row r="62413" s="2" customFormat="1"/>
    <row r="62414" s="2" customFormat="1"/>
    <row r="62415" s="2" customFormat="1"/>
    <row r="62416" s="2" customFormat="1"/>
    <row r="62417" s="2" customFormat="1"/>
    <row r="62418" s="2" customFormat="1"/>
    <row r="62419" s="2" customFormat="1"/>
    <row r="62420" s="2" customFormat="1"/>
    <row r="62421" s="2" customFormat="1"/>
    <row r="62422" s="2" customFormat="1"/>
    <row r="62423" s="2" customFormat="1"/>
    <row r="62424" s="2" customFormat="1"/>
    <row r="62425" s="2" customFormat="1"/>
    <row r="62426" s="2" customFormat="1"/>
    <row r="62427" s="2" customFormat="1"/>
    <row r="62428" s="2" customFormat="1"/>
    <row r="62429" s="2" customFormat="1"/>
    <row r="62430" s="2" customFormat="1"/>
    <row r="62431" s="2" customFormat="1"/>
    <row r="62432" s="2" customFormat="1"/>
    <row r="62433" s="2" customFormat="1"/>
    <row r="62434" s="2" customFormat="1"/>
    <row r="62435" s="2" customFormat="1"/>
    <row r="62436" s="2" customFormat="1"/>
    <row r="62437" s="2" customFormat="1"/>
    <row r="62438" s="2" customFormat="1"/>
    <row r="62439" s="2" customFormat="1"/>
    <row r="62440" s="2" customFormat="1"/>
    <row r="62441" s="2" customFormat="1"/>
    <row r="62442" s="2" customFormat="1"/>
    <row r="62443" s="2" customFormat="1"/>
    <row r="62444" s="2" customFormat="1"/>
    <row r="62445" s="2" customFormat="1"/>
    <row r="62446" s="2" customFormat="1"/>
    <row r="62447" s="2" customFormat="1"/>
    <row r="62448" s="2" customFormat="1"/>
    <row r="62449" s="2" customFormat="1"/>
    <row r="62450" s="2" customFormat="1"/>
    <row r="62451" s="2" customFormat="1"/>
    <row r="62452" s="2" customFormat="1"/>
    <row r="62453" s="2" customFormat="1"/>
    <row r="62454" s="2" customFormat="1"/>
    <row r="62455" s="2" customFormat="1"/>
    <row r="62456" s="2" customFormat="1"/>
    <row r="62457" s="2" customFormat="1"/>
    <row r="62458" s="2" customFormat="1"/>
    <row r="62459" s="2" customFormat="1"/>
    <row r="62460" s="2" customFormat="1"/>
    <row r="62461" s="2" customFormat="1"/>
    <row r="62462" s="2" customFormat="1"/>
    <row r="62463" s="2" customFormat="1"/>
    <row r="62464" s="2" customFormat="1"/>
    <row r="62465" s="2" customFormat="1"/>
    <row r="62466" s="2" customFormat="1"/>
    <row r="62467" s="2" customFormat="1"/>
    <row r="62468" s="2" customFormat="1"/>
    <row r="62469" s="2" customFormat="1"/>
    <row r="62470" s="2" customFormat="1"/>
    <row r="62471" s="2" customFormat="1"/>
    <row r="62472" s="2" customFormat="1"/>
    <row r="62473" s="2" customFormat="1"/>
    <row r="62474" s="2" customFormat="1"/>
    <row r="62475" s="2" customFormat="1"/>
    <row r="62476" s="2" customFormat="1"/>
    <row r="62477" s="2" customFormat="1"/>
    <row r="62478" s="2" customFormat="1"/>
    <row r="62479" s="2" customFormat="1"/>
    <row r="62480" s="2" customFormat="1"/>
    <row r="62481" s="2" customFormat="1"/>
    <row r="62482" s="2" customFormat="1"/>
    <row r="62483" s="2" customFormat="1"/>
    <row r="62484" s="2" customFormat="1"/>
    <row r="62485" s="2" customFormat="1"/>
    <row r="62486" s="2" customFormat="1"/>
    <row r="62487" s="2" customFormat="1"/>
    <row r="62488" s="2" customFormat="1"/>
    <row r="62489" s="2" customFormat="1"/>
    <row r="62490" s="2" customFormat="1"/>
    <row r="62491" s="2" customFormat="1"/>
    <row r="62492" s="2" customFormat="1"/>
    <row r="62493" s="2" customFormat="1"/>
    <row r="62494" s="2" customFormat="1"/>
    <row r="62495" s="2" customFormat="1"/>
    <row r="62496" s="2" customFormat="1"/>
    <row r="62497" s="2" customFormat="1"/>
    <row r="62498" s="2" customFormat="1"/>
    <row r="62499" s="2" customFormat="1"/>
    <row r="62500" s="2" customFormat="1"/>
    <row r="62501" s="2" customFormat="1"/>
    <row r="62502" s="2" customFormat="1"/>
    <row r="62503" s="2" customFormat="1"/>
    <row r="62504" s="2" customFormat="1"/>
    <row r="62505" s="2" customFormat="1"/>
    <row r="62506" s="2" customFormat="1"/>
    <row r="62507" s="2" customFormat="1"/>
    <row r="62508" s="2" customFormat="1"/>
    <row r="62509" s="2" customFormat="1"/>
    <row r="62510" s="2" customFormat="1"/>
    <row r="62511" s="2" customFormat="1"/>
    <row r="62512" s="2" customFormat="1"/>
    <row r="62513" s="2" customFormat="1"/>
    <row r="62514" s="2" customFormat="1"/>
    <row r="62515" s="2" customFormat="1"/>
    <row r="62516" s="2" customFormat="1"/>
    <row r="62517" s="2" customFormat="1"/>
    <row r="62518" s="2" customFormat="1"/>
    <row r="62519" s="2" customFormat="1"/>
    <row r="62520" s="2" customFormat="1"/>
    <row r="62521" s="2" customFormat="1"/>
    <row r="62522" s="2" customFormat="1"/>
    <row r="62523" s="2" customFormat="1"/>
    <row r="62524" s="2" customFormat="1"/>
    <row r="62525" s="2" customFormat="1"/>
    <row r="62526" s="2" customFormat="1"/>
    <row r="62527" s="2" customFormat="1"/>
    <row r="62528" s="2" customFormat="1"/>
    <row r="62529" s="2" customFormat="1"/>
    <row r="62530" s="2" customFormat="1"/>
    <row r="62531" s="2" customFormat="1"/>
    <row r="62532" s="2" customFormat="1"/>
    <row r="62533" s="2" customFormat="1"/>
    <row r="62534" s="2" customFormat="1"/>
    <row r="62535" s="2" customFormat="1"/>
    <row r="62536" s="2" customFormat="1"/>
    <row r="62537" s="2" customFormat="1"/>
    <row r="62538" s="2" customFormat="1"/>
    <row r="62539" s="2" customFormat="1"/>
    <row r="62540" s="2" customFormat="1"/>
    <row r="62541" s="2" customFormat="1"/>
    <row r="62542" s="2" customFormat="1"/>
    <row r="62543" s="2" customFormat="1"/>
    <row r="62544" s="2" customFormat="1"/>
    <row r="62545" s="2" customFormat="1"/>
    <row r="62546" s="2" customFormat="1"/>
    <row r="62547" s="2" customFormat="1"/>
    <row r="62548" s="2" customFormat="1"/>
    <row r="62549" s="2" customFormat="1"/>
    <row r="62550" s="2" customFormat="1"/>
    <row r="62551" s="2" customFormat="1"/>
    <row r="62552" s="2" customFormat="1"/>
    <row r="62553" s="2" customFormat="1"/>
    <row r="62554" s="2" customFormat="1"/>
    <row r="62555" s="2" customFormat="1"/>
    <row r="62556" s="2" customFormat="1"/>
    <row r="62557" s="2" customFormat="1"/>
    <row r="62558" s="2" customFormat="1"/>
    <row r="62559" s="2" customFormat="1"/>
    <row r="62560" s="2" customFormat="1"/>
    <row r="62561" s="2" customFormat="1"/>
    <row r="62562" s="2" customFormat="1"/>
    <row r="62563" s="2" customFormat="1"/>
    <row r="62564" s="2" customFormat="1"/>
    <row r="62565" s="2" customFormat="1"/>
    <row r="62566" s="2" customFormat="1"/>
    <row r="62567" s="2" customFormat="1"/>
    <row r="62568" s="2" customFormat="1"/>
    <row r="62569" s="2" customFormat="1"/>
    <row r="62570" s="2" customFormat="1"/>
    <row r="62571" s="2" customFormat="1"/>
    <row r="62572" s="2" customFormat="1"/>
    <row r="62573" s="2" customFormat="1"/>
    <row r="62574" s="2" customFormat="1"/>
    <row r="62575" s="2" customFormat="1"/>
    <row r="62576" s="2" customFormat="1"/>
    <row r="62577" s="2" customFormat="1"/>
    <row r="62578" s="2" customFormat="1"/>
    <row r="62579" s="2" customFormat="1"/>
    <row r="62580" s="2" customFormat="1"/>
    <row r="62581" s="2" customFormat="1"/>
    <row r="62582" s="2" customFormat="1"/>
    <row r="62583" s="2" customFormat="1"/>
    <row r="62584" s="2" customFormat="1"/>
    <row r="62585" s="2" customFormat="1"/>
    <row r="62586" s="2" customFormat="1"/>
    <row r="62587" s="2" customFormat="1"/>
    <row r="62588" s="2" customFormat="1"/>
    <row r="62589" s="2" customFormat="1"/>
    <row r="62590" s="2" customFormat="1"/>
    <row r="62591" s="2" customFormat="1"/>
    <row r="62592" s="2" customFormat="1"/>
    <row r="62593" s="2" customFormat="1"/>
    <row r="62594" s="2" customFormat="1"/>
    <row r="62595" s="2" customFormat="1"/>
    <row r="62596" s="2" customFormat="1"/>
    <row r="62597" s="2" customFormat="1"/>
    <row r="62598" s="2" customFormat="1"/>
    <row r="62599" s="2" customFormat="1"/>
    <row r="62600" s="2" customFormat="1"/>
    <row r="62601" s="2" customFormat="1"/>
    <row r="62602" s="2" customFormat="1"/>
    <row r="62603" s="2" customFormat="1"/>
    <row r="62604" s="2" customFormat="1"/>
    <row r="62605" s="2" customFormat="1"/>
    <row r="62606" s="2" customFormat="1"/>
    <row r="62607" s="2" customFormat="1"/>
    <row r="62608" s="2" customFormat="1"/>
    <row r="62609" s="2" customFormat="1"/>
    <row r="62610" s="2" customFormat="1"/>
    <row r="62611" s="2" customFormat="1"/>
    <row r="62612" s="2" customFormat="1"/>
    <row r="62613" s="2" customFormat="1"/>
    <row r="62614" s="2" customFormat="1"/>
    <row r="62615" s="2" customFormat="1"/>
    <row r="62616" s="2" customFormat="1"/>
    <row r="62617" s="2" customFormat="1"/>
    <row r="62618" s="2" customFormat="1"/>
    <row r="62619" s="2" customFormat="1"/>
    <row r="62620" s="2" customFormat="1"/>
    <row r="62621" s="2" customFormat="1"/>
    <row r="62622" s="2" customFormat="1"/>
    <row r="62623" s="2" customFormat="1"/>
    <row r="62624" s="2" customFormat="1"/>
    <row r="62625" s="2" customFormat="1"/>
    <row r="62626" s="2" customFormat="1"/>
    <row r="62627" s="2" customFormat="1"/>
    <row r="62628" s="2" customFormat="1"/>
    <row r="62629" s="2" customFormat="1"/>
    <row r="62630" s="2" customFormat="1"/>
    <row r="62631" s="2" customFormat="1"/>
    <row r="62632" s="2" customFormat="1"/>
    <row r="62633" s="2" customFormat="1"/>
    <row r="62634" s="2" customFormat="1"/>
    <row r="62635" s="2" customFormat="1"/>
    <row r="62636" s="2" customFormat="1"/>
    <row r="62637" s="2" customFormat="1"/>
    <row r="62638" s="2" customFormat="1"/>
    <row r="62639" s="2" customFormat="1"/>
    <row r="62640" s="2" customFormat="1"/>
    <row r="62641" s="2" customFormat="1"/>
    <row r="62642" s="2" customFormat="1"/>
    <row r="62643" s="2" customFormat="1"/>
    <row r="62644" s="2" customFormat="1"/>
    <row r="62645" s="2" customFormat="1"/>
    <row r="62646" s="2" customFormat="1"/>
    <row r="62647" s="2" customFormat="1"/>
    <row r="62648" s="2" customFormat="1"/>
    <row r="62649" s="2" customFormat="1"/>
    <row r="62650" s="2" customFormat="1"/>
    <row r="62651" s="2" customFormat="1"/>
    <row r="62652" s="2" customFormat="1"/>
    <row r="62653" s="2" customFormat="1"/>
    <row r="62654" s="2" customFormat="1"/>
    <row r="62655" s="2" customFormat="1"/>
    <row r="62656" s="2" customFormat="1"/>
    <row r="62657" s="2" customFormat="1"/>
    <row r="62658" s="2" customFormat="1"/>
    <row r="62659" s="2" customFormat="1"/>
    <row r="62660" s="2" customFormat="1"/>
    <row r="62661" s="2" customFormat="1"/>
    <row r="62662" s="2" customFormat="1"/>
    <row r="62663" s="2" customFormat="1"/>
    <row r="62664" s="2" customFormat="1"/>
    <row r="62665" s="2" customFormat="1"/>
    <row r="62666" s="2" customFormat="1"/>
    <row r="62667" s="2" customFormat="1"/>
    <row r="62668" s="2" customFormat="1"/>
    <row r="62669" s="2" customFormat="1"/>
    <row r="62670" s="2" customFormat="1"/>
    <row r="62671" s="2" customFormat="1"/>
    <row r="62672" s="2" customFormat="1"/>
    <row r="62673" s="2" customFormat="1"/>
    <row r="62674" s="2" customFormat="1"/>
    <row r="62675" s="2" customFormat="1"/>
    <row r="62676" s="2" customFormat="1"/>
    <row r="62677" s="2" customFormat="1"/>
    <row r="62678" s="2" customFormat="1"/>
    <row r="62679" s="2" customFormat="1"/>
    <row r="62680" s="2" customFormat="1"/>
    <row r="62681" s="2" customFormat="1"/>
    <row r="62682" s="2" customFormat="1"/>
    <row r="62683" s="2" customFormat="1"/>
    <row r="62684" s="2" customFormat="1"/>
    <row r="62685" s="2" customFormat="1"/>
    <row r="62686" s="2" customFormat="1"/>
    <row r="62687" s="2" customFormat="1"/>
    <row r="62688" s="2" customFormat="1"/>
    <row r="62689" s="2" customFormat="1"/>
    <row r="62690" s="2" customFormat="1"/>
    <row r="62691" s="2" customFormat="1"/>
    <row r="62692" s="2" customFormat="1"/>
    <row r="62693" s="2" customFormat="1"/>
    <row r="62694" s="2" customFormat="1"/>
    <row r="62695" s="2" customFormat="1"/>
    <row r="62696" s="2" customFormat="1"/>
    <row r="62697" s="2" customFormat="1"/>
    <row r="62698" s="2" customFormat="1"/>
    <row r="62699" s="2" customFormat="1"/>
    <row r="62700" s="2" customFormat="1"/>
    <row r="62701" s="2" customFormat="1"/>
    <row r="62702" s="2" customFormat="1"/>
    <row r="62703" s="2" customFormat="1"/>
    <row r="62704" s="2" customFormat="1"/>
    <row r="62705" s="2" customFormat="1"/>
    <row r="62706" s="2" customFormat="1"/>
    <row r="62707" s="2" customFormat="1"/>
    <row r="62708" s="2" customFormat="1"/>
    <row r="62709" s="2" customFormat="1"/>
    <row r="62710" s="2" customFormat="1"/>
    <row r="62711" s="2" customFormat="1"/>
    <row r="62712" s="2" customFormat="1"/>
    <row r="62713" s="2" customFormat="1"/>
    <row r="62714" s="2" customFormat="1"/>
    <row r="62715" s="2" customFormat="1"/>
    <row r="62716" s="2" customFormat="1"/>
    <row r="62717" s="2" customFormat="1"/>
    <row r="62718" s="2" customFormat="1"/>
    <row r="62719" s="2" customFormat="1"/>
    <row r="62720" s="2" customFormat="1"/>
    <row r="62721" s="2" customFormat="1"/>
    <row r="62722" s="2" customFormat="1"/>
    <row r="62723" s="2" customFormat="1"/>
    <row r="62724" s="2" customFormat="1"/>
    <row r="62725" s="2" customFormat="1"/>
    <row r="62726" s="2" customFormat="1"/>
    <row r="62727" s="2" customFormat="1"/>
    <row r="62728" s="2" customFormat="1"/>
    <row r="62729" s="2" customFormat="1"/>
    <row r="62730" s="2" customFormat="1"/>
    <row r="62731" s="2" customFormat="1"/>
    <row r="62732" s="2" customFormat="1"/>
    <row r="62733" s="2" customFormat="1"/>
    <row r="62734" s="2" customFormat="1"/>
    <row r="62735" s="2" customFormat="1"/>
    <row r="62736" s="2" customFormat="1"/>
    <row r="62737" s="2" customFormat="1"/>
    <row r="62738" s="2" customFormat="1"/>
    <row r="62739" s="2" customFormat="1"/>
    <row r="62740" s="2" customFormat="1"/>
    <row r="62741" s="2" customFormat="1"/>
    <row r="62742" s="2" customFormat="1"/>
    <row r="62743" s="2" customFormat="1"/>
    <row r="62744" s="2" customFormat="1"/>
    <row r="62745" s="2" customFormat="1"/>
    <row r="62746" s="2" customFormat="1"/>
    <row r="62747" s="2" customFormat="1"/>
    <row r="62748" s="2" customFormat="1"/>
    <row r="62749" s="2" customFormat="1"/>
    <row r="62750" s="2" customFormat="1"/>
    <row r="62751" s="2" customFormat="1"/>
    <row r="62752" s="2" customFormat="1"/>
    <row r="62753" s="2" customFormat="1"/>
    <row r="62754" s="2" customFormat="1"/>
    <row r="62755" s="2" customFormat="1"/>
    <row r="62756" s="2" customFormat="1"/>
    <row r="62757" s="2" customFormat="1"/>
    <row r="62758" s="2" customFormat="1"/>
    <row r="62759" s="2" customFormat="1"/>
    <row r="62760" s="2" customFormat="1"/>
    <row r="62761" s="2" customFormat="1"/>
    <row r="62762" s="2" customFormat="1"/>
    <row r="62763" s="2" customFormat="1"/>
    <row r="62764" s="2" customFormat="1"/>
    <row r="62765" s="2" customFormat="1"/>
    <row r="62766" s="2" customFormat="1"/>
    <row r="62767" s="2" customFormat="1"/>
    <row r="62768" s="2" customFormat="1"/>
    <row r="62769" s="2" customFormat="1"/>
    <row r="62770" s="2" customFormat="1"/>
    <row r="62771" s="2" customFormat="1"/>
    <row r="62772" s="2" customFormat="1"/>
    <row r="62773" s="2" customFormat="1"/>
    <row r="62774" s="2" customFormat="1"/>
    <row r="62775" s="2" customFormat="1"/>
    <row r="62776" s="2" customFormat="1"/>
    <row r="62777" s="2" customFormat="1"/>
    <row r="62778" s="2" customFormat="1"/>
    <row r="62779" s="2" customFormat="1"/>
    <row r="62780" s="2" customFormat="1"/>
    <row r="62781" s="2" customFormat="1"/>
    <row r="62782" s="2" customFormat="1"/>
    <row r="62783" s="2" customFormat="1"/>
    <row r="62784" s="2" customFormat="1"/>
    <row r="62785" s="2" customFormat="1"/>
    <row r="62786" s="2" customFormat="1"/>
    <row r="62787" s="2" customFormat="1"/>
    <row r="62788" s="2" customFormat="1"/>
    <row r="62789" s="2" customFormat="1"/>
    <row r="62790" s="2" customFormat="1"/>
    <row r="62791" s="2" customFormat="1"/>
    <row r="62792" s="2" customFormat="1"/>
    <row r="62793" s="2" customFormat="1"/>
    <row r="62794" s="2" customFormat="1"/>
    <row r="62795" s="2" customFormat="1"/>
    <row r="62796" s="2" customFormat="1"/>
    <row r="62797" s="2" customFormat="1"/>
    <row r="62798" s="2" customFormat="1"/>
    <row r="62799" s="2" customFormat="1"/>
    <row r="62800" s="2" customFormat="1"/>
    <row r="62801" s="2" customFormat="1"/>
    <row r="62802" s="2" customFormat="1"/>
    <row r="62803" s="2" customFormat="1"/>
    <row r="62804" s="2" customFormat="1"/>
    <row r="62805" s="2" customFormat="1"/>
    <row r="62806" s="2" customFormat="1"/>
    <row r="62807" s="2" customFormat="1"/>
    <row r="62808" s="2" customFormat="1"/>
    <row r="62809" s="2" customFormat="1"/>
    <row r="62810" s="2" customFormat="1"/>
    <row r="62811" s="2" customFormat="1"/>
    <row r="62812" s="2" customFormat="1"/>
    <row r="62813" s="2" customFormat="1"/>
    <row r="62814" s="2" customFormat="1"/>
    <row r="62815" s="2" customFormat="1"/>
    <row r="62816" s="2" customFormat="1"/>
    <row r="62817" s="2" customFormat="1"/>
    <row r="62818" s="2" customFormat="1"/>
    <row r="62819" s="2" customFormat="1"/>
    <row r="62820" s="2" customFormat="1"/>
    <row r="62821" s="2" customFormat="1"/>
    <row r="62822" s="2" customFormat="1"/>
    <row r="62823" s="2" customFormat="1"/>
    <row r="62824" s="2" customFormat="1"/>
    <row r="62825" s="2" customFormat="1"/>
    <row r="62826" s="2" customFormat="1"/>
    <row r="62827" s="2" customFormat="1"/>
    <row r="62828" s="2" customFormat="1"/>
    <row r="62829" s="2" customFormat="1"/>
    <row r="62830" s="2" customFormat="1"/>
    <row r="62831" s="2" customFormat="1"/>
    <row r="62832" s="2" customFormat="1"/>
    <row r="62833" s="2" customFormat="1"/>
    <row r="62834" s="2" customFormat="1"/>
    <row r="62835" s="2" customFormat="1"/>
    <row r="62836" s="2" customFormat="1"/>
    <row r="62837" s="2" customFormat="1"/>
    <row r="62838" s="2" customFormat="1"/>
    <row r="62839" s="2" customFormat="1"/>
    <row r="62840" s="2" customFormat="1"/>
    <row r="62841" s="2" customFormat="1"/>
    <row r="62842" s="2" customFormat="1"/>
    <row r="62843" s="2" customFormat="1"/>
    <row r="62844" s="2" customFormat="1"/>
    <row r="62845" s="2" customFormat="1"/>
    <row r="62846" s="2" customFormat="1"/>
    <row r="62847" s="2" customFormat="1"/>
    <row r="62848" s="2" customFormat="1"/>
    <row r="62849" s="2" customFormat="1"/>
    <row r="62850" s="2" customFormat="1"/>
    <row r="62851" s="2" customFormat="1"/>
    <row r="62852" s="2" customFormat="1"/>
    <row r="62853" s="2" customFormat="1"/>
    <row r="62854" s="2" customFormat="1"/>
    <row r="62855" s="2" customFormat="1"/>
    <row r="62856" s="2" customFormat="1"/>
    <row r="62857" s="2" customFormat="1"/>
    <row r="62858" s="2" customFormat="1"/>
    <row r="62859" s="2" customFormat="1"/>
    <row r="62860" s="2" customFormat="1"/>
    <row r="62861" s="2" customFormat="1"/>
    <row r="62862" s="2" customFormat="1"/>
    <row r="62863" s="2" customFormat="1"/>
    <row r="62864" s="2" customFormat="1"/>
    <row r="62865" s="2" customFormat="1"/>
    <row r="62866" s="2" customFormat="1"/>
    <row r="62867" s="2" customFormat="1"/>
    <row r="62868" s="2" customFormat="1"/>
    <row r="62869" s="2" customFormat="1"/>
    <row r="62870" s="2" customFormat="1"/>
    <row r="62871" s="2" customFormat="1"/>
    <row r="62872" s="2" customFormat="1"/>
    <row r="62873" s="2" customFormat="1"/>
    <row r="62874" s="2" customFormat="1"/>
    <row r="62875" s="2" customFormat="1"/>
    <row r="62876" s="2" customFormat="1"/>
    <row r="62877" s="2" customFormat="1"/>
    <row r="62878" s="2" customFormat="1"/>
    <row r="62879" s="2" customFormat="1"/>
    <row r="62880" s="2" customFormat="1"/>
    <row r="62881" s="2" customFormat="1"/>
    <row r="62882" s="2" customFormat="1"/>
    <row r="62883" s="2" customFormat="1"/>
    <row r="62884" s="2" customFormat="1"/>
    <row r="62885" s="2" customFormat="1"/>
    <row r="62886" s="2" customFormat="1"/>
    <row r="62887" s="2" customFormat="1"/>
    <row r="62888" s="2" customFormat="1"/>
    <row r="62889" s="2" customFormat="1"/>
    <row r="62890" s="2" customFormat="1"/>
    <row r="62891" s="2" customFormat="1"/>
    <row r="62892" s="2" customFormat="1"/>
    <row r="62893" s="2" customFormat="1"/>
    <row r="62894" s="2" customFormat="1"/>
    <row r="62895" s="2" customFormat="1"/>
    <row r="62896" s="2" customFormat="1"/>
    <row r="62897" s="2" customFormat="1"/>
    <row r="62898" s="2" customFormat="1"/>
    <row r="62899" s="2" customFormat="1"/>
    <row r="62900" s="2" customFormat="1"/>
    <row r="62901" s="2" customFormat="1"/>
    <row r="62902" s="2" customFormat="1"/>
    <row r="62903" s="2" customFormat="1"/>
    <row r="62904" s="2" customFormat="1"/>
    <row r="62905" s="2" customFormat="1"/>
    <row r="62906" s="2" customFormat="1"/>
    <row r="62907" s="2" customFormat="1"/>
    <row r="62908" s="2" customFormat="1"/>
    <row r="62909" s="2" customFormat="1"/>
    <row r="62910" s="2" customFormat="1"/>
    <row r="62911" s="2" customFormat="1"/>
    <row r="62912" s="2" customFormat="1"/>
    <row r="62913" s="2" customFormat="1"/>
    <row r="62914" s="2" customFormat="1"/>
    <row r="62915" s="2" customFormat="1"/>
    <row r="62916" s="2" customFormat="1"/>
    <row r="62917" s="2" customFormat="1"/>
    <row r="62918" s="2" customFormat="1"/>
    <row r="62919" s="2" customFormat="1"/>
    <row r="62920" s="2" customFormat="1"/>
    <row r="62921" s="2" customFormat="1"/>
    <row r="62922" s="2" customFormat="1"/>
    <row r="62923" s="2" customFormat="1"/>
    <row r="62924" s="2" customFormat="1"/>
    <row r="62925" s="2" customFormat="1"/>
    <row r="62926" s="2" customFormat="1"/>
    <row r="62927" s="2" customFormat="1"/>
    <row r="62928" s="2" customFormat="1"/>
    <row r="62929" s="2" customFormat="1"/>
    <row r="62930" s="2" customFormat="1"/>
    <row r="62931" s="2" customFormat="1"/>
    <row r="62932" s="2" customFormat="1"/>
    <row r="62933" s="2" customFormat="1"/>
    <row r="62934" s="2" customFormat="1"/>
    <row r="62935" s="2" customFormat="1"/>
    <row r="62936" s="2" customFormat="1"/>
    <row r="62937" s="2" customFormat="1"/>
    <row r="62938" s="2" customFormat="1"/>
    <row r="62939" s="2" customFormat="1"/>
    <row r="62940" s="2" customFormat="1"/>
    <row r="62941" s="2" customFormat="1"/>
    <row r="62942" s="2" customFormat="1"/>
    <row r="62943" s="2" customFormat="1"/>
    <row r="62944" s="2" customFormat="1"/>
    <row r="62945" s="2" customFormat="1"/>
    <row r="62946" s="2" customFormat="1"/>
    <row r="62947" s="2" customFormat="1"/>
    <row r="62948" s="2" customFormat="1"/>
    <row r="62949" s="2" customFormat="1"/>
    <row r="62950" s="2" customFormat="1"/>
    <row r="62951" s="2" customFormat="1"/>
    <row r="62952" s="2" customFormat="1"/>
    <row r="62953" s="2" customFormat="1"/>
    <row r="62954" s="2" customFormat="1"/>
    <row r="62955" s="2" customFormat="1"/>
    <row r="62956" s="2" customFormat="1"/>
    <row r="62957" s="2" customFormat="1"/>
    <row r="62958" s="2" customFormat="1"/>
    <row r="62959" s="2" customFormat="1"/>
    <row r="62960" s="2" customFormat="1"/>
    <row r="62961" s="2" customFormat="1"/>
    <row r="62962" s="2" customFormat="1"/>
    <row r="62963" s="2" customFormat="1"/>
    <row r="62964" s="2" customFormat="1"/>
    <row r="62965" s="2" customFormat="1"/>
    <row r="62966" s="2" customFormat="1"/>
    <row r="62967" s="2" customFormat="1"/>
    <row r="62968" s="2" customFormat="1"/>
    <row r="62969" s="2" customFormat="1"/>
    <row r="62970" s="2" customFormat="1"/>
    <row r="62971" s="2" customFormat="1"/>
    <row r="62972" s="2" customFormat="1"/>
    <row r="62973" s="2" customFormat="1"/>
    <row r="62974" s="2" customFormat="1"/>
    <row r="62975" s="2" customFormat="1"/>
    <row r="62976" s="2" customFormat="1"/>
    <row r="62977" s="2" customFormat="1"/>
    <row r="62978" s="2" customFormat="1"/>
    <row r="62979" s="2" customFormat="1"/>
    <row r="62980" s="2" customFormat="1"/>
    <row r="62981" s="2" customFormat="1"/>
    <row r="62982" s="2" customFormat="1"/>
    <row r="62983" s="2" customFormat="1"/>
    <row r="62984" s="2" customFormat="1"/>
    <row r="62985" s="2" customFormat="1"/>
    <row r="62986" s="2" customFormat="1"/>
    <row r="62987" s="2" customFormat="1"/>
    <row r="62988" s="2" customFormat="1"/>
    <row r="62989" s="2" customFormat="1"/>
    <row r="62990" s="2" customFormat="1"/>
    <row r="62991" s="2" customFormat="1"/>
    <row r="62992" s="2" customFormat="1"/>
    <row r="62993" s="2" customFormat="1"/>
    <row r="62994" s="2" customFormat="1"/>
    <row r="62995" s="2" customFormat="1"/>
    <row r="62996" s="2" customFormat="1"/>
    <row r="62997" s="2" customFormat="1"/>
    <row r="62998" s="2" customFormat="1"/>
    <row r="62999" s="2" customFormat="1"/>
    <row r="63000" s="2" customFormat="1"/>
    <row r="63001" s="2" customFormat="1"/>
    <row r="63002" s="2" customFormat="1"/>
    <row r="63003" s="2" customFormat="1"/>
    <row r="63004" s="2" customFormat="1"/>
    <row r="63005" s="2" customFormat="1"/>
    <row r="63006" s="2" customFormat="1"/>
    <row r="63007" s="2" customFormat="1"/>
    <row r="63008" s="2" customFormat="1"/>
    <row r="63009" s="2" customFormat="1"/>
    <row r="63010" s="2" customFormat="1"/>
    <row r="63011" s="2" customFormat="1"/>
    <row r="63012" s="2" customFormat="1"/>
    <row r="63013" s="2" customFormat="1"/>
    <row r="63014" s="2" customFormat="1"/>
    <row r="63015" s="2" customFormat="1"/>
    <row r="63016" s="2" customFormat="1"/>
    <row r="63017" s="2" customFormat="1"/>
    <row r="63018" s="2" customFormat="1"/>
    <row r="63019" s="2" customFormat="1"/>
    <row r="63020" s="2" customFormat="1"/>
    <row r="63021" s="2" customFormat="1"/>
    <row r="63022" s="2" customFormat="1"/>
    <row r="63023" s="2" customFormat="1"/>
    <row r="63024" s="2" customFormat="1"/>
    <row r="63025" s="2" customFormat="1"/>
    <row r="63026" s="2" customFormat="1"/>
    <row r="63027" s="2" customFormat="1"/>
    <row r="63028" s="2" customFormat="1"/>
    <row r="63029" s="2" customFormat="1"/>
    <row r="63030" s="2" customFormat="1"/>
    <row r="63031" s="2" customFormat="1"/>
    <row r="63032" s="2" customFormat="1"/>
    <row r="63033" s="2" customFormat="1"/>
    <row r="63034" s="2" customFormat="1"/>
    <row r="63035" s="2" customFormat="1"/>
    <row r="63036" s="2" customFormat="1"/>
    <row r="63037" s="2" customFormat="1"/>
    <row r="63038" s="2" customFormat="1"/>
    <row r="63039" s="2" customFormat="1"/>
    <row r="63040" s="2" customFormat="1"/>
    <row r="63041" s="2" customFormat="1"/>
    <row r="63042" s="2" customFormat="1"/>
    <row r="63043" s="2" customFormat="1"/>
    <row r="63044" s="2" customFormat="1"/>
    <row r="63045" s="2" customFormat="1"/>
    <row r="63046" s="2" customFormat="1"/>
    <row r="63047" s="2" customFormat="1"/>
    <row r="63048" s="2" customFormat="1"/>
    <row r="63049" s="2" customFormat="1"/>
    <row r="63050" s="2" customFormat="1"/>
    <row r="63051" s="2" customFormat="1"/>
    <row r="63052" s="2" customFormat="1"/>
    <row r="63053" s="2" customFormat="1"/>
    <row r="63054" s="2" customFormat="1"/>
    <row r="63055" s="2" customFormat="1"/>
    <row r="63056" s="2" customFormat="1"/>
    <row r="63057" s="2" customFormat="1"/>
    <row r="63058" s="2" customFormat="1"/>
    <row r="63059" s="2" customFormat="1"/>
    <row r="63060" s="2" customFormat="1"/>
    <row r="63061" s="2" customFormat="1"/>
    <row r="63062" s="2" customFormat="1"/>
    <row r="63063" s="2" customFormat="1"/>
    <row r="63064" s="2" customFormat="1"/>
    <row r="63065" s="2" customFormat="1"/>
    <row r="63066" s="2" customFormat="1"/>
    <row r="63067" s="2" customFormat="1"/>
    <row r="63068" s="2" customFormat="1"/>
    <row r="63069" s="2" customFormat="1"/>
    <row r="63070" s="2" customFormat="1"/>
    <row r="63071" s="2" customFormat="1"/>
    <row r="63072" s="2" customFormat="1"/>
    <row r="63073" s="2" customFormat="1"/>
    <row r="63074" s="2" customFormat="1"/>
    <row r="63075" s="2" customFormat="1"/>
    <row r="63076" s="2" customFormat="1"/>
    <row r="63077" s="2" customFormat="1"/>
    <row r="63078" s="2" customFormat="1"/>
    <row r="63079" s="2" customFormat="1"/>
    <row r="63080" s="2" customFormat="1"/>
    <row r="63081" s="2" customFormat="1"/>
    <row r="63082" s="2" customFormat="1"/>
    <row r="63083" s="2" customFormat="1"/>
    <row r="63084" s="2" customFormat="1"/>
    <row r="63085" s="2" customFormat="1"/>
    <row r="63086" s="2" customFormat="1"/>
    <row r="63087" s="2" customFormat="1"/>
    <row r="63088" s="2" customFormat="1"/>
    <row r="63089" s="2" customFormat="1"/>
    <row r="63090" s="2" customFormat="1"/>
    <row r="63091" s="2" customFormat="1"/>
    <row r="63092" s="2" customFormat="1"/>
    <row r="63093" s="2" customFormat="1"/>
    <row r="63094" s="2" customFormat="1"/>
    <row r="63095" s="2" customFormat="1"/>
    <row r="63096" s="2" customFormat="1"/>
    <row r="63097" s="2" customFormat="1"/>
    <row r="63098" s="2" customFormat="1"/>
    <row r="63099" s="2" customFormat="1"/>
    <row r="63100" s="2" customFormat="1"/>
    <row r="63101" s="2" customFormat="1"/>
    <row r="63102" s="2" customFormat="1"/>
    <row r="63103" s="2" customFormat="1"/>
    <row r="63104" s="2" customFormat="1"/>
    <row r="63105" s="2" customFormat="1"/>
    <row r="63106" s="2" customFormat="1"/>
    <row r="63107" s="2" customFormat="1"/>
    <row r="63108" s="2" customFormat="1"/>
    <row r="63109" s="2" customFormat="1"/>
    <row r="63110" s="2" customFormat="1"/>
    <row r="63111" s="2" customFormat="1"/>
    <row r="63112" s="2" customFormat="1"/>
    <row r="63113" s="2" customFormat="1"/>
    <row r="63114" s="2" customFormat="1"/>
    <row r="63115" s="2" customFormat="1"/>
    <row r="63116" s="2" customFormat="1"/>
    <row r="63117" s="2" customFormat="1"/>
    <row r="63118" s="2" customFormat="1"/>
    <row r="63119" s="2" customFormat="1"/>
    <row r="63120" s="2" customFormat="1"/>
    <row r="63121" s="2" customFormat="1"/>
    <row r="63122" s="2" customFormat="1"/>
    <row r="63123" s="2" customFormat="1"/>
    <row r="63124" s="2" customFormat="1"/>
    <row r="63125" s="2" customFormat="1"/>
    <row r="63126" s="2" customFormat="1"/>
    <row r="63127" s="2" customFormat="1"/>
    <row r="63128" s="2" customFormat="1"/>
    <row r="63129" s="2" customFormat="1"/>
    <row r="63130" s="2" customFormat="1"/>
    <row r="63131" s="2" customFormat="1"/>
    <row r="63132" s="2" customFormat="1"/>
    <row r="63133" s="2" customFormat="1"/>
    <row r="63134" s="2" customFormat="1"/>
    <row r="63135" s="2" customFormat="1"/>
    <row r="63136" s="2" customFormat="1"/>
    <row r="63137" s="2" customFormat="1"/>
    <row r="63138" s="2" customFormat="1"/>
    <row r="63139" s="2" customFormat="1"/>
    <row r="63140" s="2" customFormat="1"/>
    <row r="63141" s="2" customFormat="1"/>
    <row r="63142" s="2" customFormat="1"/>
    <row r="63143" s="2" customFormat="1"/>
    <row r="63144" s="2" customFormat="1"/>
    <row r="63145" s="2" customFormat="1"/>
    <row r="63146" s="2" customFormat="1"/>
    <row r="63147" s="2" customFormat="1"/>
    <row r="63148" s="2" customFormat="1"/>
    <row r="63149" s="2" customFormat="1"/>
    <row r="63150" s="2" customFormat="1"/>
    <row r="63151" s="2" customFormat="1"/>
    <row r="63152" s="2" customFormat="1"/>
    <row r="63153" s="2" customFormat="1"/>
    <row r="63154" s="2" customFormat="1"/>
    <row r="63155" s="2" customFormat="1"/>
    <row r="63156" s="2" customFormat="1"/>
    <row r="63157" s="2" customFormat="1"/>
    <row r="63158" s="2" customFormat="1"/>
    <row r="63159" s="2" customFormat="1"/>
    <row r="63160" s="2" customFormat="1"/>
    <row r="63161" s="2" customFormat="1"/>
    <row r="63162" s="2" customFormat="1"/>
    <row r="63163" s="2" customFormat="1"/>
    <row r="63164" s="2" customFormat="1"/>
    <row r="63165" s="2" customFormat="1"/>
    <row r="63166" s="2" customFormat="1"/>
    <row r="63167" s="2" customFormat="1"/>
    <row r="63168" s="2" customFormat="1"/>
    <row r="63169" s="2" customFormat="1"/>
    <row r="63170" s="2" customFormat="1"/>
    <row r="63171" s="2" customFormat="1"/>
    <row r="63172" s="2" customFormat="1"/>
    <row r="63173" s="2" customFormat="1"/>
    <row r="63174" s="2" customFormat="1"/>
    <row r="63175" s="2" customFormat="1"/>
    <row r="63176" s="2" customFormat="1"/>
    <row r="63177" s="2" customFormat="1"/>
    <row r="63178" s="2" customFormat="1"/>
    <row r="63179" s="2" customFormat="1"/>
    <row r="63180" s="2" customFormat="1"/>
    <row r="63181" s="2" customFormat="1"/>
    <row r="63182" s="2" customFormat="1"/>
    <row r="63183" s="2" customFormat="1"/>
    <row r="63184" s="2" customFormat="1"/>
    <row r="63185" s="2" customFormat="1"/>
    <row r="63186" s="2" customFormat="1"/>
    <row r="63187" s="2" customFormat="1"/>
    <row r="63188" s="2" customFormat="1"/>
    <row r="63189" s="2" customFormat="1"/>
    <row r="63190" s="2" customFormat="1"/>
    <row r="63191" s="2" customFormat="1"/>
    <row r="63192" s="2" customFormat="1"/>
    <row r="63193" s="2" customFormat="1"/>
    <row r="63194" s="2" customFormat="1"/>
    <row r="63195" s="2" customFormat="1"/>
    <row r="63196" s="2" customFormat="1"/>
    <row r="63197" s="2" customFormat="1"/>
    <row r="63198" s="2" customFormat="1"/>
    <row r="63199" s="2" customFormat="1"/>
    <row r="63200" s="2" customFormat="1"/>
    <row r="63201" s="2" customFormat="1"/>
    <row r="63202" s="2" customFormat="1"/>
    <row r="63203" s="2" customFormat="1"/>
    <row r="63204" s="2" customFormat="1"/>
    <row r="63205" s="2" customFormat="1"/>
    <row r="63206" s="2" customFormat="1"/>
    <row r="63207" s="2" customFormat="1"/>
    <row r="63208" s="2" customFormat="1"/>
    <row r="63209" s="2" customFormat="1"/>
    <row r="63210" s="2" customFormat="1"/>
    <row r="63211" s="2" customFormat="1"/>
    <row r="63212" s="2" customFormat="1"/>
    <row r="63213" s="2" customFormat="1"/>
    <row r="63214" s="2" customFormat="1"/>
    <row r="63215" s="2" customFormat="1"/>
    <row r="63216" s="2" customFormat="1"/>
    <row r="63217" s="2" customFormat="1"/>
    <row r="63218" s="2" customFormat="1"/>
    <row r="63219" s="2" customFormat="1"/>
    <row r="63220" s="2" customFormat="1"/>
    <row r="63221" s="2" customFormat="1"/>
    <row r="63222" s="2" customFormat="1"/>
    <row r="63223" s="2" customFormat="1"/>
    <row r="63224" s="2" customFormat="1"/>
    <row r="63225" s="2" customFormat="1"/>
    <row r="63226" s="2" customFormat="1"/>
    <row r="63227" s="2" customFormat="1"/>
    <row r="63228" s="2" customFormat="1"/>
    <row r="63229" s="2" customFormat="1"/>
    <row r="63230" s="2" customFormat="1"/>
    <row r="63231" s="2" customFormat="1"/>
    <row r="63232" s="2" customFormat="1"/>
    <row r="63233" s="2" customFormat="1"/>
    <row r="63234" s="2" customFormat="1"/>
    <row r="63235" s="2" customFormat="1"/>
    <row r="63236" s="2" customFormat="1"/>
    <row r="63237" s="2" customFormat="1"/>
    <row r="63238" s="2" customFormat="1"/>
    <row r="63239" s="2" customFormat="1"/>
    <row r="63240" s="2" customFormat="1"/>
    <row r="63241" s="2" customFormat="1"/>
    <row r="63242" s="2" customFormat="1"/>
    <row r="63243" s="2" customFormat="1"/>
    <row r="63244" s="2" customFormat="1"/>
    <row r="63245" s="2" customFormat="1"/>
    <row r="63246" s="2" customFormat="1"/>
    <row r="63247" s="2" customFormat="1"/>
    <row r="63248" s="2" customFormat="1"/>
    <row r="63249" s="2" customFormat="1"/>
    <row r="63250" s="2" customFormat="1"/>
    <row r="63251" s="2" customFormat="1"/>
    <row r="63252" s="2" customFormat="1"/>
    <row r="63253" s="2" customFormat="1"/>
    <row r="63254" s="2" customFormat="1"/>
    <row r="63255" s="2" customFormat="1"/>
    <row r="63256" s="2" customFormat="1"/>
    <row r="63257" s="2" customFormat="1"/>
    <row r="63258" s="2" customFormat="1"/>
    <row r="63259" s="2" customFormat="1"/>
    <row r="63260" s="2" customFormat="1"/>
    <row r="63261" s="2" customFormat="1"/>
    <row r="63262" s="2" customFormat="1"/>
    <row r="63263" s="2" customFormat="1"/>
    <row r="63264" s="2" customFormat="1"/>
    <row r="63265" s="2" customFormat="1"/>
    <row r="63266" s="2" customFormat="1"/>
    <row r="63267" s="2" customFormat="1"/>
    <row r="63268" s="2" customFormat="1"/>
    <row r="63269" s="2" customFormat="1"/>
    <row r="63270" s="2" customFormat="1"/>
    <row r="63271" s="2" customFormat="1"/>
    <row r="63272" s="2" customFormat="1"/>
    <row r="63273" s="2" customFormat="1"/>
    <row r="63274" s="2" customFormat="1"/>
    <row r="63275" s="2" customFormat="1"/>
    <row r="63276" s="2" customFormat="1"/>
    <row r="63277" s="2" customFormat="1"/>
    <row r="63278" s="2" customFormat="1"/>
    <row r="63279" s="2" customFormat="1"/>
    <row r="63280" s="2" customFormat="1"/>
    <row r="63281" s="2" customFormat="1"/>
    <row r="63282" s="2" customFormat="1"/>
    <row r="63283" s="2" customFormat="1"/>
    <row r="63284" s="2" customFormat="1"/>
    <row r="63285" s="2" customFormat="1"/>
    <row r="63286" s="2" customFormat="1"/>
    <row r="63287" s="2" customFormat="1"/>
    <row r="63288" s="2" customFormat="1"/>
    <row r="63289" s="2" customFormat="1"/>
    <row r="63290" s="2" customFormat="1"/>
    <row r="63291" s="2" customFormat="1"/>
    <row r="63292" s="2" customFormat="1"/>
    <row r="63293" s="2" customFormat="1"/>
    <row r="63294" s="2" customFormat="1"/>
    <row r="63295" s="2" customFormat="1"/>
    <row r="63296" s="2" customFormat="1"/>
    <row r="63297" s="2" customFormat="1"/>
    <row r="63298" s="2" customFormat="1"/>
    <row r="63299" s="2" customFormat="1"/>
    <row r="63300" s="2" customFormat="1"/>
    <row r="63301" s="2" customFormat="1"/>
    <row r="63302" s="2" customFormat="1"/>
    <row r="63303" s="2" customFormat="1"/>
    <row r="63304" s="2" customFormat="1"/>
    <row r="63305" s="2" customFormat="1"/>
    <row r="63306" s="2" customFormat="1"/>
    <row r="63307" s="2" customFormat="1"/>
    <row r="63308" s="2" customFormat="1"/>
    <row r="63309" s="2" customFormat="1"/>
    <row r="63310" s="2" customFormat="1"/>
    <row r="63311" s="2" customFormat="1"/>
    <row r="63312" s="2" customFormat="1"/>
    <row r="63313" s="2" customFormat="1"/>
    <row r="63314" s="2" customFormat="1"/>
    <row r="63315" s="2" customFormat="1"/>
    <row r="63316" s="2" customFormat="1"/>
    <row r="63317" s="2" customFormat="1"/>
    <row r="63318" s="2" customFormat="1"/>
    <row r="63319" s="2" customFormat="1"/>
    <row r="63320" s="2" customFormat="1"/>
    <row r="63321" s="2" customFormat="1"/>
    <row r="63322" s="2" customFormat="1"/>
    <row r="63323" s="2" customFormat="1"/>
    <row r="63324" s="2" customFormat="1"/>
    <row r="63325" s="2" customFormat="1"/>
    <row r="63326" s="2" customFormat="1"/>
    <row r="63327" s="2" customFormat="1"/>
    <row r="63328" s="2" customFormat="1"/>
    <row r="63329" s="2" customFormat="1"/>
    <row r="63330" s="2" customFormat="1"/>
    <row r="63331" s="2" customFormat="1"/>
    <row r="63332" s="2" customFormat="1"/>
    <row r="63333" s="2" customFormat="1"/>
    <row r="63334" s="2" customFormat="1"/>
    <row r="63335" s="2" customFormat="1"/>
    <row r="63336" s="2" customFormat="1"/>
    <row r="63337" s="2" customFormat="1"/>
    <row r="63338" s="2" customFormat="1"/>
    <row r="63339" s="2" customFormat="1"/>
    <row r="63340" s="2" customFormat="1"/>
    <row r="63341" s="2" customFormat="1"/>
    <row r="63342" s="2" customFormat="1"/>
    <row r="63343" s="2" customFormat="1"/>
    <row r="63344" s="2" customFormat="1"/>
    <row r="63345" s="2" customFormat="1"/>
    <row r="63346" s="2" customFormat="1"/>
    <row r="63347" s="2" customFormat="1"/>
    <row r="63348" s="2" customFormat="1"/>
    <row r="63349" s="2" customFormat="1"/>
    <row r="63350" s="2" customFormat="1"/>
    <row r="63351" s="2" customFormat="1"/>
    <row r="63352" s="2" customFormat="1"/>
    <row r="63353" s="2" customFormat="1"/>
    <row r="63354" s="2" customFormat="1"/>
    <row r="63355" s="2" customFormat="1"/>
    <row r="63356" s="2" customFormat="1"/>
    <row r="63357" s="2" customFormat="1"/>
    <row r="63358" s="2" customFormat="1"/>
    <row r="63359" s="2" customFormat="1"/>
    <row r="63360" s="2" customFormat="1"/>
    <row r="63361" s="2" customFormat="1"/>
    <row r="63362" s="2" customFormat="1"/>
    <row r="63363" s="2" customFormat="1"/>
    <row r="63364" s="2" customFormat="1"/>
    <row r="63365" s="2" customFormat="1"/>
    <row r="63366" s="2" customFormat="1"/>
    <row r="63367" s="2" customFormat="1"/>
    <row r="63368" s="2" customFormat="1"/>
    <row r="63369" s="2" customFormat="1"/>
    <row r="63370" s="2" customFormat="1"/>
    <row r="63371" s="2" customFormat="1"/>
    <row r="63372" s="2" customFormat="1"/>
    <row r="63373" s="2" customFormat="1"/>
    <row r="63374" s="2" customFormat="1"/>
    <row r="63375" s="2" customFormat="1"/>
    <row r="63376" s="2" customFormat="1"/>
    <row r="63377" s="2" customFormat="1"/>
    <row r="63378" s="2" customFormat="1"/>
    <row r="63379" s="2" customFormat="1"/>
    <row r="63380" s="2" customFormat="1"/>
    <row r="63381" s="2" customFormat="1"/>
    <row r="63382" s="2" customFormat="1"/>
    <row r="63383" s="2" customFormat="1"/>
    <row r="63384" s="2" customFormat="1"/>
    <row r="63385" s="2" customFormat="1"/>
    <row r="63386" s="2" customFormat="1"/>
    <row r="63387" s="2" customFormat="1"/>
    <row r="63388" s="2" customFormat="1"/>
    <row r="63389" s="2" customFormat="1"/>
    <row r="63390" s="2" customFormat="1"/>
    <row r="63391" s="2" customFormat="1"/>
    <row r="63392" s="2" customFormat="1"/>
    <row r="63393" s="2" customFormat="1"/>
    <row r="63394" s="2" customFormat="1"/>
    <row r="63395" s="2" customFormat="1"/>
    <row r="63396" s="2" customFormat="1"/>
    <row r="63397" s="2" customFormat="1"/>
    <row r="63398" s="2" customFormat="1"/>
    <row r="63399" s="2" customFormat="1"/>
    <row r="63400" s="2" customFormat="1"/>
    <row r="63401" s="2" customFormat="1"/>
    <row r="63402" s="2" customFormat="1"/>
    <row r="63403" s="2" customFormat="1"/>
    <row r="63404" s="2" customFormat="1"/>
    <row r="63405" s="2" customFormat="1"/>
    <row r="63406" s="2" customFormat="1"/>
    <row r="63407" s="2" customFormat="1"/>
    <row r="63408" s="2" customFormat="1"/>
    <row r="63409" s="2" customFormat="1"/>
    <row r="63410" s="2" customFormat="1"/>
    <row r="63411" s="2" customFormat="1"/>
    <row r="63412" s="2" customFormat="1"/>
    <row r="63413" s="2" customFormat="1"/>
    <row r="63414" s="2" customFormat="1"/>
    <row r="63415" s="2" customFormat="1"/>
    <row r="63416" s="2" customFormat="1"/>
    <row r="63417" s="2" customFormat="1"/>
    <row r="63418" s="2" customFormat="1"/>
    <row r="63419" s="2" customFormat="1"/>
    <row r="63420" s="2" customFormat="1"/>
    <row r="63421" s="2" customFormat="1"/>
    <row r="63422" s="2" customFormat="1"/>
    <row r="63423" s="2" customFormat="1"/>
    <row r="63424" s="2" customFormat="1"/>
    <row r="63425" s="2" customFormat="1"/>
    <row r="63426" s="2" customFormat="1"/>
    <row r="63427" s="2" customFormat="1"/>
    <row r="63428" s="2" customFormat="1"/>
    <row r="63429" s="2" customFormat="1"/>
    <row r="63430" s="2" customFormat="1"/>
    <row r="63431" s="2" customFormat="1"/>
    <row r="63432" s="2" customFormat="1"/>
    <row r="63433" s="2" customFormat="1"/>
    <row r="63434" s="2" customFormat="1"/>
    <row r="63435" s="2" customFormat="1"/>
    <row r="63436" s="2" customFormat="1"/>
    <row r="63437" s="2" customFormat="1"/>
    <row r="63438" s="2" customFormat="1"/>
    <row r="63439" s="2" customFormat="1"/>
    <row r="63440" s="2" customFormat="1"/>
    <row r="63441" s="2" customFormat="1"/>
    <row r="63442" s="2" customFormat="1"/>
    <row r="63443" s="2" customFormat="1"/>
    <row r="63444" s="2" customFormat="1"/>
    <row r="63445" s="2" customFormat="1"/>
    <row r="63446" s="2" customFormat="1"/>
    <row r="63447" s="2" customFormat="1"/>
    <row r="63448" s="2" customFormat="1"/>
    <row r="63449" s="2" customFormat="1"/>
    <row r="63450" s="2" customFormat="1"/>
    <row r="63451" s="2" customFormat="1"/>
    <row r="63452" s="2" customFormat="1"/>
    <row r="63453" s="2" customFormat="1"/>
    <row r="63454" s="2" customFormat="1"/>
    <row r="63455" s="2" customFormat="1"/>
    <row r="63456" s="2" customFormat="1"/>
    <row r="63457" s="2" customFormat="1"/>
    <row r="63458" s="2" customFormat="1"/>
    <row r="63459" s="2" customFormat="1"/>
    <row r="63460" s="2" customFormat="1"/>
    <row r="63461" s="2" customFormat="1"/>
    <row r="63462" s="2" customFormat="1"/>
    <row r="63463" s="2" customFormat="1"/>
    <row r="63464" s="2" customFormat="1"/>
    <row r="63465" s="2" customFormat="1"/>
    <row r="63466" s="2" customFormat="1"/>
    <row r="63467" s="2" customFormat="1"/>
    <row r="63468" s="2" customFormat="1"/>
    <row r="63469" s="2" customFormat="1"/>
    <row r="63470" s="2" customFormat="1"/>
    <row r="63471" s="2" customFormat="1"/>
    <row r="63472" s="2" customFormat="1"/>
    <row r="63473" s="2" customFormat="1"/>
    <row r="63474" s="2" customFormat="1"/>
    <row r="63475" s="2" customFormat="1"/>
    <row r="63476" s="2" customFormat="1"/>
    <row r="63477" s="2" customFormat="1"/>
    <row r="63478" s="2" customFormat="1"/>
    <row r="63479" s="2" customFormat="1"/>
    <row r="63480" s="2" customFormat="1"/>
    <row r="63481" s="2" customFormat="1"/>
    <row r="63482" s="2" customFormat="1"/>
    <row r="63483" s="2" customFormat="1"/>
    <row r="63484" s="2" customFormat="1"/>
    <row r="63485" s="2" customFormat="1"/>
    <row r="63486" s="2" customFormat="1"/>
    <row r="63487" s="2" customFormat="1"/>
    <row r="63488" s="2" customFormat="1"/>
    <row r="63489" s="2" customFormat="1"/>
    <row r="63490" s="2" customFormat="1"/>
    <row r="63491" s="2" customFormat="1"/>
    <row r="63492" s="2" customFormat="1"/>
    <row r="63493" s="2" customFormat="1"/>
    <row r="63494" s="2" customFormat="1"/>
    <row r="63495" s="2" customFormat="1"/>
    <row r="63496" s="2" customFormat="1"/>
    <row r="63497" s="2" customFormat="1"/>
    <row r="63498" s="2" customFormat="1"/>
    <row r="63499" s="2" customFormat="1"/>
    <row r="63500" s="2" customFormat="1"/>
    <row r="63501" s="2" customFormat="1"/>
    <row r="63502" s="2" customFormat="1"/>
    <row r="63503" s="2" customFormat="1"/>
    <row r="63504" s="2" customFormat="1"/>
    <row r="63505" s="2" customFormat="1"/>
    <row r="63506" s="2" customFormat="1"/>
    <row r="63507" s="2" customFormat="1"/>
    <row r="63508" s="2" customFormat="1"/>
    <row r="63509" s="2" customFormat="1"/>
    <row r="63510" s="2" customFormat="1"/>
    <row r="63511" s="2" customFormat="1"/>
    <row r="63512" s="2" customFormat="1"/>
    <row r="63513" s="2" customFormat="1"/>
    <row r="63514" s="2" customFormat="1"/>
    <row r="63515" s="2" customFormat="1"/>
    <row r="63516" s="2" customFormat="1"/>
    <row r="63517" s="2" customFormat="1"/>
    <row r="63518" s="2" customFormat="1"/>
    <row r="63519" s="2" customFormat="1"/>
    <row r="63520" s="2" customFormat="1"/>
    <row r="63521" s="2" customFormat="1"/>
    <row r="63522" s="2" customFormat="1"/>
    <row r="63523" s="2" customFormat="1"/>
    <row r="63524" s="2" customFormat="1"/>
    <row r="63525" s="2" customFormat="1"/>
    <row r="63526" s="2" customFormat="1"/>
    <row r="63527" s="2" customFormat="1"/>
    <row r="63528" s="2" customFormat="1"/>
    <row r="63529" s="2" customFormat="1"/>
    <row r="63530" s="2" customFormat="1"/>
    <row r="63531" s="2" customFormat="1"/>
    <row r="63532" s="2" customFormat="1"/>
    <row r="63533" s="2" customFormat="1"/>
    <row r="63534" s="2" customFormat="1"/>
    <row r="63535" s="2" customFormat="1"/>
    <row r="63536" s="2" customFormat="1"/>
    <row r="63537" s="2" customFormat="1"/>
    <row r="63538" s="2" customFormat="1"/>
    <row r="63539" s="2" customFormat="1"/>
    <row r="63540" s="2" customFormat="1"/>
    <row r="63541" s="2" customFormat="1"/>
    <row r="63542" s="2" customFormat="1"/>
    <row r="63543" s="2" customFormat="1"/>
    <row r="63544" s="2" customFormat="1"/>
    <row r="63545" s="2" customFormat="1"/>
    <row r="63546" s="2" customFormat="1"/>
    <row r="63547" s="2" customFormat="1"/>
    <row r="63548" s="2" customFormat="1"/>
    <row r="63549" s="2" customFormat="1"/>
    <row r="63550" s="2" customFormat="1"/>
    <row r="63551" s="2" customFormat="1"/>
    <row r="63552" s="2" customFormat="1"/>
    <row r="63553" s="2" customFormat="1"/>
    <row r="63554" s="2" customFormat="1"/>
    <row r="63555" s="2" customFormat="1"/>
    <row r="63556" s="2" customFormat="1"/>
    <row r="63557" s="2" customFormat="1"/>
    <row r="63558" s="2" customFormat="1"/>
    <row r="63559" s="2" customFormat="1"/>
    <row r="63560" s="2" customFormat="1"/>
    <row r="63561" s="2" customFormat="1"/>
    <row r="63562" s="2" customFormat="1"/>
    <row r="63563" s="2" customFormat="1"/>
    <row r="63564" s="2" customFormat="1"/>
    <row r="63565" s="2" customFormat="1"/>
    <row r="63566" s="2" customFormat="1"/>
    <row r="63567" s="2" customFormat="1"/>
    <row r="63568" s="2" customFormat="1"/>
    <row r="63569" s="2" customFormat="1"/>
    <row r="63570" s="2" customFormat="1"/>
    <row r="63571" s="2" customFormat="1"/>
    <row r="63572" s="2" customFormat="1"/>
    <row r="63573" s="2" customFormat="1"/>
    <row r="63574" s="2" customFormat="1"/>
    <row r="63575" s="2" customFormat="1"/>
    <row r="63576" s="2" customFormat="1"/>
    <row r="63577" s="2" customFormat="1"/>
    <row r="63578" s="2" customFormat="1"/>
    <row r="63579" s="2" customFormat="1"/>
    <row r="63580" s="2" customFormat="1"/>
    <row r="63581" s="2" customFormat="1"/>
    <row r="63582" s="2" customFormat="1"/>
    <row r="63583" s="2" customFormat="1"/>
    <row r="63584" s="2" customFormat="1"/>
    <row r="63585" s="2" customFormat="1"/>
    <row r="63586" s="2" customFormat="1"/>
    <row r="63587" s="2" customFormat="1"/>
    <row r="63588" s="2" customFormat="1"/>
    <row r="63589" s="2" customFormat="1"/>
    <row r="63590" s="2" customFormat="1"/>
    <row r="63591" s="2" customFormat="1"/>
    <row r="63592" s="2" customFormat="1"/>
    <row r="63593" s="2" customFormat="1"/>
    <row r="63594" s="2" customFormat="1"/>
    <row r="63595" s="2" customFormat="1"/>
    <row r="63596" s="2" customFormat="1"/>
    <row r="63597" s="2" customFormat="1"/>
    <row r="63598" s="2" customFormat="1"/>
    <row r="63599" s="2" customFormat="1"/>
    <row r="63600" s="2" customFormat="1"/>
    <row r="63601" s="2" customFormat="1"/>
    <row r="63602" s="2" customFormat="1"/>
    <row r="63603" s="2" customFormat="1"/>
    <row r="63604" s="2" customFormat="1"/>
    <row r="63605" s="2" customFormat="1"/>
    <row r="63606" s="2" customFormat="1"/>
    <row r="63607" s="2" customFormat="1"/>
    <row r="63608" s="2" customFormat="1"/>
    <row r="63609" s="2" customFormat="1"/>
    <row r="63610" s="2" customFormat="1"/>
    <row r="63611" s="2" customFormat="1"/>
    <row r="63612" s="2" customFormat="1"/>
    <row r="63613" s="2" customFormat="1"/>
    <row r="63614" s="2" customFormat="1"/>
    <row r="63615" s="2" customFormat="1"/>
    <row r="63616" s="2" customFormat="1"/>
    <row r="63617" s="2" customFormat="1"/>
    <row r="63618" s="2" customFormat="1"/>
    <row r="63619" s="2" customFormat="1"/>
    <row r="63620" s="2" customFormat="1"/>
    <row r="63621" s="2" customFormat="1"/>
    <row r="63622" s="2" customFormat="1"/>
    <row r="63623" s="2" customFormat="1"/>
    <row r="63624" s="2" customFormat="1"/>
    <row r="63625" s="2" customFormat="1"/>
    <row r="63626" s="2" customFormat="1"/>
    <row r="63627" s="2" customFormat="1"/>
    <row r="63628" s="2" customFormat="1"/>
    <row r="63629" s="2" customFormat="1"/>
    <row r="63630" s="2" customFormat="1"/>
    <row r="63631" s="2" customFormat="1"/>
    <row r="63632" s="2" customFormat="1"/>
    <row r="63633" s="2" customFormat="1"/>
    <row r="63634" s="2" customFormat="1"/>
    <row r="63635" s="2" customFormat="1"/>
    <row r="63636" s="2" customFormat="1"/>
    <row r="63637" s="2" customFormat="1"/>
    <row r="63638" s="2" customFormat="1"/>
    <row r="63639" s="2" customFormat="1"/>
    <row r="63640" s="2" customFormat="1"/>
    <row r="63641" s="2" customFormat="1"/>
    <row r="63642" s="2" customFormat="1"/>
    <row r="63643" s="2" customFormat="1"/>
    <row r="63644" s="2" customFormat="1"/>
    <row r="63645" s="2" customFormat="1"/>
    <row r="63646" s="2" customFormat="1"/>
    <row r="63647" s="2" customFormat="1"/>
    <row r="63648" s="2" customFormat="1"/>
    <row r="63649" s="2" customFormat="1"/>
    <row r="63650" s="2" customFormat="1"/>
    <row r="63651" s="2" customFormat="1"/>
    <row r="63652" s="2" customFormat="1"/>
    <row r="63653" s="2" customFormat="1"/>
    <row r="63654" s="2" customFormat="1"/>
    <row r="63655" s="2" customFormat="1"/>
    <row r="63656" s="2" customFormat="1"/>
    <row r="63657" s="2" customFormat="1"/>
    <row r="63658" s="2" customFormat="1"/>
    <row r="63659" s="2" customFormat="1"/>
    <row r="63660" s="2" customFormat="1"/>
    <row r="63661" s="2" customFormat="1"/>
    <row r="63662" s="2" customFormat="1"/>
    <row r="63663" s="2" customFormat="1"/>
    <row r="63664" s="2" customFormat="1"/>
    <row r="63665" s="2" customFormat="1"/>
    <row r="63666" s="2" customFormat="1"/>
    <row r="63667" s="2" customFormat="1"/>
    <row r="63668" s="2" customFormat="1"/>
    <row r="63669" s="2" customFormat="1"/>
    <row r="63670" s="2" customFormat="1"/>
    <row r="63671" s="2" customFormat="1"/>
    <row r="63672" s="2" customFormat="1"/>
    <row r="63673" s="2" customFormat="1"/>
    <row r="63674" s="2" customFormat="1"/>
    <row r="63675" s="2" customFormat="1"/>
    <row r="63676" s="2" customFormat="1"/>
    <row r="63677" s="2" customFormat="1"/>
    <row r="63678" s="2" customFormat="1"/>
    <row r="63679" s="2" customFormat="1"/>
    <row r="63680" s="2" customFormat="1"/>
    <row r="63681" s="2" customFormat="1"/>
    <row r="63682" s="2" customFormat="1"/>
    <row r="63683" s="2" customFormat="1"/>
    <row r="63684" s="2" customFormat="1"/>
    <row r="63685" s="2" customFormat="1"/>
    <row r="63686" s="2" customFormat="1"/>
    <row r="63687" s="2" customFormat="1"/>
    <row r="63688" s="2" customFormat="1"/>
    <row r="63689" s="2" customFormat="1"/>
    <row r="63690" s="2" customFormat="1"/>
    <row r="63691" s="2" customFormat="1"/>
    <row r="63692" s="2" customFormat="1"/>
    <row r="63693" s="2" customFormat="1"/>
    <row r="63694" s="2" customFormat="1"/>
    <row r="63695" s="2" customFormat="1"/>
    <row r="63696" s="2" customFormat="1"/>
    <row r="63697" s="2" customFormat="1"/>
    <row r="63698" s="2" customFormat="1"/>
    <row r="63699" s="2" customFormat="1"/>
    <row r="63700" s="2" customFormat="1"/>
    <row r="63701" s="2" customFormat="1"/>
    <row r="63702" s="2" customFormat="1"/>
    <row r="63703" s="2" customFormat="1"/>
    <row r="63704" s="2" customFormat="1"/>
    <row r="63705" s="2" customFormat="1"/>
    <row r="63706" s="2" customFormat="1"/>
    <row r="63707" s="2" customFormat="1"/>
    <row r="63708" s="2" customFormat="1"/>
    <row r="63709" s="2" customFormat="1"/>
    <row r="63710" s="2" customFormat="1"/>
    <row r="63711" s="2" customFormat="1"/>
    <row r="63712" s="2" customFormat="1"/>
    <row r="63713" s="2" customFormat="1"/>
    <row r="63714" s="2" customFormat="1"/>
    <row r="63715" s="2" customFormat="1"/>
    <row r="63716" s="2" customFormat="1"/>
    <row r="63717" s="2" customFormat="1"/>
    <row r="63718" s="2" customFormat="1"/>
    <row r="63719" s="2" customFormat="1"/>
    <row r="63720" s="2" customFormat="1"/>
    <row r="63721" s="2" customFormat="1"/>
    <row r="63722" s="2" customFormat="1"/>
    <row r="63723" s="2" customFormat="1"/>
    <row r="63724" s="2" customFormat="1"/>
    <row r="63725" s="2" customFormat="1"/>
    <row r="63726" s="2" customFormat="1"/>
    <row r="63727" s="2" customFormat="1"/>
    <row r="63728" s="2" customFormat="1"/>
    <row r="63729" s="2" customFormat="1"/>
    <row r="63730" s="2" customFormat="1"/>
    <row r="63731" s="2" customFormat="1"/>
    <row r="63732" s="2" customFormat="1"/>
    <row r="63733" s="2" customFormat="1"/>
    <row r="63734" s="2" customFormat="1"/>
    <row r="63735" s="2" customFormat="1"/>
    <row r="63736" s="2" customFormat="1"/>
    <row r="63737" s="2" customFormat="1"/>
    <row r="63738" s="2" customFormat="1"/>
    <row r="63739" s="2" customFormat="1"/>
    <row r="63740" s="2" customFormat="1"/>
    <row r="63741" s="2" customFormat="1"/>
    <row r="63742" s="2" customFormat="1"/>
    <row r="63743" s="2" customFormat="1"/>
    <row r="63744" s="2" customFormat="1"/>
    <row r="63745" s="2" customFormat="1"/>
    <row r="63746" s="2" customFormat="1"/>
    <row r="63747" s="2" customFormat="1"/>
    <row r="63748" s="2" customFormat="1"/>
    <row r="63749" s="2" customFormat="1"/>
    <row r="63750" s="2" customFormat="1"/>
    <row r="63751" s="2" customFormat="1"/>
    <row r="63752" s="2" customFormat="1"/>
    <row r="63753" s="2" customFormat="1"/>
    <row r="63754" s="2" customFormat="1"/>
    <row r="63755" s="2" customFormat="1"/>
    <row r="63756" s="2" customFormat="1"/>
    <row r="63757" s="2" customFormat="1"/>
    <row r="63758" s="2" customFormat="1"/>
    <row r="63759" s="2" customFormat="1"/>
    <row r="63760" s="2" customFormat="1"/>
    <row r="63761" s="2" customFormat="1"/>
    <row r="63762" s="2" customFormat="1"/>
    <row r="63763" s="2" customFormat="1"/>
    <row r="63764" s="2" customFormat="1"/>
    <row r="63765" s="2" customFormat="1"/>
    <row r="63766" s="2" customFormat="1"/>
    <row r="63767" s="2" customFormat="1"/>
    <row r="63768" s="2" customFormat="1"/>
    <row r="63769" s="2" customFormat="1"/>
    <row r="63770" s="2" customFormat="1"/>
    <row r="63771" s="2" customFormat="1"/>
    <row r="63772" s="2" customFormat="1"/>
    <row r="63773" s="2" customFormat="1"/>
    <row r="63774" s="2" customFormat="1"/>
    <row r="63775" s="2" customFormat="1"/>
    <row r="63776" s="2" customFormat="1"/>
    <row r="63777" s="2" customFormat="1"/>
    <row r="63778" s="2" customFormat="1"/>
    <row r="63779" s="2" customFormat="1"/>
    <row r="63780" s="2" customFormat="1"/>
    <row r="63781" s="2" customFormat="1"/>
    <row r="63782" s="2" customFormat="1"/>
    <row r="63783" s="2" customFormat="1"/>
    <row r="63784" s="2" customFormat="1"/>
    <row r="63785" s="2" customFormat="1"/>
    <row r="63786" s="2" customFormat="1"/>
    <row r="63787" s="2" customFormat="1"/>
    <row r="63788" s="2" customFormat="1"/>
    <row r="63789" s="2" customFormat="1"/>
    <row r="63790" s="2" customFormat="1"/>
    <row r="63791" s="2" customFormat="1"/>
    <row r="63792" s="2" customFormat="1"/>
    <row r="63793" s="2" customFormat="1"/>
    <row r="63794" s="2" customFormat="1"/>
    <row r="63795" s="2" customFormat="1"/>
    <row r="63796" s="2" customFormat="1"/>
    <row r="63797" s="2" customFormat="1"/>
    <row r="63798" s="2" customFormat="1"/>
    <row r="63799" s="2" customFormat="1"/>
    <row r="63800" s="2" customFormat="1"/>
    <row r="63801" s="2" customFormat="1"/>
    <row r="63802" s="2" customFormat="1"/>
    <row r="63803" s="2" customFormat="1"/>
    <row r="63804" s="2" customFormat="1"/>
    <row r="63805" s="2" customFormat="1"/>
    <row r="63806" s="2" customFormat="1"/>
    <row r="63807" s="2" customFormat="1"/>
    <row r="63808" s="2" customFormat="1"/>
    <row r="63809" s="2" customFormat="1"/>
    <row r="63810" s="2" customFormat="1"/>
    <row r="63811" s="2" customFormat="1"/>
    <row r="63812" s="2" customFormat="1"/>
    <row r="63813" s="2" customFormat="1"/>
    <row r="63814" s="2" customFormat="1"/>
    <row r="63815" s="2" customFormat="1"/>
    <row r="63816" s="2" customFormat="1"/>
    <row r="63817" s="2" customFormat="1"/>
    <row r="63818" s="2" customFormat="1"/>
    <row r="63819" s="2" customFormat="1"/>
    <row r="63820" s="2" customFormat="1"/>
    <row r="63821" s="2" customFormat="1"/>
    <row r="63822" s="2" customFormat="1"/>
    <row r="63823" s="2" customFormat="1"/>
    <row r="63824" s="2" customFormat="1"/>
    <row r="63825" s="2" customFormat="1"/>
    <row r="63826" s="2" customFormat="1"/>
    <row r="63827" s="2" customFormat="1"/>
    <row r="63828" s="2" customFormat="1"/>
    <row r="63829" s="2" customFormat="1"/>
    <row r="63830" s="2" customFormat="1"/>
    <row r="63831" s="2" customFormat="1"/>
    <row r="63832" s="2" customFormat="1"/>
    <row r="63833" s="2" customFormat="1"/>
    <row r="63834" s="2" customFormat="1"/>
    <row r="63835" s="2" customFormat="1"/>
    <row r="63836" s="2" customFormat="1"/>
    <row r="63837" s="2" customFormat="1"/>
    <row r="63838" s="2" customFormat="1"/>
    <row r="63839" s="2" customFormat="1"/>
    <row r="63840" s="2" customFormat="1"/>
    <row r="63841" s="2" customFormat="1"/>
    <row r="63842" s="2" customFormat="1"/>
    <row r="63843" s="2" customFormat="1"/>
    <row r="63844" s="2" customFormat="1"/>
    <row r="63845" s="2" customFormat="1"/>
    <row r="63846" s="2" customFormat="1"/>
    <row r="63847" s="2" customFormat="1"/>
    <row r="63848" s="2" customFormat="1"/>
    <row r="63849" s="2" customFormat="1"/>
    <row r="63850" s="2" customFormat="1"/>
    <row r="63851" s="2" customFormat="1"/>
    <row r="63852" s="2" customFormat="1"/>
    <row r="63853" s="2" customFormat="1"/>
    <row r="63854" s="2" customFormat="1"/>
    <row r="63855" s="2" customFormat="1"/>
    <row r="63856" s="2" customFormat="1"/>
    <row r="63857" s="2" customFormat="1"/>
    <row r="63858" s="2" customFormat="1"/>
    <row r="63859" s="2" customFormat="1"/>
    <row r="63860" s="2" customFormat="1"/>
    <row r="63861" s="2" customFormat="1"/>
    <row r="63862" s="2" customFormat="1"/>
    <row r="63863" s="2" customFormat="1"/>
    <row r="63864" s="2" customFormat="1"/>
    <row r="63865" s="2" customFormat="1"/>
    <row r="63866" s="2" customFormat="1"/>
    <row r="63867" s="2" customFormat="1"/>
    <row r="63868" s="2" customFormat="1"/>
    <row r="63869" s="2" customFormat="1"/>
    <row r="63870" s="2" customFormat="1"/>
    <row r="63871" s="2" customFormat="1"/>
    <row r="63872" s="2" customFormat="1"/>
    <row r="63873" s="2" customFormat="1"/>
    <row r="63874" s="2" customFormat="1"/>
    <row r="63875" s="2" customFormat="1"/>
    <row r="63876" s="2" customFormat="1"/>
    <row r="63877" s="2" customFormat="1"/>
    <row r="63878" s="2" customFormat="1"/>
    <row r="63879" s="2" customFormat="1"/>
    <row r="63880" s="2" customFormat="1"/>
    <row r="63881" s="2" customFormat="1"/>
    <row r="63882" s="2" customFormat="1"/>
    <row r="63883" s="2" customFormat="1"/>
    <row r="63884" s="2" customFormat="1"/>
    <row r="63885" s="2" customFormat="1"/>
    <row r="63886" s="2" customFormat="1"/>
    <row r="63887" s="2" customFormat="1"/>
    <row r="63888" s="2" customFormat="1"/>
    <row r="63889" s="2" customFormat="1"/>
    <row r="63890" s="2" customFormat="1"/>
    <row r="63891" s="2" customFormat="1"/>
    <row r="63892" s="2" customFormat="1"/>
    <row r="63893" s="2" customFormat="1"/>
    <row r="63894" s="2" customFormat="1"/>
    <row r="63895" s="2" customFormat="1"/>
    <row r="63896" s="2" customFormat="1"/>
    <row r="63897" s="2" customFormat="1"/>
    <row r="63898" s="2" customFormat="1"/>
    <row r="63899" s="2" customFormat="1"/>
    <row r="63900" s="2" customFormat="1"/>
    <row r="63901" s="2" customFormat="1"/>
    <row r="63902" s="2" customFormat="1"/>
    <row r="63903" s="2" customFormat="1"/>
    <row r="63904" s="2" customFormat="1"/>
    <row r="63905" s="2" customFormat="1"/>
    <row r="63906" s="2" customFormat="1"/>
    <row r="63907" s="2" customFormat="1"/>
    <row r="63908" s="2" customFormat="1"/>
    <row r="63909" s="2" customFormat="1"/>
    <row r="63910" s="2" customFormat="1"/>
    <row r="63911" s="2" customFormat="1"/>
    <row r="63912" s="2" customFormat="1"/>
    <row r="63913" s="2" customFormat="1"/>
    <row r="63914" s="2" customFormat="1"/>
    <row r="63915" s="2" customFormat="1"/>
    <row r="63916" s="2" customFormat="1"/>
    <row r="63917" s="2" customFormat="1"/>
    <row r="63918" s="2" customFormat="1"/>
    <row r="63919" s="2" customFormat="1"/>
    <row r="63920" s="2" customFormat="1"/>
    <row r="63921" s="2" customFormat="1"/>
    <row r="63922" s="2" customFormat="1"/>
    <row r="63923" s="2" customFormat="1"/>
    <row r="63924" s="2" customFormat="1"/>
    <row r="63925" s="2" customFormat="1"/>
    <row r="63926" s="2" customFormat="1"/>
    <row r="63927" s="2" customFormat="1"/>
    <row r="63928" s="2" customFormat="1"/>
    <row r="63929" s="2" customFormat="1"/>
    <row r="63930" s="2" customFormat="1"/>
    <row r="63931" s="2" customFormat="1"/>
    <row r="63932" s="2" customFormat="1"/>
    <row r="63933" s="2" customFormat="1"/>
    <row r="63934" s="2" customFormat="1"/>
    <row r="63935" s="2" customFormat="1"/>
    <row r="63936" s="2" customFormat="1"/>
    <row r="63937" s="2" customFormat="1"/>
    <row r="63938" s="2" customFormat="1"/>
    <row r="63939" s="2" customFormat="1"/>
    <row r="63940" s="2" customFormat="1"/>
    <row r="63941" s="2" customFormat="1"/>
    <row r="63942" s="2" customFormat="1"/>
    <row r="63943" s="2" customFormat="1"/>
    <row r="63944" s="2" customFormat="1"/>
    <row r="63945" s="2" customFormat="1"/>
    <row r="63946" s="2" customFormat="1"/>
    <row r="63947" s="2" customFormat="1"/>
    <row r="63948" s="2" customFormat="1"/>
    <row r="63949" s="2" customFormat="1"/>
    <row r="63950" s="2" customFormat="1"/>
    <row r="63951" s="2" customFormat="1"/>
    <row r="63952" s="2" customFormat="1"/>
    <row r="63953" s="2" customFormat="1"/>
    <row r="63954" s="2" customFormat="1"/>
    <row r="63955" s="2" customFormat="1"/>
    <row r="63956" s="2" customFormat="1"/>
    <row r="63957" s="2" customFormat="1"/>
    <row r="63958" s="2" customFormat="1"/>
    <row r="63959" s="2" customFormat="1"/>
    <row r="63960" s="2" customFormat="1"/>
    <row r="63961" s="2" customFormat="1"/>
    <row r="63962" s="2" customFormat="1"/>
    <row r="63963" s="2" customFormat="1"/>
    <row r="63964" s="2" customFormat="1"/>
    <row r="63965" s="2" customFormat="1"/>
    <row r="63966" s="2" customFormat="1"/>
    <row r="63967" s="2" customFormat="1"/>
    <row r="63968" s="2" customFormat="1"/>
    <row r="63969" s="2" customFormat="1"/>
    <row r="63970" s="2" customFormat="1"/>
    <row r="63971" s="2" customFormat="1"/>
    <row r="63972" s="2" customFormat="1"/>
    <row r="63973" s="2" customFormat="1"/>
    <row r="63974" s="2" customFormat="1"/>
    <row r="63975" s="2" customFormat="1"/>
    <row r="63976" s="2" customFormat="1"/>
    <row r="63977" s="2" customFormat="1"/>
    <row r="63978" s="2" customFormat="1"/>
    <row r="63979" s="2" customFormat="1"/>
    <row r="63980" s="2" customFormat="1"/>
    <row r="63981" s="2" customFormat="1"/>
    <row r="63982" s="2" customFormat="1"/>
    <row r="63983" s="2" customFormat="1"/>
    <row r="63984" s="2" customFormat="1"/>
    <row r="63985" s="2" customFormat="1"/>
    <row r="63986" s="2" customFormat="1"/>
    <row r="63987" s="2" customFormat="1"/>
    <row r="63988" s="2" customFormat="1"/>
    <row r="63989" s="2" customFormat="1"/>
    <row r="63990" s="2" customFormat="1"/>
    <row r="63991" s="2" customFormat="1"/>
    <row r="63992" s="2" customFormat="1"/>
    <row r="63993" s="2" customFormat="1"/>
    <row r="63994" s="2" customFormat="1"/>
    <row r="63995" s="2" customFormat="1"/>
    <row r="63996" s="2" customFormat="1"/>
    <row r="63997" s="2" customFormat="1"/>
    <row r="63998" s="2" customFormat="1"/>
    <row r="63999" s="2" customFormat="1"/>
    <row r="64000" s="2" customFormat="1"/>
    <row r="64001" s="2" customFormat="1"/>
    <row r="64002" s="2" customFormat="1"/>
    <row r="64003" s="2" customFormat="1"/>
    <row r="64004" s="2" customFormat="1"/>
    <row r="64005" s="2" customFormat="1"/>
    <row r="64006" s="2" customFormat="1"/>
    <row r="64007" s="2" customFormat="1"/>
    <row r="64008" s="2" customFormat="1"/>
    <row r="64009" s="2" customFormat="1"/>
    <row r="64010" s="2" customFormat="1"/>
    <row r="64011" s="2" customFormat="1"/>
    <row r="64012" s="2" customFormat="1"/>
    <row r="64013" s="2" customFormat="1"/>
    <row r="64014" s="2" customFormat="1"/>
    <row r="64015" s="2" customFormat="1"/>
    <row r="64016" s="2" customFormat="1"/>
    <row r="64017" s="2" customFormat="1"/>
    <row r="64018" s="2" customFormat="1"/>
    <row r="64019" s="2" customFormat="1"/>
    <row r="64020" s="2" customFormat="1"/>
    <row r="64021" s="2" customFormat="1"/>
    <row r="64022" s="2" customFormat="1"/>
    <row r="64023" s="2" customFormat="1"/>
    <row r="64024" s="2" customFormat="1"/>
    <row r="64025" s="2" customFormat="1"/>
    <row r="64026" s="2" customFormat="1"/>
    <row r="64027" s="2" customFormat="1"/>
    <row r="64028" s="2" customFormat="1"/>
    <row r="64029" s="2" customFormat="1"/>
    <row r="64030" s="2" customFormat="1"/>
    <row r="64031" s="2" customFormat="1"/>
    <row r="64032" s="2" customFormat="1"/>
    <row r="64033" s="2" customFormat="1"/>
    <row r="64034" s="2" customFormat="1"/>
    <row r="64035" s="2" customFormat="1"/>
    <row r="64036" s="2" customFormat="1"/>
    <row r="64037" s="2" customFormat="1"/>
    <row r="64038" s="2" customFormat="1"/>
    <row r="64039" s="2" customFormat="1"/>
    <row r="64040" s="2" customFormat="1"/>
    <row r="64041" s="2" customFormat="1"/>
    <row r="64042" s="2" customFormat="1"/>
    <row r="64043" s="2" customFormat="1"/>
    <row r="64044" s="2" customFormat="1"/>
    <row r="64045" s="2" customFormat="1"/>
    <row r="64046" s="2" customFormat="1"/>
    <row r="64047" s="2" customFormat="1"/>
    <row r="64048" s="2" customFormat="1"/>
    <row r="64049" s="2" customFormat="1"/>
    <row r="64050" s="2" customFormat="1"/>
    <row r="64051" s="2" customFormat="1"/>
    <row r="64052" s="2" customFormat="1"/>
    <row r="64053" s="2" customFormat="1"/>
    <row r="64054" s="2" customFormat="1"/>
    <row r="64055" s="2" customFormat="1"/>
    <row r="64056" s="2" customFormat="1"/>
    <row r="64057" s="2" customFormat="1"/>
    <row r="64058" s="2" customFormat="1"/>
    <row r="64059" s="2" customFormat="1"/>
    <row r="64060" s="2" customFormat="1"/>
    <row r="64061" s="2" customFormat="1"/>
    <row r="64062" s="2" customFormat="1"/>
    <row r="64063" s="2" customFormat="1"/>
    <row r="64064" s="2" customFormat="1"/>
    <row r="64065" s="2" customFormat="1"/>
    <row r="64066" s="2" customFormat="1"/>
    <row r="64067" s="2" customFormat="1"/>
    <row r="64068" s="2" customFormat="1"/>
    <row r="64069" s="2" customFormat="1"/>
    <row r="64070" s="2" customFormat="1"/>
    <row r="64071" s="2" customFormat="1"/>
    <row r="64072" s="2" customFormat="1"/>
    <row r="64073" s="2" customFormat="1"/>
    <row r="64074" s="2" customFormat="1"/>
    <row r="64075" s="2" customFormat="1"/>
    <row r="64076" s="2" customFormat="1"/>
    <row r="64077" s="2" customFormat="1"/>
    <row r="64078" s="2" customFormat="1"/>
    <row r="64079" s="2" customFormat="1"/>
    <row r="64080" s="2" customFormat="1"/>
    <row r="64081" s="2" customFormat="1"/>
    <row r="64082" s="2" customFormat="1"/>
    <row r="64083" s="2" customFormat="1"/>
    <row r="64084" s="2" customFormat="1"/>
    <row r="64085" s="2" customFormat="1"/>
    <row r="64086" s="2" customFormat="1"/>
    <row r="64087" s="2" customFormat="1"/>
    <row r="64088" s="2" customFormat="1"/>
    <row r="64089" s="2" customFormat="1"/>
    <row r="64090" s="2" customFormat="1"/>
    <row r="64091" s="2" customFormat="1"/>
    <row r="64092" s="2" customFormat="1"/>
    <row r="64093" s="2" customFormat="1"/>
    <row r="64094" s="2" customFormat="1"/>
    <row r="64095" s="2" customFormat="1"/>
    <row r="64096" s="2" customFormat="1"/>
    <row r="64097" s="2" customFormat="1"/>
    <row r="64098" s="2" customFormat="1"/>
    <row r="64099" s="2" customFormat="1"/>
    <row r="64100" s="2" customFormat="1"/>
    <row r="64101" s="2" customFormat="1"/>
    <row r="64102" s="2" customFormat="1"/>
    <row r="64103" s="2" customFormat="1"/>
    <row r="64104" s="2" customFormat="1"/>
    <row r="64105" s="2" customFormat="1"/>
    <row r="64106" s="2" customFormat="1"/>
    <row r="64107" s="2" customFormat="1"/>
    <row r="64108" s="2" customFormat="1"/>
    <row r="64109" s="2" customFormat="1"/>
    <row r="64110" s="2" customFormat="1"/>
    <row r="64111" s="2" customFormat="1"/>
    <row r="64112" s="2" customFormat="1"/>
    <row r="64113" s="2" customFormat="1"/>
    <row r="64114" s="2" customFormat="1"/>
    <row r="64115" s="2" customFormat="1"/>
    <row r="64116" s="2" customFormat="1"/>
    <row r="64117" s="2" customFormat="1"/>
    <row r="64118" s="2" customFormat="1"/>
    <row r="64119" s="2" customFormat="1"/>
    <row r="64120" s="2" customFormat="1"/>
    <row r="64121" s="2" customFormat="1"/>
    <row r="64122" s="2" customFormat="1"/>
    <row r="64123" s="2" customFormat="1"/>
    <row r="64124" s="2" customFormat="1"/>
    <row r="64125" s="2" customFormat="1"/>
    <row r="64126" s="2" customFormat="1"/>
    <row r="64127" s="2" customFormat="1"/>
    <row r="64128" s="2" customFormat="1"/>
    <row r="64129" s="2" customFormat="1"/>
    <row r="64130" s="2" customFormat="1"/>
    <row r="64131" s="2" customFormat="1"/>
    <row r="64132" s="2" customFormat="1"/>
    <row r="64133" s="2" customFormat="1"/>
    <row r="64134" s="2" customFormat="1"/>
    <row r="64135" s="2" customFormat="1"/>
    <row r="64136" s="2" customFormat="1"/>
    <row r="64137" s="2" customFormat="1"/>
    <row r="64138" s="2" customFormat="1"/>
    <row r="64139" s="2" customFormat="1"/>
    <row r="64140" s="2" customFormat="1"/>
    <row r="64141" s="2" customFormat="1"/>
    <row r="64142" s="2" customFormat="1"/>
    <row r="64143" s="2" customFormat="1"/>
    <row r="64144" s="2" customFormat="1"/>
    <row r="64145" s="2" customFormat="1"/>
    <row r="64146" s="2" customFormat="1"/>
    <row r="64147" s="2" customFormat="1"/>
    <row r="64148" s="2" customFormat="1"/>
    <row r="64149" s="2" customFormat="1"/>
    <row r="64150" s="2" customFormat="1"/>
    <row r="64151" s="2" customFormat="1"/>
    <row r="64152" s="2" customFormat="1"/>
    <row r="64153" s="2" customFormat="1"/>
    <row r="64154" s="2" customFormat="1"/>
    <row r="64155" s="2" customFormat="1"/>
    <row r="64156" s="2" customFormat="1"/>
    <row r="64157" s="2" customFormat="1"/>
    <row r="64158" s="2" customFormat="1"/>
    <row r="64159" s="2" customFormat="1"/>
    <row r="64160" s="2" customFormat="1"/>
    <row r="64161" s="2" customFormat="1"/>
    <row r="64162" s="2" customFormat="1"/>
    <row r="64163" s="2" customFormat="1"/>
    <row r="64164" s="2" customFormat="1"/>
    <row r="64165" s="2" customFormat="1"/>
    <row r="64166" s="2" customFormat="1"/>
    <row r="64167" s="2" customFormat="1"/>
    <row r="64168" s="2" customFormat="1"/>
    <row r="64169" s="2" customFormat="1"/>
    <row r="64170" s="2" customFormat="1"/>
    <row r="64171" s="2" customFormat="1"/>
    <row r="64172" s="2" customFormat="1"/>
    <row r="64173" s="2" customFormat="1"/>
    <row r="64174" s="2" customFormat="1"/>
    <row r="64175" s="2" customFormat="1"/>
    <row r="64176" s="2" customFormat="1"/>
    <row r="64177" s="2" customFormat="1"/>
    <row r="64178" s="2" customFormat="1"/>
    <row r="64179" s="2" customFormat="1"/>
    <row r="64180" s="2" customFormat="1"/>
    <row r="64181" s="2" customFormat="1"/>
    <row r="64182" s="2" customFormat="1"/>
    <row r="64183" s="2" customFormat="1"/>
    <row r="64184" s="2" customFormat="1"/>
    <row r="64185" s="2" customFormat="1"/>
    <row r="64186" s="2" customFormat="1"/>
    <row r="64187" s="2" customFormat="1"/>
    <row r="64188" s="2" customFormat="1"/>
    <row r="64189" s="2" customFormat="1"/>
    <row r="64190" s="2" customFormat="1"/>
    <row r="64191" s="2" customFormat="1"/>
    <row r="64192" s="2" customFormat="1"/>
    <row r="64193" s="2" customFormat="1"/>
    <row r="64194" s="2" customFormat="1"/>
    <row r="64195" s="2" customFormat="1"/>
    <row r="64196" s="2" customFormat="1"/>
    <row r="64197" s="2" customFormat="1"/>
    <row r="64198" s="2" customFormat="1"/>
    <row r="64199" s="2" customFormat="1"/>
    <row r="64200" s="2" customFormat="1"/>
    <row r="64201" s="2" customFormat="1"/>
    <row r="64202" s="2" customFormat="1"/>
    <row r="64203" s="2" customFormat="1"/>
    <row r="64204" s="2" customFormat="1"/>
    <row r="64205" s="2" customFormat="1"/>
    <row r="64206" s="2" customFormat="1"/>
    <row r="64207" s="2" customFormat="1"/>
    <row r="64208" s="2" customFormat="1"/>
    <row r="64209" s="2" customFormat="1"/>
    <row r="64210" s="2" customFormat="1"/>
    <row r="64211" s="2" customFormat="1"/>
    <row r="64212" s="2" customFormat="1"/>
    <row r="64213" s="2" customFormat="1"/>
    <row r="64214" s="2" customFormat="1"/>
    <row r="64215" s="2" customFormat="1"/>
    <row r="64216" s="2" customFormat="1"/>
    <row r="64217" s="2" customFormat="1"/>
    <row r="64218" s="2" customFormat="1"/>
    <row r="64219" s="2" customFormat="1"/>
    <row r="64220" s="2" customFormat="1"/>
    <row r="64221" s="2" customFormat="1"/>
    <row r="64222" s="2" customFormat="1"/>
    <row r="64223" s="2" customFormat="1"/>
    <row r="64224" s="2" customFormat="1"/>
    <row r="64225" s="2" customFormat="1"/>
    <row r="64226" s="2" customFormat="1"/>
    <row r="64227" s="2" customFormat="1"/>
    <row r="64228" s="2" customFormat="1"/>
    <row r="64229" s="2" customFormat="1"/>
    <row r="64230" s="2" customFormat="1"/>
    <row r="64231" s="2" customFormat="1"/>
    <row r="64232" s="2" customFormat="1"/>
    <row r="64233" s="2" customFormat="1"/>
    <row r="64234" s="2" customFormat="1"/>
    <row r="64235" s="2" customFormat="1"/>
    <row r="64236" s="2" customFormat="1"/>
    <row r="64237" s="2" customFormat="1"/>
    <row r="64238" s="2" customFormat="1"/>
    <row r="64239" s="2" customFormat="1"/>
    <row r="64240" s="2" customFormat="1"/>
    <row r="64241" s="2" customFormat="1"/>
    <row r="64242" s="2" customFormat="1"/>
    <row r="64243" s="2" customFormat="1"/>
    <row r="64244" s="2" customFormat="1"/>
    <row r="64245" s="2" customFormat="1"/>
    <row r="64246" s="2" customFormat="1"/>
    <row r="64247" s="2" customFormat="1"/>
    <row r="64248" s="2" customFormat="1"/>
    <row r="64249" s="2" customFormat="1"/>
    <row r="64250" s="2" customFormat="1"/>
    <row r="64251" s="2" customFormat="1"/>
    <row r="64252" s="2" customFormat="1"/>
    <row r="64253" s="2" customFormat="1"/>
    <row r="64254" s="2" customFormat="1"/>
    <row r="64255" s="2" customFormat="1"/>
    <row r="64256" s="2" customFormat="1"/>
    <row r="64257" s="2" customFormat="1"/>
    <row r="64258" s="2" customFormat="1"/>
    <row r="64259" s="2" customFormat="1"/>
    <row r="64260" s="2" customFormat="1"/>
    <row r="64261" s="2" customFormat="1"/>
    <row r="64262" s="2" customFormat="1"/>
    <row r="64263" s="2" customFormat="1"/>
    <row r="64264" s="2" customFormat="1"/>
    <row r="64265" s="2" customFormat="1"/>
    <row r="64266" s="2" customFormat="1"/>
    <row r="64267" s="2" customFormat="1"/>
    <row r="64268" s="2" customFormat="1"/>
    <row r="64269" s="2" customFormat="1"/>
    <row r="64270" s="2" customFormat="1"/>
    <row r="64271" s="2" customFormat="1"/>
    <row r="64272" s="2" customFormat="1"/>
    <row r="64273" s="2" customFormat="1"/>
    <row r="64274" s="2" customFormat="1"/>
    <row r="64275" s="2" customFormat="1"/>
    <row r="64276" s="2" customFormat="1"/>
    <row r="64277" s="2" customFormat="1"/>
    <row r="64278" s="2" customFormat="1"/>
    <row r="64279" s="2" customFormat="1"/>
    <row r="64280" s="2" customFormat="1"/>
    <row r="64281" s="2" customFormat="1"/>
    <row r="64282" s="2" customFormat="1"/>
    <row r="64283" s="2" customFormat="1"/>
    <row r="64284" s="2" customFormat="1"/>
    <row r="64285" s="2" customFormat="1"/>
    <row r="64286" s="2" customFormat="1"/>
    <row r="64287" s="2" customFormat="1"/>
    <row r="64288" s="2" customFormat="1"/>
    <row r="64289" s="2" customFormat="1"/>
    <row r="64290" s="2" customFormat="1"/>
    <row r="64291" s="2" customFormat="1"/>
    <row r="64292" s="2" customFormat="1"/>
    <row r="64293" s="2" customFormat="1"/>
    <row r="64294" s="2" customFormat="1"/>
    <row r="64295" s="2" customFormat="1"/>
    <row r="64296" s="2" customFormat="1"/>
    <row r="64297" s="2" customFormat="1"/>
    <row r="64298" s="2" customFormat="1"/>
    <row r="64299" s="2" customFormat="1"/>
    <row r="64300" s="2" customFormat="1"/>
    <row r="64301" s="2" customFormat="1"/>
    <row r="64302" s="2" customFormat="1"/>
    <row r="64303" s="2" customFormat="1"/>
    <row r="64304" s="2" customFormat="1"/>
    <row r="64305" s="2" customFormat="1"/>
    <row r="64306" s="2" customFormat="1"/>
    <row r="64307" s="2" customFormat="1"/>
    <row r="64308" s="2" customFormat="1"/>
    <row r="64309" s="2" customFormat="1"/>
    <row r="64310" s="2" customFormat="1"/>
    <row r="64311" s="2" customFormat="1"/>
    <row r="64312" s="2" customFormat="1"/>
    <row r="64313" s="2" customFormat="1"/>
    <row r="64314" s="2" customFormat="1"/>
    <row r="64315" s="2" customFormat="1"/>
    <row r="64316" s="2" customFormat="1"/>
    <row r="64317" s="2" customFormat="1"/>
    <row r="64318" s="2" customFormat="1"/>
    <row r="64319" s="2" customFormat="1"/>
    <row r="64320" s="2" customFormat="1"/>
    <row r="64321" s="2" customFormat="1"/>
    <row r="64322" s="2" customFormat="1"/>
    <row r="64323" s="2" customFormat="1"/>
    <row r="64324" s="2" customFormat="1"/>
    <row r="64325" s="2" customFormat="1"/>
    <row r="64326" s="2" customFormat="1"/>
    <row r="64327" s="2" customFormat="1"/>
    <row r="64328" s="2" customFormat="1"/>
    <row r="64329" s="2" customFormat="1"/>
    <row r="64330" s="2" customFormat="1"/>
    <row r="64331" s="2" customFormat="1"/>
    <row r="64332" s="2" customFormat="1"/>
    <row r="64333" s="2" customFormat="1"/>
    <row r="64334" s="2" customFormat="1"/>
    <row r="64335" s="2" customFormat="1"/>
    <row r="64336" s="2" customFormat="1"/>
    <row r="64337" s="2" customFormat="1"/>
    <row r="64338" s="2" customFormat="1"/>
    <row r="64339" s="2" customFormat="1"/>
    <row r="64340" s="2" customFormat="1"/>
    <row r="64341" s="2" customFormat="1"/>
    <row r="64342" s="2" customFormat="1"/>
    <row r="64343" s="2" customFormat="1"/>
    <row r="64344" s="2" customFormat="1"/>
    <row r="64345" s="2" customFormat="1"/>
    <row r="64346" s="2" customFormat="1"/>
    <row r="64347" s="2" customFormat="1"/>
    <row r="64348" s="2" customFormat="1"/>
    <row r="64349" s="2" customFormat="1"/>
    <row r="64350" s="2" customFormat="1"/>
    <row r="64351" s="2" customFormat="1"/>
    <row r="64352" s="2" customFormat="1"/>
    <row r="64353" s="2" customFormat="1"/>
    <row r="64354" s="2" customFormat="1"/>
    <row r="64355" s="2" customFormat="1"/>
    <row r="64356" s="2" customFormat="1"/>
    <row r="64357" s="2" customFormat="1"/>
    <row r="64358" s="2" customFormat="1"/>
    <row r="64359" s="2" customFormat="1"/>
    <row r="64360" s="2" customFormat="1"/>
    <row r="64361" s="2" customFormat="1"/>
    <row r="64362" s="2" customFormat="1"/>
    <row r="64363" s="2" customFormat="1"/>
    <row r="64364" s="2" customFormat="1"/>
    <row r="64365" s="2" customFormat="1"/>
    <row r="64366" s="2" customFormat="1"/>
    <row r="64367" s="2" customFormat="1"/>
    <row r="64368" s="2" customFormat="1"/>
    <row r="64369" s="2" customFormat="1"/>
    <row r="64370" s="2" customFormat="1"/>
    <row r="64371" s="2" customFormat="1"/>
    <row r="64372" s="2" customFormat="1"/>
    <row r="64373" s="2" customFormat="1"/>
    <row r="64374" s="2" customFormat="1"/>
    <row r="64375" s="2" customFormat="1"/>
    <row r="64376" s="2" customFormat="1"/>
    <row r="64377" s="2" customFormat="1"/>
    <row r="64378" s="2" customFormat="1"/>
    <row r="64379" s="2" customFormat="1"/>
    <row r="64380" s="2" customFormat="1"/>
    <row r="64381" s="2" customFormat="1"/>
    <row r="64382" s="2" customFormat="1"/>
    <row r="64383" s="2" customFormat="1"/>
    <row r="64384" s="2" customFormat="1"/>
    <row r="64385" s="2" customFormat="1"/>
    <row r="64386" s="2" customFormat="1"/>
    <row r="64387" s="2" customFormat="1"/>
    <row r="64388" s="2" customFormat="1"/>
    <row r="64389" s="2" customFormat="1"/>
    <row r="64390" s="2" customFormat="1"/>
    <row r="64391" s="2" customFormat="1"/>
    <row r="64392" s="2" customFormat="1"/>
    <row r="64393" s="2" customFormat="1"/>
    <row r="64394" s="2" customFormat="1"/>
    <row r="64395" s="2" customFormat="1"/>
    <row r="64396" s="2" customFormat="1"/>
    <row r="64397" s="2" customFormat="1"/>
    <row r="64398" s="2" customFormat="1"/>
    <row r="64399" s="2" customFormat="1"/>
    <row r="64400" s="2" customFormat="1"/>
    <row r="64401" s="2" customFormat="1"/>
    <row r="64402" s="2" customFormat="1"/>
    <row r="64403" s="2" customFormat="1"/>
    <row r="64404" s="2" customFormat="1"/>
    <row r="64405" s="2" customFormat="1"/>
    <row r="64406" s="2" customFormat="1"/>
    <row r="64407" s="2" customFormat="1"/>
    <row r="64408" s="2" customFormat="1"/>
    <row r="64409" s="2" customFormat="1"/>
    <row r="64410" s="2" customFormat="1"/>
    <row r="64411" s="2" customFormat="1"/>
    <row r="64412" s="2" customFormat="1"/>
    <row r="64413" s="2" customFormat="1"/>
    <row r="64414" s="2" customFormat="1"/>
    <row r="64415" s="2" customFormat="1"/>
    <row r="64416" s="2" customFormat="1"/>
    <row r="64417" s="2" customFormat="1"/>
    <row r="64418" s="2" customFormat="1"/>
    <row r="64419" s="2" customFormat="1"/>
    <row r="64420" s="2" customFormat="1"/>
    <row r="64421" s="2" customFormat="1"/>
    <row r="64422" s="2" customFormat="1"/>
    <row r="64423" s="2" customFormat="1"/>
    <row r="64424" s="2" customFormat="1"/>
    <row r="64425" s="2" customFormat="1"/>
    <row r="64426" s="2" customFormat="1"/>
    <row r="64427" s="2" customFormat="1"/>
    <row r="64428" s="2" customFormat="1"/>
    <row r="64429" s="2" customFormat="1"/>
    <row r="64430" s="2" customFormat="1"/>
    <row r="64431" s="2" customFormat="1"/>
    <row r="64432" s="2" customFormat="1"/>
    <row r="64433" s="2" customFormat="1"/>
    <row r="64434" s="2" customFormat="1"/>
    <row r="64435" s="2" customFormat="1"/>
    <row r="64436" s="2" customFormat="1"/>
    <row r="64437" s="2" customFormat="1"/>
    <row r="64438" s="2" customFormat="1"/>
    <row r="64439" s="2" customFormat="1"/>
    <row r="64440" s="2" customFormat="1"/>
    <row r="64441" s="2" customFormat="1"/>
    <row r="64442" s="2" customFormat="1"/>
    <row r="64443" s="2" customFormat="1"/>
    <row r="64444" s="2" customFormat="1"/>
    <row r="64445" s="2" customFormat="1"/>
    <row r="64446" s="2" customFormat="1"/>
    <row r="64447" s="2" customFormat="1"/>
    <row r="64448" s="2" customFormat="1"/>
    <row r="64449" s="2" customFormat="1"/>
    <row r="64450" s="2" customFormat="1"/>
    <row r="64451" s="2" customFormat="1"/>
    <row r="64452" s="2" customFormat="1"/>
    <row r="64453" s="2" customFormat="1"/>
    <row r="64454" s="2" customFormat="1"/>
    <row r="64455" s="2" customFormat="1"/>
    <row r="64456" s="2" customFormat="1"/>
    <row r="64457" s="2" customFormat="1"/>
    <row r="64458" s="2" customFormat="1"/>
    <row r="64459" s="2" customFormat="1"/>
    <row r="64460" s="2" customFormat="1"/>
    <row r="64461" s="2" customFormat="1"/>
    <row r="64462" s="2" customFormat="1"/>
    <row r="64463" s="2" customFormat="1"/>
    <row r="64464" s="2" customFormat="1"/>
    <row r="64465" s="2" customFormat="1"/>
    <row r="64466" s="2" customFormat="1"/>
    <row r="64467" s="2" customFormat="1"/>
    <row r="64468" s="2" customFormat="1"/>
    <row r="64469" s="2" customFormat="1"/>
    <row r="64470" s="2" customFormat="1"/>
    <row r="64471" s="2" customFormat="1"/>
    <row r="64472" s="2" customFormat="1"/>
    <row r="64473" s="2" customFormat="1"/>
    <row r="64474" s="2" customFormat="1"/>
    <row r="64475" s="2" customFormat="1"/>
    <row r="64476" s="2" customFormat="1"/>
    <row r="64477" s="2" customFormat="1"/>
    <row r="64478" s="2" customFormat="1"/>
    <row r="64479" s="2" customFormat="1"/>
    <row r="64480" s="2" customFormat="1"/>
    <row r="64481" s="2" customFormat="1"/>
    <row r="64482" s="2" customFormat="1"/>
    <row r="64483" s="2" customFormat="1"/>
    <row r="64484" s="2" customFormat="1"/>
    <row r="64485" s="2" customFormat="1"/>
    <row r="64486" s="2" customFormat="1"/>
    <row r="64487" s="2" customFormat="1"/>
    <row r="64488" s="2" customFormat="1"/>
    <row r="64489" s="2" customFormat="1"/>
    <row r="64490" s="2" customFormat="1"/>
    <row r="64491" s="2" customFormat="1"/>
    <row r="64492" s="2" customFormat="1"/>
    <row r="64493" s="2" customFormat="1"/>
    <row r="64494" s="2" customFormat="1"/>
    <row r="64495" s="2" customFormat="1"/>
    <row r="64496" s="2" customFormat="1"/>
    <row r="64497" s="2" customFormat="1"/>
    <row r="64498" s="2" customFormat="1"/>
    <row r="64499" s="2" customFormat="1"/>
    <row r="64500" s="2" customFormat="1"/>
    <row r="64501" s="2" customFormat="1"/>
    <row r="64502" s="2" customFormat="1"/>
    <row r="64503" s="2" customFormat="1"/>
    <row r="64504" s="2" customFormat="1"/>
    <row r="64505" s="2" customFormat="1"/>
    <row r="64506" s="2" customFormat="1"/>
    <row r="64507" s="2" customFormat="1"/>
    <row r="64508" s="2" customFormat="1"/>
    <row r="64509" s="2" customFormat="1"/>
    <row r="64510" s="2" customFormat="1"/>
    <row r="64511" s="2" customFormat="1"/>
    <row r="64512" s="2" customFormat="1"/>
    <row r="64513" s="2" customFormat="1"/>
    <row r="64514" s="2" customFormat="1"/>
    <row r="64515" s="2" customFormat="1"/>
    <row r="64516" s="2" customFormat="1"/>
    <row r="64517" s="2" customFormat="1"/>
    <row r="64518" s="2" customFormat="1"/>
    <row r="64519" s="2" customFormat="1"/>
    <row r="64520" s="2" customFormat="1"/>
    <row r="64521" s="2" customFormat="1"/>
    <row r="64522" s="2" customFormat="1"/>
    <row r="64523" s="2" customFormat="1"/>
    <row r="64524" s="2" customFormat="1"/>
    <row r="64525" s="2" customFormat="1"/>
    <row r="64526" s="2" customFormat="1"/>
    <row r="64527" s="2" customFormat="1"/>
    <row r="64528" s="2" customFormat="1"/>
    <row r="64529" s="2" customFormat="1"/>
    <row r="64530" s="2" customFormat="1"/>
    <row r="64531" s="2" customFormat="1"/>
    <row r="64532" s="2" customFormat="1"/>
    <row r="64533" s="2" customFormat="1"/>
    <row r="64534" s="2" customFormat="1"/>
    <row r="64535" s="2" customFormat="1"/>
    <row r="64536" s="2" customFormat="1"/>
    <row r="64537" s="2" customFormat="1"/>
    <row r="64538" s="2" customFormat="1"/>
    <row r="64539" s="2" customFormat="1"/>
    <row r="64540" s="2" customFormat="1"/>
    <row r="64541" s="2" customFormat="1"/>
    <row r="64542" s="2" customFormat="1"/>
    <row r="64543" s="2" customFormat="1"/>
    <row r="64544" s="2" customFormat="1"/>
    <row r="64545" s="2" customFormat="1"/>
    <row r="64546" s="2" customFormat="1"/>
    <row r="64547" s="2" customFormat="1"/>
    <row r="64548" s="2" customFormat="1"/>
    <row r="64549" s="2" customFormat="1"/>
    <row r="64550" s="2" customFormat="1"/>
    <row r="64551" s="2" customFormat="1"/>
    <row r="64552" s="2" customFormat="1"/>
    <row r="64553" s="2" customFormat="1"/>
    <row r="64554" s="2" customFormat="1"/>
    <row r="64555" s="2" customFormat="1"/>
    <row r="64556" s="2" customFormat="1"/>
    <row r="64557" s="2" customFormat="1"/>
    <row r="64558" s="2" customFormat="1"/>
    <row r="64559" s="2" customFormat="1"/>
    <row r="64560" s="2" customFormat="1"/>
    <row r="64561" s="2" customFormat="1"/>
    <row r="64562" s="2" customFormat="1"/>
    <row r="64563" s="2" customFormat="1"/>
    <row r="64564" s="2" customFormat="1"/>
    <row r="64565" s="2" customFormat="1"/>
    <row r="64566" s="2" customFormat="1"/>
    <row r="64567" s="2" customFormat="1"/>
    <row r="64568" s="2" customFormat="1"/>
    <row r="64569" s="2" customFormat="1"/>
    <row r="64570" s="2" customFormat="1"/>
    <row r="64571" s="2" customFormat="1"/>
    <row r="64572" s="2" customFormat="1"/>
    <row r="64573" s="2" customFormat="1"/>
    <row r="64574" s="2" customFormat="1"/>
    <row r="64575" s="2" customFormat="1"/>
    <row r="64576" s="2" customFormat="1"/>
    <row r="64577" s="2" customFormat="1"/>
    <row r="64578" s="2" customFormat="1"/>
    <row r="64579" s="2" customFormat="1"/>
    <row r="64580" s="2" customFormat="1"/>
    <row r="64581" s="2" customFormat="1"/>
    <row r="64582" s="2" customFormat="1"/>
    <row r="64583" s="2" customFormat="1"/>
    <row r="64584" s="2" customFormat="1"/>
    <row r="64585" s="2" customFormat="1"/>
    <row r="64586" s="2" customFormat="1"/>
    <row r="64587" s="2" customFormat="1"/>
    <row r="64588" s="2" customFormat="1"/>
    <row r="64589" s="2" customFormat="1"/>
    <row r="64590" s="2" customFormat="1"/>
    <row r="64591" s="2" customFormat="1"/>
    <row r="64592" s="2" customFormat="1"/>
    <row r="64593" s="2" customFormat="1"/>
    <row r="64594" s="2" customFormat="1"/>
    <row r="64595" s="2" customFormat="1"/>
    <row r="64596" s="2" customFormat="1"/>
    <row r="64597" s="2" customFormat="1"/>
    <row r="64598" s="2" customFormat="1"/>
    <row r="64599" s="2" customFormat="1"/>
    <row r="64600" s="2" customFormat="1"/>
    <row r="64601" s="2" customFormat="1"/>
    <row r="64602" s="2" customFormat="1"/>
    <row r="64603" s="2" customFormat="1"/>
    <row r="64604" s="2" customFormat="1"/>
    <row r="64605" s="2" customFormat="1"/>
    <row r="64606" s="2" customFormat="1"/>
    <row r="64607" s="2" customFormat="1"/>
    <row r="64608" s="2" customFormat="1"/>
    <row r="64609" s="2" customFormat="1"/>
    <row r="64610" s="2" customFormat="1"/>
    <row r="64611" s="2" customFormat="1"/>
    <row r="64612" s="2" customFormat="1"/>
    <row r="64613" s="2" customFormat="1"/>
    <row r="64614" s="2" customFormat="1"/>
    <row r="64615" s="2" customFormat="1"/>
    <row r="64616" s="2" customFormat="1"/>
    <row r="64617" s="2" customFormat="1"/>
    <row r="64618" s="2" customFormat="1"/>
    <row r="64619" s="2" customFormat="1"/>
    <row r="64620" s="2" customFormat="1"/>
    <row r="64621" s="2" customFormat="1"/>
    <row r="64622" s="2" customFormat="1"/>
    <row r="64623" s="2" customFormat="1"/>
    <row r="64624" s="2" customFormat="1"/>
    <row r="64625" s="2" customFormat="1"/>
    <row r="64626" s="2" customFormat="1"/>
    <row r="64627" s="2" customFormat="1"/>
    <row r="64628" s="2" customFormat="1"/>
    <row r="64629" s="2" customFormat="1"/>
    <row r="64630" s="2" customFormat="1"/>
    <row r="64631" s="2" customFormat="1"/>
    <row r="64632" s="2" customFormat="1"/>
    <row r="64633" s="2" customFormat="1"/>
    <row r="64634" s="2" customFormat="1"/>
    <row r="64635" s="2" customFormat="1"/>
    <row r="64636" s="2" customFormat="1"/>
    <row r="64637" s="2" customFormat="1"/>
    <row r="64638" s="2" customFormat="1"/>
    <row r="64639" s="2" customFormat="1"/>
    <row r="64640" s="2" customFormat="1"/>
    <row r="64641" s="2" customFormat="1"/>
    <row r="64642" s="2" customFormat="1"/>
    <row r="64643" s="2" customFormat="1"/>
    <row r="64644" s="2" customFormat="1"/>
    <row r="64645" s="2" customFormat="1"/>
    <row r="64646" s="2" customFormat="1"/>
    <row r="64647" s="2" customFormat="1"/>
    <row r="64648" s="2" customFormat="1"/>
    <row r="64649" s="2" customFormat="1"/>
    <row r="64650" s="2" customFormat="1"/>
    <row r="64651" s="2" customFormat="1"/>
    <row r="64652" s="2" customFormat="1"/>
    <row r="64653" s="2" customFormat="1"/>
    <row r="64654" s="2" customFormat="1"/>
    <row r="64655" s="2" customFormat="1"/>
    <row r="64656" s="2" customFormat="1"/>
    <row r="64657" s="2" customFormat="1"/>
    <row r="64658" s="2" customFormat="1"/>
    <row r="64659" s="2" customFormat="1"/>
    <row r="64660" s="2" customFormat="1"/>
    <row r="64661" s="2" customFormat="1"/>
    <row r="64662" s="2" customFormat="1"/>
    <row r="64663" s="2" customFormat="1"/>
    <row r="64664" s="2" customFormat="1"/>
    <row r="64665" s="2" customFormat="1"/>
    <row r="64666" s="2" customFormat="1"/>
    <row r="64667" s="2" customFormat="1"/>
    <row r="64668" s="2" customFormat="1"/>
    <row r="64669" s="2" customFormat="1"/>
    <row r="64670" s="2" customFormat="1"/>
    <row r="64671" s="2" customFormat="1"/>
    <row r="64672" s="2" customFormat="1"/>
    <row r="64673" s="2" customFormat="1"/>
    <row r="64674" s="2" customFormat="1"/>
    <row r="64675" s="2" customFormat="1"/>
    <row r="64676" s="2" customFormat="1"/>
    <row r="64677" s="2" customFormat="1"/>
    <row r="64678" s="2" customFormat="1"/>
    <row r="64679" s="2" customFormat="1"/>
    <row r="64680" s="2" customFormat="1"/>
    <row r="64681" s="2" customFormat="1"/>
    <row r="64682" s="2" customFormat="1"/>
    <row r="64683" s="2" customFormat="1"/>
    <row r="64684" s="2" customFormat="1"/>
    <row r="64685" s="2" customFormat="1"/>
    <row r="64686" s="2" customFormat="1"/>
    <row r="64687" s="2" customFormat="1"/>
    <row r="64688" s="2" customFormat="1"/>
    <row r="64689" s="2" customFormat="1"/>
    <row r="64690" s="2" customFormat="1"/>
    <row r="64691" s="2" customFormat="1"/>
    <row r="64692" s="2" customFormat="1"/>
    <row r="64693" s="2" customFormat="1"/>
    <row r="64694" s="2" customFormat="1"/>
    <row r="64695" s="2" customFormat="1"/>
    <row r="64696" s="2" customFormat="1"/>
    <row r="64697" s="2" customFormat="1"/>
    <row r="64698" s="2" customFormat="1"/>
    <row r="64699" s="2" customFormat="1"/>
    <row r="64700" s="2" customFormat="1"/>
    <row r="64701" s="2" customFormat="1"/>
    <row r="64702" s="2" customFormat="1"/>
    <row r="64703" s="2" customFormat="1"/>
    <row r="64704" s="2" customFormat="1"/>
    <row r="64705" s="2" customFormat="1"/>
    <row r="64706" s="2" customFormat="1"/>
    <row r="64707" s="2" customFormat="1"/>
    <row r="64708" s="2" customFormat="1"/>
    <row r="64709" s="2" customFormat="1"/>
    <row r="64710" s="2" customFormat="1"/>
    <row r="64711" s="2" customFormat="1"/>
    <row r="64712" s="2" customFormat="1"/>
    <row r="64713" s="2" customFormat="1"/>
    <row r="64714" s="2" customFormat="1"/>
    <row r="64715" s="2" customFormat="1"/>
    <row r="64716" s="2" customFormat="1"/>
    <row r="64717" s="2" customFormat="1"/>
    <row r="64718" s="2" customFormat="1"/>
    <row r="64719" s="2" customFormat="1"/>
    <row r="64720" s="2" customFormat="1"/>
    <row r="64721" s="2" customFormat="1"/>
    <row r="64722" s="2" customFormat="1"/>
    <row r="64723" s="2" customFormat="1"/>
    <row r="64724" s="2" customFormat="1"/>
    <row r="64725" s="2" customFormat="1"/>
    <row r="64726" s="2" customFormat="1"/>
    <row r="64727" s="2" customFormat="1"/>
    <row r="64728" s="2" customFormat="1"/>
    <row r="64729" s="2" customFormat="1"/>
    <row r="64730" s="2" customFormat="1"/>
    <row r="64731" s="2" customFormat="1"/>
    <row r="64732" s="2" customFormat="1"/>
    <row r="64733" s="2" customFormat="1"/>
    <row r="64734" s="2" customFormat="1"/>
    <row r="64735" s="2" customFormat="1"/>
    <row r="64736" s="2" customFormat="1"/>
    <row r="64737" s="2" customFormat="1"/>
    <row r="64738" s="2" customFormat="1"/>
    <row r="64739" s="2" customFormat="1"/>
    <row r="64740" s="2" customFormat="1"/>
    <row r="64741" s="2" customFormat="1"/>
    <row r="64742" s="2" customFormat="1"/>
    <row r="64743" s="2" customFormat="1"/>
    <row r="64744" s="2" customFormat="1"/>
    <row r="64745" s="2" customFormat="1"/>
    <row r="64746" s="2" customFormat="1"/>
    <row r="64747" s="2" customFormat="1"/>
    <row r="64748" s="2" customFormat="1"/>
    <row r="64749" s="2" customFormat="1"/>
    <row r="64750" s="2" customFormat="1"/>
    <row r="64751" s="2" customFormat="1"/>
    <row r="64752" s="2" customFormat="1"/>
    <row r="64753" s="2" customFormat="1"/>
    <row r="64754" s="2" customFormat="1"/>
    <row r="64755" s="2" customFormat="1"/>
    <row r="64756" s="2" customFormat="1"/>
    <row r="64757" s="2" customFormat="1"/>
    <row r="64758" s="2" customFormat="1"/>
    <row r="64759" s="2" customFormat="1"/>
    <row r="64760" s="2" customFormat="1"/>
    <row r="64761" s="2" customFormat="1"/>
    <row r="64762" s="2" customFormat="1"/>
    <row r="64763" s="2" customFormat="1"/>
    <row r="64764" s="2" customFormat="1"/>
    <row r="64765" s="2" customFormat="1"/>
    <row r="64766" s="2" customFormat="1"/>
    <row r="64767" s="2" customFormat="1"/>
    <row r="64768" s="2" customFormat="1"/>
    <row r="64769" s="2" customFormat="1"/>
    <row r="64770" s="2" customFormat="1"/>
    <row r="64771" s="2" customFormat="1"/>
    <row r="64772" s="2" customFormat="1"/>
    <row r="64773" s="2" customFormat="1"/>
    <row r="64774" s="2" customFormat="1"/>
    <row r="64775" s="2" customFormat="1"/>
    <row r="64776" s="2" customFormat="1"/>
    <row r="64777" s="2" customFormat="1"/>
    <row r="64778" s="2" customFormat="1"/>
    <row r="64779" s="2" customFormat="1"/>
    <row r="64780" s="2" customFormat="1"/>
    <row r="64781" s="2" customFormat="1"/>
    <row r="64782" s="2" customFormat="1"/>
    <row r="64783" s="2" customFormat="1"/>
    <row r="64784" s="2" customFormat="1"/>
    <row r="64785" s="2" customFormat="1"/>
    <row r="64786" s="2" customFormat="1"/>
    <row r="64787" s="2" customFormat="1"/>
    <row r="64788" s="2" customFormat="1"/>
    <row r="64789" s="2" customFormat="1"/>
    <row r="64790" s="2" customFormat="1"/>
    <row r="64791" s="2" customFormat="1"/>
    <row r="64792" s="2" customFormat="1"/>
    <row r="64793" s="2" customFormat="1"/>
    <row r="64794" s="2" customFormat="1"/>
    <row r="64795" s="2" customFormat="1"/>
    <row r="64796" s="2" customFormat="1"/>
    <row r="64797" s="2" customFormat="1"/>
    <row r="64798" s="2" customFormat="1"/>
    <row r="64799" s="2" customFormat="1"/>
    <row r="64800" s="2" customFormat="1"/>
    <row r="64801" s="2" customFormat="1"/>
    <row r="64802" s="2" customFormat="1"/>
    <row r="64803" s="2" customFormat="1"/>
    <row r="64804" s="2" customFormat="1"/>
    <row r="64805" s="2" customFormat="1"/>
    <row r="64806" s="2" customFormat="1"/>
    <row r="64807" s="2" customFormat="1"/>
    <row r="64808" s="2" customFormat="1"/>
    <row r="64809" s="2" customFormat="1"/>
    <row r="64810" s="2" customFormat="1"/>
    <row r="64811" s="2" customFormat="1"/>
    <row r="64812" s="2" customFormat="1"/>
    <row r="64813" s="2" customFormat="1"/>
    <row r="64814" s="2" customFormat="1"/>
    <row r="64815" s="2" customFormat="1"/>
    <row r="64816" s="2" customFormat="1"/>
    <row r="64817" s="2" customFormat="1"/>
    <row r="64818" s="2" customFormat="1"/>
    <row r="64819" s="2" customFormat="1"/>
    <row r="64820" s="2" customFormat="1"/>
    <row r="64821" s="2" customFormat="1"/>
    <row r="64822" s="2" customFormat="1"/>
    <row r="64823" s="2" customFormat="1"/>
    <row r="64824" s="2" customFormat="1"/>
    <row r="64825" s="2" customFormat="1"/>
    <row r="64826" s="2" customFormat="1"/>
    <row r="64827" s="2" customFormat="1"/>
    <row r="64828" s="2" customFormat="1"/>
    <row r="64829" s="2" customFormat="1"/>
    <row r="64830" s="2" customFormat="1"/>
    <row r="64831" s="2" customFormat="1"/>
    <row r="64832" s="2" customFormat="1"/>
    <row r="64833" s="2" customFormat="1"/>
    <row r="64834" s="2" customFormat="1"/>
    <row r="64835" s="2" customFormat="1"/>
    <row r="64836" s="2" customFormat="1"/>
    <row r="64837" s="2" customFormat="1"/>
    <row r="64838" s="2" customFormat="1"/>
    <row r="64839" s="2" customFormat="1"/>
    <row r="64840" s="2" customFormat="1"/>
    <row r="64841" s="2" customFormat="1"/>
    <row r="64842" s="2" customFormat="1"/>
    <row r="64843" s="2" customFormat="1"/>
    <row r="64844" s="2" customFormat="1"/>
    <row r="64845" s="2" customFormat="1"/>
    <row r="64846" s="2" customFormat="1"/>
    <row r="64847" s="2" customFormat="1"/>
    <row r="64848" s="2" customFormat="1"/>
    <row r="64849" s="2" customFormat="1"/>
    <row r="64850" s="2" customFormat="1"/>
    <row r="64851" s="2" customFormat="1"/>
    <row r="64852" s="2" customFormat="1"/>
    <row r="64853" s="2" customFormat="1"/>
    <row r="64854" s="2" customFormat="1"/>
    <row r="64855" s="2" customFormat="1"/>
    <row r="64856" s="2" customFormat="1"/>
    <row r="64857" s="2" customFormat="1"/>
    <row r="64858" s="2" customFormat="1"/>
    <row r="64859" s="2" customFormat="1"/>
    <row r="64860" s="2" customFormat="1"/>
    <row r="64861" s="2" customFormat="1"/>
    <row r="64862" s="2" customFormat="1"/>
    <row r="64863" s="2" customFormat="1"/>
    <row r="64864" s="2" customFormat="1"/>
    <row r="64865" s="2" customFormat="1"/>
    <row r="64866" s="2" customFormat="1"/>
    <row r="64867" s="2" customFormat="1"/>
    <row r="64868" s="2" customFormat="1"/>
    <row r="64869" s="2" customFormat="1"/>
    <row r="64870" s="2" customFormat="1"/>
    <row r="64871" s="2" customFormat="1"/>
    <row r="64872" s="2" customFormat="1"/>
    <row r="64873" s="2" customFormat="1"/>
    <row r="64874" s="2" customFormat="1"/>
    <row r="64875" s="2" customFormat="1"/>
    <row r="64876" s="2" customFormat="1"/>
    <row r="64877" s="2" customFormat="1"/>
    <row r="64878" s="2" customFormat="1"/>
    <row r="64879" s="2" customFormat="1"/>
    <row r="64880" s="2" customFormat="1"/>
    <row r="64881" s="2" customFormat="1"/>
    <row r="64882" s="2" customFormat="1"/>
    <row r="64883" s="2" customFormat="1"/>
    <row r="64884" s="2" customFormat="1"/>
    <row r="64885" s="2" customFormat="1"/>
    <row r="64886" s="2" customFormat="1"/>
    <row r="64887" s="2" customFormat="1"/>
    <row r="64888" s="2" customFormat="1"/>
    <row r="64889" s="2" customFormat="1"/>
    <row r="64890" s="2" customFormat="1"/>
    <row r="64891" s="2" customFormat="1"/>
    <row r="64892" s="2" customFormat="1"/>
    <row r="64893" s="2" customFormat="1"/>
    <row r="64894" s="2" customFormat="1"/>
    <row r="64895" s="2" customFormat="1"/>
    <row r="64896" s="2" customFormat="1"/>
    <row r="64897" s="2" customFormat="1"/>
    <row r="64898" s="2" customFormat="1"/>
    <row r="64899" s="2" customFormat="1"/>
    <row r="64900" s="2" customFormat="1"/>
    <row r="64901" s="2" customFormat="1"/>
    <row r="64902" s="2" customFormat="1"/>
    <row r="64903" s="2" customFormat="1"/>
    <row r="64904" s="2" customFormat="1"/>
    <row r="64905" s="2" customFormat="1"/>
    <row r="64906" s="2" customFormat="1"/>
    <row r="64907" s="2" customFormat="1"/>
    <row r="64908" s="2" customFormat="1"/>
    <row r="64909" s="2" customFormat="1"/>
    <row r="64910" s="2" customFormat="1"/>
    <row r="64911" s="2" customFormat="1"/>
    <row r="64912" s="2" customFormat="1"/>
    <row r="64913" s="2" customFormat="1"/>
    <row r="64914" s="2" customFormat="1"/>
    <row r="64915" s="2" customFormat="1"/>
    <row r="64916" s="2" customFormat="1"/>
    <row r="64917" s="2" customFormat="1"/>
    <row r="64918" s="2" customFormat="1"/>
    <row r="64919" s="2" customFormat="1"/>
    <row r="64920" s="2" customFormat="1"/>
    <row r="64921" s="2" customFormat="1"/>
    <row r="64922" s="2" customFormat="1"/>
    <row r="64923" s="2" customFormat="1"/>
    <row r="64924" s="2" customFormat="1"/>
    <row r="64925" s="2" customFormat="1"/>
    <row r="64926" s="2" customFormat="1"/>
    <row r="64927" s="2" customFormat="1"/>
    <row r="64928" s="2" customFormat="1"/>
    <row r="64929" s="2" customFormat="1"/>
    <row r="64930" s="2" customFormat="1"/>
    <row r="64931" s="2" customFormat="1"/>
    <row r="64932" s="2" customFormat="1"/>
    <row r="64933" s="2" customFormat="1"/>
    <row r="64934" s="2" customFormat="1"/>
    <row r="64935" s="2" customFormat="1"/>
    <row r="64936" s="2" customFormat="1"/>
    <row r="64937" s="2" customFormat="1"/>
    <row r="64938" s="2" customFormat="1"/>
    <row r="64939" s="2" customFormat="1"/>
    <row r="64940" s="2" customFormat="1"/>
    <row r="64941" s="2" customFormat="1"/>
    <row r="64942" s="2" customFormat="1"/>
    <row r="64943" s="2" customFormat="1"/>
    <row r="64944" s="2" customFormat="1"/>
    <row r="64945" s="2" customFormat="1"/>
    <row r="64946" s="2" customFormat="1"/>
    <row r="64947" s="2" customFormat="1"/>
    <row r="64948" s="2" customFormat="1"/>
    <row r="64949" s="2" customFormat="1"/>
    <row r="64950" s="2" customFormat="1"/>
    <row r="64951" s="2" customFormat="1"/>
    <row r="64952" s="2" customFormat="1"/>
    <row r="64953" s="2" customFormat="1"/>
    <row r="64954" s="2" customFormat="1"/>
    <row r="64955" s="2" customFormat="1"/>
    <row r="64956" s="2" customFormat="1"/>
    <row r="64957" s="2" customFormat="1"/>
    <row r="64958" s="2" customFormat="1"/>
    <row r="64959" s="2" customFormat="1"/>
    <row r="64960" s="2" customFormat="1"/>
    <row r="64961" s="2" customFormat="1"/>
    <row r="64962" s="2" customFormat="1"/>
    <row r="64963" s="2" customFormat="1"/>
    <row r="64964" s="2" customFormat="1"/>
    <row r="64965" s="2" customFormat="1"/>
    <row r="64966" s="2" customFormat="1"/>
    <row r="64967" s="2" customFormat="1"/>
    <row r="64968" s="2" customFormat="1"/>
    <row r="64969" s="2" customFormat="1"/>
    <row r="64970" s="2" customFormat="1"/>
    <row r="64971" s="2" customFormat="1"/>
    <row r="64972" s="2" customFormat="1"/>
    <row r="64973" s="2" customFormat="1"/>
    <row r="64974" s="2" customFormat="1"/>
    <row r="64975" s="2" customFormat="1"/>
    <row r="64976" s="2" customFormat="1"/>
    <row r="64977" s="2" customFormat="1"/>
    <row r="64978" s="2" customFormat="1"/>
    <row r="64979" s="2" customFormat="1"/>
    <row r="64980" s="2" customFormat="1"/>
    <row r="64981" s="2" customFormat="1"/>
    <row r="64982" s="2" customFormat="1"/>
    <row r="64983" s="2" customFormat="1"/>
    <row r="64984" s="2" customFormat="1"/>
    <row r="64985" s="2" customFormat="1"/>
    <row r="64986" s="2" customFormat="1"/>
    <row r="64987" s="2" customFormat="1"/>
    <row r="64988" s="2" customFormat="1"/>
    <row r="64989" s="2" customFormat="1"/>
    <row r="64990" s="2" customFormat="1"/>
    <row r="64991" s="2" customFormat="1"/>
    <row r="64992" s="2" customFormat="1"/>
    <row r="64993" s="2" customFormat="1"/>
    <row r="64994" s="2" customFormat="1"/>
    <row r="64995" s="2" customFormat="1"/>
    <row r="64996" s="2" customFormat="1"/>
    <row r="64997" s="2" customFormat="1"/>
    <row r="64998" s="2" customFormat="1"/>
    <row r="64999" s="2" customFormat="1"/>
    <row r="65000" s="2" customFormat="1"/>
    <row r="65001" s="2" customFormat="1"/>
    <row r="65002" s="2" customFormat="1"/>
    <row r="65003" s="2" customFormat="1"/>
    <row r="65004" s="2" customFormat="1"/>
    <row r="65005" s="2" customFormat="1"/>
    <row r="65006" s="2" customFormat="1"/>
    <row r="65007" s="2" customFormat="1"/>
    <row r="65008" s="2" customFormat="1"/>
    <row r="65009" s="2" customFormat="1"/>
    <row r="65010" s="2" customFormat="1"/>
    <row r="65011" s="2" customFormat="1"/>
    <row r="65012" s="2" customFormat="1"/>
    <row r="65013" s="2" customFormat="1"/>
    <row r="65014" s="2" customFormat="1"/>
    <row r="65015" s="2" customFormat="1"/>
    <row r="65016" s="2" customFormat="1"/>
    <row r="65017" s="2" customFormat="1"/>
    <row r="65018" s="2" customFormat="1"/>
    <row r="65019" s="2" customFormat="1"/>
    <row r="65020" s="2" customFormat="1"/>
    <row r="65021" s="2" customFormat="1"/>
    <row r="65022" s="2" customFormat="1"/>
    <row r="65023" s="2" customFormat="1"/>
    <row r="65024" s="2" customFormat="1"/>
    <row r="65025" s="2" customFormat="1"/>
    <row r="65026" s="2" customFormat="1"/>
    <row r="65027" s="2" customFormat="1"/>
    <row r="65028" s="2" customFormat="1"/>
    <row r="65029" s="2" customFormat="1"/>
    <row r="65030" s="2" customFormat="1"/>
    <row r="65031" s="2" customFormat="1"/>
    <row r="65032" s="2" customFormat="1"/>
    <row r="65033" s="2" customFormat="1"/>
    <row r="65034" s="2" customFormat="1"/>
    <row r="65035" s="2" customFormat="1"/>
    <row r="65036" s="2" customFormat="1"/>
    <row r="65037" s="2" customFormat="1"/>
    <row r="65038" s="2" customFormat="1"/>
    <row r="65039" s="2" customFormat="1"/>
    <row r="65040" s="2" customFormat="1"/>
    <row r="65041" s="2" customFormat="1"/>
    <row r="65042" s="2" customFormat="1"/>
    <row r="65043" s="2" customFormat="1"/>
    <row r="65044" s="2" customFormat="1"/>
    <row r="65045" s="2" customFormat="1"/>
    <row r="65046" s="2" customFormat="1"/>
    <row r="65047" s="2" customFormat="1"/>
    <row r="65048" s="2" customFormat="1"/>
    <row r="65049" s="2" customFormat="1"/>
    <row r="65050" s="2" customFormat="1"/>
    <row r="65051" s="2" customFormat="1"/>
    <row r="65052" s="2" customFormat="1"/>
    <row r="65053" s="2" customFormat="1"/>
    <row r="65054" s="2" customFormat="1"/>
    <row r="65055" s="2" customFormat="1"/>
    <row r="65056" s="2" customFormat="1"/>
    <row r="65057" s="2" customFormat="1"/>
    <row r="65058" s="2" customFormat="1"/>
    <row r="65059" s="2" customFormat="1"/>
    <row r="65060" s="2" customFormat="1"/>
    <row r="65061" s="2" customFormat="1"/>
    <row r="65062" s="2" customFormat="1"/>
    <row r="65063" s="2" customFormat="1"/>
    <row r="65064" s="2" customFormat="1"/>
    <row r="65065" s="2" customFormat="1"/>
    <row r="65066" s="2" customFormat="1"/>
    <row r="65067" s="2" customFormat="1"/>
    <row r="65068" s="2" customFormat="1"/>
    <row r="65069" s="2" customFormat="1"/>
    <row r="65070" s="2" customFormat="1"/>
    <row r="65071" s="2" customFormat="1"/>
    <row r="65072" s="2" customFormat="1"/>
    <row r="65073" s="2" customFormat="1"/>
    <row r="65074" s="2" customFormat="1"/>
    <row r="65075" s="2" customFormat="1"/>
    <row r="65076" s="2" customFormat="1"/>
    <row r="65077" s="2" customFormat="1"/>
    <row r="65078" s="2" customFormat="1"/>
    <row r="65079" s="2" customFormat="1"/>
    <row r="65080" s="2" customFormat="1"/>
    <row r="65081" s="2" customFormat="1"/>
    <row r="65082" s="2" customFormat="1"/>
    <row r="65083" s="2" customFormat="1"/>
    <row r="65084" s="2" customFormat="1"/>
    <row r="65085" s="2" customFormat="1"/>
    <row r="65086" s="2" customFormat="1"/>
    <row r="65087" s="2" customFormat="1"/>
    <row r="65088" s="2" customFormat="1"/>
    <row r="65089" s="2" customFormat="1"/>
    <row r="65090" s="2" customFormat="1"/>
    <row r="65091" s="2" customFormat="1"/>
    <row r="65092" s="2" customFormat="1"/>
    <row r="65093" s="2" customFormat="1"/>
    <row r="65094" s="2" customFormat="1"/>
    <row r="65095" s="2" customFormat="1"/>
    <row r="65096" s="2" customFormat="1"/>
    <row r="65097" s="2" customFormat="1"/>
    <row r="65098" s="2" customFormat="1"/>
    <row r="65099" s="2" customFormat="1"/>
    <row r="65100" s="2" customFormat="1"/>
    <row r="65101" s="2" customFormat="1"/>
    <row r="65102" s="2" customFormat="1"/>
    <row r="65103" s="2" customFormat="1"/>
    <row r="65104" s="2" customFormat="1"/>
    <row r="65105" s="2" customFormat="1"/>
    <row r="65106" s="2" customFormat="1"/>
    <row r="65107" s="2" customFormat="1"/>
    <row r="65108" s="2" customFormat="1"/>
    <row r="65109" s="2" customFormat="1"/>
    <row r="65110" s="2" customFormat="1"/>
    <row r="65111" s="2" customFormat="1"/>
    <row r="65112" s="2" customFormat="1"/>
    <row r="65113" s="2" customFormat="1"/>
    <row r="65114" s="2" customFormat="1"/>
    <row r="65115" s="2" customFormat="1"/>
    <row r="65116" s="2" customFormat="1"/>
    <row r="65117" s="2" customFormat="1"/>
    <row r="65118" s="2" customFormat="1"/>
    <row r="65119" s="2" customFormat="1"/>
    <row r="65120" s="2" customFormat="1"/>
    <row r="65121" s="2" customFormat="1"/>
    <row r="65122" s="2" customFormat="1"/>
    <row r="65123" s="2" customFormat="1"/>
    <row r="65124" s="2" customFormat="1"/>
    <row r="65125" s="2" customFormat="1"/>
    <row r="65126" s="2" customFormat="1"/>
    <row r="65127" s="2" customFormat="1"/>
    <row r="65128" s="2" customFormat="1"/>
    <row r="65129" s="2" customFormat="1"/>
    <row r="65130" s="2" customFormat="1"/>
    <row r="65131" s="2" customFormat="1"/>
    <row r="65132" s="2" customFormat="1"/>
    <row r="65133" s="2" customFormat="1"/>
    <row r="65134" s="2" customFormat="1"/>
    <row r="65135" s="2" customFormat="1"/>
    <row r="65136" s="2" customFormat="1"/>
    <row r="65137" s="2" customFormat="1"/>
    <row r="65138" s="2" customFormat="1"/>
    <row r="65139" s="2" customFormat="1"/>
    <row r="65140" s="2" customFormat="1"/>
    <row r="65141" s="2" customFormat="1"/>
    <row r="65142" s="2" customFormat="1"/>
    <row r="65143" s="2" customFormat="1"/>
    <row r="65144" s="2" customFormat="1"/>
    <row r="65145" s="2" customFormat="1"/>
    <row r="65146" s="2" customFormat="1"/>
    <row r="65147" s="2" customFormat="1"/>
    <row r="65148" s="2" customFormat="1"/>
    <row r="65149" s="2" customFormat="1"/>
    <row r="65150" s="2" customFormat="1"/>
    <row r="65151" s="2" customFormat="1"/>
    <row r="65152" s="2" customFormat="1"/>
    <row r="65153" s="2" customFormat="1"/>
    <row r="65154" s="2" customFormat="1"/>
    <row r="65155" s="2" customFormat="1"/>
    <row r="65156" s="2" customFormat="1"/>
    <row r="65157" s="2" customFormat="1"/>
    <row r="65158" s="2" customFormat="1"/>
    <row r="65159" s="2" customFormat="1"/>
    <row r="65160" s="2" customFormat="1"/>
    <row r="65161" s="2" customFormat="1"/>
    <row r="65162" s="2" customFormat="1"/>
    <row r="65163" s="2" customFormat="1"/>
    <row r="65164" s="2" customFormat="1"/>
    <row r="65165" s="2" customFormat="1"/>
    <row r="65166" s="2" customFormat="1"/>
    <row r="65167" s="2" customFormat="1"/>
    <row r="65168" s="2" customFormat="1"/>
    <row r="65169" s="2" customFormat="1"/>
    <row r="65170" s="2" customFormat="1"/>
    <row r="65171" s="2" customFormat="1"/>
    <row r="65172" s="2" customFormat="1"/>
    <row r="65173" s="2" customFormat="1"/>
    <row r="65174" s="2" customFormat="1"/>
    <row r="65175" s="2" customFormat="1"/>
    <row r="65176" s="2" customFormat="1"/>
    <row r="65177" s="2" customFormat="1"/>
    <row r="65178" s="2" customFormat="1"/>
    <row r="65179" s="2" customFormat="1"/>
    <row r="65180" s="2" customFormat="1"/>
    <row r="65181" s="2" customFormat="1"/>
    <row r="65182" s="2" customFormat="1"/>
    <row r="65183" s="2" customFormat="1"/>
    <row r="65184" s="2" customFormat="1"/>
    <row r="65185" s="2" customFormat="1"/>
    <row r="65186" s="2" customFormat="1"/>
    <row r="65187" s="2" customFormat="1"/>
    <row r="65188" s="2" customFormat="1"/>
    <row r="65189" s="2" customFormat="1"/>
    <row r="65190" s="2" customFormat="1"/>
    <row r="65191" s="2" customFormat="1"/>
    <row r="65192" s="2" customFormat="1"/>
    <row r="65193" s="2" customFormat="1"/>
    <row r="65194" s="2" customFormat="1"/>
    <row r="65195" s="2" customFormat="1"/>
    <row r="65196" s="2" customFormat="1"/>
    <row r="65197" s="2" customFormat="1"/>
    <row r="65198" s="2" customFormat="1"/>
    <row r="65199" s="2" customFormat="1"/>
    <row r="65200" s="2" customFormat="1"/>
    <row r="65201" s="2" customFormat="1"/>
    <row r="65202" s="2" customFormat="1"/>
    <row r="65203" s="2" customFormat="1"/>
    <row r="65204" s="2" customFormat="1"/>
    <row r="65205" s="2" customFormat="1"/>
    <row r="65206" s="2" customFormat="1"/>
    <row r="65207" s="2" customFormat="1"/>
    <row r="65208" s="2" customFormat="1"/>
    <row r="65209" s="2" customFormat="1"/>
    <row r="65210" s="2" customFormat="1"/>
    <row r="65211" s="2" customFormat="1"/>
    <row r="65212" s="2" customFormat="1"/>
    <row r="65213" s="2" customFormat="1"/>
    <row r="65214" s="2" customFormat="1"/>
    <row r="65215" s="2" customFormat="1"/>
    <row r="65216" s="2" customFormat="1"/>
    <row r="65217" s="2" customFormat="1"/>
    <row r="65218" s="2" customFormat="1"/>
    <row r="65219" s="2" customFormat="1"/>
    <row r="65220" s="2" customFormat="1"/>
    <row r="65221" s="2" customFormat="1"/>
    <row r="65222" s="2" customFormat="1"/>
    <row r="65223" s="2" customFormat="1"/>
    <row r="65224" s="2" customFormat="1"/>
    <row r="65225" s="2" customFormat="1"/>
    <row r="65226" s="2" customFormat="1"/>
    <row r="65227" s="2" customFormat="1"/>
    <row r="65228" s="2" customFormat="1"/>
    <row r="65229" s="2" customFormat="1"/>
    <row r="65230" s="2" customFormat="1"/>
    <row r="65231" s="2" customFormat="1"/>
    <row r="65232" s="2" customFormat="1"/>
    <row r="65233" s="2" customFormat="1"/>
    <row r="65234" s="2" customFormat="1"/>
    <row r="65235" s="2" customFormat="1"/>
    <row r="65236" s="2" customFormat="1"/>
    <row r="65237" s="2" customFormat="1"/>
    <row r="65238" s="2" customFormat="1"/>
    <row r="65239" s="2" customFormat="1"/>
    <row r="65240" s="2" customFormat="1"/>
    <row r="65241" s="2" customFormat="1"/>
    <row r="65242" s="2" customFormat="1"/>
    <row r="65243" s="2" customFormat="1"/>
    <row r="65244" s="2" customFormat="1"/>
    <row r="65245" s="2" customFormat="1"/>
    <row r="65246" s="2" customFormat="1"/>
    <row r="65247" s="2" customFormat="1"/>
    <row r="65248" s="2" customFormat="1"/>
    <row r="65249" s="2" customFormat="1"/>
    <row r="65250" s="2" customFormat="1"/>
    <row r="65251" s="2" customFormat="1"/>
    <row r="65252" s="2" customFormat="1"/>
    <row r="65253" s="2" customFormat="1"/>
    <row r="65254" s="2" customFormat="1"/>
    <row r="65255" s="2" customFormat="1"/>
    <row r="65256" s="2" customFormat="1"/>
    <row r="65257" s="2" customFormat="1"/>
    <row r="65258" s="2" customFormat="1"/>
    <row r="65259" s="2" customFormat="1"/>
    <row r="65260" s="2" customFormat="1"/>
    <row r="65261" s="2" customFormat="1"/>
    <row r="65262" s="2" customFormat="1"/>
    <row r="65263" s="2" customFormat="1"/>
    <row r="65264" s="2" customFormat="1"/>
    <row r="65265" s="2" customFormat="1"/>
    <row r="65266" s="2" customFormat="1"/>
    <row r="65267" s="2" customFormat="1"/>
    <row r="65268" s="2" customFormat="1"/>
    <row r="65269" s="2" customFormat="1"/>
    <row r="65270" s="2" customFormat="1"/>
    <row r="65271" s="2" customFormat="1"/>
    <row r="65272" s="2" customFormat="1"/>
    <row r="65273" s="2" customFormat="1"/>
    <row r="65274" s="2" customFormat="1"/>
    <row r="65275" s="2" customFormat="1"/>
    <row r="65276" s="2" customFormat="1"/>
    <row r="65277" s="2" customFormat="1"/>
    <row r="65278" s="2" customFormat="1"/>
    <row r="65279" s="2" customFormat="1"/>
    <row r="65280" s="2" customFormat="1"/>
    <row r="65281" s="2" customFormat="1"/>
    <row r="65282" s="2" customFormat="1"/>
    <row r="65283" s="2" customFormat="1"/>
    <row r="65284" s="2" customFormat="1"/>
    <row r="65285" s="2" customFormat="1"/>
    <row r="65286" s="2" customFormat="1"/>
    <row r="65287" s="2" customFormat="1"/>
    <row r="65288" s="2" customFormat="1"/>
    <row r="65289" s="2" customFormat="1"/>
    <row r="65290" s="2" customFormat="1"/>
    <row r="65291" s="2" customFormat="1"/>
    <row r="65292" s="2" customFormat="1"/>
    <row r="65293" s="2" customFormat="1"/>
    <row r="65294" s="2" customFormat="1"/>
    <row r="65295" s="2" customFormat="1"/>
    <row r="65296" s="2" customFormat="1"/>
    <row r="65297" s="2" customFormat="1"/>
    <row r="65298" s="2" customFormat="1"/>
    <row r="65299" s="2" customFormat="1"/>
    <row r="65300" s="2" customFormat="1"/>
    <row r="65301" s="2" customFormat="1"/>
    <row r="65302" s="2" customFormat="1"/>
    <row r="65303" s="2" customFormat="1"/>
    <row r="65304" s="2" customFormat="1"/>
    <row r="65305" s="2" customFormat="1"/>
    <row r="65306" s="2" customFormat="1"/>
    <row r="65307" s="2" customFormat="1"/>
    <row r="65308" s="2" customFormat="1"/>
    <row r="65309" s="2" customFormat="1"/>
    <row r="65310" s="2" customFormat="1"/>
    <row r="65311" s="2" customFormat="1"/>
    <row r="65312" s="2" customFormat="1"/>
    <row r="65313" s="2" customFormat="1"/>
    <row r="65314" s="2" customFormat="1"/>
    <row r="65315" s="2" customFormat="1"/>
    <row r="65316" s="2" customFormat="1"/>
    <row r="65317" s="2" customFormat="1"/>
    <row r="65318" s="2" customFormat="1"/>
    <row r="65319" s="2" customFormat="1"/>
    <row r="65320" s="2" customFormat="1"/>
    <row r="65321" s="2" customFormat="1"/>
    <row r="65322" s="2" customFormat="1"/>
    <row r="65323" s="2" customFormat="1"/>
    <row r="65324" s="2" customFormat="1"/>
    <row r="65325" s="2" customFormat="1"/>
    <row r="65326" s="2" customFormat="1"/>
    <row r="65327" s="2" customFormat="1"/>
    <row r="65328" s="2" customFormat="1"/>
    <row r="65329" s="2" customFormat="1"/>
    <row r="65330" s="2" customFormat="1"/>
    <row r="65331" s="2" customFormat="1"/>
    <row r="65332" s="2" customFormat="1"/>
    <row r="65333" s="2" customFormat="1"/>
    <row r="65334" s="2" customFormat="1"/>
    <row r="65335" s="2" customFormat="1"/>
    <row r="65336" s="2" customFormat="1"/>
    <row r="65337" s="2" customFormat="1"/>
    <row r="65338" s="2" customFormat="1"/>
    <row r="65339" s="2" customFormat="1"/>
    <row r="65340" s="2" customFormat="1"/>
    <row r="65341" s="2" customFormat="1"/>
    <row r="65342" s="2" customFormat="1"/>
    <row r="65343" s="2" customFormat="1"/>
    <row r="65344" s="2" customFormat="1"/>
    <row r="65345" s="2" customFormat="1"/>
    <row r="65346" s="2" customFormat="1"/>
    <row r="65347" s="2" customFormat="1"/>
    <row r="65348" s="2" customFormat="1"/>
    <row r="65349" s="2" customFormat="1"/>
    <row r="65350" s="2" customFormat="1"/>
    <row r="65351" s="2" customFormat="1"/>
    <row r="65352" s="2" customFormat="1"/>
    <row r="65353" s="2" customFormat="1"/>
    <row r="65354" s="2" customFormat="1"/>
    <row r="65355" s="2" customFormat="1"/>
    <row r="65356" s="2" customFormat="1"/>
    <row r="65357" s="2" customFormat="1"/>
    <row r="65358" s="2" customFormat="1"/>
    <row r="65359" s="2" customFormat="1"/>
    <row r="65360" s="2" customFormat="1"/>
    <row r="65361" s="2" customFormat="1"/>
    <row r="65362" s="2" customFormat="1"/>
    <row r="65363" s="2" customFormat="1"/>
    <row r="65364" s="2" customFormat="1"/>
    <row r="65365" s="2" customFormat="1"/>
    <row r="65366" s="2" customFormat="1"/>
    <row r="65367" s="2" customFormat="1"/>
    <row r="65368" s="2" customFormat="1"/>
    <row r="65369" s="2" customFormat="1"/>
    <row r="65370" s="2" customFormat="1"/>
    <row r="65371" s="2" customFormat="1"/>
    <row r="65372" s="2" customFormat="1"/>
    <row r="65373" s="2" customFormat="1"/>
    <row r="65374" s="2" customFormat="1"/>
    <row r="65375" s="2" customFormat="1"/>
    <row r="65376" s="2" customFormat="1"/>
    <row r="65377" s="2" customFormat="1"/>
    <row r="65378" s="2" customFormat="1"/>
    <row r="65379" s="2" customFormat="1"/>
    <row r="65380" s="2" customFormat="1"/>
    <row r="65381" s="2" customFormat="1"/>
    <row r="65382" s="2" customFormat="1"/>
    <row r="65383" s="2" customFormat="1"/>
    <row r="65384" s="2" customFormat="1"/>
    <row r="65385" s="2" customFormat="1"/>
    <row r="65386" s="2" customFormat="1"/>
    <row r="65387" s="2" customFormat="1"/>
    <row r="65388" s="2" customFormat="1"/>
    <row r="65389" s="2" customFormat="1"/>
    <row r="65390" s="2" customFormat="1"/>
    <row r="65391" s="2" customFormat="1"/>
    <row r="65392" s="2" customFormat="1"/>
    <row r="65393" s="2" customFormat="1"/>
    <row r="65394" s="2" customFormat="1"/>
    <row r="65395" s="2" customFormat="1"/>
    <row r="65396" s="2" customFormat="1"/>
    <row r="65397" s="2" customFormat="1"/>
    <row r="65398" s="2" customFormat="1"/>
    <row r="65399" s="2" customFormat="1"/>
    <row r="65400" s="2" customFormat="1"/>
    <row r="65401" s="2" customFormat="1"/>
    <row r="65402" s="2" customFormat="1"/>
    <row r="65403" s="2" customFormat="1"/>
    <row r="65404" s="2" customFormat="1"/>
    <row r="65405" s="2" customFormat="1"/>
    <row r="65406" s="2" customFormat="1"/>
    <row r="65407" s="2" customFormat="1"/>
    <row r="65408" s="2" customFormat="1"/>
    <row r="65409" s="2" customFormat="1"/>
    <row r="65410" s="2" customFormat="1"/>
    <row r="65411" s="2" customFormat="1"/>
    <row r="65412" s="2" customFormat="1"/>
    <row r="65413" s="2" customFormat="1"/>
    <row r="65414" s="2" customFormat="1"/>
    <row r="65415" s="2" customFormat="1"/>
    <row r="65416" s="2" customFormat="1"/>
    <row r="65417" s="2" customFormat="1"/>
    <row r="65418" s="2" customFormat="1"/>
    <row r="65419" s="2" customFormat="1"/>
    <row r="65420" s="2" customFormat="1"/>
    <row r="65421" s="2" customFormat="1"/>
    <row r="65422" s="2" customFormat="1"/>
    <row r="65423" s="2" customFormat="1"/>
    <row r="65424" s="2" customFormat="1"/>
    <row r="65425" s="2" customFormat="1"/>
    <row r="65426" s="2" customFormat="1"/>
    <row r="65427" s="2" customFormat="1"/>
    <row r="65428" s="2" customFormat="1"/>
    <row r="65429" s="2" customFormat="1"/>
    <row r="65430" s="2" customFormat="1"/>
    <row r="65431" s="2" customFormat="1"/>
    <row r="65432" s="2" customFormat="1"/>
    <row r="65433" s="2" customFormat="1"/>
    <row r="65434" s="2" customFormat="1"/>
    <row r="65435" s="2" customFormat="1"/>
    <row r="65436" s="2" customFormat="1"/>
    <row r="65437" s="2" customFormat="1"/>
    <row r="65438" s="2" customFormat="1"/>
    <row r="65439" s="2" customFormat="1"/>
    <row r="65440" s="2" customFormat="1"/>
    <row r="65441" s="2" customFormat="1"/>
    <row r="65442" s="2" customFormat="1"/>
    <row r="65443" s="2" customFormat="1"/>
    <row r="65444" s="2" customFormat="1"/>
    <row r="65445" s="2" customFormat="1"/>
    <row r="65446" s="2" customFormat="1"/>
    <row r="65447" s="2" customFormat="1"/>
    <row r="65448" s="2" customFormat="1"/>
    <row r="65449" s="2" customFormat="1"/>
    <row r="65450" s="2" customFormat="1"/>
    <row r="65451" s="2" customFormat="1"/>
    <row r="65452" s="2" customFormat="1"/>
    <row r="65453" s="2" customFormat="1"/>
    <row r="65454" s="2" customFormat="1"/>
    <row r="65455" s="2" customFormat="1"/>
    <row r="65456" s="2" customFormat="1"/>
    <row r="65457" s="2" customFormat="1"/>
    <row r="65458" s="2" customFormat="1"/>
    <row r="65459" s="2" customFormat="1"/>
    <row r="65460" s="2" customFormat="1"/>
    <row r="65461" s="2" customFormat="1"/>
    <row r="65462" s="2" customFormat="1"/>
    <row r="65463" s="2" customFormat="1"/>
    <row r="65464" s="2" customFormat="1"/>
    <row r="65465" s="2" customFormat="1"/>
    <row r="65466" s="2" customFormat="1"/>
    <row r="65467" s="2" customFormat="1"/>
    <row r="65468" s="2" customFormat="1"/>
    <row r="65469" s="2" customFormat="1"/>
    <row r="65470" s="2" customFormat="1"/>
    <row r="65471" s="2" customFormat="1"/>
    <row r="65472" s="2" customFormat="1"/>
    <row r="65473" s="2" customFormat="1"/>
    <row r="65474" s="2" customFormat="1"/>
    <row r="65475" s="2" customFormat="1"/>
    <row r="65476" s="2" customFormat="1"/>
    <row r="65477" s="2" customFormat="1"/>
    <row r="65478" s="2" customFormat="1"/>
    <row r="65479" s="2" customFormat="1"/>
    <row r="65480" s="2" customFormat="1"/>
    <row r="65481" s="2" customFormat="1"/>
    <row r="65482" s="2" customFormat="1"/>
    <row r="65483" s="2" customFormat="1"/>
    <row r="65484" s="2" customFormat="1"/>
    <row r="65485" s="2" customFormat="1"/>
    <row r="65486" s="2" customFormat="1"/>
    <row r="65487" s="2" customFormat="1"/>
    <row r="65488" s="2" customFormat="1"/>
    <row r="65489" s="2" customFormat="1"/>
    <row r="65490" s="2" customFormat="1"/>
    <row r="65491" s="2" customFormat="1"/>
    <row r="65492" s="2" customFormat="1"/>
    <row r="65493" s="2" customFormat="1"/>
    <row r="65494" s="2" customFormat="1"/>
    <row r="65495" s="2" customFormat="1"/>
    <row r="65496" s="2" customFormat="1"/>
    <row r="65497" s="2" customFormat="1"/>
    <row r="65498" s="2" customFormat="1"/>
    <row r="65499" s="2" customFormat="1"/>
    <row r="65500" s="2" customFormat="1"/>
    <row r="65501" s="2" customFormat="1"/>
    <row r="65502" s="2" customFormat="1"/>
    <row r="65503" s="2" customFormat="1"/>
    <row r="65504" s="2" customFormat="1"/>
    <row r="65505" s="2" customFormat="1"/>
    <row r="65506" s="2" customFormat="1"/>
    <row r="65507" s="2" customFormat="1"/>
    <row r="65508" s="2" customFormat="1"/>
    <row r="65509" s="2" customFormat="1"/>
    <row r="65510" s="2" customFormat="1"/>
    <row r="65511" s="2" customFormat="1"/>
    <row r="65512" s="2" customFormat="1"/>
    <row r="65513" s="2" customFormat="1"/>
    <row r="65514" s="2" customFormat="1"/>
    <row r="65515" s="2" customFormat="1"/>
    <row r="65516" s="2" customFormat="1"/>
    <row r="65517" s="2" customFormat="1"/>
    <row r="65518" s="2" customFormat="1"/>
    <row r="65519" s="2" customFormat="1"/>
    <row r="65520" s="2" customFormat="1"/>
    <row r="65521" s="2" customFormat="1"/>
    <row r="65522" s="2" customFormat="1"/>
    <row r="65523" s="2" customFormat="1"/>
    <row r="65524" s="2" customFormat="1"/>
    <row r="65525" s="2" customFormat="1"/>
    <row r="65526" s="2" customFormat="1"/>
    <row r="65527" s="2" customFormat="1"/>
    <row r="65528" s="2" customFormat="1"/>
    <row r="65529" s="2" customFormat="1"/>
    <row r="65530" s="2" customFormat="1"/>
    <row r="65531" s="2" customFormat="1"/>
    <row r="65532" s="2" customFormat="1"/>
    <row r="65533" s="2" customFormat="1"/>
    <row r="65534" s="2" customFormat="1"/>
    <row r="65535" s="2" customFormat="1"/>
    <row r="65536" s="2" customFormat="1"/>
  </sheetData>
  <mergeCells count="12">
    <mergeCell ref="A4:A9"/>
    <mergeCell ref="B4:B9"/>
    <mergeCell ref="F2:F3"/>
    <mergeCell ref="F6:F7"/>
    <mergeCell ref="G2:G3"/>
    <mergeCell ref="G6:G7"/>
    <mergeCell ref="H2:H3"/>
    <mergeCell ref="H6:H7"/>
    <mergeCell ref="I2:I3"/>
    <mergeCell ref="I6:I7"/>
    <mergeCell ref="J2:J3"/>
    <mergeCell ref="J6:J7"/>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8"/>
  <sheetViews>
    <sheetView zoomScale="80" zoomScaleNormal="80" topLeftCell="A17" workbookViewId="0">
      <selection activeCell="T82" sqref="T82"/>
    </sheetView>
  </sheetViews>
  <sheetFormatPr defaultColWidth="9" defaultRowHeight="13.5" outlineLevelCol="1"/>
  <sheetData>
    <row r="38" spans="2:2">
      <c r="B38" s="1"/>
    </row>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40" sqref="L40"/>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3" customWidth="1"/>
    <col min="2" max="3" width="22.375" style="1263" customWidth="1"/>
    <col min="4" max="4" width="23" style="1263" customWidth="1"/>
    <col min="5" max="16384" width="9" style="1263"/>
  </cols>
  <sheetData>
    <row r="1" ht="18.75" spans="1:4">
      <c r="A1" s="4680" t="s">
        <v>114</v>
      </c>
      <c r="B1" s="4680"/>
      <c r="C1" s="4680"/>
      <c r="D1" s="4680"/>
    </row>
    <row r="2" ht="18" spans="1:4">
      <c r="A2" s="4681" t="s">
        <v>115</v>
      </c>
      <c r="B2" s="4681"/>
      <c r="C2" s="4681"/>
      <c r="D2" s="4681"/>
    </row>
    <row r="3" ht="18.75" spans="1:4">
      <c r="A3" s="4682" t="s">
        <v>116</v>
      </c>
      <c r="B3" s="4682" t="s">
        <v>117</v>
      </c>
      <c r="C3" s="4682" t="s">
        <v>118</v>
      </c>
      <c r="D3" s="4682" t="s">
        <v>119</v>
      </c>
    </row>
    <row r="4" ht="56.25" customHeight="1" spans="1:4">
      <c r="A4" s="4683">
        <f>项目基本情况!B4</f>
        <v>0</v>
      </c>
      <c r="B4" s="4684">
        <f ca="1">项目基本情况!C4</f>
        <v>0</v>
      </c>
      <c r="C4" s="4685"/>
      <c r="D4" s="4686" t="s">
        <v>120</v>
      </c>
    </row>
    <row r="5" ht="56.25" customHeight="1" spans="1:4">
      <c r="A5" s="4683">
        <f>项目基本情况!D4</f>
        <v>0</v>
      </c>
      <c r="B5" s="4684">
        <f ca="1">项目基本情况!E4</f>
        <v>0</v>
      </c>
      <c r="C5" s="4687"/>
      <c r="D5" s="4686" t="s">
        <v>120</v>
      </c>
    </row>
    <row r="6" ht="18" spans="1:4">
      <c r="A6" s="4681" t="s">
        <v>121</v>
      </c>
      <c r="B6" s="4681"/>
      <c r="C6" s="4681"/>
      <c r="D6" s="4681"/>
    </row>
    <row r="7" ht="18.75" spans="1:4">
      <c r="A7" s="4682" t="s">
        <v>116</v>
      </c>
      <c r="B7" s="4684" t="s">
        <v>122</v>
      </c>
      <c r="C7" s="4682" t="s">
        <v>118</v>
      </c>
      <c r="D7" s="4682" t="s">
        <v>119</v>
      </c>
    </row>
    <row r="8" ht="56.25" customHeight="1" spans="1:4">
      <c r="A8" s="4688" t="s">
        <v>123</v>
      </c>
      <c r="B8" s="4688" t="s">
        <v>124</v>
      </c>
      <c r="C8" s="4685"/>
      <c r="D8" s="4686" t="s">
        <v>120</v>
      </c>
    </row>
    <row r="9" spans="1:4">
      <c r="A9" s="4689"/>
      <c r="B9" s="4689"/>
      <c r="C9" s="4689"/>
      <c r="D9" s="4689"/>
    </row>
    <row r="10" ht="18.75" spans="1:4">
      <c r="A10" s="4680" t="s">
        <v>125</v>
      </c>
      <c r="B10" s="4689"/>
      <c r="C10" s="4689"/>
      <c r="D10" s="4689"/>
    </row>
    <row r="11" ht="30" customHeight="1" spans="1:4">
      <c r="A11" s="4690" t="s">
        <v>126</v>
      </c>
      <c r="B11" s="4691"/>
      <c r="C11" s="4691"/>
      <c r="D11" s="4691"/>
    </row>
    <row r="12" ht="15" spans="1:4">
      <c r="A12" s="46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2"/>
      <c r="C12" s="4692"/>
      <c r="D12" s="4692"/>
    </row>
    <row r="13" ht="30" customHeight="1" spans="1:4">
      <c r="A13" s="46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2"/>
      <c r="C13" s="4692"/>
      <c r="D13" s="4692"/>
    </row>
    <row r="14" ht="15.75" customHeight="1" spans="1:4">
      <c r="A14" s="4691" t="str">
        <f>IF(项目基本情况!B8="抵押","4.本次评估估价师所知悉的法定优先受偿款情况说明如下：","——")</f>
        <v>4.本次评估估价师所知悉的法定优先受偿款情况说明如下：</v>
      </c>
      <c r="B14" s="4692"/>
      <c r="C14" s="4692"/>
      <c r="D14" s="4692"/>
    </row>
    <row r="15" ht="42" customHeight="1" spans="1:4">
      <c r="A15" s="46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1"/>
      <c r="C15" s="4691"/>
      <c r="D15" s="4691"/>
    </row>
    <row r="16" ht="30" customHeight="1" spans="1:4">
      <c r="A16" s="4693" t="s">
        <v>127</v>
      </c>
      <c r="B16" s="4693"/>
      <c r="C16" s="4693"/>
      <c r="D16" s="4693"/>
    </row>
    <row r="17" ht="144" customHeight="1" spans="1:4">
      <c r="A17" s="4693" t="s">
        <v>128</v>
      </c>
      <c r="B17" s="4693"/>
      <c r="C17" s="4693"/>
      <c r="D17" s="4693"/>
    </row>
    <row r="18" ht="15.75" customHeight="1" spans="1:4">
      <c r="A18" s="4691" t="str">
        <f>IF(项目基本情况!B8="抵押",结果表!K120,"——")</f>
        <v>故，本次评估不存在估价师知悉的法定优先受偿款</v>
      </c>
      <c r="B18" s="4691"/>
      <c r="C18" s="4691"/>
      <c r="D18" s="4691"/>
    </row>
    <row r="19" ht="46.5" customHeight="1" spans="1:4">
      <c r="A19" s="46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1"/>
      <c r="C19" s="4691"/>
      <c r="D19" s="4691"/>
    </row>
    <row r="20" ht="57.75" customHeight="1" spans="1:4">
      <c r="A20" s="46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1"/>
      <c r="C20" s="4691"/>
      <c r="D20" s="4691"/>
    </row>
    <row r="21" ht="57.75" customHeight="1" spans="1:4">
      <c r="A21" s="46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4"/>
      <c r="C21" s="4694"/>
      <c r="D21" s="4694"/>
    </row>
    <row r="22" ht="18.75" customHeight="1" spans="1:4">
      <c r="A22" s="4695" t="s">
        <v>129</v>
      </c>
      <c r="B22" s="4695"/>
      <c r="C22" s="4695"/>
      <c r="D22" s="4695"/>
    </row>
    <row r="23" spans="1:4">
      <c r="A23" s="4696"/>
      <c r="B23" s="2272"/>
      <c r="C23" s="2272"/>
      <c r="D23" s="2272"/>
    </row>
    <row r="24" spans="1:4">
      <c r="A24" s="4696"/>
      <c r="B24" s="2272"/>
      <c r="C24" s="2272"/>
      <c r="D24" s="2272"/>
    </row>
    <row r="25" ht="18.75" spans="1:4">
      <c r="A25" s="4697" t="s">
        <v>130</v>
      </c>
    </row>
    <row r="26" ht="18" spans="1:4">
      <c r="A26" s="4698"/>
    </row>
    <row r="27" ht="18.75" spans="1:4">
      <c r="A27" s="4698" t="s">
        <v>131</v>
      </c>
    </row>
    <row r="30" ht="18.75" spans="1:4">
      <c r="D30" s="4697" t="s">
        <v>132</v>
      </c>
    </row>
    <row r="31" ht="13.5" customHeight="1" spans="1:4">
      <c r="C31" s="4699">
        <v>42551</v>
      </c>
      <c r="D31" s="469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6" customWidth="1"/>
    <col min="3" max="10" width="12.5" style="4676" customWidth="1"/>
    <col min="11" max="16384" width="9" style="4676"/>
  </cols>
  <sheetData>
    <row r="1" ht="18.75" spans="1:10">
      <c r="A1" s="4677" t="s">
        <v>133</v>
      </c>
      <c r="B1" s="4678"/>
      <c r="C1" s="4678"/>
      <c r="D1" s="4678"/>
      <c r="E1" s="4678"/>
      <c r="F1" s="4678"/>
      <c r="G1" s="4678"/>
      <c r="H1" s="4678"/>
      <c r="I1" s="4678"/>
      <c r="J1" s="4678"/>
    </row>
    <row r="2" ht="18.75" spans="1:10">
      <c r="A2" s="4679"/>
      <c r="B2" s="4678"/>
      <c r="C2" s="4678"/>
      <c r="D2" s="4678"/>
      <c r="E2" s="4678"/>
      <c r="F2" s="4678"/>
      <c r="G2" s="4678"/>
      <c r="H2" s="4678"/>
      <c r="I2" s="4678"/>
      <c r="J2" s="4678"/>
    </row>
    <row r="3" spans="1:10">
      <c r="A3" s="4678"/>
      <c r="B3" s="4678"/>
      <c r="C3" s="4678"/>
      <c r="D3" s="4678"/>
      <c r="E3" s="4678"/>
      <c r="F3" s="4678"/>
      <c r="G3" s="4678"/>
      <c r="H3" s="4678"/>
      <c r="I3" s="4678"/>
      <c r="J3" s="4678"/>
    </row>
    <row r="4" spans="1:10">
      <c r="A4" s="4678"/>
      <c r="B4" s="4678"/>
      <c r="C4" s="4678"/>
      <c r="D4" s="4678"/>
      <c r="E4" s="4678"/>
      <c r="F4" s="4678"/>
      <c r="G4" s="4678"/>
      <c r="H4" s="4678"/>
      <c r="I4" s="4678"/>
      <c r="J4" s="4678"/>
    </row>
    <row r="5" spans="1:10">
      <c r="A5" s="4678"/>
      <c r="B5" s="4678"/>
      <c r="C5" s="4678"/>
      <c r="D5" s="4678"/>
      <c r="E5" s="4678"/>
      <c r="F5" s="4678"/>
      <c r="G5" s="4678"/>
      <c r="H5" s="4678"/>
      <c r="I5" s="4678"/>
      <c r="J5" s="4678"/>
    </row>
    <row r="6" spans="1:10">
      <c r="A6" s="4678"/>
      <c r="B6" s="4678"/>
      <c r="C6" s="4678"/>
      <c r="D6" s="4678"/>
      <c r="E6" s="4678"/>
      <c r="F6" s="4678"/>
      <c r="G6" s="4678"/>
      <c r="H6" s="4678"/>
      <c r="I6" s="4678"/>
      <c r="J6" s="4678"/>
    </row>
    <row r="7" spans="1:10">
      <c r="A7" s="4678"/>
      <c r="B7" s="4678"/>
      <c r="C7" s="4678"/>
      <c r="D7" s="4678"/>
      <c r="E7" s="4678"/>
      <c r="F7" s="4678"/>
      <c r="G7" s="4678"/>
      <c r="H7" s="4678"/>
      <c r="I7" s="4678"/>
      <c r="J7" s="4678"/>
    </row>
    <row r="8" spans="1:10">
      <c r="A8" s="4678"/>
      <c r="B8" s="4678"/>
      <c r="C8" s="4678"/>
      <c r="D8" s="4678"/>
      <c r="E8" s="4678"/>
      <c r="F8" s="4678"/>
      <c r="G8" s="4678"/>
      <c r="H8" s="4678"/>
      <c r="I8" s="4678"/>
      <c r="J8" s="4678"/>
    </row>
    <row r="9" spans="1:10">
      <c r="A9" s="4678"/>
      <c r="B9" s="4678"/>
      <c r="C9" s="4678"/>
      <c r="D9" s="4678"/>
      <c r="E9" s="4678"/>
      <c r="F9" s="4678"/>
      <c r="G9" s="4678"/>
      <c r="H9" s="4678"/>
      <c r="I9" s="4678"/>
      <c r="J9" s="4678"/>
    </row>
    <row r="10" spans="1:10">
      <c r="A10" s="4678"/>
      <c r="B10" s="4678"/>
      <c r="C10" s="4678"/>
      <c r="D10" s="4678"/>
      <c r="E10" s="4678"/>
      <c r="F10" s="4678"/>
      <c r="G10" s="4678"/>
      <c r="H10" s="4678"/>
      <c r="I10" s="4678"/>
      <c r="J10" s="4678"/>
    </row>
    <row r="11" spans="1:10">
      <c r="A11" s="4678"/>
      <c r="B11" s="4678"/>
      <c r="C11" s="4678"/>
      <c r="D11" s="4678"/>
      <c r="E11" s="4678"/>
      <c r="F11" s="4678"/>
      <c r="G11" s="4678"/>
      <c r="H11" s="4678"/>
      <c r="I11" s="4678"/>
      <c r="J11" s="4678"/>
    </row>
    <row r="12" spans="1:10">
      <c r="A12" s="4678"/>
      <c r="B12" s="4678"/>
      <c r="C12" s="4678"/>
      <c r="D12" s="4678"/>
      <c r="E12" s="4678"/>
      <c r="F12" s="4678"/>
      <c r="G12" s="4678"/>
      <c r="H12" s="4678"/>
      <c r="I12" s="4678"/>
      <c r="J12" s="4678"/>
    </row>
    <row r="13" spans="1:10">
      <c r="A13" s="4678"/>
      <c r="B13" s="4678"/>
      <c r="C13" s="4678"/>
      <c r="D13" s="4678"/>
      <c r="E13" s="4678"/>
      <c r="F13" s="4678"/>
      <c r="G13" s="4678"/>
      <c r="H13" s="4678"/>
      <c r="I13" s="4678"/>
      <c r="J13" s="4678"/>
    </row>
    <row r="14" spans="1:10">
      <c r="A14" s="4678"/>
      <c r="B14" s="4678"/>
      <c r="C14" s="4678"/>
      <c r="D14" s="4678"/>
      <c r="E14" s="4678"/>
      <c r="F14" s="4678"/>
      <c r="G14" s="4678"/>
      <c r="H14" s="4678"/>
      <c r="I14" s="4678"/>
      <c r="J14" s="4678"/>
    </row>
    <row r="15" spans="1:10">
      <c r="A15" s="4678"/>
      <c r="B15" s="4678"/>
      <c r="C15" s="4678"/>
      <c r="D15" s="4678"/>
      <c r="E15" s="4678"/>
      <c r="F15" s="4678"/>
      <c r="G15" s="4678"/>
      <c r="H15" s="4678"/>
      <c r="I15" s="4678"/>
      <c r="J15" s="4678"/>
    </row>
    <row r="16" spans="1:10">
      <c r="A16" s="4678"/>
      <c r="B16" s="4678"/>
      <c r="C16" s="4678"/>
      <c r="D16" s="4678"/>
      <c r="E16" s="4678"/>
      <c r="F16" s="4678"/>
      <c r="G16" s="4678"/>
      <c r="H16" s="4678"/>
      <c r="I16" s="4678"/>
      <c r="J16" s="4678"/>
    </row>
    <row r="17" spans="1:10">
      <c r="A17" s="4678"/>
      <c r="B17" s="4678"/>
      <c r="C17" s="4678"/>
      <c r="D17" s="4678"/>
      <c r="E17" s="4678"/>
      <c r="F17" s="4678"/>
      <c r="G17" s="4678"/>
      <c r="H17" s="4678"/>
      <c r="I17" s="4678"/>
      <c r="J17" s="4678"/>
    </row>
    <row r="18" spans="1:10">
      <c r="A18" s="4678"/>
      <c r="B18" s="4678"/>
      <c r="C18" s="4678"/>
      <c r="D18" s="4678"/>
      <c r="E18" s="4678"/>
      <c r="F18" s="4678"/>
      <c r="G18" s="4678"/>
      <c r="H18" s="4678"/>
      <c r="I18" s="4678"/>
      <c r="J18" s="4678"/>
    </row>
    <row r="19" spans="1:10">
      <c r="A19" s="4678"/>
      <c r="B19" s="4678"/>
      <c r="C19" s="4678"/>
      <c r="D19" s="4678"/>
      <c r="E19" s="4678"/>
      <c r="F19" s="4678"/>
      <c r="G19" s="4678"/>
      <c r="H19" s="4678"/>
      <c r="I19" s="4678"/>
      <c r="J19" s="4678"/>
    </row>
    <row r="20" spans="1:10">
      <c r="A20" s="4678"/>
      <c r="B20" s="4678"/>
      <c r="C20" s="4678"/>
      <c r="D20" s="4678"/>
      <c r="E20" s="4678"/>
      <c r="F20" s="4678"/>
      <c r="G20" s="4678"/>
      <c r="H20" s="4678"/>
      <c r="I20" s="4678"/>
      <c r="J20" s="4678"/>
    </row>
    <row r="21" spans="1:10">
      <c r="A21" s="4678"/>
      <c r="B21" s="4678"/>
      <c r="C21" s="4678"/>
      <c r="D21" s="4678"/>
      <c r="E21" s="4678"/>
      <c r="F21" s="4678"/>
      <c r="G21" s="4678"/>
      <c r="H21" s="4678"/>
      <c r="I21" s="4678"/>
      <c r="J21" s="4678"/>
    </row>
    <row r="22" spans="1:10">
      <c r="A22" s="4678"/>
      <c r="B22" s="4678"/>
      <c r="C22" s="4678"/>
      <c r="D22" s="4678"/>
      <c r="E22" s="4678"/>
      <c r="F22" s="4678"/>
      <c r="G22" s="4678"/>
      <c r="H22" s="4678"/>
      <c r="I22" s="4678"/>
      <c r="J22" s="4678"/>
    </row>
    <row r="23" spans="1:10">
      <c r="A23" s="4678"/>
      <c r="B23" s="4678"/>
      <c r="C23" s="4678"/>
      <c r="D23" s="4678"/>
      <c r="E23" s="4678"/>
      <c r="F23" s="4678"/>
      <c r="G23" s="4678"/>
      <c r="H23" s="4678"/>
      <c r="I23" s="4678"/>
      <c r="J23" s="4678"/>
    </row>
    <row r="24" spans="1:10">
      <c r="A24" s="4678"/>
      <c r="B24" s="4678"/>
      <c r="C24" s="4678"/>
      <c r="D24" s="4678"/>
      <c r="E24" s="4678"/>
      <c r="F24" s="4678"/>
      <c r="G24" s="4678"/>
      <c r="H24" s="4678"/>
      <c r="I24" s="4678"/>
      <c r="J24" s="4678"/>
    </row>
    <row r="25" spans="1:10">
      <c r="A25" s="4678"/>
      <c r="B25" s="4678"/>
      <c r="C25" s="4678"/>
      <c r="D25" s="4678"/>
      <c r="E25" s="4678"/>
      <c r="F25" s="4678"/>
      <c r="G25" s="4678"/>
      <c r="H25" s="4678"/>
      <c r="I25" s="4678"/>
      <c r="J25" s="4678"/>
    </row>
    <row r="26" spans="1:10">
      <c r="A26" s="4678"/>
      <c r="B26" s="4678"/>
      <c r="C26" s="4678"/>
      <c r="D26" s="4678"/>
      <c r="E26" s="4678"/>
      <c r="F26" s="4678"/>
      <c r="G26" s="4678"/>
      <c r="H26" s="4678"/>
      <c r="I26" s="4678"/>
      <c r="J26" s="4678"/>
    </row>
    <row r="27" spans="1:10">
      <c r="A27" s="4678"/>
      <c r="B27" s="4678"/>
      <c r="C27" s="4678"/>
      <c r="D27" s="4678"/>
      <c r="E27" s="4678"/>
      <c r="F27" s="4678"/>
      <c r="G27" s="4678"/>
      <c r="H27" s="4678"/>
      <c r="I27" s="4678"/>
      <c r="J27" s="4678"/>
    </row>
    <row r="28" spans="1:10">
      <c r="A28" s="4678"/>
      <c r="B28" s="4678"/>
      <c r="C28" s="4678"/>
      <c r="D28" s="4678"/>
      <c r="E28" s="4678"/>
      <c r="F28" s="4678"/>
      <c r="G28" s="4678"/>
      <c r="H28" s="4678"/>
      <c r="I28" s="4678"/>
      <c r="J28" s="4678"/>
    </row>
    <row r="29" spans="1:10">
      <c r="A29" s="4678"/>
      <c r="B29" s="4678"/>
      <c r="C29" s="4678"/>
      <c r="D29" s="4678"/>
      <c r="E29" s="4678"/>
      <c r="F29" s="4678"/>
      <c r="G29" s="4678"/>
      <c r="H29" s="4678"/>
      <c r="I29" s="4678"/>
      <c r="J29" s="4678"/>
    </row>
    <row r="30" spans="1:10">
      <c r="A30" s="4678"/>
      <c r="B30" s="4678"/>
      <c r="C30" s="4678"/>
      <c r="D30" s="4678"/>
      <c r="E30" s="4678"/>
      <c r="F30" s="4678"/>
      <c r="G30" s="4678"/>
      <c r="H30" s="4678"/>
      <c r="I30" s="4678"/>
      <c r="J30" s="4678"/>
    </row>
    <row r="31" spans="1:10">
      <c r="A31" s="4678"/>
      <c r="B31" s="4678"/>
      <c r="C31" s="4678"/>
      <c r="D31" s="4678"/>
      <c r="E31" s="4678"/>
      <c r="F31" s="4678"/>
      <c r="G31" s="4678"/>
      <c r="H31" s="4678"/>
      <c r="I31" s="4678"/>
      <c r="J31" s="467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2" customWidth="1"/>
    <col min="2" max="16384" width="14.5" style="530"/>
  </cols>
  <sheetData>
    <row r="1" s="4651" customFormat="1" ht="18.75" spans="1:7">
      <c r="A1" s="4653" t="s">
        <v>134</v>
      </c>
    </row>
    <row r="3" spans="1:7">
      <c r="A3" s="4654" t="s">
        <v>135</v>
      </c>
      <c r="B3" s="530" t="s">
        <v>136</v>
      </c>
      <c r="G3" s="4655"/>
    </row>
    <row r="4" spans="1:7">
      <c r="G4" s="4655"/>
    </row>
    <row r="5" spans="1:7">
      <c r="A5" s="4656" t="s">
        <v>137</v>
      </c>
      <c r="B5" s="530" t="s">
        <v>138</v>
      </c>
      <c r="G5" s="4655"/>
    </row>
    <row r="6" spans="1:7">
      <c r="G6" s="4655"/>
    </row>
    <row r="7" spans="1:7">
      <c r="A7" s="4657" t="s">
        <v>139</v>
      </c>
      <c r="B7" s="530" t="s">
        <v>140</v>
      </c>
      <c r="G7" s="4655"/>
    </row>
    <row r="8" spans="1:7">
      <c r="G8" s="4655"/>
    </row>
    <row r="9" spans="1:7">
      <c r="A9" s="4658" t="s">
        <v>141</v>
      </c>
      <c r="B9" s="530" t="s">
        <v>142</v>
      </c>
    </row>
    <row r="11" spans="1:7">
      <c r="A11" s="4659" t="s">
        <v>143</v>
      </c>
      <c r="B11" s="4660" t="s">
        <v>144</v>
      </c>
    </row>
    <row r="13" spans="1:7">
      <c r="A13" s="4661" t="s">
        <v>145</v>
      </c>
    </row>
    <row r="15" ht="13.5" spans="1:7">
      <c r="A15" s="4662" t="s">
        <v>146</v>
      </c>
      <c r="B15" s="4663" t="s">
        <v>147</v>
      </c>
      <c r="C15" s="4664"/>
    </row>
    <row r="16" ht="13.5" spans="1:7">
      <c r="A16" s="4665"/>
      <c r="B16" s="4663" t="s">
        <v>148</v>
      </c>
      <c r="C16" s="4664"/>
    </row>
    <row r="17" ht="13.5" spans="1:3">
      <c r="A17" s="4665"/>
      <c r="B17" s="4666" t="s">
        <v>149</v>
      </c>
      <c r="C17" s="4666" t="s">
        <v>146</v>
      </c>
    </row>
    <row r="18" ht="13.5" spans="1:3">
      <c r="A18" s="4665"/>
      <c r="B18" s="4666"/>
      <c r="C18" s="4666" t="s">
        <v>150</v>
      </c>
    </row>
    <row r="19" ht="13.5" spans="1:3">
      <c r="A19" s="4665"/>
      <c r="B19" s="4666"/>
      <c r="C19" s="4666" t="s">
        <v>151</v>
      </c>
    </row>
    <row r="20" ht="13.5" spans="1:3">
      <c r="A20" s="4667"/>
      <c r="B20" s="4668" t="s">
        <v>152</v>
      </c>
      <c r="C20" s="4664"/>
    </row>
    <row r="21" ht="13.5" spans="1:3">
      <c r="A21" s="4669" t="s">
        <v>153</v>
      </c>
      <c r="B21" s="4670"/>
      <c r="C21" s="4671"/>
    </row>
    <row r="22" ht="13.5" spans="1:3">
      <c r="A22" s="4672" t="s">
        <v>154</v>
      </c>
      <c r="B22" s="4668" t="s">
        <v>155</v>
      </c>
      <c r="C22" s="4664"/>
    </row>
    <row r="23" ht="13.5" spans="1:3">
      <c r="A23" s="4672"/>
      <c r="B23" s="4668" t="s">
        <v>156</v>
      </c>
      <c r="C23" s="4664"/>
    </row>
    <row r="24" ht="13.5" spans="1:3">
      <c r="A24" s="4672"/>
      <c r="B24" s="4668" t="s">
        <v>157</v>
      </c>
      <c r="C24" s="4664"/>
    </row>
    <row r="25" ht="13.5" spans="1:3">
      <c r="A25" s="4672"/>
      <c r="B25" s="4666" t="s">
        <v>158</v>
      </c>
      <c r="C25" s="4666" t="s">
        <v>159</v>
      </c>
    </row>
    <row r="26" ht="13.5" spans="1:3">
      <c r="A26" s="4672"/>
      <c r="B26" s="4666"/>
      <c r="C26" s="4666" t="s">
        <v>160</v>
      </c>
    </row>
    <row r="27" ht="13.5" spans="1:3">
      <c r="A27" s="4672"/>
      <c r="B27" s="4666"/>
      <c r="C27" s="4666" t="s">
        <v>161</v>
      </c>
    </row>
    <row r="28" ht="13.5" spans="1:3">
      <c r="A28" s="4672"/>
      <c r="B28" s="4666"/>
      <c r="C28" s="4666" t="s">
        <v>162</v>
      </c>
    </row>
    <row r="29" ht="13.5" spans="1:3">
      <c r="A29" s="4672"/>
      <c r="B29" s="4666"/>
      <c r="C29" s="4666" t="s">
        <v>163</v>
      </c>
    </row>
    <row r="30" ht="13.5" spans="1:3">
      <c r="A30" s="4672"/>
      <c r="B30" s="4666"/>
      <c r="C30" s="4666" t="s">
        <v>164</v>
      </c>
    </row>
    <row r="31" ht="13.5" spans="1:3">
      <c r="A31" s="4672"/>
      <c r="B31" s="4666"/>
      <c r="C31" s="4666" t="s">
        <v>165</v>
      </c>
    </row>
    <row r="32" ht="13.5" spans="1:3">
      <c r="A32" s="4672"/>
      <c r="B32" s="4666"/>
      <c r="C32" s="4666" t="s">
        <v>166</v>
      </c>
    </row>
    <row r="33" ht="13.5" spans="1:3">
      <c r="A33" s="4672"/>
      <c r="B33" s="4666"/>
      <c r="C33" s="4666" t="s">
        <v>167</v>
      </c>
    </row>
    <row r="34" spans="1:3">
      <c r="A34" s="4673" t="s">
        <v>168</v>
      </c>
    </row>
    <row r="37" spans="1:3">
      <c r="A37" s="4673" t="s">
        <v>169</v>
      </c>
    </row>
    <row r="38" ht="13.5" spans="1:3">
      <c r="A38" s="4674" t="s">
        <v>170</v>
      </c>
    </row>
    <row r="39" ht="13.5" spans="1:3">
      <c r="A39" s="4674" t="s">
        <v>171</v>
      </c>
    </row>
    <row r="40" ht="13.5" spans="1:3">
      <c r="A40" s="4674" t="s">
        <v>172</v>
      </c>
    </row>
    <row r="41" ht="13.5" spans="1:3">
      <c r="A41" s="4675" t="s">
        <v>173</v>
      </c>
    </row>
    <row r="42" ht="13.5" spans="1:3">
      <c r="A42" s="467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19" customWidth="1"/>
    <col min="2" max="2" width="38.625" style="4619" customWidth="1"/>
    <col min="3" max="3" width="26" style="4619" customWidth="1"/>
    <col min="4" max="4" width="35" style="4619" hidden="1" customWidth="1"/>
    <col min="5" max="5" width="30.125" style="4619" customWidth="1"/>
    <col min="6" max="6" width="35.5" style="4619" customWidth="1"/>
    <col min="7" max="7" width="31" style="4619" customWidth="1"/>
    <col min="8" max="8" width="37.5" style="4619" hidden="1" customWidth="1"/>
    <col min="9" max="16384" width="22.625" style="4619"/>
  </cols>
  <sheetData>
    <row r="1" customHeight="1" spans="1:8">
      <c r="A1" s="4620"/>
      <c r="B1" s="4620"/>
      <c r="C1" s="4620"/>
      <c r="D1" s="4620"/>
      <c r="E1" s="4620"/>
      <c r="F1" s="4620"/>
      <c r="G1" s="4620"/>
      <c r="H1" s="4620"/>
    </row>
    <row r="2" customHeight="1" spans="1:8">
      <c r="A2" s="4621" t="s">
        <v>175</v>
      </c>
      <c r="B2" s="4622">
        <f ca="1">TODAY()</f>
        <v>46090</v>
      </c>
      <c r="C2" s="4623" t="s">
        <v>176</v>
      </c>
      <c r="D2" s="4623"/>
      <c r="E2" s="4623"/>
      <c r="F2" s="4620"/>
      <c r="G2" s="4620"/>
      <c r="H2" s="4620"/>
    </row>
    <row r="3" customHeight="1" spans="1:8">
      <c r="A3" s="4624" t="s">
        <v>177</v>
      </c>
      <c r="B3" s="4625" t="s">
        <v>178</v>
      </c>
      <c r="C3" s="4625" t="s">
        <v>179</v>
      </c>
      <c r="D3" s="4626" t="s">
        <v>180</v>
      </c>
      <c r="E3" s="4627" t="s">
        <v>181</v>
      </c>
      <c r="F3" s="4628" t="s">
        <v>182</v>
      </c>
      <c r="G3" s="4625" t="s">
        <v>179</v>
      </c>
      <c r="H3" s="4626" t="s">
        <v>183</v>
      </c>
    </row>
    <row r="4" customHeight="1" spans="1:8">
      <c r="A4" s="4628" t="s">
        <v>184</v>
      </c>
      <c r="B4" s="4629" t="str">
        <f ca="1">IF(C4&lt;B2,"已过期",1119970066)</f>
        <v>已过期</v>
      </c>
      <c r="C4" s="4630">
        <v>45937</v>
      </c>
      <c r="D4" s="4631" t="str">
        <f ca="1">A4&amp;"（注册号："&amp;B4&amp;"）"</f>
        <v>梁津（注册号：已过期）</v>
      </c>
      <c r="E4" s="4632" t="s">
        <v>184</v>
      </c>
      <c r="F4" s="4629">
        <f ca="1">IF(G4&lt;B2,"已过期",96010014)</f>
        <v>96010014</v>
      </c>
      <c r="G4" s="4633">
        <v>47118</v>
      </c>
      <c r="H4" s="4634" t="str">
        <f ca="1">E4&amp;"（注册号："&amp;F4&amp;"）"</f>
        <v>梁津（注册号：96010014）</v>
      </c>
    </row>
    <row r="5" customHeight="1" spans="1:8">
      <c r="A5" s="4628" t="s">
        <v>185</v>
      </c>
      <c r="B5" s="4629" t="str">
        <f ca="1">IF(C5&lt;B2,"已过期",1119970111)</f>
        <v>已过期</v>
      </c>
      <c r="C5" s="4630">
        <v>45937</v>
      </c>
      <c r="D5" s="4631" t="str">
        <f ca="1" t="shared" ref="D5:D16" si="0">A5&amp;"（注册号："&amp;B5&amp;"）"</f>
        <v>叶凌（注册号：已过期）</v>
      </c>
      <c r="E5" s="4632" t="s">
        <v>185</v>
      </c>
      <c r="F5" s="4629">
        <f ca="1">IF(G5&lt;B2,"已过期",94010078)</f>
        <v>94010078</v>
      </c>
      <c r="G5" s="4633">
        <v>46387</v>
      </c>
      <c r="H5" s="4634" t="str">
        <f ca="1" t="shared" ref="H5:H16" si="1">E5&amp;"（注册号："&amp;F5&amp;"）"</f>
        <v>叶凌（注册号：94010078）</v>
      </c>
    </row>
    <row r="6" customHeight="1" spans="1:8">
      <c r="A6" s="4628" t="s">
        <v>186</v>
      </c>
      <c r="B6" s="4629" t="str">
        <f ca="1">IF(C6&lt;B2,"已过期",1120050019)</f>
        <v>已过期</v>
      </c>
      <c r="C6" s="4630">
        <v>45410</v>
      </c>
      <c r="D6" s="4631" t="str">
        <f ca="1" t="shared" si="0"/>
        <v>王鹏（注册号：已过期）</v>
      </c>
      <c r="E6" s="4632" t="s">
        <v>186</v>
      </c>
      <c r="F6" s="4629">
        <f ca="1">IF(G6&lt;B2,"已过期",2002110030)</f>
        <v>2002110030</v>
      </c>
      <c r="G6" s="4633">
        <v>46387</v>
      </c>
      <c r="H6" s="4634" t="str">
        <f ca="1" t="shared" si="1"/>
        <v>王鹏（注册号：2002110030）</v>
      </c>
    </row>
    <row r="7" customHeight="1" spans="1:8">
      <c r="A7" s="4628" t="s">
        <v>187</v>
      </c>
      <c r="B7" s="4629" t="str">
        <f ca="1">IF(C7&lt;B2,"已过期",1120000080)</f>
        <v>已过期</v>
      </c>
      <c r="C7" s="4630">
        <v>45937</v>
      </c>
      <c r="D7" s="4631" t="str">
        <f ca="1" t="shared" si="0"/>
        <v>欧红伟（注册号：已过期）</v>
      </c>
      <c r="E7" s="4632" t="s">
        <v>187</v>
      </c>
      <c r="F7" s="4629">
        <f ca="1">IF(G7&lt;B2,"已过期",2000110082)</f>
        <v>2000110082</v>
      </c>
      <c r="G7" s="4633">
        <v>46387</v>
      </c>
      <c r="H7" s="4634" t="str">
        <f ca="1" t="shared" si="1"/>
        <v>欧红伟（注册号：2000110082）</v>
      </c>
    </row>
    <row r="8" customHeight="1" spans="1:8">
      <c r="A8" s="4628" t="s">
        <v>188</v>
      </c>
      <c r="B8" s="4629" t="str">
        <f ca="1">IF(C8&lt;B2,"已过期",1419970001)</f>
        <v>已过期</v>
      </c>
      <c r="C8" s="4630">
        <v>45937</v>
      </c>
      <c r="D8" s="4631" t="str">
        <f ca="1" t="shared" si="0"/>
        <v>吴薇（注册号：已过期）</v>
      </c>
      <c r="E8" s="4632" t="s">
        <v>188</v>
      </c>
      <c r="F8" s="4629">
        <f ca="1">IF(G8&lt;B2,"已过期",2002110125)</f>
        <v>2002110125</v>
      </c>
      <c r="G8" s="4633">
        <v>47118</v>
      </c>
      <c r="H8" s="4634" t="str">
        <f ca="1" t="shared" si="1"/>
        <v>吴薇（注册号：2002110125）</v>
      </c>
    </row>
    <row r="9" customHeight="1" spans="1:8">
      <c r="A9" s="4628" t="s">
        <v>189</v>
      </c>
      <c r="B9" s="4629" t="str">
        <f ca="1">IF(C9&lt;B2,"已过期",1120060040)</f>
        <v>已过期</v>
      </c>
      <c r="C9" s="4635">
        <v>45592</v>
      </c>
      <c r="D9" s="4631" t="str">
        <f ca="1" t="shared" si="0"/>
        <v>陈颖（注册号：已过期）</v>
      </c>
      <c r="E9" s="4632" t="s">
        <v>189</v>
      </c>
      <c r="F9" s="4629">
        <f ca="1">IF(G9&lt;B2,"已过期",2004110096)</f>
        <v>2004110096</v>
      </c>
      <c r="G9" s="4633">
        <v>47118</v>
      </c>
      <c r="H9" s="4634" t="str">
        <f ca="1" t="shared" si="1"/>
        <v>陈颖（注册号：2004110096）</v>
      </c>
    </row>
    <row r="10" customHeight="1" spans="1:8">
      <c r="A10" s="4628" t="s">
        <v>190</v>
      </c>
      <c r="B10" s="4629" t="str">
        <f ca="1">IF(C10&lt;B2,"已过期",1120100036)</f>
        <v>已过期</v>
      </c>
      <c r="C10" s="4635">
        <v>45752</v>
      </c>
      <c r="D10" s="4631" t="str">
        <f ca="1" t="shared" si="0"/>
        <v>崔锴（注册号：已过期）</v>
      </c>
      <c r="E10" s="4632" t="s">
        <v>190</v>
      </c>
      <c r="F10" s="4629">
        <f ca="1">IF(G10&lt;B2,"已过期",2010110070)</f>
        <v>2010110070</v>
      </c>
      <c r="G10" s="4633">
        <v>47907</v>
      </c>
      <c r="H10" s="4634" t="str">
        <f ca="1" t="shared" si="1"/>
        <v>崔锴（注册号：2010110070）</v>
      </c>
    </row>
    <row r="11" customHeight="1" spans="1:8">
      <c r="A11" s="4628" t="s">
        <v>191</v>
      </c>
      <c r="B11" s="4629" t="str">
        <f ca="1">IF(C11&lt;B2,"已过期",1120070131)</f>
        <v>已过期</v>
      </c>
      <c r="C11" s="4630">
        <v>45937</v>
      </c>
      <c r="D11" s="4631" t="str">
        <f ca="1" t="shared" si="0"/>
        <v>郑燚（注册号：已过期）</v>
      </c>
      <c r="E11" s="4632" t="s">
        <v>191</v>
      </c>
      <c r="F11" s="4629">
        <f ca="1">IF(G11&lt;B2,"已过期",2014110011)</f>
        <v>2014110011</v>
      </c>
      <c r="G11" s="4633">
        <v>49302</v>
      </c>
      <c r="H11" s="4634" t="str">
        <f ca="1" t="shared" si="1"/>
        <v>郑燚（注册号：2014110011）</v>
      </c>
    </row>
    <row r="12" customHeight="1" spans="1:8">
      <c r="A12" s="4628" t="s">
        <v>192</v>
      </c>
      <c r="B12" s="4629" t="str">
        <f ca="1">IF(C12&lt;B2,"已过期",1120040230)</f>
        <v>已过期</v>
      </c>
      <c r="C12" s="4635">
        <v>45937</v>
      </c>
      <c r="D12" s="4631" t="str">
        <f ca="1" t="shared" si="0"/>
        <v>苏海（注册号：已过期）</v>
      </c>
      <c r="E12" s="4632" t="s">
        <v>192</v>
      </c>
      <c r="F12" s="4629">
        <f ca="1">IF(G12&lt;B2,"已过期",98030020)</f>
        <v>98030020</v>
      </c>
      <c r="G12" s="4633">
        <v>47118</v>
      </c>
      <c r="H12" s="4634" t="str">
        <f ca="1" t="shared" si="1"/>
        <v>苏海（注册号：98030020）</v>
      </c>
    </row>
    <row r="13" customHeight="1" spans="1:8">
      <c r="A13" s="4628" t="s">
        <v>193</v>
      </c>
      <c r="B13" s="4629" t="str">
        <f ca="1">IF(C13&lt;B2,"已过期",1120020033)</f>
        <v>已过期</v>
      </c>
      <c r="C13" s="4630">
        <v>45375</v>
      </c>
      <c r="D13" s="4631" t="str">
        <f ca="1" t="shared" si="0"/>
        <v>刘敬东（注册号：已过期）</v>
      </c>
      <c r="E13" s="4632" t="s">
        <v>193</v>
      </c>
      <c r="F13" s="4629">
        <f ca="1">IF(G13&lt;B2,"已过期",2000110137)</f>
        <v>2000110137</v>
      </c>
      <c r="G13" s="4633">
        <v>46387</v>
      </c>
      <c r="H13" s="4634" t="str">
        <f ca="1" t="shared" si="1"/>
        <v>刘敬东（注册号：2000110137）</v>
      </c>
    </row>
    <row r="14" customHeight="1" spans="1:8">
      <c r="A14" s="4628" t="s">
        <v>194</v>
      </c>
      <c r="B14" s="4629" t="str">
        <f ca="1">IF(C14&lt;B2,"已过期",1119980106)</f>
        <v>已过期</v>
      </c>
      <c r="C14" s="4635">
        <v>44969</v>
      </c>
      <c r="D14" s="4631" t="str">
        <f ca="1" t="shared" si="0"/>
        <v>刘俊财（注册号：已过期）</v>
      </c>
      <c r="E14" s="4632" t="s">
        <v>194</v>
      </c>
      <c r="F14" s="4629">
        <f ca="1">IF(G14&lt;B2,"已过期",96010063)</f>
        <v>96010063</v>
      </c>
      <c r="G14" s="4633">
        <v>47483</v>
      </c>
      <c r="H14" s="4634" t="str">
        <f ca="1" t="shared" si="1"/>
        <v>刘俊财（注册号：96010063）</v>
      </c>
    </row>
    <row r="15" customHeight="1" spans="1:8">
      <c r="A15" s="4628" t="s">
        <v>195</v>
      </c>
      <c r="B15" s="4629">
        <v>1120210056</v>
      </c>
      <c r="C15" s="4635">
        <v>45410</v>
      </c>
      <c r="D15" s="4631" t="str">
        <f t="shared" si="0"/>
        <v>宁小鳗（注册号：1120210056）</v>
      </c>
      <c r="E15" s="4632" t="s">
        <v>196</v>
      </c>
      <c r="F15" s="4629">
        <f ca="1">IF(G15&lt;B2,"已过期",2011110090)</f>
        <v>2011110090</v>
      </c>
      <c r="G15" s="4633">
        <v>48302</v>
      </c>
      <c r="H15" s="4634" t="str">
        <f ca="1" t="shared" si="1"/>
        <v>赵雯（注册号：2011110090）</v>
      </c>
    </row>
    <row r="16" s="4617" customFormat="1" customHeight="1" spans="1:8">
      <c r="A16" s="4628" t="s">
        <v>196</v>
      </c>
      <c r="B16" s="4628">
        <v>1120240051</v>
      </c>
      <c r="C16" s="4630"/>
      <c r="D16" s="4631" t="str">
        <f t="shared" si="0"/>
        <v>赵雯（注册号：1120240051）</v>
      </c>
      <c r="E16" s="4632"/>
      <c r="F16" s="4628"/>
      <c r="G16" s="4628"/>
      <c r="H16" s="4636" t="str">
        <f t="shared" si="1"/>
        <v>（注册号：）</v>
      </c>
    </row>
    <row r="17" customHeight="1" spans="1:8">
      <c r="A17" s="4637" t="s">
        <v>197</v>
      </c>
      <c r="B17" s="4637"/>
      <c r="C17" s="4637"/>
      <c r="D17" s="4637"/>
      <c r="E17" s="4637"/>
      <c r="F17" s="4637"/>
      <c r="G17" s="4637"/>
      <c r="H17" s="4637"/>
    </row>
    <row r="18" customHeight="1" spans="1:8">
      <c r="A18" s="4625" t="s">
        <v>198</v>
      </c>
      <c r="B18" s="4625"/>
      <c r="C18" s="4625"/>
      <c r="D18" s="4626"/>
      <c r="E18" s="4638" t="s">
        <v>199</v>
      </c>
      <c r="F18" s="4625"/>
      <c r="G18" s="4625"/>
    </row>
    <row r="19" s="4618" customFormat="1" customHeight="1" spans="1:8">
      <c r="A19" s="4639" t="s">
        <v>200</v>
      </c>
      <c r="B19" s="4625" t="s">
        <v>201</v>
      </c>
      <c r="C19" s="4625" t="s">
        <v>179</v>
      </c>
      <c r="D19" s="4626"/>
      <c r="E19" s="4632" t="s">
        <v>200</v>
      </c>
      <c r="F19" s="4625" t="s">
        <v>201</v>
      </c>
      <c r="G19" s="4625" t="s">
        <v>179</v>
      </c>
    </row>
    <row r="20" s="4618" customFormat="1" customHeight="1" spans="1:8">
      <c r="A20" s="4640" t="s">
        <v>202</v>
      </c>
      <c r="B20" s="4640" t="s">
        <v>203</v>
      </c>
      <c r="C20" s="4633">
        <v>45898</v>
      </c>
      <c r="D20" s="4641"/>
      <c r="E20" s="4642" t="s">
        <v>204</v>
      </c>
      <c r="F20" s="4643" t="s">
        <v>205</v>
      </c>
      <c r="G20" s="4644">
        <v>44926</v>
      </c>
    </row>
    <row r="21" s="4618" customFormat="1" customHeight="1" spans="1:8">
      <c r="A21" s="4640"/>
      <c r="B21" s="4640"/>
      <c r="C21" s="4645"/>
      <c r="D21" s="4646"/>
      <c r="E21" s="4642"/>
      <c r="F21" s="4643"/>
      <c r="G21" s="4644"/>
    </row>
    <row r="22" customHeight="1" spans="1:8">
      <c r="C22" s="4647"/>
      <c r="D22" s="4647"/>
      <c r="E22" s="4648"/>
      <c r="F22" s="4649"/>
      <c r="G22" s="465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典型户型修正</vt:lpstr>
      <vt:lpstr>收益法</vt:lpstr>
      <vt:lpstr>成本法</vt:lpstr>
      <vt:lpstr>成本法 (元)</vt:lpstr>
      <vt:lpstr>成本法 (元)-fei</vt:lpstr>
      <vt:lpstr>收益法 (元)</vt:lpstr>
      <vt:lpstr>收益法 (元)fei</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清单</vt:lpstr>
      <vt:lpstr>租赁情况</vt:lpstr>
      <vt:lpstr>案例</vt:lpstr>
      <vt:lpstr>建安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2026-03-09T04:58:34Z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3D3313D947724501B71222729598C3E9_12</vt:lpwstr>
  </property>
  <property fmtid="{D5CDD505-2E9C-101B-9397-08002B2CF9AE}" pid="4" name="KSOProductBuildVer">
    <vt:lpwstr>2052-12.1.0.24657</vt:lpwstr>
  </property>
  <property fmtid="{D5CDD505-2E9C-101B-9397-08002B2CF9AE}" pid="5" name="CalculationRule">
    <vt:i4>0</vt:i4>
  </property>
</Properties>
</file>